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S:\R\fuortesa\dynamic-era-energy-test\data\"/>
    </mc:Choice>
  </mc:AlternateContent>
  <xr:revisionPtr revIDLastSave="0" documentId="13_ncr:1_{044507E8-296B-4E7D-8616-643F1FA54CF4}" xr6:coauthVersionLast="47" xr6:coauthVersionMax="47" xr10:uidLastSave="{00000000-0000-0000-0000-000000000000}"/>
  <bookViews>
    <workbookView xWindow="380" yWindow="380" windowWidth="16090" windowHeight="7440" tabRatio="725" firstSheet="2" activeTab="2" xr2:uid="{00000000-000D-0000-FFFF-FFFF00000000}"/>
  </bookViews>
  <sheets>
    <sheet name="version" sheetId="1" r:id="rId1"/>
    <sheet name="RiskSerializationData8" sheetId="569" state="hidden" r:id="rId2"/>
    <sheet name="input" sheetId="3" r:id="rId3"/>
    <sheet name="substances" sheetId="2" r:id="rId4"/>
    <sheet name="Presampled distributions" sheetId="525" r:id="rId5"/>
    <sheet name="Correlations" sheetId="53" r:id="rId6"/>
    <sheet name="local" sheetId="24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  <sheet name="output" sheetId="4" r:id="rId13"/>
    <sheet name="dynamicR" sheetId="20" r:id="rId14"/>
    <sheet name="cases" sheetId="18" r:id="rId15"/>
    <sheet name="scenarios" sheetId="16" r:id="rId16"/>
  </sheets>
  <externalReferences>
    <externalReference r:id="rId17"/>
    <externalReference r:id="rId18"/>
  </externalReferences>
  <definedNames>
    <definedName name="_AtRisk_FitDataRange_FIT_CCB20_430E8" hidden="1">'Presampled distributions'!$A$3:$A$1002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1</definedName>
    <definedName name="_AtRisk_SimSetting_MultipleCPUModeV8" hidden="1">1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1</definedName>
    <definedName name="_AtRisk_SimSetting_StdRecalcWithoutRiskStaticPercentile" hidden="1">0.5</definedName>
    <definedName name="_xlnm._FilterDatabase" localSheetId="12" hidden="1">output!#REF!</definedName>
    <definedName name="_RiskCorrMatrix_NewMatrix1" hidden="1">1</definedName>
    <definedName name="_RiskCorrMatrix_NewMatrix2" hidden="1">1</definedName>
    <definedName name="_RiskCorrMatrix_NewMatrix3" hidden="1">1</definedName>
    <definedName name="_RiskCorrMatrixFormatted_NewMatrix1" hidden="1">1</definedName>
    <definedName name="_RiskCorrMatrixFormatted_NewMatrix2" hidden="1">1</definedName>
    <definedName name="_RiskCorrMatrixFormatted_NewMatrix3" hidden="1">1</definedName>
    <definedName name="ADSORB.w1C.sd1C">continental!$L$170</definedName>
    <definedName name="ADSORB.w1R.sd1R">regional!$L$164</definedName>
    <definedName name="ADSORB.w2C.sd2C">continental!$L$172</definedName>
    <definedName name="ADSORB.w2R.sd2R">regional!$L$166</definedName>
    <definedName name="ADSORB.w3A.sdA">global!$L$249</definedName>
    <definedName name="ADSORB.w3M.sdM">global!$L$112</definedName>
    <definedName name="ADSORB.w3T.sdT">global!$L$386</definedName>
    <definedName name="ADSORB.wL.sdL" localSheetId="4">local!$L$108</definedName>
    <definedName name="ADSORB.wL.sdL">local!$L$108</definedName>
    <definedName name="ADV_0_1" localSheetId="4">#REF!</definedName>
    <definedName name="ADV_0_1">#REF!</definedName>
    <definedName name="ADV_0_1.6box" localSheetId="4">#REF!</definedName>
    <definedName name="ADV_0_1.6box">#REF!</definedName>
    <definedName name="ADV_0_2" localSheetId="4">#REF!</definedName>
    <definedName name="ADV_0_2">#REF!</definedName>
    <definedName name="ADV_0_3" localSheetId="4">#REF!</definedName>
    <definedName name="ADV_0_3">#REF!</definedName>
    <definedName name="ADV_0_5.6box" localSheetId="4">#REF!</definedName>
    <definedName name="ADV_0_5.6box">#REF!</definedName>
    <definedName name="ADV_0_6.6box" localSheetId="4">#REF!</definedName>
    <definedName name="ADV_0_6.6box">#REF!</definedName>
    <definedName name="ADV_1_0" localSheetId="4">#REF!</definedName>
    <definedName name="ADV_1_0">#REF!</definedName>
    <definedName name="ADV_1_0.6box" localSheetId="4">#REF!</definedName>
    <definedName name="ADV_1_0.6box">#REF!</definedName>
    <definedName name="ADV_2_5" localSheetId="4">#REF!</definedName>
    <definedName name="ADV_2_5">#REF!</definedName>
    <definedName name="ADV_3_4" localSheetId="4">#REF!</definedName>
    <definedName name="ADV_3_4">#REF!</definedName>
    <definedName name="ADV_3_6" localSheetId="4">#REF!</definedName>
    <definedName name="ADV_3_6">#REF!</definedName>
    <definedName name="ADV_4_0" localSheetId="4">#REF!</definedName>
    <definedName name="ADV_4_0">#REF!</definedName>
    <definedName name="ADV_5_7" localSheetId="4">#REF!</definedName>
    <definedName name="ADV_5_7">#REF!</definedName>
    <definedName name="ADV_5_7.6box" localSheetId="4">#REF!</definedName>
    <definedName name="ADV_5_7.6box">#REF!</definedName>
    <definedName name="ADV_6_8" localSheetId="4">#REF!</definedName>
    <definedName name="ADV_6_8">#REF!</definedName>
    <definedName name="ADV_6_8.6box" localSheetId="4">#REF!</definedName>
    <definedName name="ADV_6_8.6box">#REF!</definedName>
    <definedName name="ADV_7_0" localSheetId="4">#REF!</definedName>
    <definedName name="ADV_7_0">#REF!</definedName>
    <definedName name="ADV_7_0.6box" localSheetId="4">#REF!</definedName>
    <definedName name="ADV_7_0.6box">#REF!</definedName>
    <definedName name="ADV_8_0" localSheetId="4">#REF!</definedName>
    <definedName name="ADV_8_0">#REF!</definedName>
    <definedName name="ADV_8_0.6box" localSheetId="4">#REF!</definedName>
    <definedName name="ADV_8_0.6box">#REF!</definedName>
    <definedName name="ADV_8_9" localSheetId="4">#REF!</definedName>
    <definedName name="ADV_8_9">#REF!</definedName>
    <definedName name="ADV_8_9.6box" localSheetId="4">#REF!</definedName>
    <definedName name="ADV_8_9.6box">#REF!</definedName>
    <definedName name="ADV_9_0" localSheetId="4">#REF!</definedName>
    <definedName name="ADV_9_0">#REF!</definedName>
    <definedName name="ADV_9_0.6box" localSheetId="4">#REF!</definedName>
    <definedName name="ADV_9_0.6box">#REF!</definedName>
    <definedName name="ADV_9_6" localSheetId="4">#REF!</definedName>
    <definedName name="ADV_9_6">#REF!</definedName>
    <definedName name="ADV_9_6.6box" localSheetId="4">#REF!</definedName>
    <definedName name="ADV_9_6.6box">#REF!</definedName>
    <definedName name="Aeration_rate" localSheetId="4">#REF!</definedName>
    <definedName name="Aeration_rate">#REF!</definedName>
    <definedName name="AEROSOLdeprate.A" localSheetId="4">global!$L$226</definedName>
    <definedName name="AEROSOLdeprate.A">global!$L$226</definedName>
    <definedName name="AEROSOLdeprate.C" localSheetId="4">continental!$L$135</definedName>
    <definedName name="AEROSOLdeprate.C">continental!$L$135</definedName>
    <definedName name="AEROSOLdeprate.L" localSheetId="4">local!$L$81</definedName>
    <definedName name="AEROSOLdeprate.L">local!$L$81</definedName>
    <definedName name="AEROSOLdeprate.M" localSheetId="4">global!$L$89</definedName>
    <definedName name="AEROSOLdeprate.M">global!$L$89</definedName>
    <definedName name="AEROSOLdeprate.R" localSheetId="4">regional!$L$129</definedName>
    <definedName name="AEROSOLdeprate.R">regional!$L$129</definedName>
    <definedName name="AEROSOLdeprate.T" localSheetId="4">global!$L$363</definedName>
    <definedName name="AEROSOLdeprate.T">global!$L$363</definedName>
    <definedName name="AerosolWashout.A" localSheetId="4">global!$L$224</definedName>
    <definedName name="AerosolWashout.A">global!$L$224</definedName>
    <definedName name="AerosolWashout.C" localSheetId="4">continental!$L$133</definedName>
    <definedName name="AerosolWashout.C">continental!$L$133</definedName>
    <definedName name="AerosolWashout.L" localSheetId="4">local!$L$79</definedName>
    <definedName name="AerosolWashout.L">local!$L$79</definedName>
    <definedName name="AerosolWashout.M" localSheetId="4">global!$L$87</definedName>
    <definedName name="AerosolWashout.M">global!$L$87</definedName>
    <definedName name="AerosolWashout.R" localSheetId="4">regional!$L$127</definedName>
    <definedName name="AerosolWashout.R">regional!$L$127</definedName>
    <definedName name="AerosolWashout.T" localSheetId="4">global!$L$361</definedName>
    <definedName name="AerosolWashout.T">global!$L$361</definedName>
    <definedName name="AIRflow.aL.aR" localSheetId="4">local!$L$26</definedName>
    <definedName name="AIRflow.aL.aR">local!$L$26</definedName>
    <definedName name="Area" localSheetId="4">#REF!</definedName>
    <definedName name="Area">#REF!</definedName>
    <definedName name="Area.6box" localSheetId="4">#REF!</definedName>
    <definedName name="Area.6box">#REF!</definedName>
    <definedName name="Area_of_the_plant" localSheetId="4">#REF!</definedName>
    <definedName name="Area_of_the_plant">#REF!</definedName>
    <definedName name="Area_of_the_plant.6box" localSheetId="4">#REF!</definedName>
    <definedName name="Area_of_the_plant.6box">#REF!</definedName>
    <definedName name="Area_PS" localSheetId="4">#REF!</definedName>
    <definedName name="Area_PS">#REF!</definedName>
    <definedName name="Area_SLS" localSheetId="4">#REF!</definedName>
    <definedName name="Area_SLS">#REF!</definedName>
    <definedName name="AREAFRAC.s1C" localSheetId="4">continental!$L$17</definedName>
    <definedName name="AREAFRAC.s1C">continental!$L$17</definedName>
    <definedName name="AREAFRAC.s1R" localSheetId="4">regional!$L$17</definedName>
    <definedName name="AREAFRAC.s1R">regional!$L$17</definedName>
    <definedName name="AREAFRAC.s2C" localSheetId="4">continental!$L$18</definedName>
    <definedName name="AREAFRAC.s2C">continental!$L$18</definedName>
    <definedName name="AREAFRAC.s2R" localSheetId="4">regional!$L$18</definedName>
    <definedName name="AREAFRAC.s2R">regional!$L$18</definedName>
    <definedName name="AREAFRAC.s3C" localSheetId="4">continental!$L$19</definedName>
    <definedName name="AREAFRAC.s3C">continental!$L$19</definedName>
    <definedName name="AREAFRAC.s3R" localSheetId="4">regional!$L$19</definedName>
    <definedName name="AREAFRAC.s3R">regional!$L$19</definedName>
    <definedName name="AREAFRAC.sA" localSheetId="4">global!$L$156</definedName>
    <definedName name="AREAFRAC.sA">global!$L$156</definedName>
    <definedName name="AREAFRAC.sL" localSheetId="4">local!$L$12</definedName>
    <definedName name="AREAFRAC.sL">local!$L$12</definedName>
    <definedName name="AREAFRAC.sM" localSheetId="4">global!$L$12</definedName>
    <definedName name="AREAFRAC.sM">global!$L$12</definedName>
    <definedName name="AREAFRAC.sT" localSheetId="4">global!$L$293</definedName>
    <definedName name="AREAFRAC.sT">global!$L$293</definedName>
    <definedName name="AREAFRAC.w0C" localSheetId="4">continental!$L$15</definedName>
    <definedName name="AREAFRAC.w0C">continental!$L$15</definedName>
    <definedName name="AREAFRAC.w0R" localSheetId="4">regional!$L$15</definedName>
    <definedName name="AREAFRAC.w0R">regional!$L$15</definedName>
    <definedName name="AREAFRAC.w1C" localSheetId="4">continental!$L$16</definedName>
    <definedName name="AREAFRAC.w1C">continental!$L$16</definedName>
    <definedName name="AREAFRAC.w1R" localSheetId="4">regional!$L$16</definedName>
    <definedName name="AREAFRAC.w1R">regional!$L$16</definedName>
    <definedName name="AREAFRAC.w2C" localSheetId="4">continental!$L$20</definedName>
    <definedName name="AREAFRAC.w2C">continental!$L$20</definedName>
    <definedName name="AREAFRAC.w2R" localSheetId="4">regional!$L$20</definedName>
    <definedName name="AREAFRAC.w2R">regional!$L$20</definedName>
    <definedName name="AREAFRAC.wA" localSheetId="4">global!$L$155</definedName>
    <definedName name="AREAFRAC.wA">global!$L$155</definedName>
    <definedName name="AREAFRAC.wL" localSheetId="4">local!$L$11</definedName>
    <definedName name="AREAFRAC.wL">local!$L$11</definedName>
    <definedName name="AREAFRAC.wM" localSheetId="4">global!$L$11</definedName>
    <definedName name="AREAFRAC.wM">global!$L$11</definedName>
    <definedName name="AREAFRAC.wT" localSheetId="4">global!$L$292</definedName>
    <definedName name="AREAFRAC.wT">global!$L$292</definedName>
    <definedName name="AREAland.C" localSheetId="4">input!$P$141</definedName>
    <definedName name="AREAland.C">input!$P$141</definedName>
    <definedName name="AREAland.L" localSheetId="4">input!$P$115</definedName>
    <definedName name="AREAland.L">input!$P$115</definedName>
    <definedName name="AREAland.R" localSheetId="4">input!$P$123</definedName>
    <definedName name="AREAland.R">input!$P$123</definedName>
    <definedName name="AREAsea.C" localSheetId="4">input!$P$142</definedName>
    <definedName name="AREAsea.C">input!$P$142</definedName>
    <definedName name="AREAsea.R" localSheetId="4">input!$P$124</definedName>
    <definedName name="AREAsea.R">input!$P$124</definedName>
    <definedName name="BACT.test" localSheetId="4">input!$P$72</definedName>
    <definedName name="BACT.test">input!$P$72</definedName>
    <definedName name="BACT.w0C" localSheetId="4">continental!$L$208</definedName>
    <definedName name="BACT.w0C">continental!$L$208</definedName>
    <definedName name="BACT.w0R" localSheetId="4">regional!$L$202</definedName>
    <definedName name="BACT.w0R">regional!$L$202</definedName>
    <definedName name="BACT.w1C" localSheetId="4">continental!$L$209</definedName>
    <definedName name="BACT.w1C">continental!$L$209</definedName>
    <definedName name="BACT.w1R" localSheetId="4">regional!$L$203</definedName>
    <definedName name="BACT.w1R">regional!$L$203</definedName>
    <definedName name="BACT.w2A" localSheetId="4">global!$L$272</definedName>
    <definedName name="BACT.w2A">global!$L$272</definedName>
    <definedName name="BACT.w2C" localSheetId="4">continental!$L$210</definedName>
    <definedName name="BACT.w2C">continental!$L$210</definedName>
    <definedName name="BACT.w2M" localSheetId="4">global!$L$135</definedName>
    <definedName name="BACT.w2M">global!$L$135</definedName>
    <definedName name="BACT.w2R" localSheetId="4">regional!$L$204</definedName>
    <definedName name="BACT.w2R">regional!$L$204</definedName>
    <definedName name="BACT.w2T" localSheetId="4">global!$L$409</definedName>
    <definedName name="BACT.w2T">global!$L$409</definedName>
    <definedName name="BACT.w3A" localSheetId="4">global!$L$273</definedName>
    <definedName name="BACT.w3A">global!$L$273</definedName>
    <definedName name="BACT.w3M" localSheetId="4">global!$L$136</definedName>
    <definedName name="BACT.w3M">global!$L$136</definedName>
    <definedName name="BACT.w3T" localSheetId="4">global!$L$410</definedName>
    <definedName name="BACT.w3T">global!$L$410</definedName>
    <definedName name="BACT.wL" localSheetId="4">local!$L$131</definedName>
    <definedName name="BACT.wL">local!$L$131</definedName>
    <definedName name="Biodeg" localSheetId="4">input!$P$71</definedName>
    <definedName name="Biodeg">input!$P$71</definedName>
    <definedName name="BOD" localSheetId="4">#REF!</definedName>
    <definedName name="BOD">#REF!</definedName>
    <definedName name="box_names">engine!$D$3:$AN$3</definedName>
    <definedName name="BrowseRecords" localSheetId="1">RiskSerializationData8!$6:$7</definedName>
    <definedName name="Bubble_or_surface_aeration" localSheetId="4">#REF!</definedName>
    <definedName name="Bubble_or_surface_aeration">#REF!</definedName>
    <definedName name="C.aA" localSheetId="4">engine!$AE$61</definedName>
    <definedName name="C.aA">engine!$AE$61</definedName>
    <definedName name="C.aC" localSheetId="4">engine!$Q$61</definedName>
    <definedName name="C.aC">engine!$Q$61</definedName>
    <definedName name="C.aL" localSheetId="4">engine!$D$61</definedName>
    <definedName name="C.aL">engine!$D$61</definedName>
    <definedName name="C.aM" localSheetId="4">engine!$Z$61</definedName>
    <definedName name="C.aM">engine!$Z$61</definedName>
    <definedName name="C.aR" localSheetId="4">engine!$H$61</definedName>
    <definedName name="C.aR">engine!$H$61</definedName>
    <definedName name="C.aT" localSheetId="4">engine!$AJ$61</definedName>
    <definedName name="C.aT">engine!$AJ$61</definedName>
    <definedName name="C.OHrad" localSheetId="4">input!$P$67</definedName>
    <definedName name="C.OHrad">input!$P$67</definedName>
    <definedName name="C.OHrad.aA" localSheetId="4">global!$L$268</definedName>
    <definedName name="C.OHrad.aA">global!$L$268</definedName>
    <definedName name="C.OHrad.aC" localSheetId="4">continental!$L$203</definedName>
    <definedName name="C.OHrad.aC">continental!$L$203</definedName>
    <definedName name="C.OHrad.aL" localSheetId="4">local!$L$128</definedName>
    <definedName name="C.OHrad.aL">local!$L$128</definedName>
    <definedName name="C.OHrad.aM" localSheetId="4">global!$L$131</definedName>
    <definedName name="C.OHrad.aM">global!$L$131</definedName>
    <definedName name="C.OHrad.aR" localSheetId="4">regional!$L$197</definedName>
    <definedName name="C.OHrad.aR">regional!$L$197</definedName>
    <definedName name="C.OHrad.aT" localSheetId="4">global!$L$405</definedName>
    <definedName name="C.OHrad.aT">global!$L$405</definedName>
    <definedName name="C.s1C" localSheetId="4">engine!$W$61</definedName>
    <definedName name="C.s1C">engine!$W$61</definedName>
    <definedName name="C.s1R" localSheetId="4">engine!$N$61</definedName>
    <definedName name="C.s1R">engine!$N$61</definedName>
    <definedName name="C.s2C" localSheetId="4">engine!$X$61</definedName>
    <definedName name="C.s2C">engine!$X$61</definedName>
    <definedName name="C.s2R" localSheetId="4">engine!$O$61</definedName>
    <definedName name="C.s2R">engine!$O$61</definedName>
    <definedName name="C.s3C" localSheetId="4">engine!$Y$61</definedName>
    <definedName name="C.s3C">engine!$Y$61</definedName>
    <definedName name="C.s3R" localSheetId="4">engine!$P$61</definedName>
    <definedName name="C.s3R">engine!$P$61</definedName>
    <definedName name="C.sA" localSheetId="4">engine!$AI$61</definedName>
    <definedName name="C.sA">engine!$AI$61</definedName>
    <definedName name="C.sd1C" localSheetId="4">engine!$U$61</definedName>
    <definedName name="C.sd1C">engine!$U$61</definedName>
    <definedName name="C.sd1R" localSheetId="4">engine!$L$61</definedName>
    <definedName name="C.sd1R">engine!$L$61</definedName>
    <definedName name="C.sd2C" localSheetId="4">engine!$V$61</definedName>
    <definedName name="C.sd2C">engine!$V$61</definedName>
    <definedName name="C.sd2R" localSheetId="4">engine!$M$61</definedName>
    <definedName name="C.sd2R">engine!$M$61</definedName>
    <definedName name="C.sdA" localSheetId="4">engine!$AH$61</definedName>
    <definedName name="C.sdA">engine!$AH$61</definedName>
    <definedName name="C.sdL">engine!$G$61</definedName>
    <definedName name="C.sdM" localSheetId="4">engine!$AC$61</definedName>
    <definedName name="C.sdM">engine!$AC$61</definedName>
    <definedName name="C.sdT" localSheetId="4">engine!$AM$61</definedName>
    <definedName name="C.sdT">engine!$AM$61</definedName>
    <definedName name="C.sL" localSheetId="4">engine!$F$61</definedName>
    <definedName name="C.sL">engine!$F$61</definedName>
    <definedName name="C.sM" localSheetId="4">engine!$AD$61</definedName>
    <definedName name="C.sM">engine!$AD$61</definedName>
    <definedName name="C.sT" localSheetId="4">engine!$AN$61</definedName>
    <definedName name="C.sT">engine!$AN$61</definedName>
    <definedName name="C.w0C" localSheetId="4">engine!$R$61</definedName>
    <definedName name="C.w0C">engine!$R$61</definedName>
    <definedName name="C.w0R" localSheetId="4">engine!$I$61</definedName>
    <definedName name="C.w0R">engine!$I$61</definedName>
    <definedName name="C.w1C" localSheetId="4">engine!$S$61</definedName>
    <definedName name="C.w1C">engine!$S$61</definedName>
    <definedName name="C.w1R" localSheetId="4">engine!$J$61</definedName>
    <definedName name="C.w1R">engine!$J$61</definedName>
    <definedName name="C.w2A" localSheetId="4">engine!$AF$61</definedName>
    <definedName name="C.w2A">engine!$AF$61</definedName>
    <definedName name="C.w2C" localSheetId="4">engine!$T$61</definedName>
    <definedName name="C.w2C">engine!$T$61</definedName>
    <definedName name="C.w2M" localSheetId="4">engine!$AA$61</definedName>
    <definedName name="C.w2M">engine!$AA$61</definedName>
    <definedName name="C.w2R" localSheetId="4">engine!$K$61</definedName>
    <definedName name="C.w2R">engine!$K$61</definedName>
    <definedName name="C.w2T" localSheetId="4">engine!$AK$61</definedName>
    <definedName name="C.w2T">engine!$AK$61</definedName>
    <definedName name="C.w3A" localSheetId="4">engine!$AG$61</definedName>
    <definedName name="C.w3A">engine!$AG$61</definedName>
    <definedName name="C.w3M" localSheetId="4">engine!$AB$61</definedName>
    <definedName name="C.w3M">engine!$AB$61</definedName>
    <definedName name="C.w3T" localSheetId="4">engine!$AL$61</definedName>
    <definedName name="C.w3T">engine!$AL$61</definedName>
    <definedName name="C.wL" localSheetId="4">engine!$E$61</definedName>
    <definedName name="C.wL">engine!$E$61</definedName>
    <definedName name="C_0_2" localSheetId="4">#REF!</definedName>
    <definedName name="C_0_2">#REF!</definedName>
    <definedName name="C_0_3" localSheetId="4">#REF!</definedName>
    <definedName name="C_0_3">#REF!</definedName>
    <definedName name="C_0_5.6box" localSheetId="4">#REF!</definedName>
    <definedName name="C_0_5.6box">#REF!</definedName>
    <definedName name="C_0_6.6box" localSheetId="4">#REF!</definedName>
    <definedName name="C_0_6.6box">#REF!</definedName>
    <definedName name="C_1" localSheetId="4">#REF!</definedName>
    <definedName name="C_1">#REF!</definedName>
    <definedName name="C_1.6box" localSheetId="4">#REF!</definedName>
    <definedName name="C_1.6box">#REF!</definedName>
    <definedName name="C_2" localSheetId="4">#REF!</definedName>
    <definedName name="C_2">#REF!</definedName>
    <definedName name="C_4" localSheetId="4">#REF!</definedName>
    <definedName name="C_4">#REF!</definedName>
    <definedName name="C_5" localSheetId="4">#REF!</definedName>
    <definedName name="C_5">#REF!</definedName>
    <definedName name="C_5.6box" localSheetId="4">#REF!</definedName>
    <definedName name="C_5.6box">#REF!</definedName>
    <definedName name="C_6" localSheetId="4">#REF!</definedName>
    <definedName name="C_6">#REF!</definedName>
    <definedName name="C_6.6box" localSheetId="4">#REF!</definedName>
    <definedName name="C_6.6box">#REF!</definedName>
    <definedName name="C_7" localSheetId="4">#REF!</definedName>
    <definedName name="C_7">#REF!</definedName>
    <definedName name="C_7.6box" localSheetId="4">#REF!</definedName>
    <definedName name="C_7.6box">#REF!</definedName>
    <definedName name="C_8" localSheetId="4">#REF!</definedName>
    <definedName name="C_8">#REF!</definedName>
    <definedName name="C_8.6box" localSheetId="4">#REF!</definedName>
    <definedName name="C_8.6box">#REF!</definedName>
    <definedName name="C_9" localSheetId="4">#REF!</definedName>
    <definedName name="C_9">#REF!</definedName>
    <definedName name="C_9.6box" localSheetId="4">#REF!</definedName>
    <definedName name="C_9.6box">#REF!</definedName>
    <definedName name="C_activated_sludge" localSheetId="4">#REF!</definedName>
    <definedName name="C_activated_sludge">#REF!</definedName>
    <definedName name="C_dissolved" localSheetId="4">#REF!</definedName>
    <definedName name="C_dissolved">#REF!</definedName>
    <definedName name="C_in_solids" localSheetId="4">#REF!</definedName>
    <definedName name="C_in_solids">#REF!</definedName>
    <definedName name="C_susp_solids_PS" localSheetId="4">#REF!</definedName>
    <definedName name="C_susp_solids_PS">#REF!</definedName>
    <definedName name="C_susp_solids_raw_sewage" localSheetId="4">#REF!</definedName>
    <definedName name="C_susp_solids_raw_sewage">#REF!</definedName>
    <definedName name="C_susp_solids_SLS" localSheetId="4">#REF!</definedName>
    <definedName name="C_susp_solids_SLS">#REF!</definedName>
    <definedName name="C_total_raw_sewage" localSheetId="4">#REF!</definedName>
    <definedName name="C_total_raw_sewage">#REF!</definedName>
    <definedName name="CaseData" localSheetId="4">cases!$J$3:$P$1252</definedName>
    <definedName name="CaseData">cases!$J$3:$P$1252</definedName>
    <definedName name="CaseName" localSheetId="4">input!$P$10</definedName>
    <definedName name="CaseName">input!$P$10</definedName>
    <definedName name="CaseNames" localSheetId="4">cases!$J$3:$P$3</definedName>
    <definedName name="CaseNames">cases!$J$3:$P$3</definedName>
    <definedName name="ChemClass" localSheetId="4">input!$P$14</definedName>
    <definedName name="ChemClass">input!$P$14</definedName>
    <definedName name="ChemClasses">input!$F$46:$F$172</definedName>
    <definedName name="ChemData">substances!$B$8:$V$87511</definedName>
    <definedName name="ChemName" localSheetId="4">input!$P$5</definedName>
    <definedName name="ChemName">input!$P$5</definedName>
    <definedName name="ChemRowNr" localSheetId="4">input!$P$6</definedName>
    <definedName name="ChemRowNr">input!$P$6</definedName>
    <definedName name="coef" localSheetId="4">#REF!</definedName>
    <definedName name="coef">#REF!</definedName>
    <definedName name="coef.6box" localSheetId="4">#REF!</definedName>
    <definedName name="coef.6box">#REF!</definedName>
    <definedName name="coef_1" localSheetId="4">#REF!</definedName>
    <definedName name="coef_1">#REF!</definedName>
    <definedName name="coef_1.6box" localSheetId="4">#REF!</definedName>
    <definedName name="coef_1.6box">#REF!</definedName>
    <definedName name="COL.w0C" localSheetId="4">continental!$L$77</definedName>
    <definedName name="COL.w0C">continental!$L$77</definedName>
    <definedName name="COL.w0R" localSheetId="4">regional!$L$71</definedName>
    <definedName name="COL.w0R">regional!$L$71</definedName>
    <definedName name="COL.w1C" localSheetId="4">continental!$L$83</definedName>
    <definedName name="COL.w1C">continental!$L$83</definedName>
    <definedName name="COL.w1R" localSheetId="4">regional!$L$77</definedName>
    <definedName name="COL.w1R">regional!$L$77</definedName>
    <definedName name="COL.w2A" localSheetId="4">global!$L$200</definedName>
    <definedName name="COL.w2A">global!$L$200</definedName>
    <definedName name="COL.w2C" localSheetId="4">continental!$L$89</definedName>
    <definedName name="COL.w2C">continental!$L$89</definedName>
    <definedName name="COL.w2M" localSheetId="4">global!$L$63</definedName>
    <definedName name="COL.w2M">global!$L$63</definedName>
    <definedName name="COL.w2R" localSheetId="4">regional!$L$83</definedName>
    <definedName name="COL.w2R">regional!$L$83</definedName>
    <definedName name="COL.w2T" localSheetId="4">global!$L$337</definedName>
    <definedName name="COL.w2T">global!$L$337</definedName>
    <definedName name="COL.w3A" localSheetId="4">global!$L$201</definedName>
    <definedName name="COL.w3A">global!$L$201</definedName>
    <definedName name="COL.w3M" localSheetId="4">global!$L$64</definedName>
    <definedName name="COL.w3M">global!$L$64</definedName>
    <definedName name="COL.w3T" localSheetId="4">global!$L$338</definedName>
    <definedName name="COL.w3T">global!$L$338</definedName>
    <definedName name="COL.wL" localSheetId="4">local!$L$54</definedName>
    <definedName name="COL.wL">local!$L$54</definedName>
    <definedName name="COLLECTeff.A" localSheetId="4">global!$L$228</definedName>
    <definedName name="COLLECTeff.A">global!$L$228</definedName>
    <definedName name="COLLECTeff.C" localSheetId="4">continental!$L$136</definedName>
    <definedName name="COLLECTeff.C">continental!$L$136</definedName>
    <definedName name="COLLECTeff.L" localSheetId="4">local!$L$83</definedName>
    <definedName name="COLLECTeff.L">local!$L$83</definedName>
    <definedName name="COLLECTeff.M" localSheetId="4">global!$L$91</definedName>
    <definedName name="COLLECTeff.M">global!$L$91</definedName>
    <definedName name="COLLECTeff.R" localSheetId="4">regional!$L$130</definedName>
    <definedName name="COLLECTeff.R">regional!$L$130</definedName>
    <definedName name="COLLECTeff.T" localSheetId="4">global!$L$365</definedName>
    <definedName name="COLLECTeff.T">global!$L$365</definedName>
    <definedName name="concentration">engine!$H$61:$AN$61</definedName>
    <definedName name="constant" localSheetId="4">#REF!</definedName>
    <definedName name="constant">#REF!</definedName>
    <definedName name="constant.6box" localSheetId="4">#REF!</definedName>
    <definedName name="constant.6box">#REF!</definedName>
    <definedName name="CORG" localSheetId="4">input!$P$168</definedName>
    <definedName name="CORG">input!$P$168</definedName>
    <definedName name="CORG.s1C" localSheetId="4">continental!$L$100</definedName>
    <definedName name="CORG.s1C">continental!$L$100</definedName>
    <definedName name="CORG.s1R" localSheetId="4">regional!$L$94</definedName>
    <definedName name="CORG.s1R">regional!$L$94</definedName>
    <definedName name="CORG.s2C" localSheetId="4">continental!$L$105</definedName>
    <definedName name="CORG.s2C">continental!$L$105</definedName>
    <definedName name="CORG.s2R" localSheetId="4">regional!$L$99</definedName>
    <definedName name="CORG.s2R">regional!$L$99</definedName>
    <definedName name="CORG.s3C" localSheetId="4">continental!$L$110</definedName>
    <definedName name="CORG.s3C">continental!$L$110</definedName>
    <definedName name="CORG.s3R" localSheetId="4">regional!$L$104</definedName>
    <definedName name="CORG.s3R">regional!$L$104</definedName>
    <definedName name="CORG.sA" localSheetId="4">global!$L$209</definedName>
    <definedName name="CORG.sA">global!$L$209</definedName>
    <definedName name="CORG.sd1C" localSheetId="4">continental!$L$92</definedName>
    <definedName name="CORG.sd1C">continental!$L$92</definedName>
    <definedName name="CORG.sd1R" localSheetId="4">regional!$L$86</definedName>
    <definedName name="CORG.sd1R">regional!$L$86</definedName>
    <definedName name="CORG.sd2C" localSheetId="4">continental!$L$95</definedName>
    <definedName name="CORG.sd2C">continental!$L$95</definedName>
    <definedName name="CORG.sd2R" localSheetId="4">regional!$L$89</definedName>
    <definedName name="CORG.sd2R">regional!$L$89</definedName>
    <definedName name="CORG.sdA" localSheetId="4">global!$L$204</definedName>
    <definedName name="CORG.sdA">global!$L$204</definedName>
    <definedName name="CORG.sdL" localSheetId="4">local!$L$57</definedName>
    <definedName name="CORG.sdL">local!$L$57</definedName>
    <definedName name="CORG.sdM" localSheetId="4">global!$L$67</definedName>
    <definedName name="CORG.sdM">global!$L$67</definedName>
    <definedName name="CORG.sdT" localSheetId="4">global!$L$341</definedName>
    <definedName name="CORG.sdT">global!$L$341</definedName>
    <definedName name="CORG.sL" localSheetId="4">local!$L$62</definedName>
    <definedName name="CORG.sL">local!$L$62</definedName>
    <definedName name="CORG.sM" localSheetId="4">global!$L$72</definedName>
    <definedName name="CORG.sM">global!$L$72</definedName>
    <definedName name="CORG.sT" localSheetId="4">global!$L$346</definedName>
    <definedName name="CORG.sT">global!$L$346</definedName>
    <definedName name="CORG.susp0C" localSheetId="4">continental!$L$74</definedName>
    <definedName name="CORG.susp0C">continental!$L$74</definedName>
    <definedName name="CORG.susp0R" localSheetId="4">regional!$L$68</definedName>
    <definedName name="CORG.susp0R">regional!$L$68</definedName>
    <definedName name="CORG.susp1C" localSheetId="4">continental!$L$80</definedName>
    <definedName name="CORG.susp1C">continental!$L$80</definedName>
    <definedName name="CORG.susp1R" localSheetId="4">regional!$L$74</definedName>
    <definedName name="CORG.susp1R">regional!$L$74</definedName>
    <definedName name="CORG.susp2A" localSheetId="4">global!$L$194</definedName>
    <definedName name="CORG.susp2A">global!$L$194</definedName>
    <definedName name="CORG.susp2C" localSheetId="4">continental!$L$86</definedName>
    <definedName name="CORG.susp2C">continental!$L$86</definedName>
    <definedName name="CORG.susp2M" localSheetId="4">global!$L$57</definedName>
    <definedName name="CORG.susp2M">global!$L$57</definedName>
    <definedName name="CORG.susp2R" localSheetId="4">regional!$L$80</definedName>
    <definedName name="CORG.susp2R">regional!$L$80</definedName>
    <definedName name="CORG.susp2T" localSheetId="4">global!$L$331</definedName>
    <definedName name="CORG.susp2T">global!$L$331</definedName>
    <definedName name="CORG.susp3A" localSheetId="4">global!$L$195</definedName>
    <definedName name="CORG.susp3A">global!$L$195</definedName>
    <definedName name="CORG.susp3M" localSheetId="4">global!$L$58</definedName>
    <definedName name="CORG.susp3M">global!$L$58</definedName>
    <definedName name="CORG.susp3T" localSheetId="4">global!$L$332</definedName>
    <definedName name="CORG.susp3T">global!$L$332</definedName>
    <definedName name="CORGaers" localSheetId="4">input!$P$167</definedName>
    <definedName name="CORGaers">input!$P$167</definedName>
    <definedName name="CORGsusp.L" localSheetId="4">local!$L$51</definedName>
    <definedName name="CORGsusp.L">local!$L$51</definedName>
    <definedName name="CORRleach.s1C" localSheetId="4">continental!$L$220</definedName>
    <definedName name="CORRleach.s1C">continental!$L$220</definedName>
    <definedName name="CORRleach.s1R" localSheetId="4">regional!$L$214</definedName>
    <definedName name="CORRleach.s1R">regional!$L$214</definedName>
    <definedName name="CORRleach.s2C" localSheetId="4">continental!$L$221</definedName>
    <definedName name="CORRleach.s2C">continental!$L$221</definedName>
    <definedName name="CORRleach.s2R" localSheetId="4">regional!$L$215</definedName>
    <definedName name="CORRleach.s2R">regional!$L$215</definedName>
    <definedName name="CORRleach.s3C" localSheetId="4">continental!$L$222</definedName>
    <definedName name="CORRleach.s3C">continental!$L$222</definedName>
    <definedName name="CORRleach.s3R" localSheetId="4">regional!$L$216</definedName>
    <definedName name="CORRleach.s3R">regional!$L$216</definedName>
    <definedName name="CORRleach.sA" localSheetId="4">global!$L$278</definedName>
    <definedName name="CORRleach.sA">global!$L$278</definedName>
    <definedName name="CORRleach.sl" localSheetId="4">local!$L$135</definedName>
    <definedName name="CORRleach.sl">local!$L$135</definedName>
    <definedName name="CORRleach.sM" localSheetId="4">global!$L$141</definedName>
    <definedName name="CORRleach.sM">global!$L$141</definedName>
    <definedName name="CORRleach.sT" localSheetId="4">global!$L$415</definedName>
    <definedName name="CORRleach.sT">global!$L$415</definedName>
    <definedName name="CORRrunoff.s1C" localSheetId="4">continental!$L$186</definedName>
    <definedName name="CORRrunoff.s1C">continental!$L$186</definedName>
    <definedName name="CORRrunoff.s1R" localSheetId="4">regional!$L$180</definedName>
    <definedName name="CORRrunoff.s1R">regional!$L$180</definedName>
    <definedName name="CORRrunoff.s2C" localSheetId="4">continental!$L$187</definedName>
    <definedName name="CORRrunoff.s2C">continental!$L$187</definedName>
    <definedName name="CORRrunoff.s2R" localSheetId="4">regional!$L$181</definedName>
    <definedName name="CORRrunoff.s2R">regional!$L$181</definedName>
    <definedName name="CORRrunoff.s3C" localSheetId="4">continental!$L$188</definedName>
    <definedName name="CORRrunoff.s3C">continental!$L$188</definedName>
    <definedName name="CORRrunoff.s3R" localSheetId="4">regional!$L$182</definedName>
    <definedName name="CORRrunoff.s3R">regional!$L$182</definedName>
    <definedName name="CORRrunoff.sA" localSheetId="4">global!$L$257</definedName>
    <definedName name="CORRrunoff.sA">global!$L$257</definedName>
    <definedName name="CORRrunoff.sL" localSheetId="4">local!$L$115</definedName>
    <definedName name="CORRrunoff.sL">local!$L$115</definedName>
    <definedName name="CORRrunoff.sM" localSheetId="4">global!$L$120</definedName>
    <definedName name="CORRrunoff.sM">global!$L$120</definedName>
    <definedName name="CORRrunoff.sT" localSheetId="4">global!$L$394</definedName>
    <definedName name="CORRrunoff.sT">global!$L$394</definedName>
    <definedName name="CORRvolat.s1C" localSheetId="4">continental!$L$149</definedName>
    <definedName name="CORRvolat.s1C">continental!$L$149</definedName>
    <definedName name="CORRvolat.s1R" localSheetId="4">regional!$L$143</definedName>
    <definedName name="CORRvolat.s1R">regional!$L$143</definedName>
    <definedName name="CORRvolat.s2C" localSheetId="4">continental!$L$150</definedName>
    <definedName name="CORRvolat.s2C">continental!$L$150</definedName>
    <definedName name="CORRvolat.s2R" localSheetId="4">regional!$L$144</definedName>
    <definedName name="CORRvolat.s2R">regional!$L$144</definedName>
    <definedName name="CORRvolat.s3C" localSheetId="4">continental!$L$151</definedName>
    <definedName name="CORRvolat.s3C">continental!$L$151</definedName>
    <definedName name="CORRvolat.s3R" localSheetId="4">regional!$L$145</definedName>
    <definedName name="CORRvolat.s3R">regional!$L$145</definedName>
    <definedName name="CORRvolat.sA" localSheetId="4">global!$L$238</definedName>
    <definedName name="CORRvolat.sA">global!$L$238</definedName>
    <definedName name="CORRvolat.sL">local!$L$90</definedName>
    <definedName name="CORRvolat.sM" localSheetId="4">global!$L$101</definedName>
    <definedName name="CORRvolat.sM">global!$L$101</definedName>
    <definedName name="CORRvolat.sT" localSheetId="4">global!$L$375</definedName>
    <definedName name="CORRvolat.sT">global!$L$375</definedName>
    <definedName name="D" localSheetId="4">input!$P$23</definedName>
    <definedName name="D">input!$P$23</definedName>
    <definedName name="Deff.sL" localSheetId="4">local!$L$95</definedName>
    <definedName name="Deff.sL">local!$L$95</definedName>
    <definedName name="Density_solids_activated_sludge" localSheetId="4">#REF!</definedName>
    <definedName name="Density_solids_activated_sludge">#REF!</definedName>
    <definedName name="Density_solids_PS" localSheetId="4">#REF!</definedName>
    <definedName name="Density_solids_PS">#REF!</definedName>
    <definedName name="Density_solids_raw_sewage" localSheetId="4">#REF!</definedName>
    <definedName name="Density_solids_raw_sewage">#REF!</definedName>
    <definedName name="Density_solids_SLS" localSheetId="4">#REF!</definedName>
    <definedName name="Density_solids_SLS">#REF!</definedName>
    <definedName name="DEPflow.aL.sL" localSheetId="4">local!$L$71</definedName>
    <definedName name="DEPflow.aL.sL">local!$L$71</definedName>
    <definedName name="DEPflow.aL.wL" localSheetId="4">local!$L$70</definedName>
    <definedName name="DEPflow.aL.wL">local!$L$70</definedName>
    <definedName name="DEPTH.s1C" localSheetId="4">continental!$L$27</definedName>
    <definedName name="DEPTH.s1C">continental!$L$27</definedName>
    <definedName name="DEPTH.s1R" localSheetId="4">regional!$L$27</definedName>
    <definedName name="DEPTH.s1R">regional!$L$27</definedName>
    <definedName name="DEPTH.s2C" localSheetId="4">continental!$L$28</definedName>
    <definedName name="DEPTH.s2C">continental!$L$28</definedName>
    <definedName name="DEPTH.s2R" localSheetId="4">regional!$L$28</definedName>
    <definedName name="DEPTH.s2R">regional!$L$28</definedName>
    <definedName name="DEPTH.s3C" localSheetId="4">continental!$L$29</definedName>
    <definedName name="DEPTH.s3C">continental!$L$29</definedName>
    <definedName name="DEPTH.s3R" localSheetId="4">regional!$L$29</definedName>
    <definedName name="DEPTH.s3R">regional!$L$29</definedName>
    <definedName name="DEPTH.sA" localSheetId="4">global!$L$161</definedName>
    <definedName name="DEPTH.sA">global!$L$161</definedName>
    <definedName name="DEPTH.sd1C" localSheetId="4">continental!$L$25</definedName>
    <definedName name="DEPTH.sd1C">continental!$L$25</definedName>
    <definedName name="DEPTH.sd1R" localSheetId="4">regional!$L$25</definedName>
    <definedName name="DEPTH.sd1R">regional!$L$25</definedName>
    <definedName name="DEPTH.sd2C" localSheetId="4">continental!$L$26</definedName>
    <definedName name="DEPTH.sd2C">continental!$L$26</definedName>
    <definedName name="DEPTH.sd2R" localSheetId="4">regional!$L$26</definedName>
    <definedName name="DEPTH.sd2R">regional!$L$26</definedName>
    <definedName name="DEPTH.sdA" localSheetId="4">global!$L$160</definedName>
    <definedName name="DEPTH.sdA">global!$L$160</definedName>
    <definedName name="DEPTH.sdL" localSheetId="4">local!$L$15</definedName>
    <definedName name="DEPTH.sdL">local!$L$15</definedName>
    <definedName name="DEPTH.sdM" localSheetId="4">global!$L$16</definedName>
    <definedName name="DEPTH.sdM">global!$L$16</definedName>
    <definedName name="DEPTH.sdT" localSheetId="4">global!$L$297</definedName>
    <definedName name="DEPTH.sdT">global!$L$297</definedName>
    <definedName name="DEPTH.sL" localSheetId="4">local!$L$16</definedName>
    <definedName name="DEPTH.sL">local!$L$16</definedName>
    <definedName name="DEPTH.sM" localSheetId="4">global!$L$17</definedName>
    <definedName name="DEPTH.sM">global!$L$17</definedName>
    <definedName name="DEPTH.sT" localSheetId="4">global!$L$298</definedName>
    <definedName name="DEPTH.sT">global!$L$298</definedName>
    <definedName name="DEPTH.w0C" localSheetId="4">continental!$L$22</definedName>
    <definedName name="DEPTH.w0C">continental!$L$22</definedName>
    <definedName name="DEPTH.w0R" localSheetId="4">regional!$L$22</definedName>
    <definedName name="DEPTH.w0R">regional!$L$22</definedName>
    <definedName name="DEPTH.w1C" localSheetId="4">continental!$L$23</definedName>
    <definedName name="DEPTH.w1C">continental!$L$23</definedName>
    <definedName name="DEPTH.w1R" localSheetId="4">regional!$L$23</definedName>
    <definedName name="DEPTH.w1R">regional!$L$23</definedName>
    <definedName name="DEPTH.w2A" localSheetId="4">global!$L$158</definedName>
    <definedName name="DEPTH.w2A">global!$L$158</definedName>
    <definedName name="DEPTH.w2C" localSheetId="4">continental!$L$24</definedName>
    <definedName name="DEPTH.w2C">continental!$L$24</definedName>
    <definedName name="DEPTH.w2M" localSheetId="4">global!$L$14</definedName>
    <definedName name="DEPTH.w2M">global!$L$14</definedName>
    <definedName name="DEPTH.w2R" localSheetId="4">regional!$L$24</definedName>
    <definedName name="DEPTH.w2R">regional!$L$24</definedName>
    <definedName name="DEPTH.w2T" localSheetId="4">global!$L$295</definedName>
    <definedName name="DEPTH.w2T">global!$L$295</definedName>
    <definedName name="DEPTH.w3A" localSheetId="4">global!$L$159</definedName>
    <definedName name="DEPTH.w3A">global!$L$159</definedName>
    <definedName name="DEPTH.w3M" localSheetId="4">global!$L$15</definedName>
    <definedName name="DEPTH.w3M">global!$L$15</definedName>
    <definedName name="DEPTH.w3T" localSheetId="4">global!$L$296</definedName>
    <definedName name="DEPTH.w3T">global!$L$296</definedName>
    <definedName name="DEPTH.wL" localSheetId="4">local!$L$14</definedName>
    <definedName name="DEPTH.wL">local!$L$14</definedName>
    <definedName name="Depth_aerator" localSheetId="4">#REF!</definedName>
    <definedName name="Depth_aerator">#REF!</definedName>
    <definedName name="Depth_PS" localSheetId="4">#REF!</definedName>
    <definedName name="Depth_PS">#REF!</definedName>
    <definedName name="Depth_SLS" localSheetId="4">#REF!</definedName>
    <definedName name="Depth_SLS">#REF!</definedName>
    <definedName name="DEPTHdrain.sL" localSheetId="4">local!$L$118</definedName>
    <definedName name="DEPTHdrain.sL">local!$L$118</definedName>
    <definedName name="DEPTHfreshwater.C" localSheetId="4">input!$P$152</definedName>
    <definedName name="DEPTHfreshwater.C">input!$P$152</definedName>
    <definedName name="DEPTHfreshwater.R" localSheetId="4">input!$P$134</definedName>
    <definedName name="DEPTHfreshwater.R">input!$P$134</definedName>
    <definedName name="DEPTHlake.C" localSheetId="4">input!$P$151</definedName>
    <definedName name="DEPTHlake.C">input!$P$151</definedName>
    <definedName name="DEPTHlake.R" localSheetId="4">input!$P$133</definedName>
    <definedName name="DEPTHlake.R">input!$P$133</definedName>
    <definedName name="DEPTHwater.L" localSheetId="4">input!$P$119</definedName>
    <definedName name="DEPTHwater.L">input!$P$119</definedName>
    <definedName name="DESORB.sd1C.w1C">continental!$L$171</definedName>
    <definedName name="DESORB.sd1R.w1R">regional!$L$165</definedName>
    <definedName name="DESORB.sd2C.w2C">continental!$L$173</definedName>
    <definedName name="DESORB.sd2R.w2R">regional!$L$167</definedName>
    <definedName name="DESORB.sdA.w3A">global!$L$250</definedName>
    <definedName name="DESORB.sdL.wL" localSheetId="4">local!$L$109</definedName>
    <definedName name="DESORB.sdL.wL">local!$L$109</definedName>
    <definedName name="DESORB.sdM.w3M">global!$L$113</definedName>
    <definedName name="DESORB.sdT.w3T">global!$L$387</definedName>
    <definedName name="DIFFgas" localSheetId="4">input!$P$165</definedName>
    <definedName name="DIFFgas">input!$P$165</definedName>
    <definedName name="DIFFwater" localSheetId="4">input!$P$166</definedName>
    <definedName name="DIFFwater">input!$P$166</definedName>
    <definedName name="DistributionRecords" localSheetId="1">RiskSerializationData8!$10:$12</definedName>
    <definedName name="DO2_" localSheetId="4">#REF!</definedName>
    <definedName name="DO2_">#REF!</definedName>
    <definedName name="Dow" localSheetId="4">#REF!</definedName>
    <definedName name="Dow">#REF!</definedName>
    <definedName name="DRYDEPaerosol.A" localSheetId="4">global!$L$223</definedName>
    <definedName name="DRYDEPaerosol.A">global!$L$223</definedName>
    <definedName name="DRYDEPaerosol.C" localSheetId="4">continental!$L$132</definedName>
    <definedName name="DRYDEPaerosol.C">continental!$L$132</definedName>
    <definedName name="DRYDEPaerosol.L" localSheetId="4">local!$L$78</definedName>
    <definedName name="DRYDEPaerosol.L">local!$L$78</definedName>
    <definedName name="DRYDEPaerosol.M" localSheetId="4">global!$L$86</definedName>
    <definedName name="DRYDEPaerosol.M">global!$L$86</definedName>
    <definedName name="DRYDEPaerosol.R" localSheetId="4">regional!$L$126</definedName>
    <definedName name="DRYDEPaerosol.R">regional!$L$126</definedName>
    <definedName name="DRYDEPaerosol.T" localSheetId="4">global!$L$360</definedName>
    <definedName name="DRYDEPaerosol.T">global!$L$360</definedName>
    <definedName name="E.aA" localSheetId="4">input!$P$104</definedName>
    <definedName name="E.aA">input!$P$104</definedName>
    <definedName name="E.aC" localSheetId="4">input!$P$92</definedName>
    <definedName name="E.aC">input!$P$92</definedName>
    <definedName name="E.air" localSheetId="4">#REF!</definedName>
    <definedName name="E.air">#REF!</definedName>
    <definedName name="E.aL" localSheetId="4">input!$P$80</definedName>
    <definedName name="E.aL">input!$P$80</definedName>
    <definedName name="E.aM" localSheetId="4">input!$P$100</definedName>
    <definedName name="E.aM">input!$P$100</definedName>
    <definedName name="E.aR" localSheetId="4">input!$P$84</definedName>
    <definedName name="E.aR">input!$P$84</definedName>
    <definedName name="E.aT" localSheetId="4">input!$P$108</definedName>
    <definedName name="E.aT">input!$P$108</definedName>
    <definedName name="E.overall" localSheetId="4">#REF!</definedName>
    <definedName name="E.overall">#REF!</definedName>
    <definedName name="E.s1C" localSheetId="4">input!$P$96</definedName>
    <definedName name="E.s1C">input!$P$96</definedName>
    <definedName name="E.s1R" localSheetId="4">input!$P$88</definedName>
    <definedName name="E.s1R">input!$P$88</definedName>
    <definedName name="E.s2C" localSheetId="4">input!$P$97</definedName>
    <definedName name="E.s2C">input!$P$97</definedName>
    <definedName name="E.s2R" localSheetId="4">input!$P$89</definedName>
    <definedName name="E.s2R">input!$P$89</definedName>
    <definedName name="E.s3C" localSheetId="4">input!$P$98</definedName>
    <definedName name="E.s3C">input!$P$98</definedName>
    <definedName name="E.s3R" localSheetId="4">input!$P$90</definedName>
    <definedName name="E.s3R">input!$P$90</definedName>
    <definedName name="E.sA" localSheetId="4">input!$P$106</definedName>
    <definedName name="E.sA">input!$P$106</definedName>
    <definedName name="E.sL" localSheetId="4">input!$P$82</definedName>
    <definedName name="E.sL">input!$P$82</definedName>
    <definedName name="E.sM" localSheetId="4">input!$P$102</definedName>
    <definedName name="E.sM">input!$P$102</definedName>
    <definedName name="E.soil" localSheetId="4">#REF!</definedName>
    <definedName name="E.soil">#REF!</definedName>
    <definedName name="E.sT" localSheetId="4">input!$P$110</definedName>
    <definedName name="E.sT">input!$P$110</definedName>
    <definedName name="E.stp" localSheetId="4">#REF!</definedName>
    <definedName name="E.stp">#REF!</definedName>
    <definedName name="E.w0C">input!$P$93</definedName>
    <definedName name="E.w0R" localSheetId="4">input!$P$85</definedName>
    <definedName name="E.w0R">input!$P$85</definedName>
    <definedName name="E.w1C" localSheetId="4">input!$P$94</definedName>
    <definedName name="E.w1C">input!$P$94</definedName>
    <definedName name="E.w1R" localSheetId="4">input!$P$86</definedName>
    <definedName name="E.w1R">input!$P$86</definedName>
    <definedName name="E.w2A" localSheetId="4">input!$P$105</definedName>
    <definedName name="E.w2A">input!$P$105</definedName>
    <definedName name="E.w2C" localSheetId="4">input!$P$95</definedName>
    <definedName name="E.w2C">input!$P$95</definedName>
    <definedName name="E.w2M" localSheetId="4">input!$P$101</definedName>
    <definedName name="E.w2M">input!$P$101</definedName>
    <definedName name="E.w2R" localSheetId="4">input!$P$87</definedName>
    <definedName name="E.w2R">input!$P$87</definedName>
    <definedName name="E.w2T" localSheetId="4">input!$P$109</definedName>
    <definedName name="E.w2T">input!$P$109</definedName>
    <definedName name="E.water" localSheetId="4">#REF!</definedName>
    <definedName name="E.water">#REF!</definedName>
    <definedName name="E.wL" localSheetId="4">input!$P$81</definedName>
    <definedName name="E.wL">input!$P$81</definedName>
    <definedName name="Ea.OHrad" localSheetId="4">input!$P$69</definedName>
    <definedName name="Ea.OHrad">input!$P$69</definedName>
    <definedName name="emis" localSheetId="4">engine!$D$5:$AN$5</definedName>
    <definedName name="emis">engine!$D$5:$AN$5</definedName>
    <definedName name="emis.I">dynamicR!$K$6:$AQ$6</definedName>
    <definedName name="emis.II">dynamicR!$K$7:$AQ$7</definedName>
    <definedName name="Emis.tot" localSheetId="4">engine!$C$106</definedName>
    <definedName name="Emis.tot">engine!$C$106</definedName>
    <definedName name="Emission_rate_chemical" localSheetId="4">#REF!</definedName>
    <definedName name="Emission_rate_chemical">#REF!</definedName>
    <definedName name="ERC_code">[1]Descriptors!$D$271:$D$295</definedName>
    <definedName name="EROSION.C" localSheetId="4">input!$P$156</definedName>
    <definedName name="EROSION.C">input!$P$156</definedName>
    <definedName name="EROSION.R" localSheetId="4">input!$P$138</definedName>
    <definedName name="EROSION.R">input!$P$138</definedName>
    <definedName name="EROSION.s1C" localSheetId="4">continental!$L$180</definedName>
    <definedName name="EROSION.s1C">continental!$L$180</definedName>
    <definedName name="EROSION.s1R" localSheetId="4">regional!$L$174</definedName>
    <definedName name="EROSION.s1R">regional!$L$174</definedName>
    <definedName name="EROSION.s2C" localSheetId="4">continental!$L$181</definedName>
    <definedName name="EROSION.s2C">continental!$L$181</definedName>
    <definedName name="EROSION.s2R" localSheetId="4">regional!$L$175</definedName>
    <definedName name="EROSION.s2R">regional!$L$175</definedName>
    <definedName name="EROSION.s3C" localSheetId="4">continental!$L$182</definedName>
    <definedName name="EROSION.s3C">continental!$L$182</definedName>
    <definedName name="EROSION.s3R" localSheetId="4">regional!$L$176</definedName>
    <definedName name="EROSION.s3R">regional!$L$176</definedName>
    <definedName name="EROSION.sA" localSheetId="4">global!$L$255</definedName>
    <definedName name="EROSION.sA">global!$L$255</definedName>
    <definedName name="EROSION.sL" localSheetId="4">local!$L$116</definedName>
    <definedName name="EROSION.sL">local!$L$116</definedName>
    <definedName name="EROSION.sM" localSheetId="4">global!$L$118</definedName>
    <definedName name="EROSION.sM">global!$L$118</definedName>
    <definedName name="EROSION.sT" localSheetId="4">global!$L$392</definedName>
    <definedName name="EROSION.sT">global!$L$392</definedName>
    <definedName name="EUexp" localSheetId="4">#REF!</definedName>
    <definedName name="EUexp">#REF!</definedName>
    <definedName name="EUimp" localSheetId="4">#REF!</definedName>
    <definedName name="EUimp">#REF!</definedName>
    <definedName name="EUmanuf" localSheetId="4">#REF!</definedName>
    <definedName name="EUmanuf">#REF!</definedName>
    <definedName name="EUtonnage" localSheetId="4">#REF!</definedName>
    <definedName name="EUtonnage">#REF!</definedName>
    <definedName name="F.aA" localSheetId="4">engine!$AE$62</definedName>
    <definedName name="F.aA">engine!$AE$62</definedName>
    <definedName name="F.aC" localSheetId="4">engine!$Q$62</definedName>
    <definedName name="F.aC">engine!$Q$62</definedName>
    <definedName name="F.aM" localSheetId="4">engine!$Z$62</definedName>
    <definedName name="F.aM">engine!$Z$62</definedName>
    <definedName name="F.aR" localSheetId="4">engine!$H$62</definedName>
    <definedName name="F.aR">engine!$H$62</definedName>
    <definedName name="F.aT" localSheetId="4">engine!$AJ$62</definedName>
    <definedName name="F.aT">engine!$AJ$62</definedName>
    <definedName name="F.s1C" localSheetId="4">engine!$W$62</definedName>
    <definedName name="F.s1C">engine!$W$62</definedName>
    <definedName name="F.s1R" localSheetId="4">engine!$N$62</definedName>
    <definedName name="F.s1R">engine!$N$62</definedName>
    <definedName name="F.s2C" localSheetId="4">engine!$X$62</definedName>
    <definedName name="F.s2C">engine!$X$62</definedName>
    <definedName name="F.s2R" localSheetId="4">engine!$O$62</definedName>
    <definedName name="F.s2R">engine!$O$62</definedName>
    <definedName name="F.s3C" localSheetId="4">engine!$Y$62</definedName>
    <definedName name="F.s3C">engine!$Y$62</definedName>
    <definedName name="F.s3R" localSheetId="4">engine!$P$62</definedName>
    <definedName name="F.s3R">engine!$P$62</definedName>
    <definedName name="F.sA" localSheetId="4">engine!$AI$62</definedName>
    <definedName name="F.sA">engine!$AI$62</definedName>
    <definedName name="F.sd1C" localSheetId="4">engine!$U$62</definedName>
    <definedName name="F.sd1C">engine!$U$62</definedName>
    <definedName name="F.sd1R" localSheetId="4">engine!$L$62</definedName>
    <definedName name="F.sd1R">engine!$L$62</definedName>
    <definedName name="F.sd2C" localSheetId="4">engine!$V$62</definedName>
    <definedName name="F.sd2C">engine!$V$62</definedName>
    <definedName name="F.sd2R" localSheetId="4">engine!$M$62</definedName>
    <definedName name="F.sd2R">engine!$M$62</definedName>
    <definedName name="F.sdA" localSheetId="4">engine!$AH$62</definedName>
    <definedName name="F.sdA">engine!$AH$62</definedName>
    <definedName name="F.sdM" localSheetId="4">engine!$AC$62</definedName>
    <definedName name="F.sdM">engine!$AC$62</definedName>
    <definedName name="F.sdT" localSheetId="4">engine!$AM$62</definedName>
    <definedName name="F.sdT">engine!$AM$62</definedName>
    <definedName name="F.sM" localSheetId="4">engine!$AD$62</definedName>
    <definedName name="F.sM">engine!$AD$62</definedName>
    <definedName name="F.sT" localSheetId="4">engine!$AN$62</definedName>
    <definedName name="F.sT">engine!$AN$62</definedName>
    <definedName name="F.w0C" localSheetId="4">engine!$R$62</definedName>
    <definedName name="F.w0C">engine!$R$62</definedName>
    <definedName name="F.w0R" localSheetId="4">engine!$I$62</definedName>
    <definedName name="F.w0R">engine!$I$62</definedName>
    <definedName name="F.w1C" localSheetId="4">engine!$S$62</definedName>
    <definedName name="F.w1C">engine!$S$62</definedName>
    <definedName name="F.w1R" localSheetId="4">engine!$J$62</definedName>
    <definedName name="F.w1R">engine!$J$62</definedName>
    <definedName name="F.w2A" localSheetId="4">engine!$AF$62</definedName>
    <definedName name="F.w2A">engine!$AF$62</definedName>
    <definedName name="F.w2C" localSheetId="4">engine!$T$62</definedName>
    <definedName name="F.w2C">engine!$T$62</definedName>
    <definedName name="F.w2M" localSheetId="4">engine!$AA$62</definedName>
    <definedName name="F.w2M">engine!$AA$62</definedName>
    <definedName name="F.w2R" localSheetId="4">engine!$K$62</definedName>
    <definedName name="F.w2R">engine!$K$62</definedName>
    <definedName name="F.w2T" localSheetId="4">engine!$AK$62</definedName>
    <definedName name="F.w2T">engine!$AK$62</definedName>
    <definedName name="F.w3A" localSheetId="4">engine!$AG$62</definedName>
    <definedName name="F.w3A">engine!$AG$62</definedName>
    <definedName name="F.w3M" localSheetId="4">engine!$AB$62</definedName>
    <definedName name="F.w3M">engine!$AB$62</definedName>
    <definedName name="F.w3T" localSheetId="4">engine!$AL$62</definedName>
    <definedName name="F.w3T">engine!$AL$62</definedName>
    <definedName name="F_Blackburn" localSheetId="4">#REF!</definedName>
    <definedName name="F_Blackburn">#REF!</definedName>
    <definedName name="F_Blackburn.6box" localSheetId="4">#REF!</definedName>
    <definedName name="F_Blackburn.6box">#REF!</definedName>
    <definedName name="F_BOD_removal" localSheetId="4">#REF!</definedName>
    <definedName name="F_BOD_removal">#REF!</definedName>
    <definedName name="F_Hsieh" localSheetId="4">#REF!</definedName>
    <definedName name="F_Hsieh">#REF!</definedName>
    <definedName name="F_Hsieh.6box" localSheetId="4">#REF!</definedName>
    <definedName name="F_Hsieh.6box">#REF!</definedName>
    <definedName name="FB" localSheetId="4">#REF!</definedName>
    <definedName name="FB">#REF!</definedName>
    <definedName name="FRAC.w1C.w1R" localSheetId="4">input!$P$153</definedName>
    <definedName name="FRAC.w1C.w1R">input!$P$153</definedName>
    <definedName name="FRAC.w1R.w1C" localSheetId="4">input!$P$135</definedName>
    <definedName name="FRAC.w1R.w1C">input!$P$135</definedName>
    <definedName name="FRAC.wL.w1R" localSheetId="4">local!$L$37</definedName>
    <definedName name="FRAC.wL.w1R">local!$L$37</definedName>
    <definedName name="FRACa.s1C" localSheetId="4">continental!$L$32</definedName>
    <definedName name="FRACa.s1C">continental!$L$32</definedName>
    <definedName name="FRACa.s1R" localSheetId="4">regional!$L$32</definedName>
    <definedName name="FRACa.s1R">regional!$L$32</definedName>
    <definedName name="FRACa.s2C" localSheetId="4">continental!$L$35</definedName>
    <definedName name="FRACa.s2C">continental!$L$35</definedName>
    <definedName name="FRACa.s2R" localSheetId="4">regional!$L$35</definedName>
    <definedName name="FRACa.s2R">regional!$L$35</definedName>
    <definedName name="FRACa.s3C" localSheetId="4">continental!$L$38</definedName>
    <definedName name="FRACa.s3C">continental!$L$38</definedName>
    <definedName name="FRACa.s3R" localSheetId="4">regional!$L$38</definedName>
    <definedName name="FRACa.s3R">regional!$L$38</definedName>
    <definedName name="FRACa.sA" localSheetId="4">global!$L$164</definedName>
    <definedName name="FRACa.sA">global!$L$164</definedName>
    <definedName name="FRACa.sL" localSheetId="4">local!$L$19</definedName>
    <definedName name="FRACa.sL">local!$L$19</definedName>
    <definedName name="FRACa.sM" localSheetId="4">global!$L$20</definedName>
    <definedName name="FRACa.sM">global!$L$20</definedName>
    <definedName name="FRACa.sT" localSheetId="4">global!$L$301</definedName>
    <definedName name="FRACa.sT">global!$L$301</definedName>
    <definedName name="FRACaers.aA" localSheetId="4">global!$L$162</definedName>
    <definedName name="FRACaers.aA">global!$L$162</definedName>
    <definedName name="FRACaers.aC" localSheetId="4">continental!$L$30</definedName>
    <definedName name="FRACaers.aC">continental!$L$30</definedName>
    <definedName name="FRACaers.aL" localSheetId="4">local!$L$17</definedName>
    <definedName name="FRACaers.aL">local!$L$17</definedName>
    <definedName name="FRACaers.aM" localSheetId="4">global!$L$18</definedName>
    <definedName name="FRACaers.aM">global!$L$18</definedName>
    <definedName name="FRACaers.aR" localSheetId="4">regional!$L$30</definedName>
    <definedName name="FRACaers.aR">regional!$L$30</definedName>
    <definedName name="FRACaers.aT" localSheetId="4">global!$L$299</definedName>
    <definedName name="FRACaers.aT">global!$L$299</definedName>
    <definedName name="FRACaerw.aA" localSheetId="4">global!$L$163</definedName>
    <definedName name="FRACaerw.aA">global!$L$163</definedName>
    <definedName name="FRACaerw.aC" localSheetId="4">continental!$L$31</definedName>
    <definedName name="FRACaerw.aC">continental!$L$31</definedName>
    <definedName name="FRACaerw.aL" localSheetId="4">local!$L$18</definedName>
    <definedName name="FRACaerw.aL">local!$L$18</definedName>
    <definedName name="FRACaerw.aM" localSheetId="4">global!$L$19</definedName>
    <definedName name="FRACaerw.aM">global!$L$19</definedName>
    <definedName name="FRACaerw.aR" localSheetId="4">regional!$L$31</definedName>
    <definedName name="FRACaerw.aR">regional!$L$31</definedName>
    <definedName name="FRACaerw.aT" localSheetId="4">global!$L$300</definedName>
    <definedName name="FRACaerw.aT">global!$L$300</definedName>
    <definedName name="FRACagsoil.C" localSheetId="4">input!$P$146</definedName>
    <definedName name="FRACagsoil.C">input!$P$146</definedName>
    <definedName name="FRACagsoil.R" localSheetId="4">input!$P$128</definedName>
    <definedName name="FRACagsoil.R">input!$P$128</definedName>
    <definedName name="FRACfresh.C" localSheetId="4">input!$P$144</definedName>
    <definedName name="FRACfresh.C">input!$P$144</definedName>
    <definedName name="FRACfresh.R" localSheetId="4">input!$P$126</definedName>
    <definedName name="FRACfresh.R">input!$P$126</definedName>
    <definedName name="FRACinf.C" localSheetId="4">input!$P$154</definedName>
    <definedName name="FRACinf.C">input!$P$154</definedName>
    <definedName name="FRACinf.R" localSheetId="4">input!$P$137</definedName>
    <definedName name="FRACinf.R">input!$P$137</definedName>
    <definedName name="FRACinf.s1C" localSheetId="4">continental!$L$217</definedName>
    <definedName name="FRACinf.s1C">continental!$L$217</definedName>
    <definedName name="FRACinf.s1R" localSheetId="4">regional!$L$211</definedName>
    <definedName name="FRACinf.s1R">regional!$L$211</definedName>
    <definedName name="FRACinf.s2C" localSheetId="4">continental!$L$218</definedName>
    <definedName name="FRACinf.s2C">continental!$L$218</definedName>
    <definedName name="FRACinf.s2L" localSheetId="4">local!$L$136</definedName>
    <definedName name="FRACinf.s2L">local!$L$136</definedName>
    <definedName name="FRACinf.s2R" localSheetId="4">regional!$L$212</definedName>
    <definedName name="FRACinf.s2R">regional!$L$212</definedName>
    <definedName name="FRACinf.s3C" localSheetId="4">continental!$L$219</definedName>
    <definedName name="FRACinf.s3C">continental!$L$219</definedName>
    <definedName name="FRACinf.s3R" localSheetId="4">regional!$L$213</definedName>
    <definedName name="FRACinf.s3R">regional!$L$213</definedName>
    <definedName name="FRACinf.sA" localSheetId="4">global!$L$277</definedName>
    <definedName name="FRACinf.sA">global!$L$277</definedName>
    <definedName name="FRACinf.sL" localSheetId="4">local!$L$136</definedName>
    <definedName name="FRACinf.sL">local!$L$136</definedName>
    <definedName name="FRACinf.sM" localSheetId="4">global!$L$140</definedName>
    <definedName name="FRACinf.sM">global!$L$140</definedName>
    <definedName name="FRACinf.sT" localSheetId="4">global!$L$414</definedName>
    <definedName name="FRACinf.sT">global!$L$414</definedName>
    <definedName name="FRAClake.C" localSheetId="4">input!$P$143</definedName>
    <definedName name="FRAClake.C">input!$P$143</definedName>
    <definedName name="FRAClake.R" localSheetId="4">input!$P$125</definedName>
    <definedName name="FRAClake.R">input!$P$125</definedName>
    <definedName name="FRACnatsoil.C" localSheetId="4">input!$P$145</definedName>
    <definedName name="FRACnatsoil.C">input!$P$145</definedName>
    <definedName name="FRACnatsoil.R" localSheetId="4">input!$P$127</definedName>
    <definedName name="FRACnatsoil.R">input!$P$127</definedName>
    <definedName name="FRACothersoil.C" localSheetId="4">input!$P$147</definedName>
    <definedName name="FRACothersoil.C">input!$P$147</definedName>
    <definedName name="FRACothersoil.R" localSheetId="4">input!$P$129</definedName>
    <definedName name="FRACothersoil.R">input!$P$129</definedName>
    <definedName name="FRACrun.C" localSheetId="4">input!$P$155</definedName>
    <definedName name="FRACrun.C">input!$P$155</definedName>
    <definedName name="FRACrun.L" localSheetId="4">input!$P$120</definedName>
    <definedName name="FRACrun.L">input!$P$120</definedName>
    <definedName name="FRACrun.R" localSheetId="4">input!$P$136</definedName>
    <definedName name="FRACrun.R">input!$P$136</definedName>
    <definedName name="FRACrun.s1C" localSheetId="4">continental!$L$183</definedName>
    <definedName name="FRACrun.s1C">continental!$L$183</definedName>
    <definedName name="FRACrun.s1R" localSheetId="4">regional!$L$177</definedName>
    <definedName name="FRACrun.s1R">regional!$L$177</definedName>
    <definedName name="FRACrun.s2C" localSheetId="4">continental!$L$184</definedName>
    <definedName name="FRACrun.s2C">continental!$L$184</definedName>
    <definedName name="FRACrun.s2R" localSheetId="4">regional!$L$178</definedName>
    <definedName name="FRACrun.s2R">regional!$L$178</definedName>
    <definedName name="FRACrun.s3C" localSheetId="4">continental!$L$185</definedName>
    <definedName name="FRACrun.s3C">continental!$L$185</definedName>
    <definedName name="FRACrun.s3R" localSheetId="4">regional!$L$179</definedName>
    <definedName name="FRACrun.s3R">regional!$L$179</definedName>
    <definedName name="FRACrun.sA" localSheetId="4">global!$L$256</definedName>
    <definedName name="FRACrun.sA">global!$L$256</definedName>
    <definedName name="FRACrun.sL" localSheetId="4">local!$L$117</definedName>
    <definedName name="FRACrun.sL">local!$L$117</definedName>
    <definedName name="FRACrun.sM" localSheetId="4">global!$L$119</definedName>
    <definedName name="FRACrun.sM">global!$L$119</definedName>
    <definedName name="FRACrun.sT" localSheetId="4">global!$L$393</definedName>
    <definedName name="FRACrun.sT">global!$L$393</definedName>
    <definedName name="FRACs.s1C" localSheetId="4">continental!$L$34</definedName>
    <definedName name="FRACs.s1C">continental!$L$34</definedName>
    <definedName name="FRACs.s1R" localSheetId="4">regional!$L$34</definedName>
    <definedName name="FRACs.s1R">regional!$L$34</definedName>
    <definedName name="FRACs.s2C" localSheetId="4">continental!$L$37</definedName>
    <definedName name="FRACs.s2C">continental!$L$37</definedName>
    <definedName name="FRACs.s2R" localSheetId="4">regional!$L$37</definedName>
    <definedName name="FRACs.s2R">regional!$L$37</definedName>
    <definedName name="FRACs.s3C" localSheetId="4">continental!$L$40</definedName>
    <definedName name="FRACs.s3C">continental!$L$40</definedName>
    <definedName name="FRACs.s3R" localSheetId="4">regional!$L$40</definedName>
    <definedName name="FRACs.s3R">regional!$L$40</definedName>
    <definedName name="FRACs.sA" localSheetId="4">global!$L$166</definedName>
    <definedName name="FRACs.sA">global!$L$166</definedName>
    <definedName name="FRACs.sdA" localSheetId="4">global!$L$168</definedName>
    <definedName name="FRACs.sdA">global!$L$168</definedName>
    <definedName name="FRACs.sdC" localSheetId="4">continental!$L$42</definedName>
    <definedName name="FRACs.sdC">continental!$L$42</definedName>
    <definedName name="FRACs.sdL" localSheetId="4">local!$L$21</definedName>
    <definedName name="FRACs.sdL">local!$L$21</definedName>
    <definedName name="FRACs.sdM" localSheetId="4">global!$L$24</definedName>
    <definedName name="FRACs.sdM">global!$L$24</definedName>
    <definedName name="FRACs.sdR" localSheetId="4">regional!$L$42</definedName>
    <definedName name="FRACs.sdR">regional!$L$42</definedName>
    <definedName name="FRACs.sdT" localSheetId="4">global!$L$305</definedName>
    <definedName name="FRACs.sdT">global!$L$305</definedName>
    <definedName name="FRACs.sL" localSheetId="4">local!$L$23</definedName>
    <definedName name="FRACs.sL">local!$L$23</definedName>
    <definedName name="FRACs.sM" localSheetId="4">global!$L$22</definedName>
    <definedName name="FRACs.sM">global!$L$22</definedName>
    <definedName name="FRACs.sT" localSheetId="4">global!$L$303</definedName>
    <definedName name="FRACs.sT">global!$L$303</definedName>
    <definedName name="FRACsoil.L" localSheetId="4">input!$P$117</definedName>
    <definedName name="FRACsoil.L">input!$P$117</definedName>
    <definedName name="Fraction_neutral" localSheetId="4">#REF!</definedName>
    <definedName name="Fraction_neutral">#REF!</definedName>
    <definedName name="Fraction_oc_activated_sludge" localSheetId="4">#REF!</definedName>
    <definedName name="Fraction_oc_activated_sludge">#REF!</definedName>
    <definedName name="Fraction_oc_raw_sewage" localSheetId="4">#REF!</definedName>
    <definedName name="Fraction_oc_raw_sewage">#REF!</definedName>
    <definedName name="FRACw.s1C" localSheetId="4">continental!$L$33</definedName>
    <definedName name="FRACw.s1C">continental!$L$33</definedName>
    <definedName name="FRACw.s1R" localSheetId="4">regional!$L$33</definedName>
    <definedName name="FRACw.s1R">regional!$L$33</definedName>
    <definedName name="FRACw.s2C" localSheetId="4">continental!$L$36</definedName>
    <definedName name="FRACw.s2C">continental!$L$36</definedName>
    <definedName name="FRACw.s2R" localSheetId="4">regional!$L$36</definedName>
    <definedName name="FRACw.s2R">regional!$L$36</definedName>
    <definedName name="FRACw.s3C" localSheetId="4">continental!$L$39</definedName>
    <definedName name="FRACw.s3C">continental!$L$39</definedName>
    <definedName name="FRACw.s3R" localSheetId="4">regional!$L$39</definedName>
    <definedName name="FRACw.s3R">regional!$L$39</definedName>
    <definedName name="FRACw.sA" localSheetId="4">global!$L$165</definedName>
    <definedName name="FRACw.sA">global!$L$165</definedName>
    <definedName name="FRACw.sdA" localSheetId="4">global!$L$167</definedName>
    <definedName name="FRACw.sdA">global!$L$167</definedName>
    <definedName name="FRACw.sdC" localSheetId="4">continental!$L$41</definedName>
    <definedName name="FRACw.sdC">continental!$L$41</definedName>
    <definedName name="FRACw.sdL" localSheetId="4">local!$L$20</definedName>
    <definedName name="FRACw.sdL">local!$L$20</definedName>
    <definedName name="FRACw.sdM" localSheetId="4">global!$L$23</definedName>
    <definedName name="FRACw.sdM">global!$L$23</definedName>
    <definedName name="FRACw.sdR" localSheetId="4">regional!$L$41</definedName>
    <definedName name="FRACw.sdR">regional!$L$41</definedName>
    <definedName name="FRACw.sdT" localSheetId="4">global!$L$304</definedName>
    <definedName name="FRACw.sdT">global!$L$304</definedName>
    <definedName name="FRACw.sL" localSheetId="4">local!$L$22</definedName>
    <definedName name="FRACw.sL">local!$L$22</definedName>
    <definedName name="FRACw.sM" localSheetId="4">global!$L$21</definedName>
    <definedName name="FRACw.sM">global!$L$21</definedName>
    <definedName name="FRACw.sT" localSheetId="4">global!$L$302</definedName>
    <definedName name="FRACw.sT">global!$L$302</definedName>
    <definedName name="FRACwater.L" localSheetId="4">input!$P$116</definedName>
    <definedName name="FRACwater.L">input!$P$116</definedName>
    <definedName name="FRaers.aA" localSheetId="4">global!$L$185</definedName>
    <definedName name="FRaers.aA">global!$L$185</definedName>
    <definedName name="FRaers.aC" localSheetId="4">continental!$L$68</definedName>
    <definedName name="FRaers.aC">continental!$L$68</definedName>
    <definedName name="FRaers.aL" localSheetId="4">local!$L$43</definedName>
    <definedName name="FRaers.aL">local!$L$43</definedName>
    <definedName name="FRaers.aM" localSheetId="4">global!$L$48</definedName>
    <definedName name="FRaers.aM">global!$L$48</definedName>
    <definedName name="FRaers.aR" localSheetId="4">regional!$L$62</definedName>
    <definedName name="FRaers.aR">regional!$L$62</definedName>
    <definedName name="FRaers.aT" localSheetId="4">global!$L$322</definedName>
    <definedName name="FRaers.aT">global!$L$322</definedName>
    <definedName name="FRaerw.aA" localSheetId="4">global!$L$184</definedName>
    <definedName name="FRaerw.aA">global!$L$184</definedName>
    <definedName name="FRaerw.aC" localSheetId="4">continental!$L$67</definedName>
    <definedName name="FRaerw.aC">continental!$L$67</definedName>
    <definedName name="FRaerw.aL" localSheetId="4">local!$L$42</definedName>
    <definedName name="FRaerw.aL">local!$L$42</definedName>
    <definedName name="FRaerw.aM" localSheetId="4">global!$L$47</definedName>
    <definedName name="FRaerw.aM">global!$L$47</definedName>
    <definedName name="FRaerw.aR" localSheetId="4">regional!$L$61</definedName>
    <definedName name="FRaerw.aR">regional!$L$61</definedName>
    <definedName name="FRaerw.aT" localSheetId="4">global!$L$321</definedName>
    <definedName name="FRaerw.aT">global!$L$321</definedName>
    <definedName name="FRair.1" localSheetId="4">#REF!</definedName>
    <definedName name="FRair.1">#REF!</definedName>
    <definedName name="FRair.10" localSheetId="4">#REF!</definedName>
    <definedName name="FRair.10">#REF!</definedName>
    <definedName name="FRair.11" localSheetId="4">#REF!</definedName>
    <definedName name="FRair.11">#REF!</definedName>
    <definedName name="FRair.12" localSheetId="4">#REF!</definedName>
    <definedName name="FRair.12">#REF!</definedName>
    <definedName name="FRair.2" localSheetId="4">#REF!</definedName>
    <definedName name="FRair.2">#REF!</definedName>
    <definedName name="FRair.3" localSheetId="4">#REF!</definedName>
    <definedName name="FRair.3">#REF!</definedName>
    <definedName name="FRair.4" localSheetId="4">#REF!</definedName>
    <definedName name="FRair.4">#REF!</definedName>
    <definedName name="FRair.5" localSheetId="4">#REF!</definedName>
    <definedName name="FRair.5">#REF!</definedName>
    <definedName name="FRair.6" localSheetId="4">#REF!</definedName>
    <definedName name="FRair.6">#REF!</definedName>
    <definedName name="FRair.7" localSheetId="4">#REF!</definedName>
    <definedName name="FRair.7">#REF!</definedName>
    <definedName name="FRair.8" localSheetId="4">#REF!</definedName>
    <definedName name="FRair.8">#REF!</definedName>
    <definedName name="FRair.9" localSheetId="4">#REF!</definedName>
    <definedName name="FRair.9">#REF!</definedName>
    <definedName name="FrEUmanuf" localSheetId="4">#REF!</definedName>
    <definedName name="FrEUmanuf">#REF!</definedName>
    <definedName name="FRgas.aA" localSheetId="4">global!$L$183</definedName>
    <definedName name="FRgas.aA">global!$L$183</definedName>
    <definedName name="FRgas.aC" localSheetId="4">continental!$L$66</definedName>
    <definedName name="FRgas.aC">continental!$L$66</definedName>
    <definedName name="FRgas.aL" localSheetId="4">local!$L$41</definedName>
    <definedName name="FRgas.aL">local!$L$41</definedName>
    <definedName name="FRgas.aM" localSheetId="4">global!$L$46</definedName>
    <definedName name="FRgas.aM">global!$L$46</definedName>
    <definedName name="FRgas.aR" localSheetId="4">regional!$L$60</definedName>
    <definedName name="FRgas.aR">regional!$L$60</definedName>
    <definedName name="FRgas.aT" localSheetId="4">global!$L$320</definedName>
    <definedName name="FRgas.aT">global!$L$320</definedName>
    <definedName name="FRorig.aerw" localSheetId="4">input!$P$24</definedName>
    <definedName name="FRorig.aerw">input!$P$24</definedName>
    <definedName name="FRorig.s1" localSheetId="4">input!$P$29</definedName>
    <definedName name="FRorig.s1">input!$P$29</definedName>
    <definedName name="FRorig.s1w" localSheetId="4">input!$P$30</definedName>
    <definedName name="FRorig.s1w">input!$P$30</definedName>
    <definedName name="FRorig.s2" localSheetId="4">input!$P$31</definedName>
    <definedName name="FRorig.s2">input!$P$31</definedName>
    <definedName name="FRorig.s2w" localSheetId="4">input!$P$32</definedName>
    <definedName name="FRorig.s2w">input!$P$32</definedName>
    <definedName name="FRorig.s3" localSheetId="4">input!$P$33</definedName>
    <definedName name="FRorig.s3">input!$P$33</definedName>
    <definedName name="FRorig.s3w" localSheetId="4">input!$P$34</definedName>
    <definedName name="FRorig.s3w">input!$P$34</definedName>
    <definedName name="FRorig.sd1" localSheetId="4">input!$P$26</definedName>
    <definedName name="FRorig.sd1">input!$P$26</definedName>
    <definedName name="FRorig.sd2" localSheetId="4">input!$P$28</definedName>
    <definedName name="FRorig.sd2">input!$P$28</definedName>
    <definedName name="FRorig.w1" localSheetId="4">input!$P$25</definedName>
    <definedName name="FRorig.w1">input!$P$25</definedName>
    <definedName name="FRorig.w2" localSheetId="4">input!$P$27</definedName>
    <definedName name="FRorig.w2">input!$P$27</definedName>
    <definedName name="FRother.1" localSheetId="4">#REF!</definedName>
    <definedName name="FRother.1">#REF!</definedName>
    <definedName name="FRother.10" localSheetId="4">#REF!</definedName>
    <definedName name="FRother.10">#REF!</definedName>
    <definedName name="FRother.11" localSheetId="4">#REF!</definedName>
    <definedName name="FRother.11">#REF!</definedName>
    <definedName name="FRother.12" localSheetId="4">#REF!</definedName>
    <definedName name="FRother.12">#REF!</definedName>
    <definedName name="FRother.2" localSheetId="4">#REF!</definedName>
    <definedName name="FRother.2">#REF!</definedName>
    <definedName name="FRother.3" localSheetId="4">#REF!</definedName>
    <definedName name="FRother.3">#REF!</definedName>
    <definedName name="FRother.4" localSheetId="4">#REF!</definedName>
    <definedName name="FRother.4">#REF!</definedName>
    <definedName name="FRother.5" localSheetId="4">#REF!</definedName>
    <definedName name="FRother.5">#REF!</definedName>
    <definedName name="FRother.6" localSheetId="4">#REF!</definedName>
    <definedName name="FRother.6">#REF!</definedName>
    <definedName name="FRother.7" localSheetId="4">#REF!</definedName>
    <definedName name="FRother.7">#REF!</definedName>
    <definedName name="FRother.8" localSheetId="4">#REF!</definedName>
    <definedName name="FRother.8">#REF!</definedName>
    <definedName name="FRother.9" localSheetId="4">#REF!</definedName>
    <definedName name="FRother.9">#REF!</definedName>
    <definedName name="FRs.s1C" localSheetId="4">continental!$L$98</definedName>
    <definedName name="FRs.s1C">continental!$L$98</definedName>
    <definedName name="FRs.s1R" localSheetId="4">regional!$L$92</definedName>
    <definedName name="FRs.s1R">regional!$L$92</definedName>
    <definedName name="FRs.s2C" localSheetId="4">continental!$L$103</definedName>
    <definedName name="FRs.s2C">continental!$L$103</definedName>
    <definedName name="FRs.s2R" localSheetId="4">regional!$L$97</definedName>
    <definedName name="FRs.s2R">regional!$L$97</definedName>
    <definedName name="FRs.s3C" localSheetId="4">continental!$L$108</definedName>
    <definedName name="FRs.s3C">continental!$L$108</definedName>
    <definedName name="FRs.s3R" localSheetId="4">regional!$L$102</definedName>
    <definedName name="FRs.s3R">regional!$L$102</definedName>
    <definedName name="FRs.sA" localSheetId="4">global!$L$207</definedName>
    <definedName name="FRs.sA">global!$L$207</definedName>
    <definedName name="FRs.sL" localSheetId="4">local!$L$60</definedName>
    <definedName name="FRs.sL">local!$L$60</definedName>
    <definedName name="FRs.sM" localSheetId="4">global!$L$70</definedName>
    <definedName name="FRs.sM">global!$L$70</definedName>
    <definedName name="FRs.sT" localSheetId="4">global!$L$344</definedName>
    <definedName name="FRs.sT">global!$L$344</definedName>
    <definedName name="FRsoil.1" localSheetId="4">#REF!</definedName>
    <definedName name="FRsoil.1">#REF!</definedName>
    <definedName name="FRsoil.10" localSheetId="4">#REF!</definedName>
    <definedName name="FRsoil.10">#REF!</definedName>
    <definedName name="FRsoil.11" localSheetId="4">#REF!</definedName>
    <definedName name="FRsoil.11">#REF!</definedName>
    <definedName name="FRsoil.12" localSheetId="4">#REF!</definedName>
    <definedName name="FRsoil.12">#REF!</definedName>
    <definedName name="FRsoil.2" localSheetId="4">#REF!</definedName>
    <definedName name="FRsoil.2">#REF!</definedName>
    <definedName name="FRsoil.3" localSheetId="4">#REF!</definedName>
    <definedName name="FRsoil.3">#REF!</definedName>
    <definedName name="FRsoil.4" localSheetId="4">#REF!</definedName>
    <definedName name="FRsoil.4">#REF!</definedName>
    <definedName name="FRsoil.5" localSheetId="4">#REF!</definedName>
    <definedName name="FRsoil.5">#REF!</definedName>
    <definedName name="FRsoil.6" localSheetId="4">#REF!</definedName>
    <definedName name="FRsoil.6">#REF!</definedName>
    <definedName name="FRsoil.7" localSheetId="4">#REF!</definedName>
    <definedName name="FRsoil.7">#REF!</definedName>
    <definedName name="FRsoil.8" localSheetId="4">#REF!</definedName>
    <definedName name="FRsoil.8">#REF!</definedName>
    <definedName name="FRsoil.9" localSheetId="4">#REF!</definedName>
    <definedName name="FRsoil.9">#REF!</definedName>
    <definedName name="FrSTPair" localSheetId="4">#REF!</definedName>
    <definedName name="FrSTPair">#REF!</definedName>
    <definedName name="FrSTPdeg" localSheetId="4">#REF!</definedName>
    <definedName name="FrSTPdeg">#REF!</definedName>
    <definedName name="FrSTPsludge" localSheetId="4">#REF!</definedName>
    <definedName name="FrSTPsludge">#REF!</definedName>
    <definedName name="FrSTPwater" localSheetId="4">#REF!</definedName>
    <definedName name="FrSTPwater">#REF!</definedName>
    <definedName name="FRw.s1C" localSheetId="4">continental!$L$97</definedName>
    <definedName name="FRw.s1C">continental!$L$97</definedName>
    <definedName name="FRw.s1R" localSheetId="4">regional!$L$91</definedName>
    <definedName name="FRw.s1R">regional!$L$91</definedName>
    <definedName name="FRw.s2C" localSheetId="4">continental!$L$102</definedName>
    <definedName name="FRw.s2C">continental!$L$102</definedName>
    <definedName name="FRw.s2R" localSheetId="4">regional!$L$96</definedName>
    <definedName name="FRw.s2R">regional!$L$96</definedName>
    <definedName name="FRw.s3C" localSheetId="4">continental!$L$107</definedName>
    <definedName name="FRw.s3C">continental!$L$107</definedName>
    <definedName name="FRw.s3R" localSheetId="4">regional!$L$101</definedName>
    <definedName name="FRw.s3R">regional!$L$101</definedName>
    <definedName name="FRw.sA" localSheetId="4">global!$L$206</definedName>
    <definedName name="FRw.sA">global!$L$206</definedName>
    <definedName name="FRw.sL" localSheetId="4">local!$L$59</definedName>
    <definedName name="FRw.sL">local!$L$59</definedName>
    <definedName name="FRw.sM" localSheetId="4">global!$L$69</definedName>
    <definedName name="FRw.sM">global!$L$69</definedName>
    <definedName name="FRw.sT" localSheetId="4">global!$L$343</definedName>
    <definedName name="FRw.sT">global!$L$343</definedName>
    <definedName name="FRw.w0C" localSheetId="4">continental!$L$72</definedName>
    <definedName name="FRw.w0C">continental!$L$72</definedName>
    <definedName name="FRw.w0R" localSheetId="4">regional!$L$66</definedName>
    <definedName name="FRw.w0R">regional!$L$66</definedName>
    <definedName name="FRw.w1C" localSheetId="4">continental!$L$78</definedName>
    <definedName name="FRw.w1C">continental!$L$78</definedName>
    <definedName name="FRw.w1R" localSheetId="4">regional!$L$72</definedName>
    <definedName name="FRw.w1R">regional!$L$72</definedName>
    <definedName name="FRw.w2A" localSheetId="4">global!$L$190</definedName>
    <definedName name="FRw.w2A">global!$L$190</definedName>
    <definedName name="FRw.w2C" localSheetId="4">continental!$L$84</definedName>
    <definedName name="FRw.w2C">continental!$L$84</definedName>
    <definedName name="FRw.w2M" localSheetId="4">global!$L$53</definedName>
    <definedName name="FRw.w2M">global!$L$53</definedName>
    <definedName name="FRw.w2R" localSheetId="4">regional!$L$78</definedName>
    <definedName name="FRw.w2R">regional!$L$78</definedName>
    <definedName name="FRw.w2T" localSheetId="4">global!$L$327</definedName>
    <definedName name="FRw.w2T">global!$L$327</definedName>
    <definedName name="FRw.w3A" localSheetId="4">global!$L$191</definedName>
    <definedName name="FRw.w3A">global!$L$191</definedName>
    <definedName name="FRw.w3M" localSheetId="4">global!$L$54</definedName>
    <definedName name="FRw.w3M">global!$L$54</definedName>
    <definedName name="FRw.w3T" localSheetId="4">global!$L$328</definedName>
    <definedName name="FRw.w3T">global!$L$328</definedName>
    <definedName name="FRw.wL" localSheetId="4">local!$L$49</definedName>
    <definedName name="FRw.wL">local!$L$49</definedName>
    <definedName name="FRwaste.1" localSheetId="4">#REF!</definedName>
    <definedName name="FRwaste.1">#REF!</definedName>
    <definedName name="FRwaste.10" localSheetId="4">#REF!</definedName>
    <definedName name="FRwaste.10">#REF!</definedName>
    <definedName name="FRwaste.11" localSheetId="4">#REF!</definedName>
    <definedName name="FRwaste.11">#REF!</definedName>
    <definedName name="FRwaste.12" localSheetId="4">#REF!</definedName>
    <definedName name="FRwaste.12">#REF!</definedName>
    <definedName name="FRwaste.2" localSheetId="4">#REF!</definedName>
    <definedName name="FRwaste.2">#REF!</definedName>
    <definedName name="FRwaste.3" localSheetId="4">#REF!</definedName>
    <definedName name="FRwaste.3">#REF!</definedName>
    <definedName name="FRwaste.4" localSheetId="4">#REF!</definedName>
    <definedName name="FRwaste.4">#REF!</definedName>
    <definedName name="FRwaste.5" localSheetId="4">#REF!</definedName>
    <definedName name="FRwaste.5">#REF!</definedName>
    <definedName name="FRwaste.6" localSheetId="4">#REF!</definedName>
    <definedName name="FRwaste.6">#REF!</definedName>
    <definedName name="FRwaste.7" localSheetId="4">#REF!</definedName>
    <definedName name="FRwaste.7">#REF!</definedName>
    <definedName name="FRwaste.8" localSheetId="4">#REF!</definedName>
    <definedName name="FRwaste.8">#REF!</definedName>
    <definedName name="FRwaste.9" localSheetId="4">#REF!</definedName>
    <definedName name="FRwaste.9">#REF!</definedName>
    <definedName name="FRwater.1" localSheetId="4">#REF!</definedName>
    <definedName name="FRwater.1">#REF!</definedName>
    <definedName name="FRwater.10" localSheetId="4">#REF!</definedName>
    <definedName name="FRwater.10">#REF!</definedName>
    <definedName name="FRwater.11" localSheetId="4">#REF!</definedName>
    <definedName name="FRwater.11">#REF!</definedName>
    <definedName name="FRwater.12" localSheetId="4">#REF!</definedName>
    <definedName name="FRwater.12">#REF!</definedName>
    <definedName name="FRwater.2" localSheetId="4">#REF!</definedName>
    <definedName name="FRwater.2">#REF!</definedName>
    <definedName name="FRwater.3" localSheetId="4">#REF!</definedName>
    <definedName name="FRwater.3">#REF!</definedName>
    <definedName name="FRwater.4" localSheetId="4">#REF!</definedName>
    <definedName name="FRwater.4">#REF!</definedName>
    <definedName name="FRwater.5" localSheetId="4">#REF!</definedName>
    <definedName name="FRwater.5">#REF!</definedName>
    <definedName name="FRwater.6" localSheetId="4">#REF!</definedName>
    <definedName name="FRwater.6">#REF!</definedName>
    <definedName name="FRwater.7" localSheetId="4">#REF!</definedName>
    <definedName name="FRwater.7">#REF!</definedName>
    <definedName name="FRwater.8" localSheetId="4">#REF!</definedName>
    <definedName name="FRwater.8">#REF!</definedName>
    <definedName name="FRwater.9" localSheetId="4">#REF!</definedName>
    <definedName name="FRwater.9">#REF!</definedName>
    <definedName name="FS" localSheetId="4">#REF!</definedName>
    <definedName name="FS">#REF!</definedName>
    <definedName name="fugacity">engine!$H$62:$AN$62</definedName>
    <definedName name="gas_phase_correction" localSheetId="4">#REF!</definedName>
    <definedName name="gas_phase_correction">#REF!</definedName>
    <definedName name="GASABS.aA.sA" localSheetId="4">global!$L$230</definedName>
    <definedName name="GASABS.aA.sA">global!$L$230</definedName>
    <definedName name="GASABS.aA.wA" localSheetId="4">global!$L$229</definedName>
    <definedName name="GASABS.aA.wA">global!$L$229</definedName>
    <definedName name="GASABS.aC.sC" localSheetId="4">continental!$L$138</definedName>
    <definedName name="GASABS.aC.sC">continental!$L$138</definedName>
    <definedName name="GASABS.aC.wC" localSheetId="4">continental!$L$137</definedName>
    <definedName name="GASABS.aC.wC">continental!$L$137</definedName>
    <definedName name="GASABS.aM.sM" localSheetId="4">global!$L$93</definedName>
    <definedName name="GASABS.aM.sM">global!$L$93</definedName>
    <definedName name="GASABS.aM.wM" localSheetId="4">global!$L$92</definedName>
    <definedName name="GASABS.aM.wM">global!$L$92</definedName>
    <definedName name="GASABS.aR.sR" localSheetId="4">regional!$L$132</definedName>
    <definedName name="GASABS.aR.sR">regional!$L$132</definedName>
    <definedName name="GASABS.aR.wR" localSheetId="4">regional!$L$131</definedName>
    <definedName name="GASABS.aR.wR">regional!$L$131</definedName>
    <definedName name="GASABS.aT.sT" localSheetId="4">global!$L$367</definedName>
    <definedName name="GASABS.aT.sT">global!$L$367</definedName>
    <definedName name="GASABS.aT.wT" localSheetId="4">global!$L$366</definedName>
    <definedName name="GASABS.aT.wT">global!$L$366</definedName>
    <definedName name="GASABSflow.aL.sL" localSheetId="4">local!$L$88</definedName>
    <definedName name="GASABSflow.aL.sL">local!$L$88</definedName>
    <definedName name="GASABSflow.aL.wL" localSheetId="4">local!$L$84</definedName>
    <definedName name="GASABSflow.aL.wL">local!$L$84</definedName>
    <definedName name="GasWashout.A" localSheetId="4">global!$L$225</definedName>
    <definedName name="GasWashout.A">global!$L$225</definedName>
    <definedName name="GasWashout.C" localSheetId="4">continental!$L$134</definedName>
    <definedName name="GasWashout.C">continental!$L$134</definedName>
    <definedName name="GasWashout.L" localSheetId="4">local!$L$80</definedName>
    <definedName name="GasWashout.L">local!$L$80</definedName>
    <definedName name="GasWashout.M" localSheetId="4">global!$L$88</definedName>
    <definedName name="GasWashout.M">global!$L$88</definedName>
    <definedName name="GasWashout.R" localSheetId="4">regional!$L$128</definedName>
    <definedName name="GasWashout.R">regional!$L$128</definedName>
    <definedName name="GasWashout.T" localSheetId="4">global!$L$362</definedName>
    <definedName name="GasWashout.T">global!$L$362</definedName>
    <definedName name="GROSSSEDrate.w1C" localSheetId="4">continental!$L$161</definedName>
    <definedName name="GROSSSEDrate.w1C">continental!$L$161</definedName>
    <definedName name="GROSSSEDrate.w1R" localSheetId="4">regional!$L$155</definedName>
    <definedName name="GROSSSEDrate.w1R">regional!$L$155</definedName>
    <definedName name="GROSSSEDrate.w2C" localSheetId="4">continental!$L$163</definedName>
    <definedName name="GROSSSEDrate.w2C">continental!$L$163</definedName>
    <definedName name="GROSSSEDrate.w2R" localSheetId="4">regional!$L$157</definedName>
    <definedName name="GROSSSEDrate.w2R">regional!$L$157</definedName>
    <definedName name="GROSSSEDrate.w3A" localSheetId="4">global!$L$244</definedName>
    <definedName name="GROSSSEDrate.w3A">global!$L$244</definedName>
    <definedName name="GROSSSEDrate.w3M" localSheetId="4">global!$L$107</definedName>
    <definedName name="GROSSSEDrate.w3M">global!$L$107</definedName>
    <definedName name="GROSSSEDrate.w3T" localSheetId="4">global!$L$381</definedName>
    <definedName name="GROSSSEDrate.w3T">global!$L$381</definedName>
    <definedName name="GROSSSEDrate.wL" localSheetId="4">local!$L$103</definedName>
    <definedName name="GROSSSEDrate.wL">local!$L$103</definedName>
    <definedName name="H_" localSheetId="4">#REF!</definedName>
    <definedName name="H_">#REF!</definedName>
    <definedName name="H0sol" localSheetId="4">input!$P$38</definedName>
    <definedName name="H0sol">input!$P$38</definedName>
    <definedName name="H0vap" localSheetId="4">input!$P$36</definedName>
    <definedName name="H0vap">input!$P$36</definedName>
    <definedName name="HEIGHT.aA" localSheetId="4">global!$L$157</definedName>
    <definedName name="HEIGHT.aA">global!$L$157</definedName>
    <definedName name="HEIGHT.aC" localSheetId="4">continental!$L$21</definedName>
    <definedName name="HEIGHT.aC">continental!$L$21</definedName>
    <definedName name="HEIGHT.aL" localSheetId="4">local!$L$13</definedName>
    <definedName name="HEIGHT.aL">local!$L$13</definedName>
    <definedName name="HEIGHT.aM" localSheetId="4">global!$L$13</definedName>
    <definedName name="HEIGHT.aM">global!$L$13</definedName>
    <definedName name="HEIGHT.aR" localSheetId="4">regional!$L$21</definedName>
    <definedName name="HEIGHT.aR">regional!$L$21</definedName>
    <definedName name="HEIGHT.aT" localSheetId="4">global!$L$294</definedName>
    <definedName name="HEIGHT.aT">global!$L$294</definedName>
    <definedName name="height_air_column" localSheetId="4">#REF!</definedName>
    <definedName name="height_air_column">#REF!</definedName>
    <definedName name="HRT" localSheetId="4">#REF!</definedName>
    <definedName name="HRT">#REF!</definedName>
    <definedName name="HRT.6box" localSheetId="4">#REF!</definedName>
    <definedName name="HRT.6box">#REF!</definedName>
    <definedName name="HRTPS" localSheetId="4">#REF!</definedName>
    <definedName name="HRTPS">#REF!</definedName>
    <definedName name="HRTSLS" localSheetId="4">#REF!</definedName>
    <definedName name="HRTSLS">#REF!</definedName>
    <definedName name="in" localSheetId="4">#REF!</definedName>
    <definedName name="in">#REF!</definedName>
    <definedName name="in.6box" localSheetId="4">#REF!</definedName>
    <definedName name="in.6box">#REF!</definedName>
    <definedName name="INH.L">local!$L$10</definedName>
    <definedName name="Input_solids_in_raw_sewage" localSheetId="4">#REF!</definedName>
    <definedName name="Input_solids_in_raw_sewage">#REF!</definedName>
    <definedName name="K">engine!$D$9:$AN$45</definedName>
    <definedName name="k.aA" localSheetId="4">global!$L$261</definedName>
    <definedName name="k.aA">global!$L$261</definedName>
    <definedName name="k.aA.aM" localSheetId="4">global!$L$170</definedName>
    <definedName name="k.aA.aM">global!$L$170</definedName>
    <definedName name="k.aA.sA" localSheetId="4">global!$L$214</definedName>
    <definedName name="k.aA.sA">global!$L$214</definedName>
    <definedName name="k.aA.w2A" localSheetId="4">global!$L$213</definedName>
    <definedName name="k.aA.w2A">global!$L$213</definedName>
    <definedName name="k.aC" localSheetId="4">continental!$L$192</definedName>
    <definedName name="k.aC">continental!$L$192</definedName>
    <definedName name="k.aC.aM" localSheetId="4">continental!$L$45</definedName>
    <definedName name="k.aC.aM">continental!$L$45</definedName>
    <definedName name="k.aC.aR" localSheetId="4">continental!$L$44</definedName>
    <definedName name="k.aC.aR">continental!$L$44</definedName>
    <definedName name="k.aC.s1C" localSheetId="4">continental!$L$117</definedName>
    <definedName name="k.aC.s1C">continental!$L$117</definedName>
    <definedName name="k.aC.s2C" localSheetId="4">continental!$L$118</definedName>
    <definedName name="k.aC.s2C">continental!$L$118</definedName>
    <definedName name="k.aC.s3C" localSheetId="4">continental!$L$119</definedName>
    <definedName name="k.aC.s3C">continental!$L$119</definedName>
    <definedName name="k.aC.w0C" localSheetId="4">continental!$L$114</definedName>
    <definedName name="k.aC.w0C">continental!$L$114</definedName>
    <definedName name="k.aC.w1C" localSheetId="4">continental!$L$115</definedName>
    <definedName name="k.aC.w1C">continental!$L$115</definedName>
    <definedName name="k.aC.w2C" localSheetId="4">continental!$L$116</definedName>
    <definedName name="k.aC.w2C">continental!$L$116</definedName>
    <definedName name="k.aL" localSheetId="4">local!$L$122</definedName>
    <definedName name="k.aL">local!$L$122</definedName>
    <definedName name="k.aL.aR" localSheetId="4">local!$L$25</definedName>
    <definedName name="k.aL.aR">local!$L$25</definedName>
    <definedName name="k.aL.sL" localSheetId="4">local!$L$67</definedName>
    <definedName name="k.aL.sL">local!$L$67</definedName>
    <definedName name="k.aL.wL" localSheetId="4">local!$L$66</definedName>
    <definedName name="k.aL.wL">local!$L$66</definedName>
    <definedName name="k.aM" localSheetId="4">global!$L$124</definedName>
    <definedName name="k.aM">global!$L$124</definedName>
    <definedName name="k.aM.aA" localSheetId="4">global!$L$27</definedName>
    <definedName name="k.aM.aA">global!$L$27</definedName>
    <definedName name="k.aM.aC" localSheetId="4">global!$L$26</definedName>
    <definedName name="k.aM.aC">global!$L$26</definedName>
    <definedName name="k.aM.aT" localSheetId="4">global!$L$28</definedName>
    <definedName name="k.aM.aT">global!$L$28</definedName>
    <definedName name="k.aM.sM" localSheetId="4">global!$L$77</definedName>
    <definedName name="k.aM.sM">global!$L$77</definedName>
    <definedName name="k.aM.w2M" localSheetId="4">global!$L$76</definedName>
    <definedName name="k.aM.w2M">global!$L$76</definedName>
    <definedName name="k.aR" localSheetId="4">regional!$L$186</definedName>
    <definedName name="k.aR">regional!$L$186</definedName>
    <definedName name="k.aR.aC" localSheetId="4">regional!$L$44</definedName>
    <definedName name="k.aR.aC">regional!$L$44</definedName>
    <definedName name="k.aR.s1R" localSheetId="4">regional!$L$111</definedName>
    <definedName name="k.aR.s1R">regional!$L$111</definedName>
    <definedName name="k.aR.s2R" localSheetId="4">regional!$L$112</definedName>
    <definedName name="k.aR.s2R">regional!$L$112</definedName>
    <definedName name="k.aR.s3R" localSheetId="4">regional!$L$113</definedName>
    <definedName name="k.aR.s3R">regional!$L$113</definedName>
    <definedName name="k.aR.w0R" localSheetId="4">regional!$L$108</definedName>
    <definedName name="k.aR.w0R">regional!$L$108</definedName>
    <definedName name="k.aR.w1R" localSheetId="4">regional!$L$109</definedName>
    <definedName name="k.aR.w1R">regional!$L$109</definedName>
    <definedName name="k.aR.w2R" localSheetId="4">regional!$L$110</definedName>
    <definedName name="k.aR.w2R">regional!$L$110</definedName>
    <definedName name="k.aT" localSheetId="4">global!$L$398</definedName>
    <definedName name="k.aT">global!$L$398</definedName>
    <definedName name="k.aT.aM" localSheetId="4">global!$L$307</definedName>
    <definedName name="k.aT.aM">global!$L$307</definedName>
    <definedName name="k.aT.sT" localSheetId="4">global!$L$351</definedName>
    <definedName name="k.aT.sT">global!$L$351</definedName>
    <definedName name="k.aT.w2T" localSheetId="4">global!$L$350</definedName>
    <definedName name="k.aT.w2T">global!$L$350</definedName>
    <definedName name="k.s1C" localSheetId="4">continental!$L$198</definedName>
    <definedName name="k.s1C">continental!$L$198</definedName>
    <definedName name="k.s1C.aC" localSheetId="4">continental!$L$123</definedName>
    <definedName name="k.s1C.aC">continental!$L$123</definedName>
    <definedName name="k.s1C.w1C" localSheetId="4">continental!$L$177</definedName>
    <definedName name="k.s1C.w1C">continental!$L$177</definedName>
    <definedName name="k.s1R" localSheetId="4">regional!$L$192</definedName>
    <definedName name="k.s1R">regional!$L$192</definedName>
    <definedName name="k.s1R.aR" localSheetId="4">regional!$L$117</definedName>
    <definedName name="k.s1R.aR">regional!$L$117</definedName>
    <definedName name="k.s1R.w1R" localSheetId="4">regional!$L$171</definedName>
    <definedName name="k.s1R.w1R">regional!$L$171</definedName>
    <definedName name="k.s2C" localSheetId="4">continental!$L$199</definedName>
    <definedName name="k.s2C">continental!$L$199</definedName>
    <definedName name="k.s2C.aC" localSheetId="4">continental!$L$124</definedName>
    <definedName name="k.s2C.aC">continental!$L$124</definedName>
    <definedName name="k.s2C.w1C" localSheetId="4">continental!$L$178</definedName>
    <definedName name="k.s2C.w1C">continental!$L$178</definedName>
    <definedName name="k.s2R" localSheetId="4">regional!$L$193</definedName>
    <definedName name="k.s2R">regional!$L$193</definedName>
    <definedName name="k.s2R.aR" localSheetId="4">regional!$L$118</definedName>
    <definedName name="k.s2R.aR">regional!$L$118</definedName>
    <definedName name="k.s2R.w1R" localSheetId="4">regional!$L$172</definedName>
    <definedName name="k.s2R.w1R">regional!$L$172</definedName>
    <definedName name="k.s3C" localSheetId="4">continental!$L$200</definedName>
    <definedName name="k.s3C">continental!$L$200</definedName>
    <definedName name="k.s3C.aC" localSheetId="4">continental!$L$125</definedName>
    <definedName name="k.s3C.aC">continental!$L$125</definedName>
    <definedName name="k.s3C.w1C" localSheetId="4">continental!$L$179</definedName>
    <definedName name="k.s3C.w1C">continental!$L$179</definedName>
    <definedName name="k.s3R" localSheetId="4">regional!$L$194</definedName>
    <definedName name="k.s3R">regional!$L$194</definedName>
    <definedName name="k.s3R.aR" localSheetId="4">regional!$L$119</definedName>
    <definedName name="k.s3R.aR">regional!$L$119</definedName>
    <definedName name="k.s3R.w1R" localSheetId="4">regional!$L$173</definedName>
    <definedName name="k.s3R.w1R">regional!$L$173</definedName>
    <definedName name="k.sA" localSheetId="4">global!$L$265</definedName>
    <definedName name="k.sA">global!$L$265</definedName>
    <definedName name="k.sA.aA" localSheetId="4">global!$L$216</definedName>
    <definedName name="k.sA.aA">global!$L$216</definedName>
    <definedName name="k.sA.w2A" localSheetId="4">global!$L$254</definedName>
    <definedName name="k.sA.w2A">global!$L$254</definedName>
    <definedName name="k.sd1C" localSheetId="4">continental!$L$196</definedName>
    <definedName name="k.sd1C">continental!$L$196</definedName>
    <definedName name="k.sd1C.w1C" localSheetId="4">continental!$L$155</definedName>
    <definedName name="k.sd1C.w1C">continental!$L$155</definedName>
    <definedName name="k.sd1R" localSheetId="4">regional!$L$190</definedName>
    <definedName name="k.sd1R">regional!$L$190</definedName>
    <definedName name="k.sd1R.w1R" localSheetId="4">regional!$L$149</definedName>
    <definedName name="k.sd1R.w1R">regional!$L$149</definedName>
    <definedName name="k.sd2C" localSheetId="4">continental!$L$197</definedName>
    <definedName name="k.sd2C">continental!$L$197</definedName>
    <definedName name="k.sd2C.w2C" localSheetId="4">continental!$L$156</definedName>
    <definedName name="k.sd2C.w2C">continental!$L$156</definedName>
    <definedName name="k.sd2R" localSheetId="4">regional!$L$191</definedName>
    <definedName name="k.sd2R">regional!$L$191</definedName>
    <definedName name="k.sd2R.w2R" localSheetId="4">regional!$L$150</definedName>
    <definedName name="k.sd2R.w2R">regional!$L$150</definedName>
    <definedName name="k.sdA" localSheetId="4">global!$L$264</definedName>
    <definedName name="k.sdA">global!$L$264</definedName>
    <definedName name="k.sdA.w3A" localSheetId="4">global!$L$241</definedName>
    <definedName name="k.sdA.w3A">global!$L$241</definedName>
    <definedName name="k.sdL" localSheetId="4">local!$L$124</definedName>
    <definedName name="k.sdL">local!$L$124</definedName>
    <definedName name="k.sdL.wL" localSheetId="4">local!$L$100</definedName>
    <definedName name="k.sdL.wL">local!$L$100</definedName>
    <definedName name="k.sdM" localSheetId="4">global!$L$127</definedName>
    <definedName name="k.sdM">global!$L$127</definedName>
    <definedName name="k.sdM.w3M" localSheetId="4">global!$L$104</definedName>
    <definedName name="k.sdM.w3M">global!$L$104</definedName>
    <definedName name="k.sdT" localSheetId="4">global!$L$401</definedName>
    <definedName name="k.sdT">global!$L$401</definedName>
    <definedName name="k.sdT.w3T" localSheetId="4">global!$L$378</definedName>
    <definedName name="k.sdT.w3T">global!$L$378</definedName>
    <definedName name="k.sL" localSheetId="4">local!$L$125</definedName>
    <definedName name="k.sL">local!$L$125</definedName>
    <definedName name="k.sL.aL" localSheetId="4">local!$L$69</definedName>
    <definedName name="k.sL.aL">local!$L$69</definedName>
    <definedName name="k.sL.wL" localSheetId="4">local!$L$113</definedName>
    <definedName name="k.sL.wL">local!$L$113</definedName>
    <definedName name="k.sM" localSheetId="4">global!$L$128</definedName>
    <definedName name="k.sM">global!$L$128</definedName>
    <definedName name="k.sM.aM" localSheetId="4">global!$L$79</definedName>
    <definedName name="k.sM.aM">global!$L$79</definedName>
    <definedName name="k.sM.w2M" localSheetId="4">global!$L$117</definedName>
    <definedName name="k.sM.w2M">global!$L$117</definedName>
    <definedName name="k.sT" localSheetId="4">global!$L$402</definedName>
    <definedName name="k.sT">global!$L$402</definedName>
    <definedName name="k.sT.aT" localSheetId="4">global!$L$353</definedName>
    <definedName name="k.sT.aT">global!$L$353</definedName>
    <definedName name="k.sT.w2T" localSheetId="4">global!$L$391</definedName>
    <definedName name="k.sT.w2T">global!$L$391</definedName>
    <definedName name="k.w0C" localSheetId="4">continental!$L$193</definedName>
    <definedName name="k.w0C">continental!$L$193</definedName>
    <definedName name="k.w0C.aC" localSheetId="4">continental!$L$120</definedName>
    <definedName name="k.w0C.aC">continental!$L$120</definedName>
    <definedName name="k.w0C.w1C" localSheetId="4">continental!$L$48</definedName>
    <definedName name="k.w0C.w1C">continental!$L$48</definedName>
    <definedName name="k.w0C.w2C" localSheetId="4">continental!$L$49</definedName>
    <definedName name="k.w0C.w2C">continental!$L$49</definedName>
    <definedName name="k.w0R" localSheetId="4">regional!$L$187</definedName>
    <definedName name="k.w0R">regional!$L$187</definedName>
    <definedName name="k.w0R.aR" localSheetId="4">regional!$L$114</definedName>
    <definedName name="k.w0R.aR">regional!$L$114</definedName>
    <definedName name="k.w0R.w1R" localSheetId="4">regional!$L$47</definedName>
    <definedName name="k.w0R.w1R">regional!$L$47</definedName>
    <definedName name="k.w0R.w2R" localSheetId="4">regional!$L$48</definedName>
    <definedName name="k.w0R.w2R">regional!$L$48</definedName>
    <definedName name="k.w1C" localSheetId="4">continental!$L$194</definedName>
    <definedName name="k.w1C">continental!$L$194</definedName>
    <definedName name="k.w1C.aC" localSheetId="4">continental!$L$121</definedName>
    <definedName name="k.w1C.aC">continental!$L$121</definedName>
    <definedName name="k.w1C.sd1C" localSheetId="4">continental!$L$153</definedName>
    <definedName name="k.w1C.sd1C">continental!$L$153</definedName>
    <definedName name="k.w1C.w0C" localSheetId="4">continental!$L$50</definedName>
    <definedName name="k.w1C.w0C">continental!$L$50</definedName>
    <definedName name="k.w1C.w1R" localSheetId="4">continental!$L$51</definedName>
    <definedName name="k.w1C.w1R">continental!$L$51</definedName>
    <definedName name="k.w1C.w2C" localSheetId="4">continental!$L$52</definedName>
    <definedName name="k.w1C.w2C">continental!$L$52</definedName>
    <definedName name="k.w1R" localSheetId="4">regional!$L$188</definedName>
    <definedName name="k.w1R">regional!$L$188</definedName>
    <definedName name="k.w1R.aR" localSheetId="4">regional!$L$115</definedName>
    <definedName name="k.w1R.aR">regional!$L$115</definedName>
    <definedName name="k.w1R.sd1R" localSheetId="4">regional!$L$147</definedName>
    <definedName name="k.w1R.sd1R">regional!$L$147</definedName>
    <definedName name="k.w1R.w0R" localSheetId="4">regional!$L$49</definedName>
    <definedName name="k.w1R.w0R">regional!$L$49</definedName>
    <definedName name="k.w1R.w2R" localSheetId="4">regional!$L$50</definedName>
    <definedName name="k.w1R.w2R">regional!$L$50</definedName>
    <definedName name="k.w2A" localSheetId="4">global!$L$262</definedName>
    <definedName name="k.w2A">global!$L$262</definedName>
    <definedName name="k.w2A.aA" localSheetId="4">global!$L$215</definedName>
    <definedName name="k.w2A.aA">global!$L$215</definedName>
    <definedName name="k.w2A.w2M" localSheetId="4">global!$L$173</definedName>
    <definedName name="k.w2A.w2M">global!$L$173</definedName>
    <definedName name="k.w2A.w3A" localSheetId="4">global!$L$176</definedName>
    <definedName name="k.w2A.w3A">global!$L$176</definedName>
    <definedName name="k.w2C" localSheetId="4">continental!$L$195</definedName>
    <definedName name="k.w2C">continental!$L$195</definedName>
    <definedName name="k.w2C.aC" localSheetId="4">continental!$L$122</definedName>
    <definedName name="k.w2C.aC">continental!$L$122</definedName>
    <definedName name="k.w2C.sd2C" localSheetId="4">continental!$L$154</definedName>
    <definedName name="k.w2C.sd2C">continental!$L$154</definedName>
    <definedName name="k.w2C.w2M" localSheetId="4">continental!$L$59</definedName>
    <definedName name="k.w2C.w2M">continental!$L$59</definedName>
    <definedName name="k.w2C.w2R" localSheetId="4">continental!$L$58</definedName>
    <definedName name="k.w2C.w2R">continental!$L$58</definedName>
    <definedName name="k.w2M" localSheetId="4">global!$L$125</definedName>
    <definedName name="k.w2M">global!$L$125</definedName>
    <definedName name="k.w2M.aM" localSheetId="4">global!$L$78</definedName>
    <definedName name="k.w2M.aM">global!$L$78</definedName>
    <definedName name="k.w2M.w2A" localSheetId="4">global!$L$31</definedName>
    <definedName name="k.w2M.w2A">global!$L$31</definedName>
    <definedName name="k.w2M.w2C" localSheetId="4">global!$L$30</definedName>
    <definedName name="k.w2M.w2C">global!$L$30</definedName>
    <definedName name="k.w2M.w2T" localSheetId="4">global!$L$32</definedName>
    <definedName name="k.w2M.w2T">global!$L$32</definedName>
    <definedName name="k.w2M.w3M" localSheetId="4">global!$L$39</definedName>
    <definedName name="k.w2M.w3M">global!$L$39</definedName>
    <definedName name="k.w2R" localSheetId="4">regional!$L$189</definedName>
    <definedName name="k.w2R">regional!$L$189</definedName>
    <definedName name="k.w2R.aR" localSheetId="4">regional!$L$116</definedName>
    <definedName name="k.w2R.aR">regional!$L$116</definedName>
    <definedName name="k.w2R.sd2R" localSheetId="4">regional!$L$148</definedName>
    <definedName name="k.w2R.sd2R">regional!$L$148</definedName>
    <definedName name="k.w2R.w2C" localSheetId="4">regional!$L$51</definedName>
    <definedName name="k.w2R.w2C">regional!$L$51</definedName>
    <definedName name="k.w2T" localSheetId="4">global!$L$399</definedName>
    <definedName name="k.w2T">global!$L$399</definedName>
    <definedName name="k.w2T.aT" localSheetId="4">global!$L$352</definedName>
    <definedName name="k.w2T.aT">global!$L$352</definedName>
    <definedName name="k.w2T.w2M" localSheetId="4">global!$L$310</definedName>
    <definedName name="k.w2T.w2M">global!$L$310</definedName>
    <definedName name="k.w2T.w3T" localSheetId="4">global!$L$313</definedName>
    <definedName name="k.w2T.w3T">global!$L$313</definedName>
    <definedName name="k.w3A" localSheetId="4">global!$L$263</definedName>
    <definedName name="k.w3A">global!$L$263</definedName>
    <definedName name="k.w3A.sdA" localSheetId="4">global!$L$240</definedName>
    <definedName name="k.w3A.sdA">global!$L$240</definedName>
    <definedName name="k.w3A.w2A" localSheetId="4">global!$L$177</definedName>
    <definedName name="k.w3A.w2A">global!$L$177</definedName>
    <definedName name="k.w3A.w3M" localSheetId="4">global!$L$174</definedName>
    <definedName name="k.w3A.w3M">global!$L$174</definedName>
    <definedName name="k.w3M" localSheetId="4">global!$L$126</definedName>
    <definedName name="k.w3M">global!$L$126</definedName>
    <definedName name="k.w3M.sdM" localSheetId="4">global!$L$103</definedName>
    <definedName name="k.w3M.sdM">global!$L$103</definedName>
    <definedName name="k.w3M.w2M" localSheetId="4">global!$L$40</definedName>
    <definedName name="k.w3M.w2M">global!$L$40</definedName>
    <definedName name="k.w3M.w3A" localSheetId="4">global!$L$33</definedName>
    <definedName name="k.w3M.w3A">global!$L$33</definedName>
    <definedName name="k.w3M.w3T" localSheetId="4">global!$L$34</definedName>
    <definedName name="k.w3M.w3T">global!$L$34</definedName>
    <definedName name="k.w3T" localSheetId="4">global!$L$400</definedName>
    <definedName name="k.w3T">global!$L$400</definedName>
    <definedName name="k.w3T.sdT" localSheetId="4">global!$L$377</definedName>
    <definedName name="k.w3T.sdT">global!$L$377</definedName>
    <definedName name="k.w3T.w2T" localSheetId="4">global!$L$314</definedName>
    <definedName name="k.w3T.w2T">global!$L$314</definedName>
    <definedName name="k.w3T.w3M" localSheetId="4">global!$L$311</definedName>
    <definedName name="k.w3T.w3M">global!$L$311</definedName>
    <definedName name="k.wL" localSheetId="4">local!$L$123</definedName>
    <definedName name="k.wL">local!$L$123</definedName>
    <definedName name="k.wL.aL" localSheetId="4">local!$L$68</definedName>
    <definedName name="k.wL.aL">local!$L$68</definedName>
    <definedName name="k.wL.sdL" localSheetId="4">local!$L$99</definedName>
    <definedName name="k.wL.sdL">local!$L$99</definedName>
    <definedName name="k.wL.w1R" localSheetId="4">local!$L$30</definedName>
    <definedName name="k.wL.w1R">local!$L$30</definedName>
    <definedName name="k.wL.w2R">local!$L$31</definedName>
    <definedName name="k_5" localSheetId="4">#REF!</definedName>
    <definedName name="k_5">#REF!</definedName>
    <definedName name="k_5.6box" localSheetId="4">#REF!</definedName>
    <definedName name="k_5.6box">#REF!</definedName>
    <definedName name="k_6" localSheetId="4">#REF!</definedName>
    <definedName name="k_6">#REF!</definedName>
    <definedName name="k_6.6box" localSheetId="4">#REF!</definedName>
    <definedName name="k_6.6box">#REF!</definedName>
    <definedName name="k_aerator" localSheetId="4">#REF!</definedName>
    <definedName name="k_aerator">#REF!</definedName>
    <definedName name="k_aerator.6box" localSheetId="4">#REF!</definedName>
    <definedName name="k_aerator.6box">#REF!</definedName>
    <definedName name="K_air" localSheetId="4">#REF!</definedName>
    <definedName name="K_air">#REF!</definedName>
    <definedName name="K_airM" localSheetId="4">#REF!</definedName>
    <definedName name="K_airM">#REF!</definedName>
    <definedName name="k_biodeg1" localSheetId="4">#REF!</definedName>
    <definedName name="k_biodeg1">#REF!</definedName>
    <definedName name="k_biodeg2" localSheetId="4">#REF!</definedName>
    <definedName name="k_biodeg2">#REF!</definedName>
    <definedName name="k_biodeg3" localSheetId="4">#REF!</definedName>
    <definedName name="k_biodeg3">#REF!</definedName>
    <definedName name="K_water" localSheetId="4">#REF!</definedName>
    <definedName name="K_water">#REF!</definedName>
    <definedName name="K_waterM" localSheetId="4">#REF!</definedName>
    <definedName name="K_waterM">#REF!</definedName>
    <definedName name="k0.OHrad" localSheetId="4">input!$P$68</definedName>
    <definedName name="k0.OHrad">input!$P$68</definedName>
    <definedName name="Kaers.aA" localSheetId="4">global!$L$189</definedName>
    <definedName name="Kaers.aA">global!$L$189</definedName>
    <definedName name="Kaers.aC" localSheetId="4">continental!$L$71</definedName>
    <definedName name="Kaers.aC">continental!$L$71</definedName>
    <definedName name="Kaers.aL" localSheetId="4">local!$L$48</definedName>
    <definedName name="Kaers.aL">local!$L$48</definedName>
    <definedName name="Kaers.aM" localSheetId="4">global!$L$52</definedName>
    <definedName name="Kaers.aM">global!$L$52</definedName>
    <definedName name="Kaers.aR" localSheetId="4">regional!$L$65</definedName>
    <definedName name="Kaers.aR">regional!$L$65</definedName>
    <definedName name="Kaers.aT" localSheetId="4">global!$L$326</definedName>
    <definedName name="Kaers.aT">global!$L$326</definedName>
    <definedName name="Kaerw.aA" localSheetId="4">global!$L$188</definedName>
    <definedName name="Kaerw.aA">global!$L$188</definedName>
    <definedName name="Kaerw.aC" localSheetId="4">continental!$L$70</definedName>
    <definedName name="Kaerw.aC">continental!$L$70</definedName>
    <definedName name="Kaerw.aL" localSheetId="4">local!$L$47</definedName>
    <definedName name="Kaerw.aL">local!$L$47</definedName>
    <definedName name="Kaerw.aM" localSheetId="4">global!$L$51</definedName>
    <definedName name="Kaerw.aM">global!$L$51</definedName>
    <definedName name="Kaerw.aR" localSheetId="4">regional!$L$64</definedName>
    <definedName name="Kaerw.aR">regional!$L$64</definedName>
    <definedName name="Kaerw.aT" localSheetId="4">global!$L$325</definedName>
    <definedName name="Kaerw.aT">global!$L$325</definedName>
    <definedName name="kas.air.aL" localSheetId="4">local!$L$91</definedName>
    <definedName name="kas.air.aL">local!$L$91</definedName>
    <definedName name="kas.soil.sL" localSheetId="4">local!$L$92</definedName>
    <definedName name="kas.soil.sL">local!$L$92</definedName>
    <definedName name="Kaw" localSheetId="4">input!$P$19</definedName>
    <definedName name="Kaw">input!$P$19</definedName>
    <definedName name="Kaw.A" localSheetId="4">global!$L$186</definedName>
    <definedName name="Kaw.A">global!$L$186</definedName>
    <definedName name="kaw.air.aL" localSheetId="4">local!$L$86</definedName>
    <definedName name="kaw.air.aL">local!$L$86</definedName>
    <definedName name="Kaw.C" localSheetId="4">continental!$L$69</definedName>
    <definedName name="Kaw.C">continental!$L$69</definedName>
    <definedName name="Kaw.L" localSheetId="4">local!$L$44</definedName>
    <definedName name="Kaw.L">local!$L$44</definedName>
    <definedName name="Kaw.M" localSheetId="4">global!$L$49</definedName>
    <definedName name="Kaw.M">global!$L$49</definedName>
    <definedName name="Kaw.R" localSheetId="4">regional!$L$63</definedName>
    <definedName name="Kaw.R">regional!$L$63</definedName>
    <definedName name="Kaw.T" localSheetId="4">global!$L$323</definedName>
    <definedName name="Kaw.T">global!$L$323</definedName>
    <definedName name="kaw.water.wL" localSheetId="4">local!$L$87</definedName>
    <definedName name="kaw.water.wL">local!$L$87</definedName>
    <definedName name="kbubble" localSheetId="4">#REF!</definedName>
    <definedName name="kbubble">#REF!</definedName>
    <definedName name="kbubble.6box" localSheetId="4">#REF!</definedName>
    <definedName name="kbubble.6box">#REF!</definedName>
    <definedName name="kbubble2" localSheetId="4">#REF!</definedName>
    <definedName name="kbubble2">#REF!</definedName>
    <definedName name="kbubble2.6box" localSheetId="4">#REF!</definedName>
    <definedName name="kbubble2.6box">#REF!</definedName>
    <definedName name="KDEG.aA" localSheetId="4">global!$L$267</definedName>
    <definedName name="KDEG.aA">global!$L$267</definedName>
    <definedName name="KDEG.aC" localSheetId="4">continental!$L$202</definedName>
    <definedName name="KDEG.aC">continental!$L$202</definedName>
    <definedName name="kdeg.air" localSheetId="4">input!$P$66</definedName>
    <definedName name="kdeg.air">input!$P$66</definedName>
    <definedName name="KDEG.aL" localSheetId="4">local!$L$127</definedName>
    <definedName name="KDEG.aL">local!$L$127</definedName>
    <definedName name="KDEG.aM" localSheetId="4">global!$L$130</definedName>
    <definedName name="KDEG.aM">global!$L$130</definedName>
    <definedName name="KDEG.aR" localSheetId="4">regional!$L$196</definedName>
    <definedName name="KDEG.aR">regional!$L$196</definedName>
    <definedName name="KDEG.aT" localSheetId="4">global!$L$404</definedName>
    <definedName name="KDEG.aT">global!$L$404</definedName>
    <definedName name="KDEG.s1C" localSheetId="4">continental!$L$214</definedName>
    <definedName name="KDEG.s1C">continental!$L$214</definedName>
    <definedName name="KDEG.s1R" localSheetId="4">regional!$L$208</definedName>
    <definedName name="KDEG.s1R">regional!$L$208</definedName>
    <definedName name="KDEG.s2C" localSheetId="4">continental!$L$215</definedName>
    <definedName name="KDEG.s2C">continental!$L$215</definedName>
    <definedName name="KDEG.s2R" localSheetId="4">regional!$L$209</definedName>
    <definedName name="KDEG.s2R">regional!$L$209</definedName>
    <definedName name="KDEG.s3C" localSheetId="4">continental!$L$216</definedName>
    <definedName name="KDEG.s3C">continental!$L$216</definedName>
    <definedName name="KDEG.s3R" localSheetId="4">regional!$L$210</definedName>
    <definedName name="KDEG.s3R">regional!$L$210</definedName>
    <definedName name="KDEG.sA" localSheetId="4">global!$L$276</definedName>
    <definedName name="KDEG.sA">global!$L$276</definedName>
    <definedName name="KDEG.sd1C" localSheetId="4">continental!$L$212</definedName>
    <definedName name="KDEG.sd1C">continental!$L$212</definedName>
    <definedName name="KDEG.sd1R" localSheetId="4">regional!$L$206</definedName>
    <definedName name="KDEG.sd1R">regional!$L$206</definedName>
    <definedName name="KDEG.sd2C" localSheetId="4">continental!$L$213</definedName>
    <definedName name="KDEG.sd2C">continental!$L$213</definedName>
    <definedName name="KDEG.sd2R" localSheetId="4">regional!$L$207</definedName>
    <definedName name="KDEG.sd2R">regional!$L$207</definedName>
    <definedName name="KDEG.sdA" localSheetId="4">global!$L$275</definedName>
    <definedName name="KDEG.sdA">global!$L$275</definedName>
    <definedName name="KDEG.sdM" localSheetId="4">global!$L$138</definedName>
    <definedName name="KDEG.sdM">global!$L$138</definedName>
    <definedName name="KDEG.sdT" localSheetId="4">global!$L$412</definedName>
    <definedName name="KDEG.sdT">global!$L$412</definedName>
    <definedName name="kdeg.sed" localSheetId="4">input!$P$74</definedName>
    <definedName name="kdeg.sed">input!$P$74</definedName>
    <definedName name="KDEG.sL" localSheetId="4">local!$L$133</definedName>
    <definedName name="KDEG.sL">local!$L$133</definedName>
    <definedName name="KDEG.sM" localSheetId="4">global!$L$139</definedName>
    <definedName name="KDEG.sM">global!$L$139</definedName>
    <definedName name="kdeg.soil" localSheetId="4">input!$P$75</definedName>
    <definedName name="kdeg.soil">input!$P$75</definedName>
    <definedName name="KDEG.sT" localSheetId="4">global!$L$413</definedName>
    <definedName name="KDEG.sT">global!$L$413</definedName>
    <definedName name="KDEG.w0C" localSheetId="4">continental!$L$205</definedName>
    <definedName name="KDEG.w0C">continental!$L$205</definedName>
    <definedName name="KDEG.w0R" localSheetId="4">regional!$L$199</definedName>
    <definedName name="KDEG.w0R">regional!$L$199</definedName>
    <definedName name="KDEG.w1C" localSheetId="4">continental!$L$206</definedName>
    <definedName name="KDEG.w1C">continental!$L$206</definedName>
    <definedName name="KDEG.w1R" localSheetId="4">regional!$L$200</definedName>
    <definedName name="KDEG.w1R">regional!$L$200</definedName>
    <definedName name="KDEG.w2A" localSheetId="4">global!$L$270</definedName>
    <definedName name="KDEG.w2A">global!$L$270</definedName>
    <definedName name="KDEG.w2C" localSheetId="4">continental!$L$207</definedName>
    <definedName name="KDEG.w2C">continental!$L$207</definedName>
    <definedName name="KDEG.w2M" localSheetId="4">global!$L$133</definedName>
    <definedName name="KDEG.w2M">global!$L$133</definedName>
    <definedName name="KDEG.w2R" localSheetId="4">regional!$L$201</definedName>
    <definedName name="KDEG.w2R">regional!$L$201</definedName>
    <definedName name="KDEG.w2T" localSheetId="4">global!$L$407</definedName>
    <definedName name="KDEG.w2T">global!$L$407</definedName>
    <definedName name="KDEG.w3A" localSheetId="4">global!$L$271</definedName>
    <definedName name="KDEG.w3A">global!$L$271</definedName>
    <definedName name="KDEG.w3M" localSheetId="4">global!$L$134</definedName>
    <definedName name="KDEG.w3M">global!$L$134</definedName>
    <definedName name="KDEG.w3T" localSheetId="4">global!$L$408</definedName>
    <definedName name="KDEG.w3T">global!$L$408</definedName>
    <definedName name="kdeg.water" localSheetId="4">input!$P$70</definedName>
    <definedName name="kdeg.water">input!$P$70</definedName>
    <definedName name="KDEG.wL">local!$L$130</definedName>
    <definedName name="kdep.L" localSheetId="4">local!$L$73</definedName>
    <definedName name="kdep.L">local!$L$73</definedName>
    <definedName name="KDEPmean.L">local!$L$72</definedName>
    <definedName name="kdry.A">global!$L$219</definedName>
    <definedName name="kdry.C">continental!$L$128</definedName>
    <definedName name="kdry.L" localSheetId="4">local!$L$74</definedName>
    <definedName name="kdry.L">local!$L$74</definedName>
    <definedName name="kdry.M">global!$L$82</definedName>
    <definedName name="kdry.R">regional!$L$122</definedName>
    <definedName name="kdry.T">global!$L$356</definedName>
    <definedName name="kesc.aA" localSheetId="4">global!$L$266</definedName>
    <definedName name="kesc.aA">global!$L$266</definedName>
    <definedName name="kesc.aC" localSheetId="4">continental!$L$201</definedName>
    <definedName name="kesc.aC">continental!$L$201</definedName>
    <definedName name="kesc.aL" localSheetId="4">local!$L$126</definedName>
    <definedName name="kesc.aL">local!$L$126</definedName>
    <definedName name="kesc.aM" localSheetId="4">global!$L$129</definedName>
    <definedName name="kesc.aM">global!$L$129</definedName>
    <definedName name="kesc.aR" localSheetId="4">regional!$L$195</definedName>
    <definedName name="kesc.aR">regional!$L$195</definedName>
    <definedName name="kesc.aT" localSheetId="4">global!$L$403</definedName>
    <definedName name="kesc.aT">global!$L$403</definedName>
    <definedName name="kGa_kLa" localSheetId="4">#REF!</definedName>
    <definedName name="kGa_kLa">#REF!</definedName>
    <definedName name="KH" localSheetId="4">#REF!</definedName>
    <definedName name="KH">#REF!</definedName>
    <definedName name="Kh.L" localSheetId="4">local!$L$44</definedName>
    <definedName name="Kh.L">local!$L$44</definedName>
    <definedName name="Koc" localSheetId="4">#REF!</definedName>
    <definedName name="Koc">#REF!</definedName>
    <definedName name="Koc_old" localSheetId="4">#REF!</definedName>
    <definedName name="Koc_old">#REF!</definedName>
    <definedName name="Kow" localSheetId="4">input!$P$20</definedName>
    <definedName name="Kow">input!$P$20</definedName>
    <definedName name="Kow.alt" localSheetId="4">input!$P$21</definedName>
    <definedName name="Kow.alt">input!$P$21</definedName>
    <definedName name="Kp.col0C" localSheetId="4">continental!$L$76</definedName>
    <definedName name="Kp.col0C">continental!$L$76</definedName>
    <definedName name="Kp.col0R" localSheetId="4">regional!$L$70</definedName>
    <definedName name="Kp.col0R">regional!$L$70</definedName>
    <definedName name="Kp.col1C" localSheetId="4">continental!$L$82</definedName>
    <definedName name="Kp.col1C">continental!$L$82</definedName>
    <definedName name="Kp.col1R" localSheetId="4">regional!$L$76</definedName>
    <definedName name="Kp.col1R">regional!$L$76</definedName>
    <definedName name="Kp.col2A" localSheetId="4">global!$L$198</definedName>
    <definedName name="Kp.col2A">global!$L$198</definedName>
    <definedName name="Kp.col2C" localSheetId="4">continental!$L$88</definedName>
    <definedName name="Kp.col2C">continental!$L$88</definedName>
    <definedName name="Kp.col2M" localSheetId="4">global!$L$61</definedName>
    <definedName name="Kp.col2M">global!$L$61</definedName>
    <definedName name="Kp.col2R" localSheetId="4">regional!$L$82</definedName>
    <definedName name="Kp.col2R">regional!$L$82</definedName>
    <definedName name="Kp.col2T" localSheetId="4">global!$L$335</definedName>
    <definedName name="Kp.col2T">global!$L$335</definedName>
    <definedName name="Kp.col3A" localSheetId="4">global!$L$199</definedName>
    <definedName name="Kp.col3A">global!$L$199</definedName>
    <definedName name="Kp.col3M" localSheetId="4">global!$L$62</definedName>
    <definedName name="Kp.col3M">global!$L$62</definedName>
    <definedName name="Kp.col3T" localSheetId="4">global!$L$336</definedName>
    <definedName name="Kp.col3T">global!$L$336</definedName>
    <definedName name="Kp.colL" localSheetId="4">local!$L$53</definedName>
    <definedName name="Kp.colL">local!$L$53</definedName>
    <definedName name="Kp.s1C" localSheetId="4">continental!$L$99</definedName>
    <definedName name="Kp.s1C">continental!$L$99</definedName>
    <definedName name="Kp.s1R" localSheetId="4">regional!$L$93</definedName>
    <definedName name="Kp.s1R">regional!$L$93</definedName>
    <definedName name="Kp.s2C" localSheetId="4">continental!$L$104</definedName>
    <definedName name="Kp.s2C">continental!$L$104</definedName>
    <definedName name="Kp.s2R" localSheetId="4">regional!$L$98</definedName>
    <definedName name="Kp.s2R">regional!$L$98</definedName>
    <definedName name="Kp.s3C" localSheetId="4">continental!$L$109</definedName>
    <definedName name="Kp.s3C">continental!$L$109</definedName>
    <definedName name="Kp.s3R" localSheetId="4">regional!$L$103</definedName>
    <definedName name="Kp.s3R">regional!$L$103</definedName>
    <definedName name="Kp.sA" localSheetId="4">global!$L$208</definedName>
    <definedName name="Kp.sA">global!$L$208</definedName>
    <definedName name="Kp.sd1C" localSheetId="4">continental!$L$91</definedName>
    <definedName name="Kp.sd1C">continental!$L$91</definedName>
    <definedName name="Kp.sd1R" localSheetId="4">regional!$L$85</definedName>
    <definedName name="Kp.sd1R">regional!$L$85</definedName>
    <definedName name="Kp.sd2C" localSheetId="4">continental!$L$94</definedName>
    <definedName name="Kp.sd2C">continental!$L$94</definedName>
    <definedName name="Kp.sd2R" localSheetId="4">regional!$L$88</definedName>
    <definedName name="Kp.sd2R">regional!$L$88</definedName>
    <definedName name="Kp.sdA" localSheetId="4">global!$L$203</definedName>
    <definedName name="Kp.sdA">global!$L$203</definedName>
    <definedName name="Kp.sdL" localSheetId="4">local!$L$56</definedName>
    <definedName name="Kp.sdL">local!$L$56</definedName>
    <definedName name="Kp.sdM" localSheetId="4">global!$L$66</definedName>
    <definedName name="Kp.sdM">global!$L$66</definedName>
    <definedName name="Kp.sdT" localSheetId="4">global!$L$340</definedName>
    <definedName name="Kp.sdT">global!$L$340</definedName>
    <definedName name="Kp.sL" localSheetId="4">local!$L$61</definedName>
    <definedName name="Kp.sL">local!$L$61</definedName>
    <definedName name="Kp.sM" localSheetId="4">global!$L$71</definedName>
    <definedName name="Kp.sM">global!$L$71</definedName>
    <definedName name="Kp.sT" localSheetId="4">global!$L$345</definedName>
    <definedName name="Kp.sT">global!$L$345</definedName>
    <definedName name="Kp.susp0C" localSheetId="4">continental!$L$73</definedName>
    <definedName name="Kp.susp0C">continental!$L$73</definedName>
    <definedName name="Kp.susp0R" localSheetId="4">regional!$L$67</definedName>
    <definedName name="Kp.susp0R">regional!$L$67</definedName>
    <definedName name="Kp.susp1C" localSheetId="4">continental!$L$79</definedName>
    <definedName name="Kp.susp1C">continental!$L$79</definedName>
    <definedName name="Kp.susp1R" localSheetId="4">regional!$L$73</definedName>
    <definedName name="Kp.susp1R">regional!$L$73</definedName>
    <definedName name="Kp.susp2A" localSheetId="4">global!$L$192</definedName>
    <definedName name="Kp.susp2A">global!$L$192</definedName>
    <definedName name="Kp.susp2C" localSheetId="4">continental!$L$85</definedName>
    <definedName name="Kp.susp2C">continental!$L$85</definedName>
    <definedName name="Kp.susp2M" localSheetId="4">global!$L$55</definedName>
    <definedName name="Kp.susp2M">global!$L$55</definedName>
    <definedName name="Kp.susp2R" localSheetId="4">regional!$L$79</definedName>
    <definedName name="Kp.susp2R">regional!$L$79</definedName>
    <definedName name="Kp.susp2T" localSheetId="4">global!$L$329</definedName>
    <definedName name="Kp.susp2T">global!$L$329</definedName>
    <definedName name="Kp.susp3A" localSheetId="4">global!$L$193</definedName>
    <definedName name="Kp.susp3A">global!$L$193</definedName>
    <definedName name="Kp.susp3M" localSheetId="4">global!$L$56</definedName>
    <definedName name="Kp.susp3M">global!$L$56</definedName>
    <definedName name="Kp.susp3T" localSheetId="4">global!$L$330</definedName>
    <definedName name="Kp.susp3T">global!$L$330</definedName>
    <definedName name="Kp.suspL" localSheetId="4">local!$L$50</definedName>
    <definedName name="Kp.suspL">local!$L$50</definedName>
    <definedName name="Kp_aerator" localSheetId="4">#REF!</definedName>
    <definedName name="Kp_aerator">#REF!</definedName>
    <definedName name="Kp_raw_sewage" localSheetId="4">#REF!</definedName>
    <definedName name="Kp_raw_sewage">#REF!</definedName>
    <definedName name="Ks1w.C" localSheetId="4">continental!$L$96</definedName>
    <definedName name="Ks1w.C">continental!$L$96</definedName>
    <definedName name="Ks1w.R" localSheetId="4">regional!$L$90</definedName>
    <definedName name="Ks1w.R">regional!$L$90</definedName>
    <definedName name="Ks2w.C" localSheetId="4">continental!$L$101</definedName>
    <definedName name="Ks2w.C">continental!$L$101</definedName>
    <definedName name="Ks2w.R" localSheetId="4">regional!$L$95</definedName>
    <definedName name="Ks2w.R">regional!$L$95</definedName>
    <definedName name="Ks3w.C" localSheetId="4">continental!$L$106</definedName>
    <definedName name="Ks3w.C">continental!$L$106</definedName>
    <definedName name="Ks3w.R" localSheetId="4">regional!$L$100</definedName>
    <definedName name="Ks3w.R">regional!$L$100</definedName>
    <definedName name="Ksdw.A" localSheetId="4">global!$L$202</definedName>
    <definedName name="Ksdw.A">global!$L$202</definedName>
    <definedName name="Ksdw.L" localSheetId="4">local!$L$55</definedName>
    <definedName name="Ksdw.L">local!$L$55</definedName>
    <definedName name="Ksdw.M" localSheetId="4">global!$L$65</definedName>
    <definedName name="Ksdw.M">global!$L$65</definedName>
    <definedName name="Ksdw.T" localSheetId="4">global!$L$339</definedName>
    <definedName name="Ksdw.T">global!$L$339</definedName>
    <definedName name="Ksdw1.C" localSheetId="4">continental!$L$90</definedName>
    <definedName name="Ksdw1.C">continental!$L$90</definedName>
    <definedName name="Ksdw1.R" localSheetId="4">regional!$L$84</definedName>
    <definedName name="Ksdw1.R">regional!$L$84</definedName>
    <definedName name="Ksdw2.C" localSheetId="4">continental!$L$93</definedName>
    <definedName name="Ksdw2.C">continental!$L$93</definedName>
    <definedName name="Ksdw2.R" localSheetId="4">regional!$L$87</definedName>
    <definedName name="Ksdw2.R">regional!$L$87</definedName>
    <definedName name="Kslw.A" localSheetId="4">global!$L$205</definedName>
    <definedName name="Kslw.A">global!$L$205</definedName>
    <definedName name="Kslw.M" localSheetId="4">global!$L$68</definedName>
    <definedName name="Kslw.M">global!$L$68</definedName>
    <definedName name="Kslw.T" localSheetId="4">global!$L$342</definedName>
    <definedName name="Kslw.T">global!$L$342</definedName>
    <definedName name="kstrip" localSheetId="4">#REF!</definedName>
    <definedName name="kstrip">#REF!</definedName>
    <definedName name="kstrip.6box" localSheetId="4">#REF!</definedName>
    <definedName name="kstrip.6box">#REF!</definedName>
    <definedName name="ksurf" localSheetId="4">#REF!</definedName>
    <definedName name="ksurf">#REF!</definedName>
    <definedName name="ksurf.6box" localSheetId="4">#REF!</definedName>
    <definedName name="ksurf.6box">#REF!</definedName>
    <definedName name="Ksw" localSheetId="4">input!$P$17</definedName>
    <definedName name="Ksw">input!$P$17</definedName>
    <definedName name="Ksw.alt" localSheetId="4">input!$P$18</definedName>
    <definedName name="Ksw.alt">input!$P$18</definedName>
    <definedName name="Ksw.L" localSheetId="4">local!$L$58</definedName>
    <definedName name="Ksw.L">local!$L$58</definedName>
    <definedName name="kvolatilization" localSheetId="4">#REF!</definedName>
    <definedName name="kvolatilization">#REF!</definedName>
    <definedName name="kvolatilization.6box" localSheetId="4">#REF!</definedName>
    <definedName name="kvolatilization.6box">#REF!</definedName>
    <definedName name="kwet.A">global!$L$220</definedName>
    <definedName name="kwet.C">continental!$L$129</definedName>
    <definedName name="kwet.L" localSheetId="4">local!$L$75</definedName>
    <definedName name="kwet.L">local!$L$75</definedName>
    <definedName name="kwet.M">global!$L$83</definedName>
    <definedName name="kwet.R">regional!$L$123</definedName>
    <definedName name="kwet.T">global!$L$357</definedName>
    <definedName name="kwsd.sed.sdA" localSheetId="4">global!$L$252</definedName>
    <definedName name="kwsd.sed.sdA">global!$L$252</definedName>
    <definedName name="kwsd.sed.sdC" localSheetId="4">continental!$L$175</definedName>
    <definedName name="kwsd.sed.sdC">continental!$L$175</definedName>
    <definedName name="kwsd.sed.sdL" localSheetId="4">local!$L$111</definedName>
    <definedName name="kwsd.sed.sdL">local!$L$111</definedName>
    <definedName name="kwsd.sed.sdM" localSheetId="4">global!$L$115</definedName>
    <definedName name="kwsd.sed.sdM">global!$L$115</definedName>
    <definedName name="kwsd.sed.sdR" localSheetId="4">regional!$L$169</definedName>
    <definedName name="kwsd.sed.sdR">regional!$L$169</definedName>
    <definedName name="kwsd.sed.sdT" localSheetId="4">global!$L$389</definedName>
    <definedName name="kwsd.sed.sdT">global!$L$389</definedName>
    <definedName name="kwsd.water.wA" localSheetId="4">global!$L$251</definedName>
    <definedName name="kwsd.water.wA">global!$L$251</definedName>
    <definedName name="kwsd.water.wC" localSheetId="4">continental!$L$174</definedName>
    <definedName name="kwsd.water.wC">continental!$L$174</definedName>
    <definedName name="kwsd.water.wL" localSheetId="4">local!$L$110</definedName>
    <definedName name="kwsd.water.wL">local!$L$110</definedName>
    <definedName name="kwsd.water.wM" localSheetId="4">global!$L$114</definedName>
    <definedName name="kwsd.water.wM">global!$L$114</definedName>
    <definedName name="kwsd.water.wR" localSheetId="4">regional!$L$168</definedName>
    <definedName name="kwsd.water.wR">regional!$L$168</definedName>
    <definedName name="kwsd.water.wT" localSheetId="4">global!$L$388</definedName>
    <definedName name="kwsd.water.wT">global!$L$388</definedName>
    <definedName name="LEACHflow.sL">local!$L$134</definedName>
    <definedName name="Locator.L" localSheetId="4">#REF!</definedName>
    <definedName name="Locator.L">#REF!</definedName>
    <definedName name="Locator.R" localSheetId="4">#REF!</definedName>
    <definedName name="Locator.R">#REF!</definedName>
    <definedName name="LOSSair.I" localSheetId="4">#REF!</definedName>
    <definedName name="LOSSair.I">#REF!</definedName>
    <definedName name="LOSSair.II" localSheetId="4">#REF!</definedName>
    <definedName name="LOSSair.II">#REF!</definedName>
    <definedName name="LOSSair.III" localSheetId="4">#REF!</definedName>
    <definedName name="LOSSair.III">#REF!</definedName>
    <definedName name="LOSSother.I" localSheetId="4">#REF!</definedName>
    <definedName name="LOSSother.I">#REF!</definedName>
    <definedName name="LOSSother.II" localSheetId="4">#REF!</definedName>
    <definedName name="LOSSother.II">#REF!</definedName>
    <definedName name="LOSSother.III" localSheetId="4">#REF!</definedName>
    <definedName name="LOSSother.III">#REF!</definedName>
    <definedName name="LOSSsoil.I" localSheetId="4">#REF!</definedName>
    <definedName name="LOSSsoil.I">#REF!</definedName>
    <definedName name="LOSSsoil.II" localSheetId="4">#REF!</definedName>
    <definedName name="LOSSsoil.II">#REF!</definedName>
    <definedName name="LOSSsoil.III" localSheetId="4">#REF!</definedName>
    <definedName name="LOSSsoil.III">#REF!</definedName>
    <definedName name="LOSSwater.I" localSheetId="4">#REF!</definedName>
    <definedName name="LOSSwater.I">#REF!</definedName>
    <definedName name="LOSSwater.II" localSheetId="4">#REF!</definedName>
    <definedName name="LOSSwater.II">#REF!</definedName>
    <definedName name="LOSSwater.III" localSheetId="4">#REF!</definedName>
    <definedName name="LOSSwater.III">#REF!</definedName>
    <definedName name="M.aA" localSheetId="4">engine!$AE$49</definedName>
    <definedName name="M.aA">engine!$AE$49</definedName>
    <definedName name="M.aC" localSheetId="4">engine!$Q$49</definedName>
    <definedName name="M.aC">engine!$Q$49</definedName>
    <definedName name="M.aL" localSheetId="4">engine!$D$49</definedName>
    <definedName name="M.aL">engine!$D$49</definedName>
    <definedName name="M.aM" localSheetId="4">engine!$Z$49</definedName>
    <definedName name="M.aM">engine!$Z$49</definedName>
    <definedName name="M.aR" localSheetId="4">engine!$H$49</definedName>
    <definedName name="M.aR">engine!$H$49</definedName>
    <definedName name="M.aT" localSheetId="4">engine!$AJ$49</definedName>
    <definedName name="M.aT">engine!$AJ$49</definedName>
    <definedName name="M.s1C" localSheetId="4">engine!$W$49</definedName>
    <definedName name="M.s1C">engine!$W$49</definedName>
    <definedName name="M.s1R" localSheetId="4">engine!$N$49</definedName>
    <definedName name="M.s1R">engine!$N$49</definedName>
    <definedName name="M.s2C" localSheetId="4">engine!$X$49</definedName>
    <definedName name="M.s2C">engine!$X$49</definedName>
    <definedName name="M.s2R" localSheetId="4">engine!$O$49</definedName>
    <definedName name="M.s2R">engine!$O$49</definedName>
    <definedName name="M.s3C" localSheetId="4">engine!$Y$49</definedName>
    <definedName name="M.s3C">engine!$Y$49</definedName>
    <definedName name="M.s3R" localSheetId="4">engine!$P$49</definedName>
    <definedName name="M.s3R">engine!$P$49</definedName>
    <definedName name="M.sA" localSheetId="4">engine!$AI$49</definedName>
    <definedName name="M.sA">engine!$AI$49</definedName>
    <definedName name="M.sd1C" localSheetId="4">engine!$U$49</definedName>
    <definedName name="M.sd1C">engine!$U$49</definedName>
    <definedName name="M.sd1R" localSheetId="4">engine!$L$49</definedName>
    <definedName name="M.sd1R">engine!$L$49</definedName>
    <definedName name="M.sd2C" localSheetId="4">engine!$V$49</definedName>
    <definedName name="M.sd2C">engine!$V$49</definedName>
    <definedName name="M.sd2R" localSheetId="4">engine!$M$49</definedName>
    <definedName name="M.sd2R">engine!$M$49</definedName>
    <definedName name="M.sdA" localSheetId="4">engine!$AH$49</definedName>
    <definedName name="M.sdA">engine!$AH$49</definedName>
    <definedName name="M.sdL">engine!$G$49</definedName>
    <definedName name="M.sdM" localSheetId="4">engine!$AC$49</definedName>
    <definedName name="M.sdM">engine!$AC$49</definedName>
    <definedName name="M.sdT" localSheetId="4">engine!$AM$49</definedName>
    <definedName name="M.sdT">engine!$AM$49</definedName>
    <definedName name="M.sL">engine!$F$49</definedName>
    <definedName name="M.sM" localSheetId="4">engine!$AD$49</definedName>
    <definedName name="M.sM">engine!$AD$49</definedName>
    <definedName name="M.sT" localSheetId="4">engine!$AN$49</definedName>
    <definedName name="M.sT">engine!$AN$49</definedName>
    <definedName name="M.tot" localSheetId="4">engine!$C$49</definedName>
    <definedName name="M.tot">engine!$C$49</definedName>
    <definedName name="M.w0C" localSheetId="4">engine!$R$49</definedName>
    <definedName name="M.w0C">engine!$R$49</definedName>
    <definedName name="M.w0R" localSheetId="4">engine!$I$49</definedName>
    <definedName name="M.w0R">engine!$I$49</definedName>
    <definedName name="M.w1C" localSheetId="4">engine!$S$49</definedName>
    <definedName name="M.w1C">engine!$S$49</definedName>
    <definedName name="M.w1R" localSheetId="4">engine!$J$49</definedName>
    <definedName name="M.w1R">engine!$J$49</definedName>
    <definedName name="M.w2A" localSheetId="4">engine!$AF$49</definedName>
    <definedName name="M.w2A">engine!$AF$49</definedName>
    <definedName name="M.w2C" localSheetId="4">engine!$T$49</definedName>
    <definedName name="M.w2C">engine!$T$49</definedName>
    <definedName name="M.w2M" localSheetId="4">engine!$AA$49</definedName>
    <definedName name="M.w2M">engine!$AA$49</definedName>
    <definedName name="M.w2R" localSheetId="4">engine!$K$49</definedName>
    <definedName name="M.w2R">engine!$K$49</definedName>
    <definedName name="M.w2T" localSheetId="4">engine!$AK$49</definedName>
    <definedName name="M.w2T">engine!$AK$49</definedName>
    <definedName name="M.w3A" localSheetId="4">engine!$AG$49</definedName>
    <definedName name="M.w3A">engine!$AG$49</definedName>
    <definedName name="M.w3M" localSheetId="4">engine!$AB$49</definedName>
    <definedName name="M.w3M">engine!$AB$49</definedName>
    <definedName name="M.w3T" localSheetId="4">engine!$AL$49</definedName>
    <definedName name="M.w3T">engine!$AL$49</definedName>
    <definedName name="M.wL">engine!$E$49</definedName>
    <definedName name="m0">dynamicR!$K$5:$AQ$5</definedName>
    <definedName name="mass">engine!$D$49:$AN$49</definedName>
    <definedName name="MeanDep.A">global!$L$217</definedName>
    <definedName name="MeanDep.C">continental!$L$126</definedName>
    <definedName name="MeanDep.M">global!$L$80</definedName>
    <definedName name="MeanDep.R">regional!$L$120</definedName>
    <definedName name="MeanDep.T">global!$L$354</definedName>
    <definedName name="MeanRem.aA">global!$L$218</definedName>
    <definedName name="MeanRem.aC">continental!$L$127</definedName>
    <definedName name="MeanRem.aM">global!$L$81</definedName>
    <definedName name="MeanRem.aR">regional!$L$121</definedName>
    <definedName name="MeanRem.aT">global!$L$355</definedName>
    <definedName name="Molecular_weight" localSheetId="4">#REF!</definedName>
    <definedName name="Molecular_weight">#REF!</definedName>
    <definedName name="Molweight" localSheetId="4">input!$P$15</definedName>
    <definedName name="Molweight">input!$P$15</definedName>
    <definedName name="MTCas.air.aA" localSheetId="4">global!$L$236</definedName>
    <definedName name="MTCas.air.aA">global!$L$236</definedName>
    <definedName name="MTCas.air.aC" localSheetId="4">continental!$L$147</definedName>
    <definedName name="MTCas.air.aC">continental!$L$147</definedName>
    <definedName name="MTCas.air.aM" localSheetId="4">global!$L$99</definedName>
    <definedName name="MTCas.air.aM">global!$L$99</definedName>
    <definedName name="MTCas.air.aR" localSheetId="4">regional!$L$141</definedName>
    <definedName name="MTCas.air.aR">regional!$L$141</definedName>
    <definedName name="MTCas.air.aT" localSheetId="4">global!$L$373</definedName>
    <definedName name="MTCas.air.aT">global!$L$373</definedName>
    <definedName name="MTCas.soil.sA" localSheetId="4">global!$L$237</definedName>
    <definedName name="MTCas.soil.sA">global!$L$237</definedName>
    <definedName name="MTCas.soil.sC" localSheetId="4">continental!$L$148</definedName>
    <definedName name="MTCas.soil.sC">continental!$L$148</definedName>
    <definedName name="MTCas.soil.sM" localSheetId="4">global!$L$100</definedName>
    <definedName name="MTCas.soil.sM">global!$L$100</definedName>
    <definedName name="MTCas.soil.sR" localSheetId="4">regional!$L$142</definedName>
    <definedName name="MTCas.soil.sR">regional!$L$142</definedName>
    <definedName name="MTCas.soil.sT" localSheetId="4">global!$L$374</definedName>
    <definedName name="MTCas.soil.sT">global!$L$374</definedName>
    <definedName name="MTCaw.air.aA" localSheetId="4">global!$L$233</definedName>
    <definedName name="MTCaw.air.aA">global!$L$233</definedName>
    <definedName name="MTCaw.air.aC" localSheetId="4">continental!$L$142</definedName>
    <definedName name="MTCaw.air.aC">continental!$L$142</definedName>
    <definedName name="MTCaw.air.aM" localSheetId="4">global!$L$96</definedName>
    <definedName name="MTCaw.air.aM">global!$L$96</definedName>
    <definedName name="MTCaw.air.aR" localSheetId="4">regional!$L$136</definedName>
    <definedName name="MTCaw.air.aR">regional!$L$136</definedName>
    <definedName name="MTCaw.air.aT" localSheetId="4">global!$L$370</definedName>
    <definedName name="MTCaw.air.aT">global!$L$370</definedName>
    <definedName name="MTCaw.water.wA" localSheetId="4">global!$L$234</definedName>
    <definedName name="MTCaw.water.wA">global!$L$234</definedName>
    <definedName name="MTCaw.water.wC" localSheetId="4">continental!$L$143</definedName>
    <definedName name="MTCaw.water.wC">continental!$L$143</definedName>
    <definedName name="MTCaw.water.wM" localSheetId="4">global!$L$97</definedName>
    <definedName name="MTCaw.water.wM">global!$L$97</definedName>
    <definedName name="MTCaw.water.wR" localSheetId="4">regional!$L$137</definedName>
    <definedName name="MTCaw.water.wR">regional!$L$137</definedName>
    <definedName name="MTCaw.water.wT" localSheetId="4">global!$L$371</definedName>
    <definedName name="MTCaw.water.wT">global!$L$371</definedName>
    <definedName name="NETsedrate.w1C" localSheetId="4">continental!$L$166</definedName>
    <definedName name="NETsedrate.w1C">continental!$L$166</definedName>
    <definedName name="NETsedrate.w1R" localSheetId="4">regional!$L$160</definedName>
    <definedName name="NETsedrate.w1R">regional!$L$160</definedName>
    <definedName name="NETsedrate.w2C" localSheetId="4">continental!$L$167</definedName>
    <definedName name="NETsedrate.w2C">continental!$L$167</definedName>
    <definedName name="NETsedrate.w2R" localSheetId="4">regional!$L$161</definedName>
    <definedName name="NETsedrate.w2R">regional!$L$161</definedName>
    <definedName name="NETsedrate.wA" localSheetId="4">global!$L$247</definedName>
    <definedName name="NETsedrate.wA">global!$L$247</definedName>
    <definedName name="NETsedrate.wL" localSheetId="4">local!$L$106</definedName>
    <definedName name="NETsedrate.wL">local!$L$106</definedName>
    <definedName name="NETsedrate.wM" localSheetId="4">global!$L$110</definedName>
    <definedName name="NETsedrate.wM">global!$L$110</definedName>
    <definedName name="NETsedrate.wT" localSheetId="4">global!$L$384</definedName>
    <definedName name="NETsedrate.wT">global!$L$384</definedName>
    <definedName name="NewMatrix1" localSheetId="4">Correlations!$E$3:$J$8</definedName>
    <definedName name="NewMatrix1">Correlations!$E$3:$J$8</definedName>
    <definedName name="NewMatrix2" localSheetId="4">Correlations!$E$11:$G$13</definedName>
    <definedName name="NewMatrix2">Correlations!$E$11:$G$13</definedName>
    <definedName name="NewMatrix3">Correlations!$E$16:$G$18</definedName>
    <definedName name="Number_inhabitants" localSheetId="4">#REF!</definedName>
    <definedName name="Number_inhabitants">#REF!</definedName>
    <definedName name="OceanCurrent" localSheetId="4">global!$L$38</definedName>
    <definedName name="OceanCurrent">global!$L$38</definedName>
    <definedName name="OceanMixing.A" localSheetId="4">global!$L$178</definedName>
    <definedName name="OceanMixing.A">global!$L$178</definedName>
    <definedName name="OceanMixing.M" localSheetId="4">global!$L$41</definedName>
    <definedName name="OceanMixing.M">global!$L$41</definedName>
    <definedName name="OceanMixing.T" localSheetId="4">global!$L$315</definedName>
    <definedName name="OceanMixing.T">global!$L$315</definedName>
    <definedName name="out.6box" localSheetId="4">#REF!</definedName>
    <definedName name="out.6box">#REF!</definedName>
    <definedName name="Oxygen_concentration" localSheetId="4">#REF!</definedName>
    <definedName name="Oxygen_concentration">#REF!</definedName>
    <definedName name="Oxygen_requirement" localSheetId="4">#REF!</definedName>
    <definedName name="Oxygen_requirement">#REF!</definedName>
    <definedName name="Oxygen_requirement.6box" localSheetId="4">#REF!</definedName>
    <definedName name="Oxygen_requirement.6box">#REF!</definedName>
    <definedName name="Pal_Workbook_GUID" hidden="1">"CZVVFRCV4SDTG5MP8V3PN29F"</definedName>
    <definedName name="PENdepth.sL" localSheetId="4">local!$L$93</definedName>
    <definedName name="PENdepth.sL">local!$L$93</definedName>
    <definedName name="pH" localSheetId="4">#REF!</definedName>
    <definedName name="pH">#REF!</definedName>
    <definedName name="pH.aerw" localSheetId="4">input!$P$159</definedName>
    <definedName name="pH.aerw">input!$P$159</definedName>
    <definedName name="pH.s1" localSheetId="4">input!$P$162</definedName>
    <definedName name="pH.s1">input!$P$162</definedName>
    <definedName name="pH.s2" localSheetId="4">input!$P$163</definedName>
    <definedName name="pH.s2">input!$P$163</definedName>
    <definedName name="pH.s3" localSheetId="4">input!$P$164</definedName>
    <definedName name="pH.s3">input!$P$164</definedName>
    <definedName name="pH.w1" localSheetId="4">input!$P$160</definedName>
    <definedName name="pH.w1">input!$P$160</definedName>
    <definedName name="pH.w2" localSheetId="4">input!$P$161</definedName>
    <definedName name="pH.w2">input!$P$161</definedName>
    <definedName name="phi_ionised" localSheetId="4">#REF!</definedName>
    <definedName name="phi_ionised">#REF!</definedName>
    <definedName name="phi_neutral" localSheetId="4">#REF!</definedName>
    <definedName name="phi_neutral">#REF!</definedName>
    <definedName name="pKa" localSheetId="4">input!$P$22</definedName>
    <definedName name="pKa">input!$P$22</definedName>
    <definedName name="pKab">input!$P$22</definedName>
    <definedName name="PRODsusp.w1C">continental!$L$168</definedName>
    <definedName name="PRODsusp.w1R">regional!$L$162</definedName>
    <definedName name="PRODsusp.w2C">continental!$L$169</definedName>
    <definedName name="PRODsusp.w2R">regional!$L$163</definedName>
    <definedName name="PRODsusp.wA">global!$L$248</definedName>
    <definedName name="PRODsusp.wL">local!$L$107</definedName>
    <definedName name="PRODsusp.wM">global!$L$111</definedName>
    <definedName name="PRODsusp.wT">global!$L$385</definedName>
    <definedName name="ProdUse1" localSheetId="4">#REF!</definedName>
    <definedName name="ProdUse1">#REF!</definedName>
    <definedName name="Produse1.int" localSheetId="4">#REF!</definedName>
    <definedName name="Produse1.int">#REF!</definedName>
    <definedName name="ProdUse10" localSheetId="4">#REF!</definedName>
    <definedName name="ProdUse10">#REF!</definedName>
    <definedName name="ProdUse10.int" localSheetId="4">#REF!</definedName>
    <definedName name="ProdUse10.int">#REF!</definedName>
    <definedName name="ProdUse11" localSheetId="4">#REF!</definedName>
    <definedName name="ProdUse11">#REF!</definedName>
    <definedName name="ProdUse11.int" localSheetId="4">#REF!</definedName>
    <definedName name="ProdUse11.int">#REF!</definedName>
    <definedName name="ProdUse12" localSheetId="4">#REF!</definedName>
    <definedName name="ProdUse12">#REF!</definedName>
    <definedName name="ProdUse12.int" localSheetId="4">#REF!</definedName>
    <definedName name="ProdUse12.int">#REF!</definedName>
    <definedName name="ProdUse2" localSheetId="4">#REF!</definedName>
    <definedName name="ProdUse2">#REF!</definedName>
    <definedName name="ProdUse2.int" localSheetId="4">#REF!</definedName>
    <definedName name="ProdUse2.int">#REF!</definedName>
    <definedName name="ProdUse3" localSheetId="4">#REF!</definedName>
    <definedName name="ProdUse3">#REF!</definedName>
    <definedName name="ProdUse3.int" localSheetId="4">#REF!</definedName>
    <definedName name="ProdUse3.int">#REF!</definedName>
    <definedName name="ProdUse4" localSheetId="4">#REF!</definedName>
    <definedName name="ProdUse4">#REF!</definedName>
    <definedName name="ProdUse4.int" localSheetId="4">#REF!</definedName>
    <definedName name="ProdUse4.int">#REF!</definedName>
    <definedName name="ProdUse5" localSheetId="4">#REF!</definedName>
    <definedName name="ProdUse5">#REF!</definedName>
    <definedName name="produse5.int" localSheetId="4">#REF!</definedName>
    <definedName name="produse5.int">#REF!</definedName>
    <definedName name="ProdUse6" localSheetId="4">#REF!</definedName>
    <definedName name="ProdUse6">#REF!</definedName>
    <definedName name="produse6.int" localSheetId="4">#REF!</definedName>
    <definedName name="produse6.int">#REF!</definedName>
    <definedName name="ProdUse7" localSheetId="4">#REF!</definedName>
    <definedName name="ProdUse7">#REF!</definedName>
    <definedName name="ProdUse7.int" localSheetId="4">#REF!</definedName>
    <definedName name="ProdUse7.int">#REF!</definedName>
    <definedName name="ProdUse8" localSheetId="4">#REF!</definedName>
    <definedName name="ProdUse8">#REF!</definedName>
    <definedName name="ProdUse8.int" localSheetId="4">#REF!</definedName>
    <definedName name="ProdUse8.int">#REF!</definedName>
    <definedName name="ProdUse9" localSheetId="4">#REF!</definedName>
    <definedName name="ProdUse9">#REF!</definedName>
    <definedName name="ProdUse9.int" localSheetId="4">#REF!</definedName>
    <definedName name="ProdUse9.int">#REF!</definedName>
    <definedName name="Psi" localSheetId="4">#REF!</definedName>
    <definedName name="Psi">#REF!</definedName>
    <definedName name="Pvap25" localSheetId="4">input!$P$35</definedName>
    <definedName name="Pvap25">input!$P$35</definedName>
    <definedName name="Q.10" localSheetId="4">input!$P$73</definedName>
    <definedName name="Q.10">input!$P$73</definedName>
    <definedName name="QSARtable" localSheetId="4">input!$C$42:$Q$64</definedName>
    <definedName name="QSARtable">input!$C$42:$Q$64</definedName>
    <definedName name="R_" localSheetId="4">#REF!</definedName>
    <definedName name="R_">#REF!</definedName>
    <definedName name="RAINflow.aL.wL" localSheetId="4">local!$L$35</definedName>
    <definedName name="RAINflow.aL.wL">local!$L$35</definedName>
    <definedName name="RAINrate.A" localSheetId="4">global!$L$227</definedName>
    <definedName name="RAINrate.A">global!$L$227</definedName>
    <definedName name="RAINrate.C" localSheetId="4">input!$P$150</definedName>
    <definedName name="RAINrate.C">input!$P$150</definedName>
    <definedName name="RAINrate.L" localSheetId="4">local!$L$82</definedName>
    <definedName name="RAINrate.L">local!$L$82</definedName>
    <definedName name="RAINrate.M" localSheetId="4">global!$L$90</definedName>
    <definedName name="RAINrate.M">global!$L$90</definedName>
    <definedName name="RAINrate.R" localSheetId="4">input!$P$132</definedName>
    <definedName name="RAINrate.R">input!$P$132</definedName>
    <definedName name="RAINrate.T" localSheetId="4">global!$L$364</definedName>
    <definedName name="RAINrate.T">global!$L$364</definedName>
    <definedName name="regiodata">scenarios!$K$1:$AG$81</definedName>
    <definedName name="RelARABLE" localSheetId="4">#REF!</definedName>
    <definedName name="RelARABLE">#REF!</definedName>
    <definedName name="RelARABLE.L" localSheetId="4">#REF!</definedName>
    <definedName name="RelARABLE.L">#REF!</definedName>
    <definedName name="RelARABLE.R" localSheetId="4">#REF!</definedName>
    <definedName name="RelARABLE.R">#REF!</definedName>
    <definedName name="RelAREA" localSheetId="4">#REF!</definedName>
    <definedName name="RelAREA">#REF!</definedName>
    <definedName name="RelAREA.L" localSheetId="4">#REF!</definedName>
    <definedName name="RelAREA.L">#REF!</definedName>
    <definedName name="RelAREA.R" localSheetId="4">#REF!</definedName>
    <definedName name="RelAREA.R">#REF!</definedName>
    <definedName name="RelGDEP.L" localSheetId="4">#REF!</definedName>
    <definedName name="RelGDEP.L">#REF!</definedName>
    <definedName name="RelGDEP.R" localSheetId="4">#REF!</definedName>
    <definedName name="RelGDEP.R">#REF!</definedName>
    <definedName name="RelGDPEP.R" localSheetId="4">#REF!</definedName>
    <definedName name="RelGDPEP.R">#REF!</definedName>
    <definedName name="RelGEDP.L" localSheetId="4">#REF!</definedName>
    <definedName name="RelGEDP.L">#REF!</definedName>
    <definedName name="RelGNP" localSheetId="4">#REF!</definedName>
    <definedName name="RelGNP">#REF!</definedName>
    <definedName name="RelGNP.L" localSheetId="4">#REF!</definedName>
    <definedName name="RelGNP.L">#REF!</definedName>
    <definedName name="RelGNP.R" localSheetId="4">#REF!</definedName>
    <definedName name="RelGNP.R">#REF!</definedName>
    <definedName name="RelGNP.U" localSheetId="4">#REF!</definedName>
    <definedName name="RelGNP.U">#REF!</definedName>
    <definedName name="RelPOP" localSheetId="4">#REF!</definedName>
    <definedName name="RelPOP">#REF!</definedName>
    <definedName name="RelPOP.L" localSheetId="4">#REF!</definedName>
    <definedName name="RelPOP.L">#REF!</definedName>
    <definedName name="RelPOP.R" localSheetId="4">#REF!</definedName>
    <definedName name="RelPOP.R">#REF!</definedName>
    <definedName name="RelPOP.U" localSheetId="4">#REF!</definedName>
    <definedName name="RelPOP.U">#REF!</definedName>
    <definedName name="RelTRAFFIC" localSheetId="4">#REF!</definedName>
    <definedName name="RelTRAFFIC">#REF!</definedName>
    <definedName name="RelTRAFFIC.L" localSheetId="4">#REF!</definedName>
    <definedName name="RelTRAFFIC.L">#REF!</definedName>
    <definedName name="RelTRAFFIC.R" localSheetId="4">#REF!</definedName>
    <definedName name="RelTRAFFIC.R">#REF!</definedName>
    <definedName name="RelTRAFFIC.U" localSheetId="4">#REF!</definedName>
    <definedName name="RelTRAFFIC.U">#REF!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global!$L$243</definedName>
    <definedName name="RESUSP.sdL.wL" localSheetId="4">local!$L$102</definedName>
    <definedName name="RESUSP.sdL.wL">local!$L$102</definedName>
    <definedName name="RESUSP.sdM.w3M">global!$L$106</definedName>
    <definedName name="RESUSP.sdT.w3T">global!$L$380</definedName>
    <definedName name="RESUSPrate.sd1C" localSheetId="4">continental!$L$162</definedName>
    <definedName name="RESUSPrate.sd1C">continental!$L$162</definedName>
    <definedName name="RESUSPrate.sd1R" localSheetId="4">regional!$L$156</definedName>
    <definedName name="RESUSPrate.sd1R">regional!$L$156</definedName>
    <definedName name="RESUSPrate.sd2C" localSheetId="4">continental!$L$164</definedName>
    <definedName name="RESUSPrate.sd2C">continental!$L$164</definedName>
    <definedName name="RESUSPrate.sd2R" localSheetId="4">regional!$L$158</definedName>
    <definedName name="RESUSPrate.sd2R">regional!$L$158</definedName>
    <definedName name="RESUSPrate.sdA" localSheetId="4">global!$L$245</definedName>
    <definedName name="RESUSPrate.sdA">global!$L$245</definedName>
    <definedName name="RESUSPrate.sdL" localSheetId="4">local!$L$104</definedName>
    <definedName name="RESUSPrate.sdL">local!$L$104</definedName>
    <definedName name="RESUSPrate.sdM" localSheetId="4">global!$L$108</definedName>
    <definedName name="RESUSPrate.sdM">global!$L$108</definedName>
    <definedName name="RESUSPrate.sdT" localSheetId="4">global!$L$382</definedName>
    <definedName name="RESUSPrate.sdT">global!$L$382</definedName>
    <definedName name="RHOaers" localSheetId="4">input!$P$169</definedName>
    <definedName name="RHOaers">input!$P$169</definedName>
    <definedName name="RHOsolid" localSheetId="4">input!$P$170</definedName>
    <definedName name="RHOsolid">input!$P$170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1217100632</definedName>
    <definedName name="RiskHasSettings" hidden="1">8</definedName>
    <definedName name="RiskMinimizeOnStart" hidden="1">TRUE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imulationResultsStorageLocation" hidden="1">"2"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out.I" localSheetId="4">dynamicR!$J$12</definedName>
    <definedName name="Rout.I">dynamicR!$J$12</definedName>
    <definedName name="Rout.II">dynamicR!$J$62</definedName>
    <definedName name="RUNOFFflow.sL.wL">local!$L$114</definedName>
    <definedName name="Sablic1" localSheetId="4">#REF!</definedName>
    <definedName name="Sablic1">#REF!</definedName>
    <definedName name="Sablic2" localSheetId="4">#REF!</definedName>
    <definedName name="Sablic2">#REF!</definedName>
    <definedName name="Scale" localSheetId="4">dynamicR!$F$5</definedName>
    <definedName name="Scale">dynamicR!$F$5</definedName>
    <definedName name="ScenarioData">scenarios!$J$3:$AG$81</definedName>
    <definedName name="ScenarioName" localSheetId="4">input!$P$8</definedName>
    <definedName name="ScenarioName">input!$P$8</definedName>
    <definedName name="ScenarioNames" localSheetId="4">scenarios!$J$3:$AF$3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global!$L$242</definedName>
    <definedName name="SED.w3M.sdM">global!$L$105</definedName>
    <definedName name="SED.w3T.sdT">global!$L$379</definedName>
    <definedName name="SED.wL.sdL" localSheetId="4">local!$L$101</definedName>
    <definedName name="SED.wL.sdL">local!$L$101</definedName>
    <definedName name="SerializationHeader" localSheetId="1">RiskSerializationData8!$A$1:$B$3</definedName>
    <definedName name="SETTLvelocity.A" localSheetId="4">global!$L$246</definedName>
    <definedName name="SETTLvelocity.A">global!$L$246</definedName>
    <definedName name="SETTLvelocity.C" localSheetId="4">continental!$L$165</definedName>
    <definedName name="SETTLvelocity.C">continental!$L$165</definedName>
    <definedName name="SETTLvelocity.L" localSheetId="4">local!$L$105</definedName>
    <definedName name="SETTLvelocity.L">local!$L$105</definedName>
    <definedName name="SETTLvelocity.M" localSheetId="4">global!$L$109</definedName>
    <definedName name="SETTLvelocity.M">global!$L$109</definedName>
    <definedName name="SETTLvelocity.R" localSheetId="4">regional!$L$159</definedName>
    <definedName name="SETTLvelocity.R">regional!$L$159</definedName>
    <definedName name="SETTLvelocity.T" localSheetId="4">global!$L$383</definedName>
    <definedName name="SETTLvelocity.T">global!$L$383</definedName>
    <definedName name="Sewage_flow" localSheetId="4">#REF!</definedName>
    <definedName name="Sewage_flow">#REF!</definedName>
    <definedName name="Sludge_loading_rate" localSheetId="4">#REF!</definedName>
    <definedName name="Sludge_loading_rate">#REF!</definedName>
    <definedName name="SO" localSheetId="4">#REF!</definedName>
    <definedName name="SO">#REF!</definedName>
    <definedName name="SOLIDadv.sL" localSheetId="4">local!$L$96</definedName>
    <definedName name="SOLIDadv.sL">local!$L$96</definedName>
    <definedName name="SOLIDdiff.sL" localSheetId="4">local!$L$97</definedName>
    <definedName name="SOLIDdiff.sL">local!$L$97</definedName>
    <definedName name="Solubility" localSheetId="4">#REF!</definedName>
    <definedName name="Solubility">#REF!</definedName>
    <definedName name="SOLw25" localSheetId="4">input!$P$37</definedName>
    <definedName name="SOLw25">input!$P$37</definedName>
    <definedName name="SPERC_IS">[1]Descriptors!$C$301:$P$301</definedName>
    <definedName name="SRT" localSheetId="4">#REF!</definedName>
    <definedName name="SRT">#REF!</definedName>
    <definedName name="SRT.6box" localSheetId="4">#REF!</definedName>
    <definedName name="SRT.6box">#REF!</definedName>
    <definedName name="STPconnect" localSheetId="4">#REF!</definedName>
    <definedName name="STPconnect">#REF!</definedName>
    <definedName name="SubstanceData" localSheetId="4">substances!$A$9:$V$1048576</definedName>
    <definedName name="SubstanceData">substances!$A$9:$V$1048576</definedName>
    <definedName name="Surplus_sludge" localSheetId="4">#REF!</definedName>
    <definedName name="Surplus_sludge">#REF!</definedName>
    <definedName name="Surplus_sludge.6box" localSheetId="4">#REF!</definedName>
    <definedName name="Surplus_sludge.6box">#REF!</definedName>
    <definedName name="SUSP.w0C" localSheetId="4">continental!$L$75</definedName>
    <definedName name="SUSP.w0C">continental!$L$75</definedName>
    <definedName name="SUSP.w0R" localSheetId="4">regional!$L$69</definedName>
    <definedName name="SUSP.w0R">regional!$L$69</definedName>
    <definedName name="SUSP.w1C" localSheetId="4">continental!$L$81</definedName>
    <definedName name="SUSP.w1C">continental!$L$81</definedName>
    <definedName name="SUSP.w1R" localSheetId="4">regional!$L$75</definedName>
    <definedName name="SUSP.w1R">regional!$L$75</definedName>
    <definedName name="SUSP.w2A" localSheetId="4">global!$L$196</definedName>
    <definedName name="SUSP.w2A">global!$L$196</definedName>
    <definedName name="SUSP.w2C" localSheetId="4">continental!$L$87</definedName>
    <definedName name="SUSP.w2C">continental!$L$87</definedName>
    <definedName name="SUSP.w2M" localSheetId="4">global!$L$59</definedName>
    <definedName name="SUSP.w2M">global!$L$59</definedName>
    <definedName name="SUSP.w2R" localSheetId="4">regional!$L$81</definedName>
    <definedName name="SUSP.w2R">regional!$L$81</definedName>
    <definedName name="SUSP.w2T" localSheetId="4">global!$L$333</definedName>
    <definedName name="SUSP.w2T">global!$L$333</definedName>
    <definedName name="SUSP.w3A" localSheetId="4">global!$L$197</definedName>
    <definedName name="SUSP.w3A">global!$L$197</definedName>
    <definedName name="SUSP.w3M" localSheetId="4">global!$L$60</definedName>
    <definedName name="SUSP.w3M">global!$L$60</definedName>
    <definedName name="SUSP.w3T" localSheetId="4">global!$L$334</definedName>
    <definedName name="SUSP.w3T">global!$L$334</definedName>
    <definedName name="SUSP.wL" localSheetId="4">local!$L$52</definedName>
    <definedName name="SUSP.wL">local!$L$52</definedName>
    <definedName name="SYSTEMAREA.A" localSheetId="4">global!$L$154</definedName>
    <definedName name="SYSTEMAREA.A">global!$L$154</definedName>
    <definedName name="SYSTEMAREA.C" localSheetId="4">continental!$L$14</definedName>
    <definedName name="SYSTEMAREA.C">continental!$L$14</definedName>
    <definedName name="SYSTEMAREA.L" localSheetId="4">local!$L$9</definedName>
    <definedName name="SYSTEMAREA.L">local!$L$9</definedName>
    <definedName name="SYSTEMAREA.M" localSheetId="4">global!$L$10</definedName>
    <definedName name="SYSTEMAREA.M">global!$L$10</definedName>
    <definedName name="SYSTEMAREA.R" localSheetId="4">regional!$L$14</definedName>
    <definedName name="SYSTEMAREA.R">regional!$L$14</definedName>
    <definedName name="SYSTEMAREA.T" localSheetId="4">global!$L$291</definedName>
    <definedName name="SYSTEMAREA.T">global!$L$291</definedName>
    <definedName name="T_air" localSheetId="4">#REF!</definedName>
    <definedName name="T_air">#REF!</definedName>
    <definedName name="T_water" localSheetId="4">#REF!</definedName>
    <definedName name="T_water">#REF!</definedName>
    <definedName name="t1_2_aeration" localSheetId="4">#REF!</definedName>
    <definedName name="t1_2_aeration">#REF!</definedName>
    <definedName name="t1_2_PS" localSheetId="4">#REF!</definedName>
    <definedName name="t1_2_PS">#REF!</definedName>
    <definedName name="t1_2_SLS" localSheetId="4">#REF!</definedName>
    <definedName name="t1_2_SLS">#REF!</definedName>
    <definedName name="table" localSheetId="4">#REF!</definedName>
    <definedName name="table">#REF!</definedName>
    <definedName name="TAU.aA" localSheetId="4">global!$L$171</definedName>
    <definedName name="TAU.aA">global!$L$171</definedName>
    <definedName name="TAU.aC" localSheetId="4">continental!$L$46</definedName>
    <definedName name="TAU.aC">continental!$L$46</definedName>
    <definedName name="TAU.aL" localSheetId="4">local!$L$27</definedName>
    <definedName name="TAU.aL">local!$L$27</definedName>
    <definedName name="TAU.aR" localSheetId="4">regional!$L$45</definedName>
    <definedName name="TAU.aR">regional!$L$45</definedName>
    <definedName name="TAU.aT" localSheetId="4">global!$L$308</definedName>
    <definedName name="TAU.aT">global!$L$308</definedName>
    <definedName name="TAU.surfA" localSheetId="4">global!$L$179</definedName>
    <definedName name="TAU.surfA">global!$L$179</definedName>
    <definedName name="TAU.surfM" localSheetId="4">global!$L$42</definedName>
    <definedName name="TAU.surfM">global!$L$42</definedName>
    <definedName name="TAU.surfT" localSheetId="4">global!$L$316</definedName>
    <definedName name="TAU.surfT">global!$L$316</definedName>
    <definedName name="TAU.w2C" localSheetId="4">continental!$L$62</definedName>
    <definedName name="TAU.w2C">continental!$L$62</definedName>
    <definedName name="tdry.A" localSheetId="4">global!$L$221</definedName>
    <definedName name="tdry.A">global!$L$221</definedName>
    <definedName name="tdry.C" localSheetId="4">continental!$L$130</definedName>
    <definedName name="tdry.C">continental!$L$130</definedName>
    <definedName name="tdry.L" localSheetId="4">local!$L$76</definedName>
    <definedName name="tdry.L">local!$L$76</definedName>
    <definedName name="tdry.M" localSheetId="4">global!$L$84</definedName>
    <definedName name="tdry.M">global!$L$84</definedName>
    <definedName name="tdry.R" localSheetId="4">regional!$L$124</definedName>
    <definedName name="tdry.R">regional!$L$124</definedName>
    <definedName name="tdry.T" localSheetId="4">global!$L$358</definedName>
    <definedName name="tdry.T">global!$L$358</definedName>
    <definedName name="TEMP.A" localSheetId="4">global!$L$187</definedName>
    <definedName name="TEMP.A">global!$L$187</definedName>
    <definedName name="TEMP.C" localSheetId="4">input!$P$148</definedName>
    <definedName name="TEMP.C">input!$P$148</definedName>
    <definedName name="TEMP.L" localSheetId="4">input!$P$118</definedName>
    <definedName name="TEMP.L">input!$P$118</definedName>
    <definedName name="TEMP.M" localSheetId="4">global!$L$50</definedName>
    <definedName name="TEMP.M">global!$L$50</definedName>
    <definedName name="TEMP.R" localSheetId="4">input!$P$130</definedName>
    <definedName name="TEMP.R">input!$P$130</definedName>
    <definedName name="TEMP.T" localSheetId="4">global!$L$324</definedName>
    <definedName name="TEMP.T">global!$L$324</definedName>
    <definedName name="Tempfactor.aA" localSheetId="4">global!$L$269</definedName>
    <definedName name="Tempfactor.aA">global!$L$269</definedName>
    <definedName name="Tempfactor.aC" localSheetId="4">continental!$L$204</definedName>
    <definedName name="Tempfactor.aC">continental!$L$204</definedName>
    <definedName name="Tempfactor.aL" localSheetId="4">local!$L$129</definedName>
    <definedName name="Tempfactor.aL">local!$L$129</definedName>
    <definedName name="Tempfactor.aM" localSheetId="4">global!$L$132</definedName>
    <definedName name="Tempfactor.aM">global!$L$132</definedName>
    <definedName name="Tempfactor.aR" localSheetId="4">regional!$L$198</definedName>
    <definedName name="Tempfactor.aR">regional!$L$198</definedName>
    <definedName name="Tempfactor.aT" localSheetId="4">global!$L$406</definedName>
    <definedName name="Tempfactor.aT">global!$L$406</definedName>
    <definedName name="Tempfactor.wsdsA" localSheetId="4">global!$L$274</definedName>
    <definedName name="Tempfactor.wsdsA">global!$L$274</definedName>
    <definedName name="Tempfactor.wsdsC" localSheetId="4">continental!$L$211</definedName>
    <definedName name="Tempfactor.wsdsC">continental!$L$211</definedName>
    <definedName name="Tempfactor.wsdsL" localSheetId="4">local!$L$132</definedName>
    <definedName name="Tempfactor.wsdsL">local!$L$132</definedName>
    <definedName name="Tempfactor.wsdsM" localSheetId="4">global!$L$137</definedName>
    <definedName name="Tempfactor.wsdsM">global!$L$137</definedName>
    <definedName name="Tempfactor.wsdsR" localSheetId="4">regional!$L$205</definedName>
    <definedName name="Tempfactor.wsdsR">regional!$L$205</definedName>
    <definedName name="Tempfactor.wsdsT" localSheetId="4">global!$L$411</definedName>
    <definedName name="Tempfactor.wsdsT">global!$L$411</definedName>
    <definedName name="tend.I">dynamicR!$I$6</definedName>
    <definedName name="tend.II">dynamicR!$I$7</definedName>
    <definedName name="Tm" localSheetId="4">input!$P$39</definedName>
    <definedName name="Tm">input!$P$39</definedName>
    <definedName name="Tonnage.I" localSheetId="4">#REF!</definedName>
    <definedName name="Tonnage.I">#REF!</definedName>
    <definedName name="Tonnage.II" localSheetId="4">#REF!</definedName>
    <definedName name="Tonnage.II">#REF!</definedName>
    <definedName name="Tonnage.III" localSheetId="4">#REF!</definedName>
    <definedName name="Tonnage.III">#REF!</definedName>
    <definedName name="twet.A" localSheetId="4">global!$L$222</definedName>
    <definedName name="twet.A">global!$L$222</definedName>
    <definedName name="twet.C" localSheetId="4">continental!$L$131</definedName>
    <definedName name="twet.C">continental!$L$131</definedName>
    <definedName name="twet.L" localSheetId="4">local!$L$77</definedName>
    <definedName name="twet.L">local!$L$77</definedName>
    <definedName name="twet.M" localSheetId="4">global!$L$85</definedName>
    <definedName name="twet.M">global!$L$85</definedName>
    <definedName name="twet.R" localSheetId="4">regional!$L$125</definedName>
    <definedName name="twet.R">regional!$L$125</definedName>
    <definedName name="twet.T" localSheetId="4">global!$L$359</definedName>
    <definedName name="twet.T">global!$L$359</definedName>
    <definedName name="UF.eumanuf" localSheetId="4">#REF!</definedName>
    <definedName name="UF.eumanuf">#REF!</definedName>
    <definedName name="UF.produse" localSheetId="4">#REF!</definedName>
    <definedName name="UF.produse">#REF!</definedName>
    <definedName name="UF.sperc" localSheetId="4">#REF!</definedName>
    <definedName name="UF.sperc">#REF!</definedName>
    <definedName name="UF.stpconnect" localSheetId="4">#REF!</definedName>
    <definedName name="UF.stpconnect">#REF!</definedName>
    <definedName name="v">engine!$D$4:$AN$4</definedName>
    <definedName name="V_1" localSheetId="4">#REF!</definedName>
    <definedName name="V_1">#REF!</definedName>
    <definedName name="V_1.6box" localSheetId="4">#REF!</definedName>
    <definedName name="V_1.6box">#REF!</definedName>
    <definedName name="V_2" localSheetId="4">#REF!</definedName>
    <definedName name="V_2">#REF!</definedName>
    <definedName name="V_3" localSheetId="4">#REF!</definedName>
    <definedName name="V_3">#REF!</definedName>
    <definedName name="V_5" localSheetId="4">#REF!</definedName>
    <definedName name="V_5">#REF!</definedName>
    <definedName name="V_5.6box" localSheetId="4">#REF!</definedName>
    <definedName name="V_5.6box">#REF!</definedName>
    <definedName name="V_6" localSheetId="4">#REF!</definedName>
    <definedName name="V_6">#REF!</definedName>
    <definedName name="V_6.6box" localSheetId="4">#REF!</definedName>
    <definedName name="V_6.6box">#REF!</definedName>
    <definedName name="V_7" localSheetId="4">#REF!</definedName>
    <definedName name="V_7">#REF!</definedName>
    <definedName name="V_7.6box" localSheetId="4">#REF!</definedName>
    <definedName name="V_7.6box">#REF!</definedName>
    <definedName name="V_8" localSheetId="4">#REF!</definedName>
    <definedName name="V_8">#REF!</definedName>
    <definedName name="V_8.6box" localSheetId="4">#REF!</definedName>
    <definedName name="V_8.6box">#REF!</definedName>
    <definedName name="Vapour_pressure" localSheetId="4">#REF!</definedName>
    <definedName name="Vapour_pressure">#REF!</definedName>
    <definedName name="vars">dynamicR!$K$10:$AQ$10</definedName>
    <definedName name="Veff.sL" localSheetId="4">local!$L$94</definedName>
    <definedName name="Veff.sL">local!$L$94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global!$L$232</definedName>
    <definedName name="VOLAT.sM.aM">global!$L$95</definedName>
    <definedName name="VOLAT.sT.aT">global!$L$369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global!$L$231</definedName>
    <definedName name="VOLAT.w2C.aC">continental!$L$141</definedName>
    <definedName name="VOLAT.w2M.aM">global!$L$94</definedName>
    <definedName name="VOLAT.w2R.aR">regional!$L$135</definedName>
    <definedName name="VOLAT.w2T.aT">global!$L$368</definedName>
    <definedName name="VOLATflow.sL.aL" localSheetId="4">local!$L$89</definedName>
    <definedName name="VOLATflow.sL.aL">local!$L$89</definedName>
    <definedName name="VOLATflow.wL.aL" localSheetId="4">local!$L$85</definedName>
    <definedName name="VOLATflow.wL.aL">local!$L$85</definedName>
    <definedName name="VOLUME.aA" localSheetId="4">global!$L$149</definedName>
    <definedName name="VOLUME.aA">global!$L$149</definedName>
    <definedName name="VOLUME.aC" localSheetId="4">continental!$L$5</definedName>
    <definedName name="VOLUME.aC">continental!$L$5</definedName>
    <definedName name="VOLUME.aL" localSheetId="4">local!$L$5</definedName>
    <definedName name="VOLUME.aL">local!$L$5</definedName>
    <definedName name="VOLUME.aM" localSheetId="4">global!$L$5</definedName>
    <definedName name="VOLUME.aM">global!$L$5</definedName>
    <definedName name="VOLUME.aR" localSheetId="4">regional!$L$5</definedName>
    <definedName name="VOLUME.aR">regional!$L$5</definedName>
    <definedName name="VOLUME.aT" localSheetId="4">global!$L$286</definedName>
    <definedName name="VOLUME.aT">global!$L$286</definedName>
    <definedName name="VOLUME.s1C" localSheetId="4">continental!$L$11</definedName>
    <definedName name="VOLUME.s1C">continental!$L$11</definedName>
    <definedName name="VOLUME.s1R" localSheetId="4">regional!$L$11</definedName>
    <definedName name="VOLUME.s1R">regional!$L$11</definedName>
    <definedName name="VOLUME.s2C" localSheetId="4">continental!$L$12</definedName>
    <definedName name="VOLUME.s2C">continental!$L$12</definedName>
    <definedName name="VOLUME.s2R" localSheetId="4">regional!$L$12</definedName>
    <definedName name="VOLUME.s2R">regional!$L$12</definedName>
    <definedName name="VOLUME.s3C" localSheetId="4">continental!$L$13</definedName>
    <definedName name="VOLUME.s3C">continental!$L$13</definedName>
    <definedName name="VOLUME.s3R" localSheetId="4">regional!$L$13</definedName>
    <definedName name="VOLUME.s3R">regional!$L$13</definedName>
    <definedName name="VOLUME.sA" localSheetId="4">global!$L$153</definedName>
    <definedName name="VOLUME.sA">global!$L$153</definedName>
    <definedName name="VOLUME.sd1C" localSheetId="4">continental!$L$9</definedName>
    <definedName name="VOLUME.sd1C">continental!$L$9</definedName>
    <definedName name="VOLUME.sd1R" localSheetId="4">regional!$L$9</definedName>
    <definedName name="VOLUME.sd1R">regional!$L$9</definedName>
    <definedName name="VOLUME.sd2C" localSheetId="4">continental!$L$10</definedName>
    <definedName name="VOLUME.sd2C">continental!$L$10</definedName>
    <definedName name="VOLUME.sd2R" localSheetId="4">regional!$L$10</definedName>
    <definedName name="VOLUME.sd2R">regional!$L$10</definedName>
    <definedName name="VOLUME.sdA" localSheetId="4">global!$L$152</definedName>
    <definedName name="VOLUME.sdA">global!$L$152</definedName>
    <definedName name="VOLUME.sdL" localSheetId="4">local!$L$7</definedName>
    <definedName name="VOLUME.sdL">local!$L$7</definedName>
    <definedName name="VOLUME.sdM" localSheetId="4">global!$L$8</definedName>
    <definedName name="VOLUME.sdM">global!$L$8</definedName>
    <definedName name="VOLUME.sdT" localSheetId="4">global!$L$289</definedName>
    <definedName name="VOLUME.sdT">global!$L$289</definedName>
    <definedName name="VOLUME.sL" localSheetId="4">local!$L$8</definedName>
    <definedName name="VOLUME.sL">local!$L$8</definedName>
    <definedName name="VOLUME.sM" localSheetId="4">global!$L$9</definedName>
    <definedName name="VOLUME.sM">global!$L$9</definedName>
    <definedName name="VOLUME.sT" localSheetId="4">global!$L$290</definedName>
    <definedName name="VOLUME.sT">global!$L$290</definedName>
    <definedName name="VOLUME.w0C" localSheetId="4">continental!$L$6</definedName>
    <definedName name="VOLUME.w0C">continental!$L$6</definedName>
    <definedName name="VOLUME.w0R" localSheetId="4">regional!$L$6</definedName>
    <definedName name="VOLUME.w0R">regional!$L$6</definedName>
    <definedName name="VOLUME.w1C" localSheetId="4">continental!$L$7</definedName>
    <definedName name="VOLUME.w1C">continental!$L$7</definedName>
    <definedName name="VOLUME.w1R" localSheetId="4">regional!$L$7</definedName>
    <definedName name="VOLUME.w1R">regional!$L$7</definedName>
    <definedName name="VOLUME.w2A" localSheetId="4">global!$L$150</definedName>
    <definedName name="VOLUME.w2A">global!$L$150</definedName>
    <definedName name="VOLUME.w2C" localSheetId="4">continental!$L$8</definedName>
    <definedName name="VOLUME.w2C">continental!$L$8</definedName>
    <definedName name="VOLUME.w2M" localSheetId="4">global!$L$6</definedName>
    <definedName name="VOLUME.w2M">global!$L$6</definedName>
    <definedName name="VOLUME.w2R" localSheetId="4">regional!$L$8</definedName>
    <definedName name="VOLUME.w2R">regional!$L$8</definedName>
    <definedName name="VOLUME.w2T" localSheetId="4">global!$L$287</definedName>
    <definedName name="VOLUME.w2T">global!$L$287</definedName>
    <definedName name="VOLUME.w3A" localSheetId="4">global!$L$151</definedName>
    <definedName name="VOLUME.w3A">global!$L$151</definedName>
    <definedName name="VOLUME.w3M" localSheetId="4">global!$L$7</definedName>
    <definedName name="VOLUME.w3M">global!$L$7</definedName>
    <definedName name="VOLUME.w3T" localSheetId="4">global!$L$288</definedName>
    <definedName name="VOLUME.w3T">global!$L$288</definedName>
    <definedName name="VOLUME.wL" localSheetId="4">local!$L$6</definedName>
    <definedName name="VOLUME.wL">local!$L$6</definedName>
    <definedName name="Volume_aerator" localSheetId="4">#REF!</definedName>
    <definedName name="Volume_aerator">#REF!</definedName>
    <definedName name="Volume_aerator.6box" localSheetId="4">#REF!</definedName>
    <definedName name="Volume_aerator.6box">#REF!</definedName>
    <definedName name="Volume_PS" localSheetId="4">#REF!</definedName>
    <definedName name="Volume_PS">#REF!</definedName>
    <definedName name="Volume_SLS" localSheetId="4">#REF!</definedName>
    <definedName name="Volume_SLS">#REF!</definedName>
    <definedName name="WATERflow.w0C.w1C" localSheetId="4">continental!$L$53</definedName>
    <definedName name="WATERflow.w0C.w1C">continental!$L$53</definedName>
    <definedName name="WATERflow.w0C.w2C" localSheetId="4">continental!$L$54</definedName>
    <definedName name="WATERflow.w0C.w2C">continental!$L$54</definedName>
    <definedName name="WATERflow.w0R.w1R" localSheetId="4">regional!$L$52</definedName>
    <definedName name="WATERflow.w0R.w1R">regional!$L$52</definedName>
    <definedName name="WATERflow.w0R.w2R" localSheetId="4">regional!$L$53</definedName>
    <definedName name="WATERflow.w0R.w2R">regional!$L$53</definedName>
    <definedName name="WATERflow.w1C.w0C" localSheetId="4">continental!$L$55</definedName>
    <definedName name="WATERflow.w1C.w0C">continental!$L$55</definedName>
    <definedName name="WATERflow.w1C.w1R" localSheetId="4">continental!$L$56</definedName>
    <definedName name="WATERflow.w1C.w1R">continental!$L$56</definedName>
    <definedName name="WATERflow.w1C.w2C" localSheetId="4">continental!$L$57</definedName>
    <definedName name="WATERflow.w1C.w2C">continental!$L$57</definedName>
    <definedName name="WATERflow.w1R.w0R" localSheetId="4">regional!$L$54</definedName>
    <definedName name="WATERflow.w1R.w0R">regional!$L$54</definedName>
    <definedName name="WATERflow.w1R.w2R" localSheetId="4">regional!$L$55</definedName>
    <definedName name="WATERflow.w1R.w2R">regional!$L$55</definedName>
    <definedName name="WATERflow.w1R.wL" localSheetId="4">local!$L$34</definedName>
    <definedName name="WATERflow.w1R.wL">local!$L$34</definedName>
    <definedName name="WATERflow.w2A.w2M" localSheetId="4">global!$L$175</definedName>
    <definedName name="WATERflow.w2A.w2M">global!$L$175</definedName>
    <definedName name="WATERflow.w2C.w2M" localSheetId="4">continental!$L$61</definedName>
    <definedName name="WATERflow.w2C.w2M">continental!$L$61</definedName>
    <definedName name="WATERflow.w2C.w2R" localSheetId="4">continental!$L$60</definedName>
    <definedName name="WATERflow.w2C.w2R">continental!$L$60</definedName>
    <definedName name="WATERflow.w2M.w2A" localSheetId="4">global!$L$36</definedName>
    <definedName name="WATERflow.w2M.w2A">global!$L$36</definedName>
    <definedName name="WATERflow.w2M.w2C" localSheetId="4">global!$L$35</definedName>
    <definedName name="WATERflow.w2M.w2C">global!$L$35</definedName>
    <definedName name="WATERflow.w2M.w2T" localSheetId="4">global!$L$37</definedName>
    <definedName name="WATERflow.w2M.w2T">global!$L$37</definedName>
    <definedName name="WATERflow.w2R.w2C" localSheetId="4">regional!$L$56</definedName>
    <definedName name="WATERflow.w2R.w2C">regional!$L$56</definedName>
    <definedName name="WATERflow.w2T.w2M" localSheetId="4">global!$L$312</definedName>
    <definedName name="WATERflow.w2T.w2M">global!$L$312</definedName>
    <definedName name="WATERflow.wL.w1R" localSheetId="4">local!$L$32</definedName>
    <definedName name="WATERflow.wL.w1R">local!$L$32</definedName>
    <definedName name="WATERflow.wL.w2R" localSheetId="4">local!$L$33</definedName>
    <definedName name="WATERflow.wL.w2R">local!$L$33</definedName>
    <definedName name="WATERrun.sL" localSheetId="4">local!$L$36</definedName>
    <definedName name="WATERrun.sL">local!$L$36</definedName>
    <definedName name="Windspeed" localSheetId="4">#REF!</definedName>
    <definedName name="Windspeed">#REF!</definedName>
    <definedName name="WINDspeed.A" localSheetId="4">global!$L$235</definedName>
    <definedName name="WINDspeed.A">global!$L$235</definedName>
    <definedName name="WINDspeed.C" localSheetId="4">input!$P$149</definedName>
    <definedName name="WINDspeed.C">input!$P$149</definedName>
    <definedName name="WINDspeed.L" localSheetId="4">local!$L$28</definedName>
    <definedName name="WINDspeed.L">local!$L$28</definedName>
    <definedName name="WINDspeed.M" localSheetId="4">global!$L$98</definedName>
    <definedName name="WINDspeed.M">global!$L$98</definedName>
    <definedName name="WINDspeed.R" localSheetId="4">input!$P$131</definedName>
    <definedName name="WINDspeed.R">input!$P$131</definedName>
    <definedName name="WINDspeed.T" localSheetId="4">global!$L$372</definedName>
    <definedName name="WINDspeed.T">global!$L$372</definedName>
    <definedName name="XCH_1_2" localSheetId="4">#REF!</definedName>
    <definedName name="XCH_1_2">#REF!</definedName>
    <definedName name="XCH_1_5" localSheetId="4">#REF!</definedName>
    <definedName name="XCH_1_5">#REF!</definedName>
    <definedName name="XCH_1_5.6box" localSheetId="4">#REF!</definedName>
    <definedName name="XCH_1_5.6box">#REF!</definedName>
    <definedName name="XCH_1_7" localSheetId="4">#REF!</definedName>
    <definedName name="XCH_1_7">#REF!</definedName>
    <definedName name="XCH_1_7.6box" localSheetId="4">#REF!</definedName>
    <definedName name="XCH_1_7.6box">#REF!</definedName>
    <definedName name="XCH_2_1" localSheetId="4">#REF!</definedName>
    <definedName name="XCH_2_1">#REF!</definedName>
    <definedName name="XCH_2_3" localSheetId="4">#REF!</definedName>
    <definedName name="XCH_2_3">#REF!</definedName>
    <definedName name="XCH_3_2" localSheetId="4">#REF!</definedName>
    <definedName name="XCH_3_2">#REF!</definedName>
    <definedName name="XCH_5_1" localSheetId="4">#REF!</definedName>
    <definedName name="XCH_5_1">#REF!</definedName>
    <definedName name="XCH_5_1.6box" localSheetId="4">#REF!</definedName>
    <definedName name="XCH_5_1.6box">#REF!</definedName>
    <definedName name="XCH_5_6" localSheetId="4">#REF!</definedName>
    <definedName name="XCH_5_6">#REF!</definedName>
    <definedName name="XCH_5_6.6box" localSheetId="4">#REF!</definedName>
    <definedName name="XCH_5_6.6box">#REF!</definedName>
    <definedName name="XCH_6_5" localSheetId="4">#REF!</definedName>
    <definedName name="XCH_6_5">#REF!</definedName>
    <definedName name="XCH_6_5.6box" localSheetId="4">#REF!</definedName>
    <definedName name="XCH_6_5.6box">#REF!</definedName>
    <definedName name="XCH_7_1" localSheetId="4">#REF!</definedName>
    <definedName name="XCH_7_1">#REF!</definedName>
    <definedName name="XCH_7_1.6box" localSheetId="4">#REF!</definedName>
    <definedName name="XCH_7_1.6box">#REF!</definedName>
    <definedName name="XCH_7_8" localSheetId="4">#REF!</definedName>
    <definedName name="XCH_7_8">#REF!</definedName>
    <definedName name="XCH_7_8.6box" localSheetId="4">#REF!</definedName>
    <definedName name="XCH_7_8.6box">#REF!</definedName>
    <definedName name="XCH_8_7" localSheetId="4">#REF!</definedName>
    <definedName name="XCH_8_7">#REF!</definedName>
    <definedName name="XCH_8_7.6box" localSheetId="4">#REF!</definedName>
    <definedName name="XCH_8_7.6box">#REF!</definedName>
    <definedName name="Y_BOD" localSheetId="4">#REF!</definedName>
    <definedName name="Y_BOD">#REF!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569" l="1"/>
  <c r="A7" i="569"/>
  <c r="L6" i="569"/>
  <c r="A6" i="569"/>
  <c r="J27" i="8"/>
  <c r="J170" i="8"/>
  <c r="J171" i="8"/>
  <c r="J154" i="8"/>
  <c r="L154" i="8" s="1"/>
  <c r="J235" i="8"/>
  <c r="L235" i="8" s="1"/>
  <c r="K171" i="8"/>
  <c r="L171" i="8" s="1"/>
  <c r="K170" i="8" s="1"/>
  <c r="J149" i="8"/>
  <c r="J157" i="8"/>
  <c r="L157" i="8"/>
  <c r="J5" i="8"/>
  <c r="J10" i="8"/>
  <c r="J14" i="7"/>
  <c r="J14" i="6"/>
  <c r="L14" i="6" s="1"/>
  <c r="K14" i="7"/>
  <c r="L14" i="7" s="1"/>
  <c r="K10" i="8" s="1"/>
  <c r="J13" i="8"/>
  <c r="L13" i="8" s="1"/>
  <c r="J261" i="8"/>
  <c r="J266" i="8"/>
  <c r="L266" i="8"/>
  <c r="J184" i="8"/>
  <c r="J19" i="8"/>
  <c r="L19" i="8" s="1"/>
  <c r="J51" i="8"/>
  <c r="J49" i="8"/>
  <c r="J19" i="3"/>
  <c r="P19" i="3" s="1"/>
  <c r="J36" i="3"/>
  <c r="J39" i="3"/>
  <c r="P39" i="3"/>
  <c r="J35" i="3"/>
  <c r="P35" i="3" s="1"/>
  <c r="K36" i="3" s="1"/>
  <c r="P36" i="3" s="1"/>
  <c r="J50" i="8"/>
  <c r="L50" i="8" s="1"/>
  <c r="J38" i="3"/>
  <c r="P38" i="3" s="1"/>
  <c r="J24" i="3"/>
  <c r="J14" i="3"/>
  <c r="P14" i="3"/>
  <c r="K24" i="3" s="1"/>
  <c r="P24" i="3" s="1"/>
  <c r="J18" i="8"/>
  <c r="L18" i="8"/>
  <c r="J52" i="8"/>
  <c r="J20" i="3"/>
  <c r="P20" i="3" s="1"/>
  <c r="J185" i="8"/>
  <c r="J66" i="3"/>
  <c r="P66" i="3" s="1"/>
  <c r="J268" i="8"/>
  <c r="L268" i="8" s="1"/>
  <c r="J67" i="3"/>
  <c r="P67" i="3" s="1"/>
  <c r="J269" i="8"/>
  <c r="J69" i="3"/>
  <c r="P69" i="3"/>
  <c r="K269" i="8" s="1"/>
  <c r="L269" i="8" s="1"/>
  <c r="J187" i="8"/>
  <c r="L187" i="8"/>
  <c r="J213" i="8"/>
  <c r="J217" i="8"/>
  <c r="J218" i="8"/>
  <c r="J219" i="8"/>
  <c r="J223" i="8"/>
  <c r="J226" i="8"/>
  <c r="L226" i="8" s="1"/>
  <c r="J229" i="8"/>
  <c r="J233" i="8"/>
  <c r="J15" i="3"/>
  <c r="P15" i="3" s="1"/>
  <c r="J234" i="8"/>
  <c r="J186" i="8"/>
  <c r="J27" i="3"/>
  <c r="K27" i="3"/>
  <c r="P27" i="3"/>
  <c r="J155" i="8"/>
  <c r="L155" i="8"/>
  <c r="J230" i="8"/>
  <c r="J236" i="8"/>
  <c r="L236" i="8" s="1"/>
  <c r="J237" i="8"/>
  <c r="J276" i="8"/>
  <c r="J274" i="8"/>
  <c r="J73" i="3"/>
  <c r="P73" i="3"/>
  <c r="K274" i="8" s="1"/>
  <c r="L274" i="8" s="1"/>
  <c r="J75" i="3"/>
  <c r="P75" i="3"/>
  <c r="J30" i="3"/>
  <c r="K30" i="3"/>
  <c r="P30" i="3"/>
  <c r="J205" i="8"/>
  <c r="J164" i="8"/>
  <c r="L164" i="8" s="1"/>
  <c r="J165" i="8"/>
  <c r="L165" i="8" s="1"/>
  <c r="J166" i="8"/>
  <c r="J208" i="8"/>
  <c r="J29" i="3"/>
  <c r="K29" i="3"/>
  <c r="P29" i="3"/>
  <c r="J18" i="3"/>
  <c r="J209" i="8"/>
  <c r="L209" i="8"/>
  <c r="J156" i="8"/>
  <c r="K156" i="8"/>
  <c r="L156" i="8" s="1"/>
  <c r="J267" i="8"/>
  <c r="J221" i="8"/>
  <c r="L221" i="8"/>
  <c r="J222" i="8"/>
  <c r="L222" i="8"/>
  <c r="J220" i="8"/>
  <c r="J224" i="8"/>
  <c r="J227" i="8"/>
  <c r="L227" i="8"/>
  <c r="J228" i="8"/>
  <c r="L228" i="8"/>
  <c r="J225" i="8"/>
  <c r="J214" i="8"/>
  <c r="J215" i="8"/>
  <c r="J231" i="8"/>
  <c r="J190" i="8"/>
  <c r="J192" i="8"/>
  <c r="J194" i="8"/>
  <c r="L194" i="8"/>
  <c r="J196" i="8"/>
  <c r="L196" i="8"/>
  <c r="J198" i="8"/>
  <c r="J23" i="3"/>
  <c r="J21" i="3"/>
  <c r="J200" i="8"/>
  <c r="L200" i="8" s="1"/>
  <c r="J158" i="8"/>
  <c r="L158" i="8" s="1"/>
  <c r="K150" i="8" s="1"/>
  <c r="L150" i="8" s="1"/>
  <c r="J216" i="8"/>
  <c r="J232" i="8"/>
  <c r="J238" i="8"/>
  <c r="J161" i="8"/>
  <c r="L161" i="8"/>
  <c r="K238" i="8" s="1"/>
  <c r="L238" i="8" s="1"/>
  <c r="J31" i="8"/>
  <c r="J36" i="8"/>
  <c r="J38" i="8"/>
  <c r="L38" i="8"/>
  <c r="K36" i="8" s="1"/>
  <c r="L36" i="8" s="1"/>
  <c r="J6" i="8"/>
  <c r="J14" i="8"/>
  <c r="L14" i="8" s="1"/>
  <c r="J11" i="8"/>
  <c r="L11" i="8" s="1"/>
  <c r="J262" i="8"/>
  <c r="J70" i="3"/>
  <c r="P70" i="3" s="1"/>
  <c r="J272" i="8"/>
  <c r="L272" i="8" s="1"/>
  <c r="J72" i="3"/>
  <c r="P72" i="3" s="1"/>
  <c r="J173" i="8"/>
  <c r="J175" i="8"/>
  <c r="L175" i="8"/>
  <c r="J150" i="8"/>
  <c r="J176" i="8"/>
  <c r="J178" i="8"/>
  <c r="J179" i="8"/>
  <c r="L179" i="8" s="1"/>
  <c r="J177" i="8"/>
  <c r="J151" i="8"/>
  <c r="J159" i="8"/>
  <c r="L159" i="8" s="1"/>
  <c r="K151" i="8" s="1"/>
  <c r="L151" i="8" s="1"/>
  <c r="K174" i="8" s="1"/>
  <c r="L174" i="8" s="1"/>
  <c r="J254" i="8"/>
  <c r="J256" i="8"/>
  <c r="L256" i="8"/>
  <c r="J255" i="8"/>
  <c r="L255" i="8"/>
  <c r="J257" i="8"/>
  <c r="K257" i="8"/>
  <c r="L257" i="8" s="1"/>
  <c r="J33" i="8"/>
  <c r="L33" i="8" s="1"/>
  <c r="J263" i="8"/>
  <c r="J273" i="8"/>
  <c r="L273" i="8"/>
  <c r="J191" i="8"/>
  <c r="J193" i="8"/>
  <c r="J195" i="8"/>
  <c r="L195" i="8"/>
  <c r="J197" i="8"/>
  <c r="L197" i="8"/>
  <c r="J199" i="8"/>
  <c r="J201" i="8"/>
  <c r="L201" i="8" s="1"/>
  <c r="J174" i="8"/>
  <c r="J240" i="8"/>
  <c r="J242" i="8"/>
  <c r="J244" i="8"/>
  <c r="J246" i="8"/>
  <c r="L246" i="8" s="1"/>
  <c r="J168" i="8"/>
  <c r="J167" i="8"/>
  <c r="L167" i="8"/>
  <c r="K168" i="8" s="1"/>
  <c r="L168" i="8" s="1"/>
  <c r="J247" i="8"/>
  <c r="L247" i="8"/>
  <c r="J249" i="8"/>
  <c r="J251" i="8"/>
  <c r="L251" i="8" s="1"/>
  <c r="J252" i="8"/>
  <c r="L252" i="8" s="1"/>
  <c r="J241" i="8"/>
  <c r="J243" i="8"/>
  <c r="J245" i="8"/>
  <c r="J250" i="8"/>
  <c r="J202" i="8"/>
  <c r="J203" i="8"/>
  <c r="J28" i="3"/>
  <c r="K28" i="3"/>
  <c r="P28" i="3"/>
  <c r="J204" i="8"/>
  <c r="L204" i="8"/>
  <c r="J160" i="8"/>
  <c r="L160" i="8"/>
  <c r="J264" i="8"/>
  <c r="J74" i="3"/>
  <c r="P74" i="3" s="1"/>
  <c r="J265" i="8"/>
  <c r="J277" i="8"/>
  <c r="L277" i="8"/>
  <c r="J415" i="8"/>
  <c r="J298" i="8"/>
  <c r="L298" i="8" s="1"/>
  <c r="J28" i="8"/>
  <c r="J307" i="8"/>
  <c r="J308" i="8"/>
  <c r="J291" i="8"/>
  <c r="L291" i="8"/>
  <c r="K308" i="8" s="1"/>
  <c r="L308" i="8" s="1"/>
  <c r="K307" i="8" s="1"/>
  <c r="L307" i="8" s="1"/>
  <c r="J372" i="8"/>
  <c r="L372" i="8"/>
  <c r="J286" i="8"/>
  <c r="J294" i="8"/>
  <c r="L294" i="8" s="1"/>
  <c r="K286" i="8" s="1"/>
  <c r="L286" i="8" s="1"/>
  <c r="J398" i="8"/>
  <c r="J403" i="8"/>
  <c r="L403" i="8"/>
  <c r="J321" i="8"/>
  <c r="J300" i="8"/>
  <c r="L300" i="8" s="1"/>
  <c r="J325" i="8"/>
  <c r="J323" i="8"/>
  <c r="J324" i="8"/>
  <c r="L324" i="8" s="1"/>
  <c r="J299" i="8"/>
  <c r="L299" i="8" s="1"/>
  <c r="J326" i="8"/>
  <c r="J322" i="8"/>
  <c r="J405" i="8"/>
  <c r="L405" i="8"/>
  <c r="J406" i="8"/>
  <c r="J350" i="8"/>
  <c r="J354" i="8"/>
  <c r="J355" i="8"/>
  <c r="J356" i="8"/>
  <c r="J360" i="8"/>
  <c r="J363" i="8"/>
  <c r="L363" i="8"/>
  <c r="J366" i="8"/>
  <c r="J370" i="8"/>
  <c r="J371" i="8"/>
  <c r="J292" i="8"/>
  <c r="L292" i="8" s="1"/>
  <c r="J367" i="8"/>
  <c r="J373" i="8"/>
  <c r="L373" i="8"/>
  <c r="J374" i="8"/>
  <c r="J413" i="8"/>
  <c r="J411" i="8"/>
  <c r="J342" i="8"/>
  <c r="J301" i="8"/>
  <c r="L301" i="8"/>
  <c r="J302" i="8"/>
  <c r="L302" i="8"/>
  <c r="J303" i="8"/>
  <c r="K303" i="8"/>
  <c r="L303" i="8" s="1"/>
  <c r="J345" i="8"/>
  <c r="J346" i="8"/>
  <c r="L346" i="8"/>
  <c r="J293" i="8"/>
  <c r="J404" i="8"/>
  <c r="J358" i="8"/>
  <c r="L358" i="8"/>
  <c r="J359" i="8"/>
  <c r="L359" i="8"/>
  <c r="J357" i="8"/>
  <c r="J361" i="8"/>
  <c r="J364" i="8"/>
  <c r="L364" i="8"/>
  <c r="J365" i="8"/>
  <c r="L365" i="8"/>
  <c r="J362" i="8"/>
  <c r="J351" i="8"/>
  <c r="J352" i="8"/>
  <c r="J368" i="8"/>
  <c r="J327" i="8"/>
  <c r="J329" i="8"/>
  <c r="J331" i="8"/>
  <c r="L331" i="8"/>
  <c r="J333" i="8"/>
  <c r="L333" i="8" s="1"/>
  <c r="J335" i="8"/>
  <c r="J337" i="8"/>
  <c r="L337" i="8"/>
  <c r="J295" i="8"/>
  <c r="L295" i="8"/>
  <c r="J353" i="8"/>
  <c r="J369" i="8"/>
  <c r="J375" i="8"/>
  <c r="J32" i="8"/>
  <c r="J37" i="8"/>
  <c r="L37" i="8"/>
  <c r="J399" i="8"/>
  <c r="J409" i="8"/>
  <c r="L409" i="8" s="1"/>
  <c r="J310" i="8"/>
  <c r="J312" i="8"/>
  <c r="K312" i="8"/>
  <c r="L312" i="8"/>
  <c r="J287" i="8"/>
  <c r="J313" i="8"/>
  <c r="J315" i="8"/>
  <c r="J316" i="8"/>
  <c r="L316" i="8"/>
  <c r="J314" i="8"/>
  <c r="J288" i="8"/>
  <c r="J296" i="8"/>
  <c r="L296" i="8"/>
  <c r="K288" i="8" s="1"/>
  <c r="L288" i="8" s="1"/>
  <c r="J391" i="8"/>
  <c r="J393" i="8"/>
  <c r="L393" i="8" s="1"/>
  <c r="J392" i="8"/>
  <c r="L392" i="8" s="1"/>
  <c r="J394" i="8"/>
  <c r="J34" i="8"/>
  <c r="J7" i="8"/>
  <c r="J15" i="8"/>
  <c r="L15" i="8"/>
  <c r="J400" i="8"/>
  <c r="J410" i="8"/>
  <c r="L410" i="8" s="1"/>
  <c r="J328" i="8"/>
  <c r="J330" i="8"/>
  <c r="J332" i="8"/>
  <c r="L332" i="8" s="1"/>
  <c r="J334" i="8"/>
  <c r="L334" i="8" s="1"/>
  <c r="J336" i="8"/>
  <c r="J338" i="8"/>
  <c r="L338" i="8"/>
  <c r="J311" i="8"/>
  <c r="L311" i="8"/>
  <c r="J377" i="8"/>
  <c r="J379" i="8"/>
  <c r="J381" i="8"/>
  <c r="J383" i="8"/>
  <c r="L383" i="8" s="1"/>
  <c r="J305" i="8"/>
  <c r="J304" i="8"/>
  <c r="L304" i="8"/>
  <c r="K305" i="8" s="1"/>
  <c r="L305" i="8" s="1"/>
  <c r="J384" i="8"/>
  <c r="L384" i="8"/>
  <c r="J386" i="8"/>
  <c r="J388" i="8"/>
  <c r="L388" i="8" s="1"/>
  <c r="J389" i="8"/>
  <c r="L389" i="8" s="1"/>
  <c r="J378" i="8"/>
  <c r="J380" i="8"/>
  <c r="J382" i="8"/>
  <c r="J387" i="8"/>
  <c r="J339" i="8"/>
  <c r="J340" i="8"/>
  <c r="J341" i="8"/>
  <c r="L341" i="8" s="1"/>
  <c r="J297" i="8"/>
  <c r="L297" i="8" s="1"/>
  <c r="J401" i="8"/>
  <c r="J402" i="8"/>
  <c r="J414" i="8"/>
  <c r="L414" i="8" s="1"/>
  <c r="J122" i="24"/>
  <c r="J42" i="24"/>
  <c r="J18" i="24"/>
  <c r="L18" i="24" s="1"/>
  <c r="J47" i="24"/>
  <c r="J17" i="24"/>
  <c r="L17" i="24" s="1"/>
  <c r="J48" i="24"/>
  <c r="J43" i="24"/>
  <c r="J66" i="24"/>
  <c r="J67" i="24"/>
  <c r="J25" i="24"/>
  <c r="J68" i="24"/>
  <c r="J53" i="24"/>
  <c r="J54" i="24"/>
  <c r="L54" i="24"/>
  <c r="J69" i="24"/>
  <c r="J5" i="6"/>
  <c r="J123" i="24"/>
  <c r="J99" i="24"/>
  <c r="J101" i="24"/>
  <c r="J103" i="24"/>
  <c r="J106" i="24"/>
  <c r="L106" i="24" s="1"/>
  <c r="J108" i="24"/>
  <c r="J30" i="24"/>
  <c r="J34" i="24"/>
  <c r="L34" i="24" s="1"/>
  <c r="J113" i="24"/>
  <c r="J115" i="24"/>
  <c r="L115" i="24"/>
  <c r="J100" i="24"/>
  <c r="J102" i="24"/>
  <c r="J104" i="24"/>
  <c r="J109" i="24"/>
  <c r="J26" i="3"/>
  <c r="K26" i="3"/>
  <c r="P26" i="3" s="1"/>
  <c r="J7" i="6"/>
  <c r="J16" i="6"/>
  <c r="K16" i="6"/>
  <c r="L16" i="6" s="1"/>
  <c r="J23" i="6"/>
  <c r="J125" i="24"/>
  <c r="J135" i="24"/>
  <c r="J118" i="24"/>
  <c r="L118" i="24" s="1"/>
  <c r="K135" i="24" s="1"/>
  <c r="L135" i="24" s="1"/>
  <c r="J186" i="6"/>
  <c r="J195" i="6"/>
  <c r="L195" i="6"/>
  <c r="J61" i="6"/>
  <c r="J31" i="6"/>
  <c r="L31" i="6" s="1"/>
  <c r="J64" i="6"/>
  <c r="J63" i="6"/>
  <c r="J30" i="6"/>
  <c r="L30" i="6" s="1"/>
  <c r="J65" i="6"/>
  <c r="K65" i="6"/>
  <c r="L65" i="6"/>
  <c r="J62" i="6"/>
  <c r="J197" i="6"/>
  <c r="L197" i="6"/>
  <c r="J198" i="6"/>
  <c r="J108" i="6"/>
  <c r="J120" i="6"/>
  <c r="J121" i="6"/>
  <c r="J122" i="6"/>
  <c r="J126" i="6"/>
  <c r="J131" i="6"/>
  <c r="J136" i="6"/>
  <c r="J137" i="6"/>
  <c r="J25" i="3"/>
  <c r="K25" i="3"/>
  <c r="P25" i="3" s="1"/>
  <c r="J15" i="6"/>
  <c r="K15" i="6"/>
  <c r="L15" i="6"/>
  <c r="J20" i="6"/>
  <c r="K20" i="6"/>
  <c r="L20" i="6" s="1"/>
  <c r="J132" i="6"/>
  <c r="J141" i="6"/>
  <c r="L141" i="6"/>
  <c r="J142" i="6"/>
  <c r="J208" i="6"/>
  <c r="J205" i="6"/>
  <c r="J90" i="6"/>
  <c r="J32" i="6"/>
  <c r="L32" i="6"/>
  <c r="J34" i="6"/>
  <c r="J93" i="6"/>
  <c r="J17" i="6"/>
  <c r="K17" i="6"/>
  <c r="L17" i="6" s="1"/>
  <c r="J18" i="6"/>
  <c r="K18" i="6"/>
  <c r="L18" i="6"/>
  <c r="J19" i="6"/>
  <c r="K19" i="6"/>
  <c r="L19" i="6" s="1"/>
  <c r="J196" i="6"/>
  <c r="J44" i="6"/>
  <c r="J45" i="6"/>
  <c r="J124" i="6"/>
  <c r="L124" i="6"/>
  <c r="J125" i="6"/>
  <c r="L125" i="6"/>
  <c r="J123" i="6"/>
  <c r="J127" i="6"/>
  <c r="J128" i="6"/>
  <c r="J109" i="6"/>
  <c r="J110" i="6"/>
  <c r="J111" i="6"/>
  <c r="J112" i="6"/>
  <c r="J113" i="6"/>
  <c r="J114" i="6"/>
  <c r="J133" i="6"/>
  <c r="J66" i="6"/>
  <c r="J67" i="6"/>
  <c r="J68" i="6"/>
  <c r="L68" i="6" s="1"/>
  <c r="J69" i="6"/>
  <c r="L69" i="6" s="1"/>
  <c r="J70" i="6"/>
  <c r="J71" i="6"/>
  <c r="L71" i="6"/>
  <c r="J22" i="6"/>
  <c r="L22" i="6"/>
  <c r="J115" i="6"/>
  <c r="J134" i="6"/>
  <c r="J72" i="6"/>
  <c r="J73" i="6"/>
  <c r="J76" i="6"/>
  <c r="J77" i="6"/>
  <c r="L77" i="6" s="1"/>
  <c r="J116" i="6"/>
  <c r="J135" i="6"/>
  <c r="J78" i="6"/>
  <c r="J79" i="6"/>
  <c r="J80" i="6"/>
  <c r="L80" i="6" s="1"/>
  <c r="J81" i="6"/>
  <c r="L81" i="6" s="1"/>
  <c r="J82" i="6"/>
  <c r="J83" i="6"/>
  <c r="L83" i="6"/>
  <c r="J24" i="6"/>
  <c r="L24" i="6"/>
  <c r="J117" i="6"/>
  <c r="J138" i="6"/>
  <c r="J143" i="6"/>
  <c r="J27" i="6"/>
  <c r="L27" i="6" s="1"/>
  <c r="J118" i="6"/>
  <c r="J139" i="6"/>
  <c r="J32" i="3"/>
  <c r="K32" i="3"/>
  <c r="P32" i="3"/>
  <c r="J95" i="6"/>
  <c r="J35" i="6"/>
  <c r="L35" i="6" s="1"/>
  <c r="J37" i="6"/>
  <c r="J98" i="6"/>
  <c r="J31" i="3"/>
  <c r="K31" i="3"/>
  <c r="P31" i="3" s="1"/>
  <c r="J144" i="6"/>
  <c r="J28" i="6"/>
  <c r="L28" i="6" s="1"/>
  <c r="J119" i="6"/>
  <c r="J140" i="6"/>
  <c r="J34" i="3"/>
  <c r="K34" i="3"/>
  <c r="P34" i="3"/>
  <c r="J100" i="6"/>
  <c r="J38" i="6"/>
  <c r="L38" i="6" s="1"/>
  <c r="J40" i="6"/>
  <c r="J103" i="6"/>
  <c r="J33" i="3"/>
  <c r="K33" i="3"/>
  <c r="P33" i="3" s="1"/>
  <c r="J145" i="6"/>
  <c r="J29" i="6"/>
  <c r="L29" i="6" s="1"/>
  <c r="J44" i="7"/>
  <c r="J5" i="7"/>
  <c r="J187" i="6"/>
  <c r="J202" i="6"/>
  <c r="L202" i="6"/>
  <c r="L47" i="6"/>
  <c r="J48" i="6"/>
  <c r="J53" i="6"/>
  <c r="L53" i="6"/>
  <c r="J6" i="6"/>
  <c r="K6" i="6"/>
  <c r="L6" i="6" s="1"/>
  <c r="J49" i="6"/>
  <c r="J54" i="6"/>
  <c r="L54" i="6"/>
  <c r="J188" i="6"/>
  <c r="J203" i="6"/>
  <c r="L203" i="6" s="1"/>
  <c r="J50" i="6"/>
  <c r="J55" i="6"/>
  <c r="J56" i="7"/>
  <c r="J16" i="7"/>
  <c r="K16" i="7"/>
  <c r="L16" i="7"/>
  <c r="J17" i="7"/>
  <c r="K17" i="7"/>
  <c r="L17" i="7" s="1"/>
  <c r="J18" i="7"/>
  <c r="K18" i="7"/>
  <c r="L18" i="7" s="1"/>
  <c r="J19" i="7"/>
  <c r="K19" i="7"/>
  <c r="L19" i="7" s="1"/>
  <c r="J53" i="7"/>
  <c r="J57" i="7"/>
  <c r="J147" i="6"/>
  <c r="J151" i="6"/>
  <c r="J155" i="6"/>
  <c r="J42" i="6"/>
  <c r="J160" i="6"/>
  <c r="L160" i="6" s="1"/>
  <c r="B64" i="22" s="1"/>
  <c r="J164" i="6"/>
  <c r="J149" i="6"/>
  <c r="J152" i="6"/>
  <c r="J156" i="6"/>
  <c r="J165" i="6"/>
  <c r="J84" i="6"/>
  <c r="J85" i="6"/>
  <c r="J171" i="6"/>
  <c r="J180" i="6"/>
  <c r="J172" i="6"/>
  <c r="J181" i="6"/>
  <c r="J173" i="6"/>
  <c r="J182" i="6"/>
  <c r="J51" i="7"/>
  <c r="L51" i="7"/>
  <c r="J189" i="6"/>
  <c r="J148" i="6"/>
  <c r="J153" i="6"/>
  <c r="J157" i="6"/>
  <c r="J161" i="6"/>
  <c r="L161" i="6" s="1"/>
  <c r="B66" i="22" s="1"/>
  <c r="J166" i="6"/>
  <c r="L51" i="6"/>
  <c r="J150" i="6"/>
  <c r="J154" i="6"/>
  <c r="J158" i="6"/>
  <c r="J167" i="6"/>
  <c r="J87" i="6"/>
  <c r="J88" i="6"/>
  <c r="J89" i="6"/>
  <c r="L89" i="6" s="1"/>
  <c r="J26" i="6"/>
  <c r="L26" i="6" s="1"/>
  <c r="J58" i="7"/>
  <c r="J60" i="7"/>
  <c r="J8" i="7"/>
  <c r="J20" i="7"/>
  <c r="J15" i="7"/>
  <c r="K15" i="7"/>
  <c r="L15" i="7"/>
  <c r="K20" i="7" s="1"/>
  <c r="L20" i="7" s="1"/>
  <c r="J24" i="7"/>
  <c r="L24" i="7"/>
  <c r="J190" i="6"/>
  <c r="J191" i="6"/>
  <c r="J192" i="6"/>
  <c r="J214" i="6"/>
  <c r="J193" i="6"/>
  <c r="J215" i="6"/>
  <c r="J194" i="6"/>
  <c r="J216" i="6"/>
  <c r="J192" i="7"/>
  <c r="J201" i="7"/>
  <c r="L201" i="7"/>
  <c r="J67" i="7"/>
  <c r="J31" i="7"/>
  <c r="L31" i="7" s="1"/>
  <c r="J70" i="7"/>
  <c r="J69" i="7"/>
  <c r="J30" i="7"/>
  <c r="L30" i="7"/>
  <c r="J71" i="7"/>
  <c r="K71" i="7"/>
  <c r="L71" i="7" s="1"/>
  <c r="J68" i="7"/>
  <c r="J203" i="7"/>
  <c r="L203" i="7" s="1"/>
  <c r="J204" i="7"/>
  <c r="J114" i="7"/>
  <c r="J126" i="7"/>
  <c r="J127" i="7"/>
  <c r="J128" i="7"/>
  <c r="J132" i="7"/>
  <c r="J137" i="7"/>
  <c r="J142" i="7"/>
  <c r="J143" i="7"/>
  <c r="J138" i="7"/>
  <c r="J147" i="7"/>
  <c r="L147" i="7"/>
  <c r="J148" i="7"/>
  <c r="J214" i="7"/>
  <c r="J211" i="7"/>
  <c r="J96" i="7"/>
  <c r="J32" i="7"/>
  <c r="L32" i="7"/>
  <c r="J34" i="7"/>
  <c r="J99" i="7"/>
  <c r="J202" i="7"/>
  <c r="J45" i="7"/>
  <c r="J46" i="7"/>
  <c r="J130" i="7"/>
  <c r="L130" i="7" s="1"/>
  <c r="J131" i="7"/>
  <c r="L131" i="7" s="1"/>
  <c r="J129" i="7"/>
  <c r="J133" i="7"/>
  <c r="J134" i="7"/>
  <c r="J115" i="7"/>
  <c r="J116" i="7"/>
  <c r="J117" i="7"/>
  <c r="J118" i="7"/>
  <c r="J119" i="7"/>
  <c r="J120" i="7"/>
  <c r="J139" i="7"/>
  <c r="J72" i="7"/>
  <c r="J73" i="7"/>
  <c r="J74" i="7"/>
  <c r="L74" i="7"/>
  <c r="J75" i="7"/>
  <c r="L75" i="7"/>
  <c r="J76" i="7"/>
  <c r="J77" i="7"/>
  <c r="L77" i="7" s="1"/>
  <c r="J22" i="7"/>
  <c r="L22" i="7" s="1"/>
  <c r="J121" i="7"/>
  <c r="J140" i="7"/>
  <c r="J78" i="7"/>
  <c r="J79" i="7"/>
  <c r="J82" i="7"/>
  <c r="J83" i="7"/>
  <c r="L83" i="7"/>
  <c r="J23" i="7"/>
  <c r="J122" i="7"/>
  <c r="J141" i="7"/>
  <c r="J84" i="7"/>
  <c r="J85" i="7"/>
  <c r="J88" i="7"/>
  <c r="J89" i="7"/>
  <c r="L89" i="7" s="1"/>
  <c r="J123" i="7"/>
  <c r="J144" i="7"/>
  <c r="J149" i="7"/>
  <c r="J27" i="7"/>
  <c r="L27" i="7"/>
  <c r="K149" i="7" s="1"/>
  <c r="L149" i="7" s="1"/>
  <c r="J124" i="7"/>
  <c r="J145" i="7"/>
  <c r="J150" i="7"/>
  <c r="J28" i="7"/>
  <c r="L28" i="7" s="1"/>
  <c r="J125" i="7"/>
  <c r="J146" i="7"/>
  <c r="J151" i="7"/>
  <c r="J29" i="7"/>
  <c r="L29" i="7"/>
  <c r="K151" i="7" s="1"/>
  <c r="L151" i="7" s="1"/>
  <c r="J26" i="8"/>
  <c r="J193" i="7"/>
  <c r="J208" i="7"/>
  <c r="L208" i="7"/>
  <c r="J48" i="7"/>
  <c r="J6" i="7"/>
  <c r="J49" i="7"/>
  <c r="J54" i="7"/>
  <c r="L54" i="7" s="1"/>
  <c r="J50" i="7"/>
  <c r="J55" i="7"/>
  <c r="L55" i="7"/>
  <c r="J7" i="7"/>
  <c r="J194" i="7"/>
  <c r="J209" i="7"/>
  <c r="L209" i="7"/>
  <c r="J52" i="7"/>
  <c r="J153" i="7"/>
  <c r="J157" i="7"/>
  <c r="J161" i="7"/>
  <c r="J42" i="7"/>
  <c r="J166" i="7"/>
  <c r="L166" i="7" s="1"/>
  <c r="B63" i="22" s="1"/>
  <c r="J170" i="7"/>
  <c r="J155" i="7"/>
  <c r="J158" i="7"/>
  <c r="J162" i="7"/>
  <c r="J171" i="7"/>
  <c r="J90" i="7"/>
  <c r="J91" i="7"/>
  <c r="J177" i="7"/>
  <c r="J186" i="7"/>
  <c r="K186" i="7"/>
  <c r="L186" i="7" s="1"/>
  <c r="J178" i="7"/>
  <c r="J101" i="7"/>
  <c r="J35" i="7"/>
  <c r="L35" i="7" s="1"/>
  <c r="J37" i="7"/>
  <c r="J104" i="7"/>
  <c r="J187" i="7"/>
  <c r="J179" i="7"/>
  <c r="J106" i="7"/>
  <c r="J38" i="7"/>
  <c r="L38" i="7" s="1"/>
  <c r="J40" i="7"/>
  <c r="J109" i="7"/>
  <c r="J188" i="7"/>
  <c r="K188" i="7"/>
  <c r="L188" i="7" s="1"/>
  <c r="J195" i="7"/>
  <c r="J154" i="7"/>
  <c r="J159" i="7"/>
  <c r="J163" i="7"/>
  <c r="J167" i="7"/>
  <c r="L167" i="7" s="1"/>
  <c r="B65" i="22" s="1"/>
  <c r="J172" i="7"/>
  <c r="J59" i="7"/>
  <c r="J61" i="7"/>
  <c r="J62" i="7"/>
  <c r="L62" i="7"/>
  <c r="J56" i="6"/>
  <c r="J156" i="7"/>
  <c r="J160" i="7"/>
  <c r="J164" i="7"/>
  <c r="J173" i="7"/>
  <c r="J93" i="7"/>
  <c r="J94" i="7"/>
  <c r="J30" i="8"/>
  <c r="J35" i="8"/>
  <c r="J196" i="7"/>
  <c r="J197" i="7"/>
  <c r="J198" i="7"/>
  <c r="J220" i="7"/>
  <c r="K220" i="7"/>
  <c r="L220" i="7" s="1"/>
  <c r="J199" i="7"/>
  <c r="J221" i="7"/>
  <c r="J200" i="7"/>
  <c r="J222" i="7"/>
  <c r="K222" i="7"/>
  <c r="L222" i="7" s="1"/>
  <c r="J124" i="8"/>
  <c r="J129" i="8"/>
  <c r="L129" i="8"/>
  <c r="J47" i="8"/>
  <c r="J48" i="8"/>
  <c r="J131" i="8"/>
  <c r="L131" i="8" s="1"/>
  <c r="J132" i="8"/>
  <c r="K132" i="8"/>
  <c r="L132" i="8"/>
  <c r="J76" i="8"/>
  <c r="J80" i="8"/>
  <c r="J81" i="8"/>
  <c r="J82" i="8"/>
  <c r="J86" i="8"/>
  <c r="J89" i="8"/>
  <c r="L89" i="8" s="1"/>
  <c r="J92" i="8"/>
  <c r="J96" i="8"/>
  <c r="J98" i="8"/>
  <c r="L98" i="8" s="1"/>
  <c r="J97" i="8"/>
  <c r="J93" i="8"/>
  <c r="J99" i="8"/>
  <c r="L99" i="8" s="1"/>
  <c r="J100" i="8"/>
  <c r="J139" i="8"/>
  <c r="J137" i="8"/>
  <c r="K137" i="8"/>
  <c r="L137" i="8"/>
  <c r="K139" i="8" s="1"/>
  <c r="L139" i="8" s="1"/>
  <c r="J68" i="8"/>
  <c r="J20" i="8"/>
  <c r="L20" i="8" s="1"/>
  <c r="J21" i="8"/>
  <c r="L21" i="8" s="1"/>
  <c r="J22" i="8"/>
  <c r="J71" i="8"/>
  <c r="J72" i="8"/>
  <c r="L72" i="8" s="1"/>
  <c r="J12" i="8"/>
  <c r="K12" i="8"/>
  <c r="L12" i="8"/>
  <c r="J130" i="8"/>
  <c r="J84" i="8"/>
  <c r="L84" i="8" s="1"/>
  <c r="J85" i="8"/>
  <c r="L85" i="8" s="1"/>
  <c r="J83" i="8"/>
  <c r="J87" i="8"/>
  <c r="J90" i="8"/>
  <c r="L90" i="8" s="1"/>
  <c r="J91" i="8"/>
  <c r="L91" i="8" s="1"/>
  <c r="J88" i="8"/>
  <c r="J77" i="8"/>
  <c r="J78" i="8"/>
  <c r="J94" i="8"/>
  <c r="J53" i="8"/>
  <c r="J55" i="8"/>
  <c r="J57" i="8"/>
  <c r="L57" i="8" s="1"/>
  <c r="J59" i="8"/>
  <c r="L59" i="8" s="1"/>
  <c r="J61" i="8"/>
  <c r="J63" i="8"/>
  <c r="L63" i="8"/>
  <c r="J79" i="8"/>
  <c r="J95" i="8"/>
  <c r="J101" i="8"/>
  <c r="J17" i="8"/>
  <c r="L17" i="8" s="1"/>
  <c r="J125" i="8"/>
  <c r="J135" i="8"/>
  <c r="L135" i="8"/>
  <c r="J39" i="8"/>
  <c r="J41" i="8"/>
  <c r="J42" i="8"/>
  <c r="L42" i="8"/>
  <c r="J40" i="8"/>
  <c r="J117" i="8"/>
  <c r="J119" i="8"/>
  <c r="L119" i="8"/>
  <c r="J118" i="8"/>
  <c r="L118" i="8"/>
  <c r="J120" i="8"/>
  <c r="J126" i="8"/>
  <c r="J136" i="8"/>
  <c r="L136" i="8"/>
  <c r="J54" i="8"/>
  <c r="J56" i="8"/>
  <c r="J58" i="8"/>
  <c r="L58" i="8"/>
  <c r="J60" i="8"/>
  <c r="L60" i="8"/>
  <c r="J62" i="8"/>
  <c r="J64" i="8"/>
  <c r="L64" i="8" s="1"/>
  <c r="J103" i="8"/>
  <c r="J105" i="8"/>
  <c r="J107" i="8"/>
  <c r="J109" i="8"/>
  <c r="L109" i="8"/>
  <c r="J24" i="8"/>
  <c r="J23" i="8"/>
  <c r="L23" i="8" s="1"/>
  <c r="J110" i="8"/>
  <c r="L110" i="8" s="1"/>
  <c r="J112" i="8"/>
  <c r="J114" i="8"/>
  <c r="L114" i="8"/>
  <c r="J115" i="8"/>
  <c r="L115" i="8"/>
  <c r="J104" i="8"/>
  <c r="J106" i="8"/>
  <c r="J108" i="8"/>
  <c r="J113" i="8"/>
  <c r="J65" i="8"/>
  <c r="J66" i="8"/>
  <c r="J67" i="8"/>
  <c r="L67" i="8"/>
  <c r="J16" i="8"/>
  <c r="L16" i="8"/>
  <c r="J127" i="8"/>
  <c r="J128" i="8"/>
  <c r="J140" i="8"/>
  <c r="L140" i="8"/>
  <c r="J141" i="8"/>
  <c r="J8" i="6"/>
  <c r="J9" i="6"/>
  <c r="J10" i="6"/>
  <c r="J11" i="6"/>
  <c r="J12" i="6"/>
  <c r="J13" i="6"/>
  <c r="J9" i="7"/>
  <c r="J10" i="7"/>
  <c r="J11" i="7"/>
  <c r="J12" i="7"/>
  <c r="J13" i="7"/>
  <c r="J8" i="8"/>
  <c r="J9" i="8"/>
  <c r="J152" i="8"/>
  <c r="K152" i="8"/>
  <c r="L152" i="8" s="1"/>
  <c r="J153" i="8"/>
  <c r="K153" i="8"/>
  <c r="L153" i="8"/>
  <c r="J289" i="8"/>
  <c r="K289" i="8"/>
  <c r="L289" i="8" s="1"/>
  <c r="B472" i="22" s="1"/>
  <c r="J290" i="8"/>
  <c r="J3" i="525"/>
  <c r="B814" i="22"/>
  <c r="B67" i="22"/>
  <c r="B531" i="22"/>
  <c r="B291" i="22"/>
  <c r="B69" i="22"/>
  <c r="N4" i="525"/>
  <c r="N5" i="525"/>
  <c r="N6" i="525"/>
  <c r="N7" i="525"/>
  <c r="N8" i="525"/>
  <c r="N9" i="525"/>
  <c r="N10" i="525"/>
  <c r="N11" i="525"/>
  <c r="N12" i="525"/>
  <c r="N13" i="525"/>
  <c r="N14" i="525"/>
  <c r="N15" i="525"/>
  <c r="N16" i="525"/>
  <c r="N17" i="525"/>
  <c r="N18" i="525"/>
  <c r="N19" i="525"/>
  <c r="N20" i="525"/>
  <c r="N21" i="525"/>
  <c r="N22" i="525"/>
  <c r="N23" i="525"/>
  <c r="N24" i="525"/>
  <c r="N25" i="525"/>
  <c r="N26" i="525"/>
  <c r="N27" i="525"/>
  <c r="N28" i="525"/>
  <c r="N29" i="525"/>
  <c r="N30" i="525"/>
  <c r="N31" i="525"/>
  <c r="N32" i="525"/>
  <c r="N33" i="525"/>
  <c r="N34" i="525"/>
  <c r="N35" i="525"/>
  <c r="N36" i="525"/>
  <c r="N37" i="525"/>
  <c r="N38" i="525"/>
  <c r="N39" i="525"/>
  <c r="N40" i="525"/>
  <c r="N41" i="525"/>
  <c r="N42" i="525"/>
  <c r="N43" i="525"/>
  <c r="N44" i="525"/>
  <c r="N45" i="525"/>
  <c r="N46" i="525"/>
  <c r="N47" i="525"/>
  <c r="N48" i="525"/>
  <c r="N49" i="525"/>
  <c r="N50" i="525"/>
  <c r="N51" i="525"/>
  <c r="N52" i="525"/>
  <c r="N53" i="525"/>
  <c r="N54" i="525"/>
  <c r="N55" i="525"/>
  <c r="N56" i="525"/>
  <c r="N57" i="525"/>
  <c r="N58" i="525"/>
  <c r="N59" i="525"/>
  <c r="N60" i="525"/>
  <c r="N61" i="525"/>
  <c r="N62" i="525"/>
  <c r="N63" i="525"/>
  <c r="N64" i="525"/>
  <c r="N65" i="525"/>
  <c r="N66" i="525"/>
  <c r="N67" i="525"/>
  <c r="N68" i="525"/>
  <c r="N69" i="525"/>
  <c r="N70" i="525"/>
  <c r="N71" i="525"/>
  <c r="N72" i="525"/>
  <c r="N73" i="525"/>
  <c r="N74" i="525"/>
  <c r="N75" i="525"/>
  <c r="N76" i="525"/>
  <c r="N77" i="525"/>
  <c r="N78" i="525"/>
  <c r="N79" i="525"/>
  <c r="N80" i="525"/>
  <c r="N81" i="525"/>
  <c r="N82" i="525"/>
  <c r="N83" i="525"/>
  <c r="N84" i="525"/>
  <c r="N85" i="525"/>
  <c r="N86" i="525"/>
  <c r="N87" i="525"/>
  <c r="N88" i="525"/>
  <c r="N89" i="525"/>
  <c r="N90" i="525"/>
  <c r="N91" i="525"/>
  <c r="N92" i="525"/>
  <c r="N93" i="525"/>
  <c r="N94" i="525"/>
  <c r="N95" i="525"/>
  <c r="N96" i="525"/>
  <c r="N97" i="525"/>
  <c r="N98" i="525"/>
  <c r="N99" i="525"/>
  <c r="N100" i="525"/>
  <c r="N101" i="525"/>
  <c r="N102" i="525"/>
  <c r="N103" i="525"/>
  <c r="N104" i="525"/>
  <c r="N105" i="525"/>
  <c r="N106" i="525"/>
  <c r="N107" i="525"/>
  <c r="N108" i="525"/>
  <c r="N109" i="525"/>
  <c r="N110" i="525"/>
  <c r="N111" i="525"/>
  <c r="N112" i="525"/>
  <c r="N113" i="525"/>
  <c r="N114" i="525"/>
  <c r="N115" i="525"/>
  <c r="N116" i="525"/>
  <c r="N117" i="525"/>
  <c r="N118" i="525"/>
  <c r="N119" i="525"/>
  <c r="N120" i="525"/>
  <c r="N121" i="525"/>
  <c r="N122" i="525"/>
  <c r="N123" i="525"/>
  <c r="N124" i="525"/>
  <c r="N125" i="525"/>
  <c r="N126" i="525"/>
  <c r="N127" i="525"/>
  <c r="N128" i="525"/>
  <c r="N129" i="525"/>
  <c r="N130" i="525"/>
  <c r="N131" i="525"/>
  <c r="N132" i="525"/>
  <c r="N133" i="525"/>
  <c r="N134" i="525"/>
  <c r="N135" i="525"/>
  <c r="N136" i="525"/>
  <c r="N137" i="525"/>
  <c r="N138" i="525"/>
  <c r="N139" i="525"/>
  <c r="N140" i="525"/>
  <c r="N141" i="525"/>
  <c r="N142" i="525"/>
  <c r="N143" i="525"/>
  <c r="N144" i="525"/>
  <c r="N145" i="525"/>
  <c r="N146" i="525"/>
  <c r="N147" i="525"/>
  <c r="N148" i="525"/>
  <c r="N149" i="525"/>
  <c r="N150" i="525"/>
  <c r="N151" i="525"/>
  <c r="N152" i="525"/>
  <c r="N153" i="525"/>
  <c r="N154" i="525"/>
  <c r="N155" i="525"/>
  <c r="N156" i="525"/>
  <c r="N157" i="525"/>
  <c r="N158" i="525"/>
  <c r="N159" i="525"/>
  <c r="N160" i="525"/>
  <c r="N161" i="525"/>
  <c r="N162" i="525"/>
  <c r="N163" i="525"/>
  <c r="N164" i="525"/>
  <c r="N165" i="525"/>
  <c r="N166" i="525"/>
  <c r="N167" i="525"/>
  <c r="N168" i="525"/>
  <c r="N169" i="525"/>
  <c r="N170" i="525"/>
  <c r="N171" i="525"/>
  <c r="N172" i="525"/>
  <c r="N173" i="525"/>
  <c r="N174" i="525"/>
  <c r="N175" i="525"/>
  <c r="N176" i="525"/>
  <c r="N177" i="525"/>
  <c r="N178" i="525"/>
  <c r="N179" i="525"/>
  <c r="N180" i="525"/>
  <c r="N181" i="525"/>
  <c r="N182" i="525"/>
  <c r="N183" i="525"/>
  <c r="N184" i="525"/>
  <c r="N185" i="525"/>
  <c r="N186" i="525"/>
  <c r="N187" i="525"/>
  <c r="N188" i="525"/>
  <c r="N189" i="525"/>
  <c r="N190" i="525"/>
  <c r="N191" i="525"/>
  <c r="N192" i="525"/>
  <c r="N193" i="525"/>
  <c r="N194" i="525"/>
  <c r="N195" i="525"/>
  <c r="N196" i="525"/>
  <c r="N197" i="525"/>
  <c r="N198" i="525"/>
  <c r="N199" i="525"/>
  <c r="N200" i="525"/>
  <c r="N201" i="525"/>
  <c r="N202" i="525"/>
  <c r="N203" i="525"/>
  <c r="N204" i="525"/>
  <c r="N205" i="525"/>
  <c r="N206" i="525"/>
  <c r="N207" i="525"/>
  <c r="N208" i="525"/>
  <c r="N209" i="525"/>
  <c r="N210" i="525"/>
  <c r="N211" i="525"/>
  <c r="N212" i="525"/>
  <c r="N213" i="525"/>
  <c r="N214" i="525"/>
  <c r="N215" i="525"/>
  <c r="N216" i="525"/>
  <c r="N217" i="525"/>
  <c r="N218" i="525"/>
  <c r="N219" i="525"/>
  <c r="N220" i="525"/>
  <c r="N221" i="525"/>
  <c r="N222" i="525"/>
  <c r="N223" i="525"/>
  <c r="N224" i="525"/>
  <c r="N225" i="525"/>
  <c r="N226" i="525"/>
  <c r="N227" i="525"/>
  <c r="N228" i="525"/>
  <c r="N229" i="525"/>
  <c r="N230" i="525"/>
  <c r="N231" i="525"/>
  <c r="N232" i="525"/>
  <c r="N233" i="525"/>
  <c r="N234" i="525"/>
  <c r="N235" i="525"/>
  <c r="N236" i="525"/>
  <c r="N237" i="525"/>
  <c r="N238" i="525"/>
  <c r="N239" i="525"/>
  <c r="N240" i="525"/>
  <c r="N241" i="525"/>
  <c r="N242" i="525"/>
  <c r="N243" i="525"/>
  <c r="N244" i="525"/>
  <c r="N245" i="525"/>
  <c r="N246" i="525"/>
  <c r="N247" i="525"/>
  <c r="N248" i="525"/>
  <c r="N249" i="525"/>
  <c r="N250" i="525"/>
  <c r="N251" i="525"/>
  <c r="N252" i="525"/>
  <c r="N253" i="525"/>
  <c r="N254" i="525"/>
  <c r="N255" i="525"/>
  <c r="N256" i="525"/>
  <c r="N257" i="525"/>
  <c r="N258" i="525"/>
  <c r="N259" i="525"/>
  <c r="N260" i="525"/>
  <c r="N261" i="525"/>
  <c r="N262" i="525"/>
  <c r="N263" i="525"/>
  <c r="N264" i="525"/>
  <c r="N265" i="525"/>
  <c r="N266" i="525"/>
  <c r="N267" i="525"/>
  <c r="N268" i="525"/>
  <c r="N269" i="525"/>
  <c r="N270" i="525"/>
  <c r="N271" i="525"/>
  <c r="N272" i="525"/>
  <c r="N273" i="525"/>
  <c r="N274" i="525"/>
  <c r="N275" i="525"/>
  <c r="N276" i="525"/>
  <c r="N277" i="525"/>
  <c r="N278" i="525"/>
  <c r="N279" i="525"/>
  <c r="N280" i="525"/>
  <c r="N281" i="525"/>
  <c r="N282" i="525"/>
  <c r="N283" i="525"/>
  <c r="N284" i="525"/>
  <c r="N285" i="525"/>
  <c r="N286" i="525"/>
  <c r="N287" i="525"/>
  <c r="N288" i="525"/>
  <c r="N289" i="525"/>
  <c r="N290" i="525"/>
  <c r="N291" i="525"/>
  <c r="N292" i="525"/>
  <c r="N293" i="525"/>
  <c r="N294" i="525"/>
  <c r="N295" i="525"/>
  <c r="N296" i="525"/>
  <c r="N297" i="525"/>
  <c r="N298" i="525"/>
  <c r="N299" i="525"/>
  <c r="N300" i="525"/>
  <c r="N301" i="525"/>
  <c r="N302" i="525"/>
  <c r="N303" i="525"/>
  <c r="N304" i="525"/>
  <c r="N305" i="525"/>
  <c r="N306" i="525"/>
  <c r="N307" i="525"/>
  <c r="N308" i="525"/>
  <c r="N309" i="525"/>
  <c r="N310" i="525"/>
  <c r="N311" i="525"/>
  <c r="N312" i="525"/>
  <c r="N313" i="525"/>
  <c r="N314" i="525"/>
  <c r="N315" i="525"/>
  <c r="N316" i="525"/>
  <c r="N317" i="525"/>
  <c r="N318" i="525"/>
  <c r="N319" i="525"/>
  <c r="N320" i="525"/>
  <c r="N321" i="525"/>
  <c r="N322" i="525"/>
  <c r="N323" i="525"/>
  <c r="N324" i="525"/>
  <c r="N325" i="525"/>
  <c r="N326" i="525"/>
  <c r="N327" i="525"/>
  <c r="N328" i="525"/>
  <c r="N329" i="525"/>
  <c r="N330" i="525"/>
  <c r="N331" i="525"/>
  <c r="N332" i="525"/>
  <c r="N333" i="525"/>
  <c r="N334" i="525"/>
  <c r="N335" i="525"/>
  <c r="N336" i="525"/>
  <c r="N337" i="525"/>
  <c r="N338" i="525"/>
  <c r="N339" i="525"/>
  <c r="N340" i="525"/>
  <c r="N341" i="525"/>
  <c r="N342" i="525"/>
  <c r="N343" i="525"/>
  <c r="N344" i="525"/>
  <c r="N345" i="525"/>
  <c r="N346" i="525"/>
  <c r="N347" i="525"/>
  <c r="N348" i="525"/>
  <c r="N349" i="525"/>
  <c r="N350" i="525"/>
  <c r="N351" i="525"/>
  <c r="N352" i="525"/>
  <c r="N353" i="525"/>
  <c r="N354" i="525"/>
  <c r="N355" i="525"/>
  <c r="N356" i="525"/>
  <c r="N357" i="525"/>
  <c r="N358" i="525"/>
  <c r="N359" i="525"/>
  <c r="N360" i="525"/>
  <c r="N361" i="525"/>
  <c r="N362" i="525"/>
  <c r="N363" i="525"/>
  <c r="N364" i="525"/>
  <c r="N365" i="525"/>
  <c r="N366" i="525"/>
  <c r="N367" i="525"/>
  <c r="N368" i="525"/>
  <c r="N369" i="525"/>
  <c r="N370" i="525"/>
  <c r="N371" i="525"/>
  <c r="N372" i="525"/>
  <c r="N373" i="525"/>
  <c r="N374" i="525"/>
  <c r="N375" i="525"/>
  <c r="N376" i="525"/>
  <c r="N377" i="525"/>
  <c r="N378" i="525"/>
  <c r="N379" i="525"/>
  <c r="N380" i="525"/>
  <c r="N381" i="525"/>
  <c r="N382" i="525"/>
  <c r="N383" i="525"/>
  <c r="N384" i="525"/>
  <c r="N385" i="525"/>
  <c r="N386" i="525"/>
  <c r="N387" i="525"/>
  <c r="N388" i="525"/>
  <c r="N389" i="525"/>
  <c r="N390" i="525"/>
  <c r="N391" i="525"/>
  <c r="N392" i="525"/>
  <c r="N393" i="525"/>
  <c r="N394" i="525"/>
  <c r="N395" i="525"/>
  <c r="N396" i="525"/>
  <c r="N397" i="525"/>
  <c r="N398" i="525"/>
  <c r="N399" i="525"/>
  <c r="N400" i="525"/>
  <c r="N401" i="525"/>
  <c r="N402" i="525"/>
  <c r="N403" i="525"/>
  <c r="N404" i="525"/>
  <c r="N405" i="525"/>
  <c r="N406" i="525"/>
  <c r="N407" i="525"/>
  <c r="N408" i="525"/>
  <c r="N409" i="525"/>
  <c r="N410" i="525"/>
  <c r="N411" i="525"/>
  <c r="N412" i="525"/>
  <c r="N413" i="525"/>
  <c r="N414" i="525"/>
  <c r="N415" i="525"/>
  <c r="N416" i="525"/>
  <c r="N417" i="525"/>
  <c r="N418" i="525"/>
  <c r="N419" i="525"/>
  <c r="N420" i="525"/>
  <c r="N421" i="525"/>
  <c r="N422" i="525"/>
  <c r="N423" i="525"/>
  <c r="N424" i="525"/>
  <c r="N425" i="525"/>
  <c r="N426" i="525"/>
  <c r="N427" i="525"/>
  <c r="N428" i="525"/>
  <c r="N429" i="525"/>
  <c r="N430" i="525"/>
  <c r="N431" i="525"/>
  <c r="N432" i="525"/>
  <c r="N433" i="525"/>
  <c r="N434" i="525"/>
  <c r="N435" i="525"/>
  <c r="N436" i="525"/>
  <c r="N437" i="525"/>
  <c r="N438" i="525"/>
  <c r="N439" i="525"/>
  <c r="N440" i="525"/>
  <c r="N441" i="525"/>
  <c r="N442" i="525"/>
  <c r="N443" i="525"/>
  <c r="N444" i="525"/>
  <c r="N445" i="525"/>
  <c r="N446" i="525"/>
  <c r="N447" i="525"/>
  <c r="N448" i="525"/>
  <c r="N449" i="525"/>
  <c r="N450" i="525"/>
  <c r="N451" i="525"/>
  <c r="N452" i="525"/>
  <c r="N453" i="525"/>
  <c r="N454" i="525"/>
  <c r="N455" i="525"/>
  <c r="N456" i="525"/>
  <c r="N457" i="525"/>
  <c r="N458" i="525"/>
  <c r="N459" i="525"/>
  <c r="N460" i="525"/>
  <c r="N461" i="525"/>
  <c r="N462" i="525"/>
  <c r="N463" i="525"/>
  <c r="N464" i="525"/>
  <c r="N465" i="525"/>
  <c r="N466" i="525"/>
  <c r="N467" i="525"/>
  <c r="N468" i="525"/>
  <c r="N469" i="525"/>
  <c r="N470" i="525"/>
  <c r="N471" i="525"/>
  <c r="N472" i="525"/>
  <c r="N473" i="525"/>
  <c r="N474" i="525"/>
  <c r="N475" i="525"/>
  <c r="N476" i="525"/>
  <c r="N477" i="525"/>
  <c r="N478" i="525"/>
  <c r="N479" i="525"/>
  <c r="N480" i="525"/>
  <c r="N481" i="525"/>
  <c r="N482" i="525"/>
  <c r="N483" i="525"/>
  <c r="N484" i="525"/>
  <c r="N485" i="525"/>
  <c r="N486" i="525"/>
  <c r="N487" i="525"/>
  <c r="N488" i="525"/>
  <c r="N489" i="525"/>
  <c r="N490" i="525"/>
  <c r="N491" i="525"/>
  <c r="N492" i="525"/>
  <c r="N493" i="525"/>
  <c r="N494" i="525"/>
  <c r="N495" i="525"/>
  <c r="N496" i="525"/>
  <c r="N497" i="525"/>
  <c r="N498" i="525"/>
  <c r="N499" i="525"/>
  <c r="N500" i="525"/>
  <c r="N501" i="525"/>
  <c r="N502" i="525"/>
  <c r="N503" i="525"/>
  <c r="N504" i="525"/>
  <c r="N505" i="525"/>
  <c r="N506" i="525"/>
  <c r="N507" i="525"/>
  <c r="N508" i="525"/>
  <c r="N509" i="525"/>
  <c r="N510" i="525"/>
  <c r="N511" i="525"/>
  <c r="N512" i="525"/>
  <c r="N513" i="525"/>
  <c r="N514" i="525"/>
  <c r="N515" i="525"/>
  <c r="N516" i="525"/>
  <c r="N517" i="525"/>
  <c r="N518" i="525"/>
  <c r="N519" i="525"/>
  <c r="N520" i="525"/>
  <c r="N521" i="525"/>
  <c r="N522" i="525"/>
  <c r="N523" i="525"/>
  <c r="N524" i="525"/>
  <c r="N525" i="525"/>
  <c r="N526" i="525"/>
  <c r="N527" i="525"/>
  <c r="N528" i="525"/>
  <c r="N529" i="525"/>
  <c r="N530" i="525"/>
  <c r="N531" i="525"/>
  <c r="N532" i="525"/>
  <c r="N533" i="525"/>
  <c r="N534" i="525"/>
  <c r="N535" i="525"/>
  <c r="N536" i="525"/>
  <c r="N537" i="525"/>
  <c r="N538" i="525"/>
  <c r="N539" i="525"/>
  <c r="N540" i="525"/>
  <c r="N541" i="525"/>
  <c r="N542" i="525"/>
  <c r="N543" i="525"/>
  <c r="N544" i="525"/>
  <c r="N545" i="525"/>
  <c r="N546" i="525"/>
  <c r="N547" i="525"/>
  <c r="N548" i="525"/>
  <c r="N549" i="525"/>
  <c r="N550" i="525"/>
  <c r="N551" i="525"/>
  <c r="N552" i="525"/>
  <c r="N553" i="525"/>
  <c r="N554" i="525"/>
  <c r="N555" i="525"/>
  <c r="N556" i="525"/>
  <c r="N557" i="525"/>
  <c r="N558" i="525"/>
  <c r="N559" i="525"/>
  <c r="N560" i="525"/>
  <c r="N561" i="525"/>
  <c r="N562" i="525"/>
  <c r="N563" i="525"/>
  <c r="N564" i="525"/>
  <c r="N565" i="525"/>
  <c r="N566" i="525"/>
  <c r="N567" i="525"/>
  <c r="N568" i="525"/>
  <c r="N569" i="525"/>
  <c r="N570" i="525"/>
  <c r="N571" i="525"/>
  <c r="N572" i="525"/>
  <c r="N573" i="525"/>
  <c r="N574" i="525"/>
  <c r="N575" i="525"/>
  <c r="N576" i="525"/>
  <c r="N577" i="525"/>
  <c r="N578" i="525"/>
  <c r="N579" i="525"/>
  <c r="N580" i="525"/>
  <c r="N581" i="525"/>
  <c r="N582" i="525"/>
  <c r="N583" i="525"/>
  <c r="N584" i="525"/>
  <c r="N585" i="525"/>
  <c r="N586" i="525"/>
  <c r="N587" i="525"/>
  <c r="N588" i="525"/>
  <c r="N589" i="525"/>
  <c r="N590" i="525"/>
  <c r="N591" i="525"/>
  <c r="N592" i="525"/>
  <c r="N593" i="525"/>
  <c r="N594" i="525"/>
  <c r="N595" i="525"/>
  <c r="N596" i="525"/>
  <c r="N597" i="525"/>
  <c r="N598" i="525"/>
  <c r="N599" i="525"/>
  <c r="N600" i="525"/>
  <c r="N601" i="525"/>
  <c r="N602" i="525"/>
  <c r="N603" i="525"/>
  <c r="N604" i="525"/>
  <c r="N605" i="525"/>
  <c r="N606" i="525"/>
  <c r="N607" i="525"/>
  <c r="N608" i="525"/>
  <c r="N609" i="525"/>
  <c r="N610" i="525"/>
  <c r="N611" i="525"/>
  <c r="N612" i="525"/>
  <c r="N613" i="525"/>
  <c r="N614" i="525"/>
  <c r="N615" i="525"/>
  <c r="N616" i="525"/>
  <c r="N617" i="525"/>
  <c r="N618" i="525"/>
  <c r="N619" i="525"/>
  <c r="N620" i="525"/>
  <c r="N621" i="525"/>
  <c r="N622" i="525"/>
  <c r="N623" i="525"/>
  <c r="N624" i="525"/>
  <c r="N625" i="525"/>
  <c r="N626" i="525"/>
  <c r="N627" i="525"/>
  <c r="N628" i="525"/>
  <c r="N629" i="525"/>
  <c r="N630" i="525"/>
  <c r="N631" i="525"/>
  <c r="N632" i="525"/>
  <c r="N633" i="525"/>
  <c r="N634" i="525"/>
  <c r="N635" i="525"/>
  <c r="N636" i="525"/>
  <c r="N637" i="525"/>
  <c r="N638" i="525"/>
  <c r="N639" i="525"/>
  <c r="N640" i="525"/>
  <c r="N641" i="525"/>
  <c r="N642" i="525"/>
  <c r="N643" i="525"/>
  <c r="N644" i="525"/>
  <c r="N645" i="525"/>
  <c r="N646" i="525"/>
  <c r="N647" i="525"/>
  <c r="N648" i="525"/>
  <c r="N649" i="525"/>
  <c r="N650" i="525"/>
  <c r="N651" i="525"/>
  <c r="N652" i="525"/>
  <c r="N653" i="525"/>
  <c r="N654" i="525"/>
  <c r="N655" i="525"/>
  <c r="N656" i="525"/>
  <c r="N657" i="525"/>
  <c r="N658" i="525"/>
  <c r="N659" i="525"/>
  <c r="N660" i="525"/>
  <c r="N661" i="525"/>
  <c r="N662" i="525"/>
  <c r="N663" i="525"/>
  <c r="N664" i="525"/>
  <c r="N665" i="525"/>
  <c r="N666" i="525"/>
  <c r="N667" i="525"/>
  <c r="N668" i="525"/>
  <c r="N669" i="525"/>
  <c r="N670" i="525"/>
  <c r="N671" i="525"/>
  <c r="N672" i="525"/>
  <c r="N673" i="525"/>
  <c r="N674" i="525"/>
  <c r="N675" i="525"/>
  <c r="N676" i="525"/>
  <c r="N677" i="525"/>
  <c r="N678" i="525"/>
  <c r="N679" i="525"/>
  <c r="N680" i="525"/>
  <c r="N681" i="525"/>
  <c r="N682" i="525"/>
  <c r="N683" i="525"/>
  <c r="N684" i="525"/>
  <c r="N685" i="525"/>
  <c r="N686" i="525"/>
  <c r="N687" i="525"/>
  <c r="N688" i="525"/>
  <c r="N689" i="525"/>
  <c r="N690" i="525"/>
  <c r="N691" i="525"/>
  <c r="N692" i="525"/>
  <c r="N693" i="525"/>
  <c r="N694" i="525"/>
  <c r="N695" i="525"/>
  <c r="N696" i="525"/>
  <c r="N697" i="525"/>
  <c r="N698" i="525"/>
  <c r="N699" i="525"/>
  <c r="N700" i="525"/>
  <c r="N701" i="525"/>
  <c r="N702" i="525"/>
  <c r="N703" i="525"/>
  <c r="N704" i="525"/>
  <c r="N705" i="525"/>
  <c r="N706" i="525"/>
  <c r="N707" i="525"/>
  <c r="N708" i="525"/>
  <c r="N709" i="525"/>
  <c r="N710" i="525"/>
  <c r="N711" i="525"/>
  <c r="N712" i="525"/>
  <c r="N713" i="525"/>
  <c r="N714" i="525"/>
  <c r="N715" i="525"/>
  <c r="N716" i="525"/>
  <c r="N717" i="525"/>
  <c r="N718" i="525"/>
  <c r="N719" i="525"/>
  <c r="N720" i="525"/>
  <c r="N721" i="525"/>
  <c r="N722" i="525"/>
  <c r="N723" i="525"/>
  <c r="N724" i="525"/>
  <c r="N725" i="525"/>
  <c r="N726" i="525"/>
  <c r="N727" i="525"/>
  <c r="N728" i="525"/>
  <c r="N729" i="525"/>
  <c r="N730" i="525"/>
  <c r="N731" i="525"/>
  <c r="N732" i="525"/>
  <c r="N733" i="525"/>
  <c r="N734" i="525"/>
  <c r="N735" i="525"/>
  <c r="N736" i="525"/>
  <c r="N737" i="525"/>
  <c r="N738" i="525"/>
  <c r="N739" i="525"/>
  <c r="N740" i="525"/>
  <c r="N741" i="525"/>
  <c r="N742" i="525"/>
  <c r="N743" i="525"/>
  <c r="N744" i="525"/>
  <c r="N745" i="525"/>
  <c r="N746" i="525"/>
  <c r="N747" i="525"/>
  <c r="N748" i="525"/>
  <c r="N749" i="525"/>
  <c r="N750" i="525"/>
  <c r="N751" i="525"/>
  <c r="N752" i="525"/>
  <c r="N753" i="525"/>
  <c r="N754" i="525"/>
  <c r="N755" i="525"/>
  <c r="N756" i="525"/>
  <c r="N757" i="525"/>
  <c r="N758" i="525"/>
  <c r="N759" i="525"/>
  <c r="N760" i="525"/>
  <c r="N761" i="525"/>
  <c r="N762" i="525"/>
  <c r="N763" i="525"/>
  <c r="N764" i="525"/>
  <c r="N765" i="525"/>
  <c r="N766" i="525"/>
  <c r="N767" i="525"/>
  <c r="N768" i="525"/>
  <c r="N769" i="525"/>
  <c r="N770" i="525"/>
  <c r="N771" i="525"/>
  <c r="N772" i="525"/>
  <c r="N773" i="525"/>
  <c r="N774" i="525"/>
  <c r="N775" i="525"/>
  <c r="N776" i="525"/>
  <c r="N777" i="525"/>
  <c r="N778" i="525"/>
  <c r="N779" i="525"/>
  <c r="N780" i="525"/>
  <c r="N781" i="525"/>
  <c r="N782" i="525"/>
  <c r="N783" i="525"/>
  <c r="N784" i="525"/>
  <c r="N785" i="525"/>
  <c r="N786" i="525"/>
  <c r="N787" i="525"/>
  <c r="N788" i="525"/>
  <c r="N789" i="525"/>
  <c r="N790" i="525"/>
  <c r="N791" i="525"/>
  <c r="N792" i="525"/>
  <c r="N793" i="525"/>
  <c r="N794" i="525"/>
  <c r="N795" i="525"/>
  <c r="N796" i="525"/>
  <c r="N797" i="525"/>
  <c r="N798" i="525"/>
  <c r="N799" i="525"/>
  <c r="N800" i="525"/>
  <c r="N801" i="525"/>
  <c r="N802" i="525"/>
  <c r="N803" i="525"/>
  <c r="N804" i="525"/>
  <c r="N805" i="525"/>
  <c r="N806" i="525"/>
  <c r="N807" i="525"/>
  <c r="N808" i="525"/>
  <c r="N809" i="525"/>
  <c r="N810" i="525"/>
  <c r="N811" i="525"/>
  <c r="N812" i="525"/>
  <c r="N813" i="525"/>
  <c r="N814" i="525"/>
  <c r="N815" i="525"/>
  <c r="N816" i="525"/>
  <c r="N817" i="525"/>
  <c r="N818" i="525"/>
  <c r="N819" i="525"/>
  <c r="N820" i="525"/>
  <c r="N821" i="525"/>
  <c r="N822" i="525"/>
  <c r="N823" i="525"/>
  <c r="N824" i="525"/>
  <c r="N825" i="525"/>
  <c r="N826" i="525"/>
  <c r="N827" i="525"/>
  <c r="N828" i="525"/>
  <c r="N829" i="525"/>
  <c r="N830" i="525"/>
  <c r="N831" i="525"/>
  <c r="N832" i="525"/>
  <c r="N833" i="525"/>
  <c r="N834" i="525"/>
  <c r="N835" i="525"/>
  <c r="N836" i="525"/>
  <c r="N837" i="525"/>
  <c r="N838" i="525"/>
  <c r="N839" i="525"/>
  <c r="N840" i="525"/>
  <c r="N841" i="525"/>
  <c r="N842" i="525"/>
  <c r="N843" i="525"/>
  <c r="N844" i="525"/>
  <c r="N845" i="525"/>
  <c r="N846" i="525"/>
  <c r="N847" i="525"/>
  <c r="N848" i="525"/>
  <c r="N849" i="525"/>
  <c r="N850" i="525"/>
  <c r="N851" i="525"/>
  <c r="N852" i="525"/>
  <c r="N853" i="525"/>
  <c r="N854" i="525"/>
  <c r="N855" i="525"/>
  <c r="N856" i="525"/>
  <c r="N857" i="525"/>
  <c r="N858" i="525"/>
  <c r="N859" i="525"/>
  <c r="N860" i="525"/>
  <c r="N861" i="525"/>
  <c r="N862" i="525"/>
  <c r="N863" i="525"/>
  <c r="N864" i="525"/>
  <c r="N865" i="525"/>
  <c r="N866" i="525"/>
  <c r="N867" i="525"/>
  <c r="N868" i="525"/>
  <c r="N869" i="525"/>
  <c r="N870" i="525"/>
  <c r="N871" i="525"/>
  <c r="N872" i="525"/>
  <c r="N873" i="525"/>
  <c r="N874" i="525"/>
  <c r="N875" i="525"/>
  <c r="N876" i="525"/>
  <c r="N877" i="525"/>
  <c r="N878" i="525"/>
  <c r="N879" i="525"/>
  <c r="N880" i="525"/>
  <c r="N881" i="525"/>
  <c r="N882" i="525"/>
  <c r="N883" i="525"/>
  <c r="N884" i="525"/>
  <c r="N885" i="525"/>
  <c r="N886" i="525"/>
  <c r="N887" i="525"/>
  <c r="N888" i="525"/>
  <c r="N889" i="525"/>
  <c r="N890" i="525"/>
  <c r="N891" i="525"/>
  <c r="N892" i="525"/>
  <c r="N893" i="525"/>
  <c r="N894" i="525"/>
  <c r="N895" i="525"/>
  <c r="N896" i="525"/>
  <c r="N897" i="525"/>
  <c r="N898" i="525"/>
  <c r="N899" i="525"/>
  <c r="N900" i="525"/>
  <c r="N901" i="525"/>
  <c r="N902" i="525"/>
  <c r="N903" i="525"/>
  <c r="N904" i="525"/>
  <c r="N905" i="525"/>
  <c r="N906" i="525"/>
  <c r="N907" i="525"/>
  <c r="N908" i="525"/>
  <c r="N909" i="525"/>
  <c r="N910" i="525"/>
  <c r="N911" i="525"/>
  <c r="N912" i="525"/>
  <c r="N913" i="525"/>
  <c r="N914" i="525"/>
  <c r="N915" i="525"/>
  <c r="N916" i="525"/>
  <c r="N917" i="525"/>
  <c r="N918" i="525"/>
  <c r="N919" i="525"/>
  <c r="N920" i="525"/>
  <c r="N921" i="525"/>
  <c r="N922" i="525"/>
  <c r="N923" i="525"/>
  <c r="N924" i="525"/>
  <c r="N925" i="525"/>
  <c r="N926" i="525"/>
  <c r="N927" i="525"/>
  <c r="N928" i="525"/>
  <c r="N929" i="525"/>
  <c r="N930" i="525"/>
  <c r="N931" i="525"/>
  <c r="N932" i="525"/>
  <c r="N933" i="525"/>
  <c r="N934" i="525"/>
  <c r="N935" i="525"/>
  <c r="N936" i="525"/>
  <c r="N937" i="525"/>
  <c r="N938" i="525"/>
  <c r="N939" i="525"/>
  <c r="N940" i="525"/>
  <c r="N941" i="525"/>
  <c r="N942" i="525"/>
  <c r="N943" i="525"/>
  <c r="N944" i="525"/>
  <c r="N945" i="525"/>
  <c r="N946" i="525"/>
  <c r="N947" i="525"/>
  <c r="N948" i="525"/>
  <c r="N949" i="525"/>
  <c r="N950" i="525"/>
  <c r="N951" i="525"/>
  <c r="N952" i="525"/>
  <c r="N953" i="525"/>
  <c r="N954" i="525"/>
  <c r="N955" i="525"/>
  <c r="N956" i="525"/>
  <c r="N957" i="525"/>
  <c r="N958" i="525"/>
  <c r="N959" i="525"/>
  <c r="N960" i="525"/>
  <c r="N961" i="525"/>
  <c r="N962" i="525"/>
  <c r="N963" i="525"/>
  <c r="N964" i="525"/>
  <c r="N965" i="525"/>
  <c r="N966" i="525"/>
  <c r="N967" i="525"/>
  <c r="N968" i="525"/>
  <c r="N969" i="525"/>
  <c r="N970" i="525"/>
  <c r="N971" i="525"/>
  <c r="N972" i="525"/>
  <c r="N973" i="525"/>
  <c r="N974" i="525"/>
  <c r="N975" i="525"/>
  <c r="N976" i="525"/>
  <c r="N977" i="525"/>
  <c r="N978" i="525"/>
  <c r="N979" i="525"/>
  <c r="N980" i="525"/>
  <c r="N981" i="525"/>
  <c r="N982" i="525"/>
  <c r="N983" i="525"/>
  <c r="N984" i="525"/>
  <c r="N985" i="525"/>
  <c r="N986" i="525"/>
  <c r="N987" i="525"/>
  <c r="N988" i="525"/>
  <c r="N989" i="525"/>
  <c r="N990" i="525"/>
  <c r="N991" i="525"/>
  <c r="N992" i="525"/>
  <c r="N993" i="525"/>
  <c r="N994" i="525"/>
  <c r="N995" i="525"/>
  <c r="N996" i="525"/>
  <c r="N997" i="525"/>
  <c r="N998" i="525"/>
  <c r="N999" i="525"/>
  <c r="N1000" i="525"/>
  <c r="N1001" i="525"/>
  <c r="N1002" i="525"/>
  <c r="N3" i="525"/>
  <c r="L1002" i="525"/>
  <c r="J1002" i="525"/>
  <c r="L1001" i="525"/>
  <c r="J1001" i="525"/>
  <c r="L1000" i="525"/>
  <c r="J1000" i="525"/>
  <c r="L999" i="525"/>
  <c r="J999" i="525"/>
  <c r="L998" i="525"/>
  <c r="J998" i="525"/>
  <c r="L997" i="525"/>
  <c r="J997" i="525"/>
  <c r="L996" i="525"/>
  <c r="J996" i="525"/>
  <c r="L995" i="525"/>
  <c r="J995" i="525"/>
  <c r="L994" i="525"/>
  <c r="J994" i="525"/>
  <c r="L993" i="525"/>
  <c r="J993" i="525"/>
  <c r="L992" i="525"/>
  <c r="J992" i="525"/>
  <c r="L991" i="525"/>
  <c r="J991" i="525"/>
  <c r="L990" i="525"/>
  <c r="J990" i="525"/>
  <c r="L989" i="525"/>
  <c r="J989" i="525"/>
  <c r="L988" i="525"/>
  <c r="J988" i="525"/>
  <c r="L987" i="525"/>
  <c r="J987" i="525"/>
  <c r="L986" i="525"/>
  <c r="J986" i="525"/>
  <c r="L985" i="525"/>
  <c r="J985" i="525"/>
  <c r="L984" i="525"/>
  <c r="J984" i="525"/>
  <c r="L983" i="525"/>
  <c r="J983" i="525"/>
  <c r="L982" i="525"/>
  <c r="J982" i="525"/>
  <c r="L981" i="525"/>
  <c r="J981" i="525"/>
  <c r="L980" i="525"/>
  <c r="J980" i="525"/>
  <c r="L979" i="525"/>
  <c r="J979" i="525"/>
  <c r="L978" i="525"/>
  <c r="J978" i="525"/>
  <c r="L977" i="525"/>
  <c r="J977" i="525"/>
  <c r="L976" i="525"/>
  <c r="J976" i="525"/>
  <c r="L975" i="525"/>
  <c r="J975" i="525"/>
  <c r="L974" i="525"/>
  <c r="J974" i="525"/>
  <c r="L973" i="525"/>
  <c r="J973" i="525"/>
  <c r="L972" i="525"/>
  <c r="J972" i="525"/>
  <c r="L971" i="525"/>
  <c r="J971" i="525"/>
  <c r="L970" i="525"/>
  <c r="J970" i="525"/>
  <c r="L969" i="525"/>
  <c r="J969" i="525"/>
  <c r="L968" i="525"/>
  <c r="J968" i="525"/>
  <c r="L967" i="525"/>
  <c r="J967" i="525"/>
  <c r="L966" i="525"/>
  <c r="J966" i="525"/>
  <c r="L965" i="525"/>
  <c r="J965" i="525"/>
  <c r="L964" i="525"/>
  <c r="J964" i="525"/>
  <c r="L963" i="525"/>
  <c r="J963" i="525"/>
  <c r="L962" i="525"/>
  <c r="J962" i="525"/>
  <c r="L961" i="525"/>
  <c r="J961" i="525"/>
  <c r="L960" i="525"/>
  <c r="J960" i="525"/>
  <c r="L959" i="525"/>
  <c r="J959" i="525"/>
  <c r="L958" i="525"/>
  <c r="J958" i="525"/>
  <c r="L957" i="525"/>
  <c r="J957" i="525"/>
  <c r="L956" i="525"/>
  <c r="J956" i="525"/>
  <c r="L955" i="525"/>
  <c r="J955" i="525"/>
  <c r="L954" i="525"/>
  <c r="J954" i="525"/>
  <c r="L953" i="525"/>
  <c r="J953" i="525"/>
  <c r="L952" i="525"/>
  <c r="J952" i="525"/>
  <c r="L951" i="525"/>
  <c r="J951" i="525"/>
  <c r="L950" i="525"/>
  <c r="J950" i="525"/>
  <c r="L949" i="525"/>
  <c r="J949" i="525"/>
  <c r="L948" i="525"/>
  <c r="J948" i="525"/>
  <c r="L947" i="525"/>
  <c r="J947" i="525"/>
  <c r="L946" i="525"/>
  <c r="J946" i="525"/>
  <c r="L945" i="525"/>
  <c r="J945" i="525"/>
  <c r="L944" i="525"/>
  <c r="J944" i="525"/>
  <c r="L943" i="525"/>
  <c r="J943" i="525"/>
  <c r="L942" i="525"/>
  <c r="J942" i="525"/>
  <c r="L941" i="525"/>
  <c r="J941" i="525"/>
  <c r="L940" i="525"/>
  <c r="J940" i="525"/>
  <c r="L939" i="525"/>
  <c r="J939" i="525"/>
  <c r="L938" i="525"/>
  <c r="J938" i="525"/>
  <c r="L937" i="525"/>
  <c r="J937" i="525"/>
  <c r="L936" i="525"/>
  <c r="J936" i="525"/>
  <c r="L935" i="525"/>
  <c r="J935" i="525"/>
  <c r="L934" i="525"/>
  <c r="J934" i="525"/>
  <c r="L933" i="525"/>
  <c r="J933" i="525"/>
  <c r="L932" i="525"/>
  <c r="J932" i="525"/>
  <c r="L931" i="525"/>
  <c r="J931" i="525"/>
  <c r="L930" i="525"/>
  <c r="J930" i="525"/>
  <c r="L929" i="525"/>
  <c r="J929" i="525"/>
  <c r="L928" i="525"/>
  <c r="J928" i="525"/>
  <c r="L927" i="525"/>
  <c r="J927" i="525"/>
  <c r="L926" i="525"/>
  <c r="J926" i="525"/>
  <c r="L925" i="525"/>
  <c r="J925" i="525"/>
  <c r="L924" i="525"/>
  <c r="J924" i="525"/>
  <c r="L923" i="525"/>
  <c r="J923" i="525"/>
  <c r="L922" i="525"/>
  <c r="J922" i="525"/>
  <c r="L921" i="525"/>
  <c r="J921" i="525"/>
  <c r="L920" i="525"/>
  <c r="J920" i="525"/>
  <c r="L919" i="525"/>
  <c r="J919" i="525"/>
  <c r="L918" i="525"/>
  <c r="J918" i="525"/>
  <c r="L917" i="525"/>
  <c r="J917" i="525"/>
  <c r="L916" i="525"/>
  <c r="J916" i="525"/>
  <c r="L915" i="525"/>
  <c r="J915" i="525"/>
  <c r="L914" i="525"/>
  <c r="J914" i="525"/>
  <c r="L913" i="525"/>
  <c r="J913" i="525"/>
  <c r="L912" i="525"/>
  <c r="J912" i="525"/>
  <c r="L911" i="525"/>
  <c r="J911" i="525"/>
  <c r="L910" i="525"/>
  <c r="J910" i="525"/>
  <c r="L909" i="525"/>
  <c r="J909" i="525"/>
  <c r="L908" i="525"/>
  <c r="J908" i="525"/>
  <c r="L907" i="525"/>
  <c r="J907" i="525"/>
  <c r="L906" i="525"/>
  <c r="J906" i="525"/>
  <c r="L905" i="525"/>
  <c r="J905" i="525"/>
  <c r="L904" i="525"/>
  <c r="J904" i="525"/>
  <c r="L903" i="525"/>
  <c r="J903" i="525"/>
  <c r="L902" i="525"/>
  <c r="J902" i="525"/>
  <c r="L901" i="525"/>
  <c r="J901" i="525"/>
  <c r="L900" i="525"/>
  <c r="J900" i="525"/>
  <c r="L899" i="525"/>
  <c r="J899" i="525"/>
  <c r="L898" i="525"/>
  <c r="J898" i="525"/>
  <c r="L897" i="525"/>
  <c r="J897" i="525"/>
  <c r="L896" i="525"/>
  <c r="J896" i="525"/>
  <c r="L895" i="525"/>
  <c r="J895" i="525"/>
  <c r="L894" i="525"/>
  <c r="J894" i="525"/>
  <c r="L893" i="525"/>
  <c r="J893" i="525"/>
  <c r="L892" i="525"/>
  <c r="J892" i="525"/>
  <c r="L891" i="525"/>
  <c r="J891" i="525"/>
  <c r="L890" i="525"/>
  <c r="J890" i="525"/>
  <c r="L889" i="525"/>
  <c r="J889" i="525"/>
  <c r="L888" i="525"/>
  <c r="J888" i="525"/>
  <c r="L887" i="525"/>
  <c r="J887" i="525"/>
  <c r="L886" i="525"/>
  <c r="J886" i="525"/>
  <c r="L885" i="525"/>
  <c r="J885" i="525"/>
  <c r="L884" i="525"/>
  <c r="J884" i="525"/>
  <c r="L883" i="525"/>
  <c r="J883" i="525"/>
  <c r="L882" i="525"/>
  <c r="J882" i="525"/>
  <c r="L881" i="525"/>
  <c r="J881" i="525"/>
  <c r="L880" i="525"/>
  <c r="J880" i="525"/>
  <c r="L879" i="525"/>
  <c r="J879" i="525"/>
  <c r="L878" i="525"/>
  <c r="J878" i="525"/>
  <c r="L877" i="525"/>
  <c r="J877" i="525"/>
  <c r="L876" i="525"/>
  <c r="J876" i="525"/>
  <c r="L875" i="525"/>
  <c r="J875" i="525"/>
  <c r="L874" i="525"/>
  <c r="J874" i="525"/>
  <c r="L873" i="525"/>
  <c r="J873" i="525"/>
  <c r="L872" i="525"/>
  <c r="J872" i="525"/>
  <c r="L871" i="525"/>
  <c r="J871" i="525"/>
  <c r="L870" i="525"/>
  <c r="J870" i="525"/>
  <c r="L869" i="525"/>
  <c r="J869" i="525"/>
  <c r="L868" i="525"/>
  <c r="J868" i="525"/>
  <c r="L867" i="525"/>
  <c r="J867" i="525"/>
  <c r="L866" i="525"/>
  <c r="J866" i="525"/>
  <c r="L865" i="525"/>
  <c r="J865" i="525"/>
  <c r="L864" i="525"/>
  <c r="J864" i="525"/>
  <c r="L863" i="525"/>
  <c r="J863" i="525"/>
  <c r="L862" i="525"/>
  <c r="J862" i="525"/>
  <c r="L861" i="525"/>
  <c r="J861" i="525"/>
  <c r="L860" i="525"/>
  <c r="J860" i="525"/>
  <c r="L859" i="525"/>
  <c r="J859" i="525"/>
  <c r="L858" i="525"/>
  <c r="J858" i="525"/>
  <c r="L857" i="525"/>
  <c r="J857" i="525"/>
  <c r="L856" i="525"/>
  <c r="J856" i="525"/>
  <c r="L855" i="525"/>
  <c r="J855" i="525"/>
  <c r="L854" i="525"/>
  <c r="J854" i="525"/>
  <c r="L853" i="525"/>
  <c r="J853" i="525"/>
  <c r="L852" i="525"/>
  <c r="J852" i="525"/>
  <c r="L851" i="525"/>
  <c r="J851" i="525"/>
  <c r="L850" i="525"/>
  <c r="J850" i="525"/>
  <c r="L849" i="525"/>
  <c r="J849" i="525"/>
  <c r="L848" i="525"/>
  <c r="J848" i="525"/>
  <c r="L847" i="525"/>
  <c r="J847" i="525"/>
  <c r="L846" i="525"/>
  <c r="J846" i="525"/>
  <c r="L845" i="525"/>
  <c r="J845" i="525"/>
  <c r="L844" i="525"/>
  <c r="J844" i="525"/>
  <c r="L843" i="525"/>
  <c r="J843" i="525"/>
  <c r="L842" i="525"/>
  <c r="J842" i="525"/>
  <c r="L841" i="525"/>
  <c r="J841" i="525"/>
  <c r="L840" i="525"/>
  <c r="J840" i="525"/>
  <c r="L839" i="525"/>
  <c r="J839" i="525"/>
  <c r="L838" i="525"/>
  <c r="J838" i="525"/>
  <c r="L837" i="525"/>
  <c r="J837" i="525"/>
  <c r="L836" i="525"/>
  <c r="J836" i="525"/>
  <c r="L835" i="525"/>
  <c r="J835" i="525"/>
  <c r="L834" i="525"/>
  <c r="J834" i="525"/>
  <c r="L833" i="525"/>
  <c r="J833" i="525"/>
  <c r="L832" i="525"/>
  <c r="J832" i="525"/>
  <c r="L831" i="525"/>
  <c r="J831" i="525"/>
  <c r="L830" i="525"/>
  <c r="J830" i="525"/>
  <c r="L829" i="525"/>
  <c r="J829" i="525"/>
  <c r="L828" i="525"/>
  <c r="J828" i="525"/>
  <c r="L827" i="525"/>
  <c r="J827" i="525"/>
  <c r="L826" i="525"/>
  <c r="J826" i="525"/>
  <c r="L825" i="525"/>
  <c r="J825" i="525"/>
  <c r="L824" i="525"/>
  <c r="J824" i="525"/>
  <c r="L823" i="525"/>
  <c r="J823" i="525"/>
  <c r="L822" i="525"/>
  <c r="J822" i="525"/>
  <c r="L821" i="525"/>
  <c r="J821" i="525"/>
  <c r="L820" i="525"/>
  <c r="J820" i="525"/>
  <c r="L819" i="525"/>
  <c r="J819" i="525"/>
  <c r="L818" i="525"/>
  <c r="J818" i="525"/>
  <c r="L817" i="525"/>
  <c r="J817" i="525"/>
  <c r="L816" i="525"/>
  <c r="J816" i="525"/>
  <c r="L815" i="525"/>
  <c r="J815" i="525"/>
  <c r="L814" i="525"/>
  <c r="J814" i="525"/>
  <c r="L813" i="525"/>
  <c r="J813" i="525"/>
  <c r="L812" i="525"/>
  <c r="J812" i="525"/>
  <c r="L811" i="525"/>
  <c r="J811" i="525"/>
  <c r="L810" i="525"/>
  <c r="J810" i="525"/>
  <c r="L809" i="525"/>
  <c r="J809" i="525"/>
  <c r="L808" i="525"/>
  <c r="J808" i="525"/>
  <c r="L807" i="525"/>
  <c r="J807" i="525"/>
  <c r="L806" i="525"/>
  <c r="J806" i="525"/>
  <c r="L805" i="525"/>
  <c r="J805" i="525"/>
  <c r="L804" i="525"/>
  <c r="J804" i="525"/>
  <c r="L803" i="525"/>
  <c r="J803" i="525"/>
  <c r="L802" i="525"/>
  <c r="J802" i="525"/>
  <c r="L801" i="525"/>
  <c r="J801" i="525"/>
  <c r="L800" i="525"/>
  <c r="J800" i="525"/>
  <c r="L799" i="525"/>
  <c r="J799" i="525"/>
  <c r="L798" i="525"/>
  <c r="J798" i="525"/>
  <c r="L797" i="525"/>
  <c r="J797" i="525"/>
  <c r="L796" i="525"/>
  <c r="J796" i="525"/>
  <c r="L795" i="525"/>
  <c r="J795" i="525"/>
  <c r="L794" i="525"/>
  <c r="J794" i="525"/>
  <c r="L793" i="525"/>
  <c r="J793" i="525"/>
  <c r="L792" i="525"/>
  <c r="J792" i="525"/>
  <c r="L791" i="525"/>
  <c r="J791" i="525"/>
  <c r="L790" i="525"/>
  <c r="J790" i="525"/>
  <c r="L789" i="525"/>
  <c r="J789" i="525"/>
  <c r="L788" i="525"/>
  <c r="J788" i="525"/>
  <c r="L787" i="525"/>
  <c r="J787" i="525"/>
  <c r="L786" i="525"/>
  <c r="J786" i="525"/>
  <c r="L785" i="525"/>
  <c r="J785" i="525"/>
  <c r="L784" i="525"/>
  <c r="J784" i="525"/>
  <c r="L783" i="525"/>
  <c r="J783" i="525"/>
  <c r="L782" i="525"/>
  <c r="J782" i="525"/>
  <c r="L781" i="525"/>
  <c r="J781" i="525"/>
  <c r="L780" i="525"/>
  <c r="J780" i="525"/>
  <c r="L779" i="525"/>
  <c r="J779" i="525"/>
  <c r="L778" i="525"/>
  <c r="J778" i="525"/>
  <c r="L777" i="525"/>
  <c r="J777" i="525"/>
  <c r="L776" i="525"/>
  <c r="J776" i="525"/>
  <c r="L775" i="525"/>
  <c r="J775" i="525"/>
  <c r="L774" i="525"/>
  <c r="J774" i="525"/>
  <c r="L773" i="525"/>
  <c r="J773" i="525"/>
  <c r="L772" i="525"/>
  <c r="J772" i="525"/>
  <c r="L771" i="525"/>
  <c r="J771" i="525"/>
  <c r="L770" i="525"/>
  <c r="J770" i="525"/>
  <c r="L769" i="525"/>
  <c r="J769" i="525"/>
  <c r="L768" i="525"/>
  <c r="J768" i="525"/>
  <c r="L767" i="525"/>
  <c r="J767" i="525"/>
  <c r="L766" i="525"/>
  <c r="J766" i="525"/>
  <c r="L765" i="525"/>
  <c r="J765" i="525"/>
  <c r="L764" i="525"/>
  <c r="J764" i="525"/>
  <c r="L763" i="525"/>
  <c r="J763" i="525"/>
  <c r="L762" i="525"/>
  <c r="J762" i="525"/>
  <c r="L761" i="525"/>
  <c r="J761" i="525"/>
  <c r="L760" i="525"/>
  <c r="J760" i="525"/>
  <c r="L759" i="525"/>
  <c r="J759" i="525"/>
  <c r="L758" i="525"/>
  <c r="J758" i="525"/>
  <c r="L757" i="525"/>
  <c r="J757" i="525"/>
  <c r="L756" i="525"/>
  <c r="J756" i="525"/>
  <c r="L755" i="525"/>
  <c r="J755" i="525"/>
  <c r="L754" i="525"/>
  <c r="J754" i="525"/>
  <c r="L753" i="525"/>
  <c r="J753" i="525"/>
  <c r="L752" i="525"/>
  <c r="J752" i="525"/>
  <c r="L751" i="525"/>
  <c r="J751" i="525"/>
  <c r="L750" i="525"/>
  <c r="J750" i="525"/>
  <c r="L749" i="525"/>
  <c r="J749" i="525"/>
  <c r="L748" i="525"/>
  <c r="J748" i="525"/>
  <c r="L747" i="525"/>
  <c r="J747" i="525"/>
  <c r="L746" i="525"/>
  <c r="J746" i="525"/>
  <c r="L745" i="525"/>
  <c r="J745" i="525"/>
  <c r="L744" i="525"/>
  <c r="J744" i="525"/>
  <c r="L743" i="525"/>
  <c r="J743" i="525"/>
  <c r="L742" i="525"/>
  <c r="J742" i="525"/>
  <c r="L741" i="525"/>
  <c r="J741" i="525"/>
  <c r="L740" i="525"/>
  <c r="J740" i="525"/>
  <c r="L739" i="525"/>
  <c r="J739" i="525"/>
  <c r="L738" i="525"/>
  <c r="J738" i="525"/>
  <c r="L737" i="525"/>
  <c r="J737" i="525"/>
  <c r="L736" i="525"/>
  <c r="J736" i="525"/>
  <c r="L735" i="525"/>
  <c r="J735" i="525"/>
  <c r="L734" i="525"/>
  <c r="J734" i="525"/>
  <c r="L733" i="525"/>
  <c r="J733" i="525"/>
  <c r="L732" i="525"/>
  <c r="J732" i="525"/>
  <c r="L731" i="525"/>
  <c r="J731" i="525"/>
  <c r="L730" i="525"/>
  <c r="J730" i="525"/>
  <c r="L729" i="525"/>
  <c r="J729" i="525"/>
  <c r="L728" i="525"/>
  <c r="J728" i="525"/>
  <c r="L727" i="525"/>
  <c r="J727" i="525"/>
  <c r="L726" i="525"/>
  <c r="J726" i="525"/>
  <c r="L725" i="525"/>
  <c r="J725" i="525"/>
  <c r="L724" i="525"/>
  <c r="J724" i="525"/>
  <c r="L723" i="525"/>
  <c r="J723" i="525"/>
  <c r="L722" i="525"/>
  <c r="J722" i="525"/>
  <c r="L721" i="525"/>
  <c r="J721" i="525"/>
  <c r="L720" i="525"/>
  <c r="J720" i="525"/>
  <c r="L719" i="525"/>
  <c r="J719" i="525"/>
  <c r="L718" i="525"/>
  <c r="J718" i="525"/>
  <c r="L717" i="525"/>
  <c r="J717" i="525"/>
  <c r="L716" i="525"/>
  <c r="J716" i="525"/>
  <c r="L715" i="525"/>
  <c r="J715" i="525"/>
  <c r="L714" i="525"/>
  <c r="J714" i="525"/>
  <c r="L713" i="525"/>
  <c r="J713" i="525"/>
  <c r="L712" i="525"/>
  <c r="J712" i="525"/>
  <c r="L711" i="525"/>
  <c r="J711" i="525"/>
  <c r="L710" i="525"/>
  <c r="J710" i="525"/>
  <c r="L709" i="525"/>
  <c r="J709" i="525"/>
  <c r="L708" i="525"/>
  <c r="J708" i="525"/>
  <c r="L707" i="525"/>
  <c r="J707" i="525"/>
  <c r="L706" i="525"/>
  <c r="J706" i="525"/>
  <c r="L705" i="525"/>
  <c r="J705" i="525"/>
  <c r="L704" i="525"/>
  <c r="J704" i="525"/>
  <c r="L703" i="525"/>
  <c r="J703" i="525"/>
  <c r="L702" i="525"/>
  <c r="J702" i="525"/>
  <c r="L701" i="525"/>
  <c r="J701" i="525"/>
  <c r="L700" i="525"/>
  <c r="J700" i="525"/>
  <c r="L699" i="525"/>
  <c r="J699" i="525"/>
  <c r="L698" i="525"/>
  <c r="J698" i="525"/>
  <c r="L697" i="525"/>
  <c r="J697" i="525"/>
  <c r="L696" i="525"/>
  <c r="J696" i="525"/>
  <c r="L695" i="525"/>
  <c r="J695" i="525"/>
  <c r="L694" i="525"/>
  <c r="J694" i="525"/>
  <c r="L693" i="525"/>
  <c r="J693" i="525"/>
  <c r="L692" i="525"/>
  <c r="J692" i="525"/>
  <c r="L691" i="525"/>
  <c r="J691" i="525"/>
  <c r="L690" i="525"/>
  <c r="J690" i="525"/>
  <c r="L689" i="525"/>
  <c r="J689" i="525"/>
  <c r="L688" i="525"/>
  <c r="J688" i="525"/>
  <c r="L687" i="525"/>
  <c r="J687" i="525"/>
  <c r="L686" i="525"/>
  <c r="J686" i="525"/>
  <c r="L685" i="525"/>
  <c r="J685" i="525"/>
  <c r="L684" i="525"/>
  <c r="J684" i="525"/>
  <c r="L683" i="525"/>
  <c r="J683" i="525"/>
  <c r="L682" i="525"/>
  <c r="J682" i="525"/>
  <c r="L681" i="525"/>
  <c r="J681" i="525"/>
  <c r="L680" i="525"/>
  <c r="J680" i="525"/>
  <c r="L679" i="525"/>
  <c r="J679" i="525"/>
  <c r="L678" i="525"/>
  <c r="J678" i="525"/>
  <c r="L677" i="525"/>
  <c r="J677" i="525"/>
  <c r="L676" i="525"/>
  <c r="J676" i="525"/>
  <c r="L675" i="525"/>
  <c r="J675" i="525"/>
  <c r="L674" i="525"/>
  <c r="J674" i="525"/>
  <c r="L673" i="525"/>
  <c r="J673" i="525"/>
  <c r="L672" i="525"/>
  <c r="J672" i="525"/>
  <c r="L671" i="525"/>
  <c r="J671" i="525"/>
  <c r="L670" i="525"/>
  <c r="J670" i="525"/>
  <c r="L669" i="525"/>
  <c r="J669" i="525"/>
  <c r="L668" i="525"/>
  <c r="J668" i="525"/>
  <c r="L667" i="525"/>
  <c r="J667" i="525"/>
  <c r="L666" i="525"/>
  <c r="J666" i="525"/>
  <c r="L665" i="525"/>
  <c r="J665" i="525"/>
  <c r="L664" i="525"/>
  <c r="J664" i="525"/>
  <c r="L663" i="525"/>
  <c r="J663" i="525"/>
  <c r="L662" i="525"/>
  <c r="J662" i="525"/>
  <c r="L661" i="525"/>
  <c r="J661" i="525"/>
  <c r="L660" i="525"/>
  <c r="J660" i="525"/>
  <c r="L659" i="525"/>
  <c r="J659" i="525"/>
  <c r="L658" i="525"/>
  <c r="J658" i="525"/>
  <c r="L657" i="525"/>
  <c r="J657" i="525"/>
  <c r="L656" i="525"/>
  <c r="J656" i="525"/>
  <c r="L655" i="525"/>
  <c r="J655" i="525"/>
  <c r="L654" i="525"/>
  <c r="J654" i="525"/>
  <c r="L653" i="525"/>
  <c r="J653" i="525"/>
  <c r="L652" i="525"/>
  <c r="J652" i="525"/>
  <c r="L651" i="525"/>
  <c r="J651" i="525"/>
  <c r="L650" i="525"/>
  <c r="J650" i="525"/>
  <c r="L649" i="525"/>
  <c r="J649" i="525"/>
  <c r="L648" i="525"/>
  <c r="J648" i="525"/>
  <c r="L647" i="525"/>
  <c r="J647" i="525"/>
  <c r="L646" i="525"/>
  <c r="J646" i="525"/>
  <c r="L645" i="525"/>
  <c r="J645" i="525"/>
  <c r="L644" i="525"/>
  <c r="J644" i="525"/>
  <c r="L643" i="525"/>
  <c r="J643" i="525"/>
  <c r="L642" i="525"/>
  <c r="J642" i="525"/>
  <c r="L641" i="525"/>
  <c r="J641" i="525"/>
  <c r="L640" i="525"/>
  <c r="J640" i="525"/>
  <c r="L639" i="525"/>
  <c r="J639" i="525"/>
  <c r="L638" i="525"/>
  <c r="J638" i="525"/>
  <c r="L637" i="525"/>
  <c r="J637" i="525"/>
  <c r="L636" i="525"/>
  <c r="J636" i="525"/>
  <c r="L635" i="525"/>
  <c r="J635" i="525"/>
  <c r="L634" i="525"/>
  <c r="J634" i="525"/>
  <c r="L633" i="525"/>
  <c r="J633" i="525"/>
  <c r="L632" i="525"/>
  <c r="J632" i="525"/>
  <c r="L631" i="525"/>
  <c r="J631" i="525"/>
  <c r="L630" i="525"/>
  <c r="J630" i="525"/>
  <c r="L629" i="525"/>
  <c r="J629" i="525"/>
  <c r="L628" i="525"/>
  <c r="J628" i="525"/>
  <c r="L627" i="525"/>
  <c r="J627" i="525"/>
  <c r="L626" i="525"/>
  <c r="J626" i="525"/>
  <c r="L625" i="525"/>
  <c r="J625" i="525"/>
  <c r="L624" i="525"/>
  <c r="J624" i="525"/>
  <c r="L623" i="525"/>
  <c r="J623" i="525"/>
  <c r="L622" i="525"/>
  <c r="J622" i="525"/>
  <c r="L621" i="525"/>
  <c r="J621" i="525"/>
  <c r="L620" i="525"/>
  <c r="J620" i="525"/>
  <c r="L619" i="525"/>
  <c r="J619" i="525"/>
  <c r="L618" i="525"/>
  <c r="J618" i="525"/>
  <c r="L617" i="525"/>
  <c r="J617" i="525"/>
  <c r="L616" i="525"/>
  <c r="J616" i="525"/>
  <c r="L615" i="525"/>
  <c r="J615" i="525"/>
  <c r="L614" i="525"/>
  <c r="J614" i="525"/>
  <c r="L613" i="525"/>
  <c r="J613" i="525"/>
  <c r="L612" i="525"/>
  <c r="J612" i="525"/>
  <c r="L611" i="525"/>
  <c r="J611" i="525"/>
  <c r="L610" i="525"/>
  <c r="J610" i="525"/>
  <c r="L609" i="525"/>
  <c r="J609" i="525"/>
  <c r="L608" i="525"/>
  <c r="J608" i="525"/>
  <c r="L607" i="525"/>
  <c r="J607" i="525"/>
  <c r="L606" i="525"/>
  <c r="J606" i="525"/>
  <c r="L605" i="525"/>
  <c r="J605" i="525"/>
  <c r="L604" i="525"/>
  <c r="J604" i="525"/>
  <c r="L603" i="525"/>
  <c r="J603" i="525"/>
  <c r="L602" i="525"/>
  <c r="J602" i="525"/>
  <c r="L601" i="525"/>
  <c r="J601" i="525"/>
  <c r="L600" i="525"/>
  <c r="J600" i="525"/>
  <c r="L599" i="525"/>
  <c r="J599" i="525"/>
  <c r="L598" i="525"/>
  <c r="J598" i="525"/>
  <c r="L597" i="525"/>
  <c r="J597" i="525"/>
  <c r="L596" i="525"/>
  <c r="J596" i="525"/>
  <c r="L595" i="525"/>
  <c r="J595" i="525"/>
  <c r="L594" i="525"/>
  <c r="J594" i="525"/>
  <c r="L593" i="525"/>
  <c r="J593" i="525"/>
  <c r="L592" i="525"/>
  <c r="J592" i="525"/>
  <c r="L591" i="525"/>
  <c r="J591" i="525"/>
  <c r="L590" i="525"/>
  <c r="J590" i="525"/>
  <c r="L589" i="525"/>
  <c r="J589" i="525"/>
  <c r="L588" i="525"/>
  <c r="J588" i="525"/>
  <c r="L587" i="525"/>
  <c r="J587" i="525"/>
  <c r="L586" i="525"/>
  <c r="J586" i="525"/>
  <c r="L585" i="525"/>
  <c r="J585" i="525"/>
  <c r="L584" i="525"/>
  <c r="J584" i="525"/>
  <c r="L583" i="525"/>
  <c r="J583" i="525"/>
  <c r="L582" i="525"/>
  <c r="J582" i="525"/>
  <c r="L581" i="525"/>
  <c r="J581" i="525"/>
  <c r="L580" i="525"/>
  <c r="J580" i="525"/>
  <c r="L579" i="525"/>
  <c r="J579" i="525"/>
  <c r="L578" i="525"/>
  <c r="J578" i="525"/>
  <c r="L577" i="525"/>
  <c r="J577" i="525"/>
  <c r="L576" i="525"/>
  <c r="J576" i="525"/>
  <c r="L575" i="525"/>
  <c r="J575" i="525"/>
  <c r="L574" i="525"/>
  <c r="J574" i="525"/>
  <c r="L573" i="525"/>
  <c r="J573" i="525"/>
  <c r="L572" i="525"/>
  <c r="J572" i="525"/>
  <c r="L571" i="525"/>
  <c r="J571" i="525"/>
  <c r="L570" i="525"/>
  <c r="J570" i="525"/>
  <c r="L569" i="525"/>
  <c r="J569" i="525"/>
  <c r="L568" i="525"/>
  <c r="J568" i="525"/>
  <c r="L567" i="525"/>
  <c r="J567" i="525"/>
  <c r="L566" i="525"/>
  <c r="J566" i="525"/>
  <c r="L565" i="525"/>
  <c r="J565" i="525"/>
  <c r="L564" i="525"/>
  <c r="J564" i="525"/>
  <c r="L563" i="525"/>
  <c r="J563" i="525"/>
  <c r="L562" i="525"/>
  <c r="J562" i="525"/>
  <c r="L561" i="525"/>
  <c r="J561" i="525"/>
  <c r="L560" i="525"/>
  <c r="J560" i="525"/>
  <c r="L559" i="525"/>
  <c r="J559" i="525"/>
  <c r="L558" i="525"/>
  <c r="J558" i="525"/>
  <c r="L557" i="525"/>
  <c r="J557" i="525"/>
  <c r="L556" i="525"/>
  <c r="J556" i="525"/>
  <c r="L555" i="525"/>
  <c r="J555" i="525"/>
  <c r="L554" i="525"/>
  <c r="J554" i="525"/>
  <c r="L553" i="525"/>
  <c r="J553" i="525"/>
  <c r="L552" i="525"/>
  <c r="J552" i="525"/>
  <c r="L551" i="525"/>
  <c r="J551" i="525"/>
  <c r="L550" i="525"/>
  <c r="J550" i="525"/>
  <c r="L549" i="525"/>
  <c r="J549" i="525"/>
  <c r="L548" i="525"/>
  <c r="J548" i="525"/>
  <c r="L547" i="525"/>
  <c r="J547" i="525"/>
  <c r="L546" i="525"/>
  <c r="J546" i="525"/>
  <c r="L545" i="525"/>
  <c r="J545" i="525"/>
  <c r="L544" i="525"/>
  <c r="J544" i="525"/>
  <c r="L543" i="525"/>
  <c r="J543" i="525"/>
  <c r="L542" i="525"/>
  <c r="J542" i="525"/>
  <c r="L541" i="525"/>
  <c r="J541" i="525"/>
  <c r="L540" i="525"/>
  <c r="J540" i="525"/>
  <c r="L539" i="525"/>
  <c r="J539" i="525"/>
  <c r="L538" i="525"/>
  <c r="J538" i="525"/>
  <c r="L537" i="525"/>
  <c r="J537" i="525"/>
  <c r="L536" i="525"/>
  <c r="J536" i="525"/>
  <c r="L535" i="525"/>
  <c r="J535" i="525"/>
  <c r="L534" i="525"/>
  <c r="J534" i="525"/>
  <c r="L533" i="525"/>
  <c r="J533" i="525"/>
  <c r="L532" i="525"/>
  <c r="J532" i="525"/>
  <c r="L531" i="525"/>
  <c r="J531" i="525"/>
  <c r="L530" i="525"/>
  <c r="J530" i="525"/>
  <c r="L529" i="525"/>
  <c r="J529" i="525"/>
  <c r="L528" i="525"/>
  <c r="J528" i="525"/>
  <c r="L527" i="525"/>
  <c r="J527" i="525"/>
  <c r="L526" i="525"/>
  <c r="J526" i="525"/>
  <c r="L525" i="525"/>
  <c r="J525" i="525"/>
  <c r="L524" i="525"/>
  <c r="J524" i="525"/>
  <c r="L523" i="525"/>
  <c r="J523" i="525"/>
  <c r="L522" i="525"/>
  <c r="J522" i="525"/>
  <c r="L521" i="525"/>
  <c r="J521" i="525"/>
  <c r="L520" i="525"/>
  <c r="J520" i="525"/>
  <c r="L519" i="525"/>
  <c r="J519" i="525"/>
  <c r="L518" i="525"/>
  <c r="J518" i="525"/>
  <c r="L517" i="525"/>
  <c r="J517" i="525"/>
  <c r="L516" i="525"/>
  <c r="J516" i="525"/>
  <c r="L515" i="525"/>
  <c r="J515" i="525"/>
  <c r="L514" i="525"/>
  <c r="J514" i="525"/>
  <c r="L513" i="525"/>
  <c r="J513" i="525"/>
  <c r="L512" i="525"/>
  <c r="J512" i="525"/>
  <c r="L511" i="525"/>
  <c r="J511" i="525"/>
  <c r="L510" i="525"/>
  <c r="J510" i="525"/>
  <c r="L509" i="525"/>
  <c r="J509" i="525"/>
  <c r="L508" i="525"/>
  <c r="J508" i="525"/>
  <c r="L507" i="525"/>
  <c r="J507" i="525"/>
  <c r="L506" i="525"/>
  <c r="J506" i="525"/>
  <c r="L505" i="525"/>
  <c r="J505" i="525"/>
  <c r="L504" i="525"/>
  <c r="J504" i="525"/>
  <c r="L503" i="525"/>
  <c r="J503" i="525"/>
  <c r="L502" i="525"/>
  <c r="J502" i="525"/>
  <c r="L501" i="525"/>
  <c r="J501" i="525"/>
  <c r="L500" i="525"/>
  <c r="J500" i="525"/>
  <c r="L499" i="525"/>
  <c r="J499" i="525"/>
  <c r="L498" i="525"/>
  <c r="J498" i="525"/>
  <c r="L497" i="525"/>
  <c r="J497" i="525"/>
  <c r="L496" i="525"/>
  <c r="J496" i="525"/>
  <c r="L495" i="525"/>
  <c r="J495" i="525"/>
  <c r="L494" i="525"/>
  <c r="J494" i="525"/>
  <c r="L493" i="525"/>
  <c r="J493" i="525"/>
  <c r="L492" i="525"/>
  <c r="J492" i="525"/>
  <c r="L491" i="525"/>
  <c r="J491" i="525"/>
  <c r="L490" i="525"/>
  <c r="J490" i="525"/>
  <c r="L489" i="525"/>
  <c r="J489" i="525"/>
  <c r="L488" i="525"/>
  <c r="J488" i="525"/>
  <c r="L487" i="525"/>
  <c r="J487" i="525"/>
  <c r="L486" i="525"/>
  <c r="J486" i="525"/>
  <c r="L485" i="525"/>
  <c r="J485" i="525"/>
  <c r="L484" i="525"/>
  <c r="J484" i="525"/>
  <c r="L483" i="525"/>
  <c r="J483" i="525"/>
  <c r="L482" i="525"/>
  <c r="J482" i="525"/>
  <c r="L481" i="525"/>
  <c r="J481" i="525"/>
  <c r="L480" i="525"/>
  <c r="J480" i="525"/>
  <c r="L479" i="525"/>
  <c r="J479" i="525"/>
  <c r="L478" i="525"/>
  <c r="J478" i="525"/>
  <c r="L477" i="525"/>
  <c r="J477" i="525"/>
  <c r="L476" i="525"/>
  <c r="J476" i="525"/>
  <c r="L475" i="525"/>
  <c r="J475" i="525"/>
  <c r="L474" i="525"/>
  <c r="J474" i="525"/>
  <c r="L473" i="525"/>
  <c r="J473" i="525"/>
  <c r="L472" i="525"/>
  <c r="J472" i="525"/>
  <c r="L471" i="525"/>
  <c r="J471" i="525"/>
  <c r="L470" i="525"/>
  <c r="J470" i="525"/>
  <c r="L469" i="525"/>
  <c r="J469" i="525"/>
  <c r="L468" i="525"/>
  <c r="J468" i="525"/>
  <c r="L467" i="525"/>
  <c r="J467" i="525"/>
  <c r="L466" i="525"/>
  <c r="J466" i="525"/>
  <c r="L465" i="525"/>
  <c r="J465" i="525"/>
  <c r="L464" i="525"/>
  <c r="J464" i="525"/>
  <c r="L463" i="525"/>
  <c r="J463" i="525"/>
  <c r="L462" i="525"/>
  <c r="J462" i="525"/>
  <c r="L461" i="525"/>
  <c r="J461" i="525"/>
  <c r="L460" i="525"/>
  <c r="J460" i="525"/>
  <c r="L459" i="525"/>
  <c r="J459" i="525"/>
  <c r="L458" i="525"/>
  <c r="J458" i="525"/>
  <c r="L457" i="525"/>
  <c r="J457" i="525"/>
  <c r="L456" i="525"/>
  <c r="J456" i="525"/>
  <c r="L455" i="525"/>
  <c r="J455" i="525"/>
  <c r="L454" i="525"/>
  <c r="J454" i="525"/>
  <c r="L453" i="525"/>
  <c r="J453" i="525"/>
  <c r="L452" i="525"/>
  <c r="J452" i="525"/>
  <c r="L451" i="525"/>
  <c r="J451" i="525"/>
  <c r="L450" i="525"/>
  <c r="J450" i="525"/>
  <c r="L449" i="525"/>
  <c r="J449" i="525"/>
  <c r="L448" i="525"/>
  <c r="J448" i="525"/>
  <c r="L447" i="525"/>
  <c r="J447" i="525"/>
  <c r="L446" i="525"/>
  <c r="J446" i="525"/>
  <c r="L445" i="525"/>
  <c r="J445" i="525"/>
  <c r="L444" i="525"/>
  <c r="J444" i="525"/>
  <c r="L443" i="525"/>
  <c r="J443" i="525"/>
  <c r="L442" i="525"/>
  <c r="J442" i="525"/>
  <c r="L441" i="525"/>
  <c r="J441" i="525"/>
  <c r="L440" i="525"/>
  <c r="J440" i="525"/>
  <c r="L439" i="525"/>
  <c r="J439" i="525"/>
  <c r="L438" i="525"/>
  <c r="J438" i="525"/>
  <c r="L437" i="525"/>
  <c r="J437" i="525"/>
  <c r="L436" i="525"/>
  <c r="J436" i="525"/>
  <c r="L435" i="525"/>
  <c r="J435" i="525"/>
  <c r="L434" i="525"/>
  <c r="J434" i="525"/>
  <c r="L433" i="525"/>
  <c r="J433" i="525"/>
  <c r="L432" i="525"/>
  <c r="J432" i="525"/>
  <c r="L431" i="525"/>
  <c r="J431" i="525"/>
  <c r="L430" i="525"/>
  <c r="J430" i="525"/>
  <c r="L429" i="525"/>
  <c r="J429" i="525"/>
  <c r="L428" i="525"/>
  <c r="J428" i="525"/>
  <c r="L427" i="525"/>
  <c r="J427" i="525"/>
  <c r="L426" i="525"/>
  <c r="J426" i="525"/>
  <c r="L425" i="525"/>
  <c r="J425" i="525"/>
  <c r="L424" i="525"/>
  <c r="J424" i="525"/>
  <c r="L423" i="525"/>
  <c r="J423" i="525"/>
  <c r="L422" i="525"/>
  <c r="J422" i="525"/>
  <c r="L421" i="525"/>
  <c r="J421" i="525"/>
  <c r="L420" i="525"/>
  <c r="J420" i="525"/>
  <c r="L419" i="525"/>
  <c r="J419" i="525"/>
  <c r="L418" i="525"/>
  <c r="J418" i="525"/>
  <c r="L417" i="525"/>
  <c r="J417" i="525"/>
  <c r="L416" i="525"/>
  <c r="J416" i="525"/>
  <c r="L415" i="525"/>
  <c r="J415" i="525"/>
  <c r="L414" i="525"/>
  <c r="J414" i="525"/>
  <c r="L413" i="525"/>
  <c r="J413" i="525"/>
  <c r="L412" i="525"/>
  <c r="J412" i="525"/>
  <c r="L411" i="525"/>
  <c r="J411" i="525"/>
  <c r="L410" i="525"/>
  <c r="J410" i="525"/>
  <c r="L409" i="525"/>
  <c r="J409" i="525"/>
  <c r="L408" i="525"/>
  <c r="J408" i="525"/>
  <c r="L407" i="525"/>
  <c r="J407" i="525"/>
  <c r="L406" i="525"/>
  <c r="J406" i="525"/>
  <c r="L405" i="525"/>
  <c r="J405" i="525"/>
  <c r="L404" i="525"/>
  <c r="J404" i="525"/>
  <c r="L403" i="525"/>
  <c r="J403" i="525"/>
  <c r="L402" i="525"/>
  <c r="J402" i="525"/>
  <c r="L401" i="525"/>
  <c r="J401" i="525"/>
  <c r="L400" i="525"/>
  <c r="J400" i="525"/>
  <c r="L399" i="525"/>
  <c r="J399" i="525"/>
  <c r="L398" i="525"/>
  <c r="J398" i="525"/>
  <c r="L397" i="525"/>
  <c r="J397" i="525"/>
  <c r="L396" i="525"/>
  <c r="J396" i="525"/>
  <c r="L395" i="525"/>
  <c r="J395" i="525"/>
  <c r="L394" i="525"/>
  <c r="J394" i="525"/>
  <c r="L393" i="525"/>
  <c r="J393" i="525"/>
  <c r="L392" i="525"/>
  <c r="J392" i="525"/>
  <c r="L391" i="525"/>
  <c r="J391" i="525"/>
  <c r="L390" i="525"/>
  <c r="J390" i="525"/>
  <c r="L389" i="525"/>
  <c r="J389" i="525"/>
  <c r="L388" i="525"/>
  <c r="J388" i="525"/>
  <c r="L387" i="525"/>
  <c r="J387" i="525"/>
  <c r="L386" i="525"/>
  <c r="J386" i="525"/>
  <c r="L385" i="525"/>
  <c r="J385" i="525"/>
  <c r="L384" i="525"/>
  <c r="J384" i="525"/>
  <c r="L383" i="525"/>
  <c r="J383" i="525"/>
  <c r="L382" i="525"/>
  <c r="J382" i="525"/>
  <c r="L381" i="525"/>
  <c r="J381" i="525"/>
  <c r="L380" i="525"/>
  <c r="J380" i="525"/>
  <c r="L379" i="525"/>
  <c r="J379" i="525"/>
  <c r="L378" i="525"/>
  <c r="J378" i="525"/>
  <c r="L377" i="525"/>
  <c r="J377" i="525"/>
  <c r="L376" i="525"/>
  <c r="J376" i="525"/>
  <c r="L375" i="525"/>
  <c r="J375" i="525"/>
  <c r="L374" i="525"/>
  <c r="J374" i="525"/>
  <c r="L373" i="525"/>
  <c r="J373" i="525"/>
  <c r="L372" i="525"/>
  <c r="J372" i="525"/>
  <c r="L371" i="525"/>
  <c r="J371" i="525"/>
  <c r="L370" i="525"/>
  <c r="J370" i="525"/>
  <c r="L369" i="525"/>
  <c r="J369" i="525"/>
  <c r="L368" i="525"/>
  <c r="J368" i="525"/>
  <c r="L367" i="525"/>
  <c r="J367" i="525"/>
  <c r="L366" i="525"/>
  <c r="J366" i="525"/>
  <c r="L365" i="525"/>
  <c r="J365" i="525"/>
  <c r="L364" i="525"/>
  <c r="J364" i="525"/>
  <c r="L363" i="525"/>
  <c r="J363" i="525"/>
  <c r="L362" i="525"/>
  <c r="J362" i="525"/>
  <c r="L361" i="525"/>
  <c r="J361" i="525"/>
  <c r="L360" i="525"/>
  <c r="J360" i="525"/>
  <c r="L359" i="525"/>
  <c r="J359" i="525"/>
  <c r="L358" i="525"/>
  <c r="J358" i="525"/>
  <c r="L357" i="525"/>
  <c r="J357" i="525"/>
  <c r="L356" i="525"/>
  <c r="J356" i="525"/>
  <c r="L355" i="525"/>
  <c r="J355" i="525"/>
  <c r="L354" i="525"/>
  <c r="J354" i="525"/>
  <c r="L353" i="525"/>
  <c r="J353" i="525"/>
  <c r="L352" i="525"/>
  <c r="J352" i="525"/>
  <c r="L351" i="525"/>
  <c r="J351" i="525"/>
  <c r="L350" i="525"/>
  <c r="J350" i="525"/>
  <c r="L349" i="525"/>
  <c r="J349" i="525"/>
  <c r="L348" i="525"/>
  <c r="J348" i="525"/>
  <c r="L347" i="525"/>
  <c r="J347" i="525"/>
  <c r="L346" i="525"/>
  <c r="J346" i="525"/>
  <c r="L345" i="525"/>
  <c r="J345" i="525"/>
  <c r="L344" i="525"/>
  <c r="J344" i="525"/>
  <c r="L343" i="525"/>
  <c r="J343" i="525"/>
  <c r="L342" i="525"/>
  <c r="J342" i="525"/>
  <c r="L341" i="525"/>
  <c r="J341" i="525"/>
  <c r="L340" i="525"/>
  <c r="J340" i="525"/>
  <c r="L339" i="525"/>
  <c r="J339" i="525"/>
  <c r="L338" i="525"/>
  <c r="J338" i="525"/>
  <c r="L337" i="525"/>
  <c r="J337" i="525"/>
  <c r="L336" i="525"/>
  <c r="J336" i="525"/>
  <c r="L335" i="525"/>
  <c r="J335" i="525"/>
  <c r="L334" i="525"/>
  <c r="J334" i="525"/>
  <c r="L333" i="525"/>
  <c r="J333" i="525"/>
  <c r="L332" i="525"/>
  <c r="J332" i="525"/>
  <c r="L331" i="525"/>
  <c r="J331" i="525"/>
  <c r="L330" i="525"/>
  <c r="J330" i="525"/>
  <c r="L329" i="525"/>
  <c r="J329" i="525"/>
  <c r="L328" i="525"/>
  <c r="J328" i="525"/>
  <c r="L327" i="525"/>
  <c r="J327" i="525"/>
  <c r="L326" i="525"/>
  <c r="J326" i="525"/>
  <c r="L325" i="525"/>
  <c r="J325" i="525"/>
  <c r="L324" i="525"/>
  <c r="J324" i="525"/>
  <c r="L323" i="525"/>
  <c r="J323" i="525"/>
  <c r="L322" i="525"/>
  <c r="J322" i="525"/>
  <c r="L321" i="525"/>
  <c r="J321" i="525"/>
  <c r="L320" i="525"/>
  <c r="J320" i="525"/>
  <c r="L319" i="525"/>
  <c r="J319" i="525"/>
  <c r="L318" i="525"/>
  <c r="J318" i="525"/>
  <c r="L317" i="525"/>
  <c r="J317" i="525"/>
  <c r="L316" i="525"/>
  <c r="J316" i="525"/>
  <c r="L315" i="525"/>
  <c r="J315" i="525"/>
  <c r="L314" i="525"/>
  <c r="J314" i="525"/>
  <c r="L313" i="525"/>
  <c r="J313" i="525"/>
  <c r="L312" i="525"/>
  <c r="J312" i="525"/>
  <c r="L311" i="525"/>
  <c r="J311" i="525"/>
  <c r="L310" i="525"/>
  <c r="J310" i="525"/>
  <c r="L309" i="525"/>
  <c r="J309" i="525"/>
  <c r="L308" i="525"/>
  <c r="J308" i="525"/>
  <c r="L307" i="525"/>
  <c r="J307" i="525"/>
  <c r="L306" i="525"/>
  <c r="J306" i="525"/>
  <c r="L305" i="525"/>
  <c r="J305" i="525"/>
  <c r="L304" i="525"/>
  <c r="J304" i="525"/>
  <c r="L303" i="525"/>
  <c r="J303" i="525"/>
  <c r="L302" i="525"/>
  <c r="J302" i="525"/>
  <c r="L301" i="525"/>
  <c r="J301" i="525"/>
  <c r="L300" i="525"/>
  <c r="J300" i="525"/>
  <c r="L299" i="525"/>
  <c r="J299" i="525"/>
  <c r="L298" i="525"/>
  <c r="J298" i="525"/>
  <c r="L297" i="525"/>
  <c r="J297" i="525"/>
  <c r="L296" i="525"/>
  <c r="J296" i="525"/>
  <c r="L295" i="525"/>
  <c r="J295" i="525"/>
  <c r="L294" i="525"/>
  <c r="J294" i="525"/>
  <c r="L293" i="525"/>
  <c r="J293" i="525"/>
  <c r="L292" i="525"/>
  <c r="J292" i="525"/>
  <c r="L291" i="525"/>
  <c r="J291" i="525"/>
  <c r="L290" i="525"/>
  <c r="J290" i="525"/>
  <c r="L289" i="525"/>
  <c r="J289" i="525"/>
  <c r="L288" i="525"/>
  <c r="J288" i="525"/>
  <c r="L287" i="525"/>
  <c r="J287" i="525"/>
  <c r="L286" i="525"/>
  <c r="J286" i="525"/>
  <c r="L285" i="525"/>
  <c r="J285" i="525"/>
  <c r="L284" i="525"/>
  <c r="J284" i="525"/>
  <c r="L283" i="525"/>
  <c r="J283" i="525"/>
  <c r="L282" i="525"/>
  <c r="J282" i="525"/>
  <c r="L281" i="525"/>
  <c r="J281" i="525"/>
  <c r="L280" i="525"/>
  <c r="J280" i="525"/>
  <c r="L279" i="525"/>
  <c r="J279" i="525"/>
  <c r="L278" i="525"/>
  <c r="J278" i="525"/>
  <c r="L277" i="525"/>
  <c r="J277" i="525"/>
  <c r="L276" i="525"/>
  <c r="J276" i="525"/>
  <c r="L275" i="525"/>
  <c r="J275" i="525"/>
  <c r="L274" i="525"/>
  <c r="J274" i="525"/>
  <c r="L273" i="525"/>
  <c r="J273" i="525"/>
  <c r="L272" i="525"/>
  <c r="J272" i="525"/>
  <c r="L271" i="525"/>
  <c r="J271" i="525"/>
  <c r="L270" i="525"/>
  <c r="J270" i="525"/>
  <c r="L269" i="525"/>
  <c r="J269" i="525"/>
  <c r="L268" i="525"/>
  <c r="J268" i="525"/>
  <c r="L267" i="525"/>
  <c r="J267" i="525"/>
  <c r="L266" i="525"/>
  <c r="J266" i="525"/>
  <c r="L265" i="525"/>
  <c r="J265" i="525"/>
  <c r="L264" i="525"/>
  <c r="J264" i="525"/>
  <c r="L263" i="525"/>
  <c r="J263" i="525"/>
  <c r="L262" i="525"/>
  <c r="J262" i="525"/>
  <c r="L261" i="525"/>
  <c r="J261" i="525"/>
  <c r="L260" i="525"/>
  <c r="J260" i="525"/>
  <c r="L259" i="525"/>
  <c r="J259" i="525"/>
  <c r="L258" i="525"/>
  <c r="J258" i="525"/>
  <c r="L257" i="525"/>
  <c r="J257" i="525"/>
  <c r="L256" i="525"/>
  <c r="J256" i="525"/>
  <c r="L255" i="525"/>
  <c r="J255" i="525"/>
  <c r="L254" i="525"/>
  <c r="J254" i="525"/>
  <c r="L253" i="525"/>
  <c r="J253" i="525"/>
  <c r="L252" i="525"/>
  <c r="J252" i="525"/>
  <c r="L251" i="525"/>
  <c r="J251" i="525"/>
  <c r="L250" i="525"/>
  <c r="J250" i="525"/>
  <c r="L249" i="525"/>
  <c r="J249" i="525"/>
  <c r="L248" i="525"/>
  <c r="J248" i="525"/>
  <c r="L247" i="525"/>
  <c r="J247" i="525"/>
  <c r="L246" i="525"/>
  <c r="J246" i="525"/>
  <c r="L245" i="525"/>
  <c r="J245" i="525"/>
  <c r="L244" i="525"/>
  <c r="J244" i="525"/>
  <c r="L243" i="525"/>
  <c r="J243" i="525"/>
  <c r="L242" i="525"/>
  <c r="J242" i="525"/>
  <c r="L241" i="525"/>
  <c r="J241" i="525"/>
  <c r="L240" i="525"/>
  <c r="J240" i="525"/>
  <c r="L239" i="525"/>
  <c r="J239" i="525"/>
  <c r="L238" i="525"/>
  <c r="J238" i="525"/>
  <c r="L237" i="525"/>
  <c r="J237" i="525"/>
  <c r="L236" i="525"/>
  <c r="J236" i="525"/>
  <c r="L235" i="525"/>
  <c r="J235" i="525"/>
  <c r="L234" i="525"/>
  <c r="J234" i="525"/>
  <c r="L233" i="525"/>
  <c r="J233" i="525"/>
  <c r="L232" i="525"/>
  <c r="J232" i="525"/>
  <c r="L231" i="525"/>
  <c r="J231" i="525"/>
  <c r="L230" i="525"/>
  <c r="J230" i="525"/>
  <c r="L229" i="525"/>
  <c r="J229" i="525"/>
  <c r="L228" i="525"/>
  <c r="J228" i="525"/>
  <c r="L227" i="525"/>
  <c r="J227" i="525"/>
  <c r="L226" i="525"/>
  <c r="J226" i="525"/>
  <c r="L225" i="525"/>
  <c r="J225" i="525"/>
  <c r="L224" i="525"/>
  <c r="J224" i="525"/>
  <c r="L223" i="525"/>
  <c r="J223" i="525"/>
  <c r="L222" i="525"/>
  <c r="J222" i="525"/>
  <c r="L221" i="525"/>
  <c r="J221" i="525"/>
  <c r="L220" i="525"/>
  <c r="J220" i="525"/>
  <c r="L219" i="525"/>
  <c r="J219" i="525"/>
  <c r="L218" i="525"/>
  <c r="J218" i="525"/>
  <c r="L217" i="525"/>
  <c r="J217" i="525"/>
  <c r="L216" i="525"/>
  <c r="J216" i="525"/>
  <c r="L215" i="525"/>
  <c r="J215" i="525"/>
  <c r="L214" i="525"/>
  <c r="J214" i="525"/>
  <c r="L213" i="525"/>
  <c r="J213" i="525"/>
  <c r="L212" i="525"/>
  <c r="J212" i="525"/>
  <c r="L211" i="525"/>
  <c r="J211" i="525"/>
  <c r="L210" i="525"/>
  <c r="J210" i="525"/>
  <c r="L209" i="525"/>
  <c r="J209" i="525"/>
  <c r="L208" i="525"/>
  <c r="J208" i="525"/>
  <c r="L207" i="525"/>
  <c r="J207" i="525"/>
  <c r="L206" i="525"/>
  <c r="J206" i="525"/>
  <c r="L205" i="525"/>
  <c r="J205" i="525"/>
  <c r="L204" i="525"/>
  <c r="J204" i="525"/>
  <c r="L203" i="525"/>
  <c r="J203" i="525"/>
  <c r="L202" i="525"/>
  <c r="J202" i="525"/>
  <c r="L201" i="525"/>
  <c r="J201" i="525"/>
  <c r="L200" i="525"/>
  <c r="J200" i="525"/>
  <c r="L199" i="525"/>
  <c r="J199" i="525"/>
  <c r="L198" i="525"/>
  <c r="J198" i="525"/>
  <c r="L197" i="525"/>
  <c r="J197" i="525"/>
  <c r="L196" i="525"/>
  <c r="J196" i="525"/>
  <c r="L195" i="525"/>
  <c r="J195" i="525"/>
  <c r="L194" i="525"/>
  <c r="J194" i="525"/>
  <c r="L193" i="525"/>
  <c r="J193" i="525"/>
  <c r="L192" i="525"/>
  <c r="J192" i="525"/>
  <c r="L191" i="525"/>
  <c r="J191" i="525"/>
  <c r="L190" i="525"/>
  <c r="J190" i="525"/>
  <c r="L189" i="525"/>
  <c r="J189" i="525"/>
  <c r="L188" i="525"/>
  <c r="J188" i="525"/>
  <c r="L187" i="525"/>
  <c r="J187" i="525"/>
  <c r="L186" i="525"/>
  <c r="J186" i="525"/>
  <c r="L185" i="525"/>
  <c r="J185" i="525"/>
  <c r="L184" i="525"/>
  <c r="J184" i="525"/>
  <c r="L183" i="525"/>
  <c r="J183" i="525"/>
  <c r="L182" i="525"/>
  <c r="J182" i="525"/>
  <c r="L181" i="525"/>
  <c r="J181" i="525"/>
  <c r="L180" i="525"/>
  <c r="J180" i="525"/>
  <c r="L179" i="525"/>
  <c r="J179" i="525"/>
  <c r="L178" i="525"/>
  <c r="J178" i="525"/>
  <c r="L177" i="525"/>
  <c r="J177" i="525"/>
  <c r="L176" i="525"/>
  <c r="J176" i="525"/>
  <c r="L175" i="525"/>
  <c r="J175" i="525"/>
  <c r="L174" i="525"/>
  <c r="J174" i="525"/>
  <c r="L173" i="525"/>
  <c r="J173" i="525"/>
  <c r="L172" i="525"/>
  <c r="J172" i="525"/>
  <c r="L171" i="525"/>
  <c r="J171" i="525"/>
  <c r="L170" i="525"/>
  <c r="J170" i="525"/>
  <c r="L169" i="525"/>
  <c r="J169" i="525"/>
  <c r="L168" i="525"/>
  <c r="J168" i="525"/>
  <c r="L167" i="525"/>
  <c r="J167" i="525"/>
  <c r="L166" i="525"/>
  <c r="J166" i="525"/>
  <c r="L165" i="525"/>
  <c r="J165" i="525"/>
  <c r="L164" i="525"/>
  <c r="J164" i="525"/>
  <c r="L163" i="525"/>
  <c r="J163" i="525"/>
  <c r="L162" i="525"/>
  <c r="J162" i="525"/>
  <c r="L161" i="525"/>
  <c r="J161" i="525"/>
  <c r="L160" i="525"/>
  <c r="J160" i="525"/>
  <c r="L159" i="525"/>
  <c r="J159" i="525"/>
  <c r="L158" i="525"/>
  <c r="J158" i="525"/>
  <c r="L157" i="525"/>
  <c r="J157" i="525"/>
  <c r="L156" i="525"/>
  <c r="J156" i="525"/>
  <c r="L155" i="525"/>
  <c r="J155" i="525"/>
  <c r="L154" i="525"/>
  <c r="J154" i="525"/>
  <c r="L153" i="525"/>
  <c r="J153" i="525"/>
  <c r="L152" i="525"/>
  <c r="J152" i="525"/>
  <c r="L151" i="525"/>
  <c r="J151" i="525"/>
  <c r="L150" i="525"/>
  <c r="J150" i="525"/>
  <c r="L149" i="525"/>
  <c r="J149" i="525"/>
  <c r="L148" i="525"/>
  <c r="J148" i="525"/>
  <c r="L147" i="525"/>
  <c r="J147" i="525"/>
  <c r="L146" i="525"/>
  <c r="J146" i="525"/>
  <c r="L145" i="525"/>
  <c r="J145" i="525"/>
  <c r="L144" i="525"/>
  <c r="J144" i="525"/>
  <c r="L143" i="525"/>
  <c r="J143" i="525"/>
  <c r="L142" i="525"/>
  <c r="J142" i="525"/>
  <c r="L141" i="525"/>
  <c r="J141" i="525"/>
  <c r="L140" i="525"/>
  <c r="J140" i="525"/>
  <c r="L139" i="525"/>
  <c r="J139" i="525"/>
  <c r="L138" i="525"/>
  <c r="J138" i="525"/>
  <c r="L137" i="525"/>
  <c r="J137" i="525"/>
  <c r="L136" i="525"/>
  <c r="J136" i="525"/>
  <c r="L135" i="525"/>
  <c r="J135" i="525"/>
  <c r="L134" i="525"/>
  <c r="J134" i="525"/>
  <c r="L133" i="525"/>
  <c r="J133" i="525"/>
  <c r="L132" i="525"/>
  <c r="J132" i="525"/>
  <c r="L131" i="525"/>
  <c r="J131" i="525"/>
  <c r="L130" i="525"/>
  <c r="J130" i="525"/>
  <c r="L129" i="525"/>
  <c r="J129" i="525"/>
  <c r="L128" i="525"/>
  <c r="J128" i="525"/>
  <c r="L127" i="525"/>
  <c r="J127" i="525"/>
  <c r="L126" i="525"/>
  <c r="J126" i="525"/>
  <c r="L125" i="525"/>
  <c r="J125" i="525"/>
  <c r="L124" i="525"/>
  <c r="J124" i="525"/>
  <c r="L123" i="525"/>
  <c r="J123" i="525"/>
  <c r="L122" i="525"/>
  <c r="J122" i="525"/>
  <c r="L121" i="525"/>
  <c r="J121" i="525"/>
  <c r="L120" i="525"/>
  <c r="J120" i="525"/>
  <c r="L119" i="525"/>
  <c r="J119" i="525"/>
  <c r="L118" i="525"/>
  <c r="J118" i="525"/>
  <c r="L117" i="525"/>
  <c r="J117" i="525"/>
  <c r="L116" i="525"/>
  <c r="J116" i="525"/>
  <c r="L115" i="525"/>
  <c r="J115" i="525"/>
  <c r="L114" i="525"/>
  <c r="J114" i="525"/>
  <c r="L113" i="525"/>
  <c r="J113" i="525"/>
  <c r="L112" i="525"/>
  <c r="J112" i="525"/>
  <c r="L111" i="525"/>
  <c r="J111" i="525"/>
  <c r="L110" i="525"/>
  <c r="J110" i="525"/>
  <c r="L109" i="525"/>
  <c r="J109" i="525"/>
  <c r="L108" i="525"/>
  <c r="J108" i="525"/>
  <c r="L107" i="525"/>
  <c r="J107" i="525"/>
  <c r="L106" i="525"/>
  <c r="J106" i="525"/>
  <c r="L105" i="525"/>
  <c r="J105" i="525"/>
  <c r="L104" i="525"/>
  <c r="J104" i="525"/>
  <c r="L103" i="525"/>
  <c r="J103" i="525"/>
  <c r="L102" i="525"/>
  <c r="J102" i="525"/>
  <c r="L101" i="525"/>
  <c r="J101" i="525"/>
  <c r="L100" i="525"/>
  <c r="J100" i="525"/>
  <c r="L99" i="525"/>
  <c r="J99" i="525"/>
  <c r="L98" i="525"/>
  <c r="J98" i="525"/>
  <c r="L97" i="525"/>
  <c r="J97" i="525"/>
  <c r="L96" i="525"/>
  <c r="J96" i="525"/>
  <c r="L95" i="525"/>
  <c r="J95" i="525"/>
  <c r="L94" i="525"/>
  <c r="J94" i="525"/>
  <c r="L93" i="525"/>
  <c r="J93" i="525"/>
  <c r="L92" i="525"/>
  <c r="J92" i="525"/>
  <c r="L91" i="525"/>
  <c r="J91" i="525"/>
  <c r="L90" i="525"/>
  <c r="J90" i="525"/>
  <c r="L89" i="525"/>
  <c r="J89" i="525"/>
  <c r="L88" i="525"/>
  <c r="J88" i="525"/>
  <c r="L87" i="525"/>
  <c r="J87" i="525"/>
  <c r="L86" i="525"/>
  <c r="J86" i="525"/>
  <c r="L85" i="525"/>
  <c r="J85" i="525"/>
  <c r="L84" i="525"/>
  <c r="J84" i="525"/>
  <c r="L83" i="525"/>
  <c r="J83" i="525"/>
  <c r="L82" i="525"/>
  <c r="J82" i="525"/>
  <c r="L81" i="525"/>
  <c r="J81" i="525"/>
  <c r="L80" i="525"/>
  <c r="J80" i="525"/>
  <c r="L79" i="525"/>
  <c r="J79" i="525"/>
  <c r="L78" i="525"/>
  <c r="J78" i="525"/>
  <c r="L77" i="525"/>
  <c r="J77" i="525"/>
  <c r="L76" i="525"/>
  <c r="J76" i="525"/>
  <c r="L75" i="525"/>
  <c r="J75" i="525"/>
  <c r="L74" i="525"/>
  <c r="J74" i="525"/>
  <c r="L73" i="525"/>
  <c r="J73" i="525"/>
  <c r="L72" i="525"/>
  <c r="J72" i="525"/>
  <c r="L71" i="525"/>
  <c r="J71" i="525"/>
  <c r="L70" i="525"/>
  <c r="J70" i="525"/>
  <c r="L69" i="525"/>
  <c r="J69" i="525"/>
  <c r="L68" i="525"/>
  <c r="J68" i="525"/>
  <c r="L67" i="525"/>
  <c r="J67" i="525"/>
  <c r="L66" i="525"/>
  <c r="J66" i="525"/>
  <c r="L65" i="525"/>
  <c r="J65" i="525"/>
  <c r="L64" i="525"/>
  <c r="J64" i="525"/>
  <c r="L63" i="525"/>
  <c r="J63" i="525"/>
  <c r="L62" i="525"/>
  <c r="J62" i="525"/>
  <c r="L61" i="525"/>
  <c r="J61" i="525"/>
  <c r="L60" i="525"/>
  <c r="J60" i="525"/>
  <c r="L59" i="525"/>
  <c r="J59" i="525"/>
  <c r="L58" i="525"/>
  <c r="J58" i="525"/>
  <c r="L57" i="525"/>
  <c r="J57" i="525"/>
  <c r="L56" i="525"/>
  <c r="J56" i="525"/>
  <c r="L55" i="525"/>
  <c r="J55" i="525"/>
  <c r="L54" i="525"/>
  <c r="J54" i="525"/>
  <c r="L53" i="525"/>
  <c r="J53" i="525"/>
  <c r="L52" i="525"/>
  <c r="J52" i="525"/>
  <c r="L51" i="525"/>
  <c r="J51" i="525"/>
  <c r="L50" i="525"/>
  <c r="J50" i="525"/>
  <c r="L49" i="525"/>
  <c r="J49" i="525"/>
  <c r="L48" i="525"/>
  <c r="J48" i="525"/>
  <c r="L47" i="525"/>
  <c r="J47" i="525"/>
  <c r="L46" i="525"/>
  <c r="J46" i="525"/>
  <c r="L45" i="525"/>
  <c r="J45" i="525"/>
  <c r="L44" i="525"/>
  <c r="J44" i="525"/>
  <c r="L43" i="525"/>
  <c r="J43" i="525"/>
  <c r="L42" i="525"/>
  <c r="J42" i="525"/>
  <c r="L41" i="525"/>
  <c r="J41" i="525"/>
  <c r="L40" i="525"/>
  <c r="J40" i="525"/>
  <c r="L39" i="525"/>
  <c r="J39" i="525"/>
  <c r="L38" i="525"/>
  <c r="J38" i="525"/>
  <c r="L37" i="525"/>
  <c r="J37" i="525"/>
  <c r="L36" i="525"/>
  <c r="J36" i="525"/>
  <c r="L35" i="525"/>
  <c r="J35" i="525"/>
  <c r="L34" i="525"/>
  <c r="J34" i="525"/>
  <c r="L33" i="525"/>
  <c r="J33" i="525"/>
  <c r="L32" i="525"/>
  <c r="J32" i="525"/>
  <c r="L31" i="525"/>
  <c r="J31" i="525"/>
  <c r="L30" i="525"/>
  <c r="J30" i="525"/>
  <c r="L29" i="525"/>
  <c r="J29" i="525"/>
  <c r="L28" i="525"/>
  <c r="J28" i="525"/>
  <c r="L27" i="525"/>
  <c r="J27" i="525"/>
  <c r="L26" i="525"/>
  <c r="J26" i="525"/>
  <c r="L25" i="525"/>
  <c r="J25" i="525"/>
  <c r="L24" i="525"/>
  <c r="J24" i="525"/>
  <c r="L23" i="525"/>
  <c r="J23" i="525"/>
  <c r="L22" i="525"/>
  <c r="J22" i="525"/>
  <c r="L21" i="525"/>
  <c r="J21" i="525"/>
  <c r="L20" i="525"/>
  <c r="J20" i="525"/>
  <c r="L19" i="525"/>
  <c r="J19" i="525"/>
  <c r="L18" i="525"/>
  <c r="J18" i="525"/>
  <c r="L17" i="525"/>
  <c r="J17" i="525"/>
  <c r="L16" i="525"/>
  <c r="J16" i="525"/>
  <c r="L15" i="525"/>
  <c r="J15" i="525"/>
  <c r="L14" i="525"/>
  <c r="J14" i="525"/>
  <c r="L13" i="525"/>
  <c r="J13" i="525"/>
  <c r="L12" i="525"/>
  <c r="J12" i="525"/>
  <c r="L11" i="525"/>
  <c r="J11" i="525"/>
  <c r="L10" i="525"/>
  <c r="J10" i="525"/>
  <c r="L9" i="525"/>
  <c r="J9" i="525"/>
  <c r="L8" i="525"/>
  <c r="J8" i="525"/>
  <c r="L7" i="525"/>
  <c r="J7" i="525"/>
  <c r="L6" i="525"/>
  <c r="J6" i="525"/>
  <c r="L5" i="525"/>
  <c r="J5" i="525"/>
  <c r="L4" i="525"/>
  <c r="J4" i="525"/>
  <c r="L3" i="525"/>
  <c r="G15" i="53"/>
  <c r="D18" i="53"/>
  <c r="F15" i="53"/>
  <c r="D17" i="53"/>
  <c r="E15" i="53"/>
  <c r="D16" i="53"/>
  <c r="R144" i="3"/>
  <c r="G10" i="53"/>
  <c r="D13" i="53"/>
  <c r="F10" i="53"/>
  <c r="D12" i="53"/>
  <c r="E10" i="53"/>
  <c r="D11" i="53"/>
  <c r="J2" i="53"/>
  <c r="D8" i="53"/>
  <c r="I2" i="53"/>
  <c r="D7" i="53"/>
  <c r="H2" i="53"/>
  <c r="D6" i="53"/>
  <c r="G2" i="53"/>
  <c r="D5" i="53"/>
  <c r="F2" i="53"/>
  <c r="D4" i="53"/>
  <c r="E2" i="53"/>
  <c r="D3" i="53"/>
  <c r="C3" i="1"/>
  <c r="B3" i="1"/>
  <c r="BW65" i="4"/>
  <c r="K105" i="24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C2" i="2"/>
  <c r="E2" i="2"/>
  <c r="D2" i="2"/>
  <c r="A2" i="2"/>
  <c r="B2" i="2"/>
  <c r="K14" i="3"/>
  <c r="AD49" i="16"/>
  <c r="AD48" i="16"/>
  <c r="I181" i="18"/>
  <c r="I180" i="18"/>
  <c r="I179" i="18"/>
  <c r="I226" i="18"/>
  <c r="I224" i="18"/>
  <c r="I223" i="18"/>
  <c r="I222" i="18"/>
  <c r="I89" i="18"/>
  <c r="I88" i="18"/>
  <c r="I171" i="18"/>
  <c r="I165" i="18"/>
  <c r="I164" i="18"/>
  <c r="I163" i="18"/>
  <c r="I162" i="18"/>
  <c r="I161" i="18"/>
  <c r="I160" i="18"/>
  <c r="I154" i="18"/>
  <c r="I148" i="18"/>
  <c r="I142" i="18"/>
  <c r="I136" i="18"/>
  <c r="I130" i="18"/>
  <c r="I124" i="18"/>
  <c r="I118" i="18"/>
  <c r="I117" i="18"/>
  <c r="I116" i="18"/>
  <c r="I115" i="18"/>
  <c r="I114" i="18"/>
  <c r="I113" i="18"/>
  <c r="I107" i="18"/>
  <c r="I101" i="18"/>
  <c r="I95" i="18"/>
  <c r="I94" i="18"/>
  <c r="I93" i="18"/>
  <c r="I92" i="18"/>
  <c r="I91" i="18"/>
  <c r="I90" i="18"/>
  <c r="I87" i="18"/>
  <c r="I86" i="18"/>
  <c r="I85" i="18"/>
  <c r="I84" i="18"/>
  <c r="I80" i="18"/>
  <c r="L131" i="24"/>
  <c r="L128" i="24"/>
  <c r="K126" i="24"/>
  <c r="L126" i="24"/>
  <c r="K97" i="24"/>
  <c r="L97" i="24"/>
  <c r="K96" i="24"/>
  <c r="L96" i="24"/>
  <c r="K91" i="24"/>
  <c r="L91" i="24"/>
  <c r="L46" i="24"/>
  <c r="L37" i="24"/>
  <c r="L19" i="24"/>
  <c r="L16" i="24"/>
  <c r="K115" i="24"/>
  <c r="L10" i="24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C58" i="11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0" i="18"/>
  <c r="I1229" i="18"/>
  <c r="I1228" i="18"/>
  <c r="I1227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5" i="18"/>
  <c r="I1194" i="18"/>
  <c r="I1193" i="18"/>
  <c r="I1192" i="18"/>
  <c r="I1191" i="18"/>
  <c r="I1190" i="18"/>
  <c r="I1189" i="18"/>
  <c r="I1188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2" i="18"/>
  <c r="I1151" i="18"/>
  <c r="I1150" i="18"/>
  <c r="I1149" i="18"/>
  <c r="I1148" i="18"/>
  <c r="I1147" i="18"/>
  <c r="I1146" i="18"/>
  <c r="I1144" i="18"/>
  <c r="I1143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3" i="18"/>
  <c r="I1092" i="18"/>
  <c r="I1091" i="18"/>
  <c r="I1090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8" i="18"/>
  <c r="I1057" i="18"/>
  <c r="I1056" i="18"/>
  <c r="I1055" i="18"/>
  <c r="I1054" i="18"/>
  <c r="I1053" i="18"/>
  <c r="I1052" i="18"/>
  <c r="I1051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5" i="18"/>
  <c r="I1014" i="18"/>
  <c r="I1013" i="18"/>
  <c r="I1012" i="18"/>
  <c r="I1011" i="18"/>
  <c r="I1010" i="18"/>
  <c r="I1009" i="18"/>
  <c r="I1007" i="18"/>
  <c r="I1006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6" i="18"/>
  <c r="I955" i="18"/>
  <c r="I954" i="18"/>
  <c r="I953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1" i="18"/>
  <c r="I920" i="18"/>
  <c r="I919" i="18"/>
  <c r="I918" i="18"/>
  <c r="I917" i="18"/>
  <c r="I916" i="18"/>
  <c r="I915" i="18"/>
  <c r="I914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4" i="18"/>
  <c r="I863" i="18"/>
  <c r="I862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34" i="18"/>
  <c r="I833" i="18"/>
  <c r="I832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0" i="18"/>
  <c r="I799" i="18"/>
  <c r="I798" i="18"/>
  <c r="I791" i="18"/>
  <c r="I790" i="18"/>
  <c r="I789" i="18"/>
  <c r="I785" i="18"/>
  <c r="I784" i="18"/>
  <c r="I783" i="18"/>
  <c r="I782" i="18"/>
  <c r="I779" i="18"/>
  <c r="I778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21" i="18"/>
  <c r="I720" i="18"/>
  <c r="I719" i="18"/>
  <c r="I718" i="18"/>
  <c r="I716" i="18"/>
  <c r="I715" i="18"/>
  <c r="I714" i="18"/>
  <c r="I713" i="18"/>
  <c r="I711" i="18"/>
  <c r="I710" i="18"/>
  <c r="I709" i="18"/>
  <c r="I708" i="18"/>
  <c r="I706" i="18"/>
  <c r="I705" i="18"/>
  <c r="I703" i="18"/>
  <c r="I702" i="18"/>
  <c r="I701" i="18"/>
  <c r="I700" i="18"/>
  <c r="I697" i="18"/>
  <c r="I696" i="18"/>
  <c r="I695" i="18"/>
  <c r="I694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8" i="18"/>
  <c r="I657" i="18"/>
  <c r="I656" i="18"/>
  <c r="I654" i="18"/>
  <c r="I652" i="18"/>
  <c r="I650" i="18"/>
  <c r="I649" i="18"/>
  <c r="I647" i="18"/>
  <c r="I646" i="18"/>
  <c r="I644" i="18"/>
  <c r="I643" i="18"/>
  <c r="I642" i="18"/>
  <c r="I641" i="18"/>
  <c r="I640" i="18"/>
  <c r="I639" i="18"/>
  <c r="I636" i="18"/>
  <c r="I635" i="18"/>
  <c r="I634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0" i="18"/>
  <c r="I609" i="18"/>
  <c r="I608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6" i="18"/>
  <c r="I575" i="18"/>
  <c r="I574" i="18"/>
  <c r="I567" i="18"/>
  <c r="I566" i="18"/>
  <c r="I565" i="18"/>
  <c r="I561" i="18"/>
  <c r="I560" i="18"/>
  <c r="I559" i="18"/>
  <c r="I558" i="18"/>
  <c r="I557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497" i="18"/>
  <c r="I496" i="18"/>
  <c r="I495" i="18"/>
  <c r="I494" i="18"/>
  <c r="I492" i="18"/>
  <c r="I491" i="18"/>
  <c r="I490" i="18"/>
  <c r="I489" i="18"/>
  <c r="I487" i="18"/>
  <c r="I486" i="18"/>
  <c r="I485" i="18"/>
  <c r="I484" i="18"/>
  <c r="I483" i="18"/>
  <c r="I482" i="18"/>
  <c r="I481" i="18"/>
  <c r="I479" i="18"/>
  <c r="I478" i="18"/>
  <c r="I477" i="18"/>
  <c r="I476" i="18"/>
  <c r="I475" i="18"/>
  <c r="I474" i="18"/>
  <c r="I473" i="18"/>
  <c r="I472" i="18"/>
  <c r="I471" i="18"/>
  <c r="I470" i="18"/>
  <c r="I467" i="18"/>
  <c r="I466" i="18"/>
  <c r="I465" i="18"/>
  <c r="I464" i="18"/>
  <c r="I463" i="18"/>
  <c r="I462" i="18"/>
  <c r="I461" i="18"/>
  <c r="I460" i="18"/>
  <c r="I459" i="18"/>
  <c r="I458" i="18"/>
  <c r="I457" i="18"/>
  <c r="I455" i="18"/>
  <c r="I450" i="18"/>
  <c r="I449" i="18"/>
  <c r="I448" i="18"/>
  <c r="I447" i="18"/>
  <c r="I446" i="18"/>
  <c r="I445" i="18"/>
  <c r="I444" i="18"/>
  <c r="I443" i="18"/>
  <c r="I442" i="18"/>
  <c r="I441" i="18"/>
  <c r="I439" i="18"/>
  <c r="I438" i="18"/>
  <c r="I436" i="18"/>
  <c r="I434" i="18"/>
  <c r="I432" i="18"/>
  <c r="I431" i="18"/>
  <c r="I429" i="18"/>
  <c r="I428" i="18"/>
  <c r="I426" i="18"/>
  <c r="I425" i="18"/>
  <c r="I424" i="18"/>
  <c r="I423" i="18"/>
  <c r="I422" i="18"/>
  <c r="I421" i="18"/>
  <c r="I420" i="18"/>
  <c r="I418" i="18"/>
  <c r="I417" i="18"/>
  <c r="I416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275" i="18"/>
  <c r="I274" i="18"/>
  <c r="I273" i="18"/>
  <c r="I272" i="18"/>
  <c r="I271" i="18"/>
  <c r="I270" i="18"/>
  <c r="I269" i="18"/>
  <c r="I268" i="18"/>
  <c r="I267" i="18"/>
  <c r="I266" i="18"/>
  <c r="I265" i="18"/>
  <c r="I262" i="18"/>
  <c r="I261" i="18"/>
  <c r="I260" i="18"/>
  <c r="I259" i="18"/>
  <c r="I257" i="18"/>
  <c r="I253" i="18"/>
  <c r="I252" i="18"/>
  <c r="I251" i="18"/>
  <c r="I250" i="18"/>
  <c r="I249" i="18"/>
  <c r="I248" i="18"/>
  <c r="I247" i="18"/>
  <c r="I244" i="18"/>
  <c r="I243" i="18"/>
  <c r="I242" i="18"/>
  <c r="I241" i="18"/>
  <c r="I239" i="18"/>
  <c r="I235" i="18"/>
  <c r="I234" i="18"/>
  <c r="I233" i="18"/>
  <c r="I232" i="18"/>
  <c r="I231" i="18"/>
  <c r="I230" i="18"/>
  <c r="I229" i="18"/>
  <c r="I217" i="18"/>
  <c r="I216" i="18"/>
  <c r="I215" i="18"/>
  <c r="I213" i="18"/>
  <c r="I212" i="18"/>
  <c r="I211" i="18"/>
  <c r="I209" i="18"/>
  <c r="I208" i="18"/>
  <c r="I207" i="18"/>
  <c r="I204" i="18"/>
  <c r="I203" i="18"/>
  <c r="I202" i="18"/>
  <c r="I200" i="18"/>
  <c r="I191" i="18"/>
  <c r="I190" i="18"/>
  <c r="I189" i="18"/>
  <c r="I187" i="18"/>
  <c r="I75" i="18"/>
  <c r="I74" i="18"/>
  <c r="I73" i="18"/>
  <c r="I72" i="18"/>
  <c r="I71" i="18"/>
  <c r="I69" i="18"/>
  <c r="I68" i="18"/>
  <c r="I67" i="18"/>
  <c r="I66" i="18"/>
  <c r="I39" i="18"/>
  <c r="I38" i="18"/>
  <c r="I37" i="18"/>
  <c r="I36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5" i="18"/>
  <c r="I14" i="18"/>
  <c r="K359" i="8"/>
  <c r="K358" i="8"/>
  <c r="K222" i="8"/>
  <c r="K221" i="8"/>
  <c r="K85" i="8"/>
  <c r="K84" i="8"/>
  <c r="K125" i="6"/>
  <c r="K124" i="6"/>
  <c r="K131" i="7"/>
  <c r="K130" i="7"/>
  <c r="J67" i="16"/>
  <c r="J5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9" i="8"/>
  <c r="K129" i="8"/>
  <c r="K175" i="8"/>
  <c r="K236" i="8"/>
  <c r="K246" i="8"/>
  <c r="K266" i="8"/>
  <c r="K373" i="8"/>
  <c r="K383" i="8"/>
  <c r="K403" i="8"/>
  <c r="K147" i="7"/>
  <c r="K165" i="7"/>
  <c r="K201" i="7"/>
  <c r="K141" i="6"/>
  <c r="K159" i="6"/>
  <c r="K195" i="6"/>
  <c r="I12" i="20"/>
  <c r="H12" i="20"/>
  <c r="I13" i="20"/>
  <c r="H13" i="20"/>
  <c r="I14" i="20"/>
  <c r="H14" i="20"/>
  <c r="I15" i="20"/>
  <c r="H15" i="20"/>
  <c r="I16" i="20"/>
  <c r="H16" i="20"/>
  <c r="I17" i="20"/>
  <c r="H17" i="20"/>
  <c r="I18" i="20"/>
  <c r="H18" i="20"/>
  <c r="I19" i="20"/>
  <c r="H19" i="20"/>
  <c r="I20" i="20"/>
  <c r="H20" i="20"/>
  <c r="I21" i="20"/>
  <c r="H21" i="20"/>
  <c r="I22" i="20"/>
  <c r="H22" i="20"/>
  <c r="I23" i="20"/>
  <c r="H23" i="20"/>
  <c r="I24" i="20"/>
  <c r="H24" i="20"/>
  <c r="I25" i="20"/>
  <c r="H25" i="20"/>
  <c r="I26" i="20"/>
  <c r="H26" i="20"/>
  <c r="I27" i="20"/>
  <c r="H27" i="20"/>
  <c r="I28" i="20"/>
  <c r="H28" i="20"/>
  <c r="I29" i="20"/>
  <c r="H29" i="20"/>
  <c r="I30" i="20"/>
  <c r="H30" i="20"/>
  <c r="I31" i="20"/>
  <c r="H31" i="20"/>
  <c r="I32" i="20"/>
  <c r="H32" i="20"/>
  <c r="I33" i="20"/>
  <c r="H33" i="20"/>
  <c r="I34" i="20"/>
  <c r="H34" i="20"/>
  <c r="I35" i="20"/>
  <c r="H35" i="20"/>
  <c r="I36" i="20"/>
  <c r="H36" i="20"/>
  <c r="I37" i="20"/>
  <c r="H37" i="20"/>
  <c r="I38" i="20"/>
  <c r="H38" i="20"/>
  <c r="I39" i="20"/>
  <c r="H39" i="20"/>
  <c r="I40" i="20"/>
  <c r="H40" i="20"/>
  <c r="I41" i="20"/>
  <c r="H41" i="20"/>
  <c r="I42" i="20"/>
  <c r="H42" i="20"/>
  <c r="I43" i="20"/>
  <c r="H43" i="20"/>
  <c r="I44" i="20"/>
  <c r="H44" i="20"/>
  <c r="I45" i="20"/>
  <c r="H45" i="20"/>
  <c r="I46" i="20"/>
  <c r="H46" i="20"/>
  <c r="I47" i="20"/>
  <c r="H47" i="20"/>
  <c r="I48" i="20"/>
  <c r="H48" i="20"/>
  <c r="I49" i="20"/>
  <c r="H49" i="20"/>
  <c r="I50" i="20"/>
  <c r="H50" i="20"/>
  <c r="I51" i="20"/>
  <c r="H51" i="20"/>
  <c r="I52" i="20"/>
  <c r="H52" i="20"/>
  <c r="I53" i="20"/>
  <c r="H53" i="20"/>
  <c r="I54" i="20"/>
  <c r="H54" i="20"/>
  <c r="I55" i="20"/>
  <c r="H55" i="20"/>
  <c r="I56" i="20"/>
  <c r="H56" i="20"/>
  <c r="I57" i="20"/>
  <c r="H57" i="20"/>
  <c r="I58" i="20"/>
  <c r="H58" i="20"/>
  <c r="I59" i="20"/>
  <c r="H59" i="20"/>
  <c r="I60" i="20"/>
  <c r="H60" i="20"/>
  <c r="I61" i="20"/>
  <c r="H61" i="20"/>
  <c r="I62" i="20"/>
  <c r="H62" i="20"/>
  <c r="I63" i="20"/>
  <c r="H63" i="20"/>
  <c r="I64" i="20"/>
  <c r="H64" i="20"/>
  <c r="I65" i="20"/>
  <c r="H65" i="20"/>
  <c r="I66" i="20"/>
  <c r="H66" i="20"/>
  <c r="I67" i="20"/>
  <c r="H67" i="20"/>
  <c r="I68" i="20"/>
  <c r="H68" i="20"/>
  <c r="I69" i="20"/>
  <c r="H69" i="20"/>
  <c r="I70" i="20"/>
  <c r="H70" i="20"/>
  <c r="I71" i="20"/>
  <c r="H71" i="20"/>
  <c r="I72" i="20"/>
  <c r="H72" i="20"/>
  <c r="I73" i="20"/>
  <c r="H73" i="20"/>
  <c r="I74" i="20"/>
  <c r="H74" i="20"/>
  <c r="I75" i="20"/>
  <c r="H75" i="20"/>
  <c r="I76" i="20"/>
  <c r="H76" i="20"/>
  <c r="I77" i="20"/>
  <c r="H77" i="20"/>
  <c r="I78" i="20"/>
  <c r="H78" i="20"/>
  <c r="I79" i="20"/>
  <c r="H79" i="20"/>
  <c r="I80" i="20"/>
  <c r="H80" i="20"/>
  <c r="I81" i="20"/>
  <c r="H81" i="20"/>
  <c r="I82" i="20"/>
  <c r="H82" i="20"/>
  <c r="I83" i="20"/>
  <c r="H83" i="20"/>
  <c r="I84" i="20"/>
  <c r="H84" i="20"/>
  <c r="I85" i="20"/>
  <c r="H85" i="20"/>
  <c r="I86" i="20"/>
  <c r="H86" i="20"/>
  <c r="I87" i="20"/>
  <c r="H87" i="20"/>
  <c r="I88" i="20"/>
  <c r="H88" i="20"/>
  <c r="I89" i="20"/>
  <c r="H89" i="20"/>
  <c r="I90" i="20"/>
  <c r="H90" i="20"/>
  <c r="I91" i="20"/>
  <c r="H91" i="20"/>
  <c r="I92" i="20"/>
  <c r="H92" i="20"/>
  <c r="I93" i="20"/>
  <c r="H93" i="20"/>
  <c r="I94" i="20"/>
  <c r="H94" i="20"/>
  <c r="I95" i="20"/>
  <c r="H95" i="20"/>
  <c r="I96" i="20"/>
  <c r="H96" i="20"/>
  <c r="I97" i="20"/>
  <c r="H97" i="20"/>
  <c r="I98" i="20"/>
  <c r="H98" i="20"/>
  <c r="I99" i="20"/>
  <c r="H99" i="20"/>
  <c r="I100" i="20"/>
  <c r="H100" i="20"/>
  <c r="I101" i="20"/>
  <c r="H101" i="20"/>
  <c r="I102" i="20"/>
  <c r="H102" i="20"/>
  <c r="I103" i="20"/>
  <c r="H103" i="20"/>
  <c r="I104" i="20"/>
  <c r="H104" i="20"/>
  <c r="I105" i="20"/>
  <c r="H105" i="20"/>
  <c r="I106" i="20"/>
  <c r="H106" i="20"/>
  <c r="I107" i="20"/>
  <c r="H107" i="20"/>
  <c r="I108" i="20"/>
  <c r="H108" i="20"/>
  <c r="I109" i="20"/>
  <c r="H109" i="20"/>
  <c r="I110" i="20"/>
  <c r="H110" i="20"/>
  <c r="I111" i="20"/>
  <c r="H111" i="20"/>
  <c r="BQ27" i="4"/>
  <c r="BQ91" i="4"/>
  <c r="P10" i="3"/>
  <c r="J107" i="24"/>
  <c r="P168" i="3"/>
  <c r="P164" i="3"/>
  <c r="P160" i="3"/>
  <c r="P159" i="3"/>
  <c r="P167" i="3"/>
  <c r="P163" i="3"/>
  <c r="P162" i="3"/>
  <c r="P169" i="3"/>
  <c r="P161" i="3"/>
  <c r="J76" i="24"/>
  <c r="P8" i="3"/>
  <c r="BZ66" i="4"/>
  <c r="P71" i="3"/>
  <c r="P156" i="3"/>
  <c r="I79" i="16"/>
  <c r="P154" i="3"/>
  <c r="K219" i="7"/>
  <c r="P146" i="3"/>
  <c r="I69" i="16"/>
  <c r="P144" i="3"/>
  <c r="I67" i="16"/>
  <c r="P142" i="3"/>
  <c r="I65" i="16"/>
  <c r="P138" i="3"/>
  <c r="I62" i="16"/>
  <c r="P136" i="3"/>
  <c r="K179" i="6"/>
  <c r="P128" i="3"/>
  <c r="I52" i="16"/>
  <c r="P124" i="3"/>
  <c r="I48" i="16"/>
  <c r="P120" i="3"/>
  <c r="K117" i="24"/>
  <c r="P117" i="3"/>
  <c r="I43" i="16"/>
  <c r="P115" i="3"/>
  <c r="K9" i="24"/>
  <c r="L9" i="24"/>
  <c r="P155" i="3"/>
  <c r="I77" i="16"/>
  <c r="P153" i="3"/>
  <c r="I76" i="16"/>
  <c r="P151" i="3"/>
  <c r="K22" i="7"/>
  <c r="P147" i="3"/>
  <c r="I70" i="16"/>
  <c r="P145" i="3"/>
  <c r="I68" i="16"/>
  <c r="P143" i="3"/>
  <c r="I66" i="16"/>
  <c r="P141" i="3"/>
  <c r="I64" i="16"/>
  <c r="P137" i="3"/>
  <c r="I61" i="16"/>
  <c r="P135" i="3"/>
  <c r="I59" i="16"/>
  <c r="P133" i="3"/>
  <c r="K22" i="6"/>
  <c r="P129" i="3"/>
  <c r="I53" i="16"/>
  <c r="P125" i="3"/>
  <c r="I49" i="16"/>
  <c r="P123" i="3"/>
  <c r="P116" i="3"/>
  <c r="I42" i="16"/>
  <c r="BZ131" i="4"/>
  <c r="I70" i="18"/>
  <c r="P126" i="3"/>
  <c r="I50" i="16"/>
  <c r="B22" i="22"/>
  <c r="B24" i="22"/>
  <c r="I193" i="18"/>
  <c r="I197" i="18"/>
  <c r="I195" i="18"/>
  <c r="I196" i="18"/>
  <c r="I194" i="18"/>
  <c r="I183" i="18"/>
  <c r="I182" i="18"/>
  <c r="I184" i="18"/>
  <c r="I414" i="18"/>
  <c r="B21" i="22"/>
  <c r="B23" i="22"/>
  <c r="I456" i="18"/>
  <c r="I746" i="18"/>
  <c r="I745" i="18"/>
  <c r="I744" i="18"/>
  <c r="I502" i="18"/>
  <c r="I726" i="18"/>
  <c r="I505" i="18"/>
  <c r="I727" i="18"/>
  <c r="I728" i="18"/>
  <c r="I503" i="18"/>
  <c r="I507" i="18"/>
  <c r="I504" i="18"/>
  <c r="I506" i="18"/>
  <c r="I729" i="18"/>
  <c r="I731" i="18"/>
  <c r="I730" i="18"/>
  <c r="P127" i="3"/>
  <c r="I922" i="18"/>
  <c r="I913" i="18"/>
  <c r="I912" i="18"/>
  <c r="I1059" i="18"/>
  <c r="I1050" i="18"/>
  <c r="I1196" i="18"/>
  <c r="I1187" i="18"/>
  <c r="I1186" i="18"/>
  <c r="I1049" i="18"/>
  <c r="I168" i="18"/>
  <c r="I175" i="18"/>
  <c r="I172" i="18"/>
  <c r="I167" i="18"/>
  <c r="I176" i="18"/>
  <c r="I169" i="18"/>
  <c r="I166" i="18"/>
  <c r="I173" i="18"/>
  <c r="I170" i="18"/>
  <c r="I174" i="18"/>
  <c r="I135" i="18"/>
  <c r="I137" i="18"/>
  <c r="I149" i="18"/>
  <c r="I159" i="18"/>
  <c r="I134" i="18"/>
  <c r="I156" i="18"/>
  <c r="I139" i="18"/>
  <c r="I153" i="18"/>
  <c r="I133" i="18"/>
  <c r="I121" i="18"/>
  <c r="I158" i="18"/>
  <c r="I140" i="18"/>
  <c r="I155" i="18"/>
  <c r="I126" i="18"/>
  <c r="I141" i="18"/>
  <c r="I129" i="18"/>
  <c r="I144" i="18"/>
  <c r="I123" i="18"/>
  <c r="I145" i="18"/>
  <c r="I152" i="18"/>
  <c r="I125" i="18"/>
  <c r="I131" i="18"/>
  <c r="I119" i="18"/>
  <c r="I146" i="18"/>
  <c r="I127" i="18"/>
  <c r="I143" i="18"/>
  <c r="I151" i="18"/>
  <c r="I122" i="18"/>
  <c r="I128" i="18"/>
  <c r="I150" i="18"/>
  <c r="I138" i="18"/>
  <c r="I120" i="18"/>
  <c r="I157" i="18"/>
  <c r="I132" i="18"/>
  <c r="I147" i="18"/>
  <c r="I105" i="18"/>
  <c r="I109" i="18"/>
  <c r="I104" i="18"/>
  <c r="I103" i="18"/>
  <c r="I111" i="18"/>
  <c r="I110" i="18"/>
  <c r="I102" i="18"/>
  <c r="I108" i="18"/>
  <c r="I106" i="18"/>
  <c r="I112" i="18"/>
  <c r="I81" i="18"/>
  <c r="I99" i="18"/>
  <c r="I98" i="18"/>
  <c r="I97" i="18"/>
  <c r="I96" i="18"/>
  <c r="I100" i="18"/>
  <c r="I83" i="18"/>
  <c r="I82" i="18"/>
  <c r="I205" i="18"/>
  <c r="I192" i="18"/>
  <c r="I199" i="18"/>
  <c r="I188" i="18"/>
  <c r="I201" i="18"/>
  <c r="I186" i="18"/>
  <c r="AD65" i="16"/>
  <c r="AD66" i="16"/>
  <c r="I35" i="18"/>
  <c r="C12" i="2"/>
  <c r="G12" i="2"/>
  <c r="D12" i="2"/>
  <c r="E12" i="2"/>
  <c r="V12" i="2"/>
  <c r="V8" i="2"/>
  <c r="I12" i="2"/>
  <c r="I7" i="2"/>
  <c r="H12" i="2"/>
  <c r="H10" i="2"/>
  <c r="M12" i="2"/>
  <c r="M9" i="2"/>
  <c r="T12" i="2"/>
  <c r="T7" i="2"/>
  <c r="K12" i="2"/>
  <c r="K8" i="2"/>
  <c r="U12" i="2"/>
  <c r="U9" i="2"/>
  <c r="J12" i="2"/>
  <c r="J9" i="2"/>
  <c r="U8" i="2"/>
  <c r="P6" i="3"/>
  <c r="K211" i="6"/>
  <c r="I41" i="16"/>
  <c r="H7" i="2"/>
  <c r="K217" i="7"/>
  <c r="T10" i="2"/>
  <c r="I45" i="16"/>
  <c r="K212" i="6"/>
  <c r="K11" i="24"/>
  <c r="L11" i="24"/>
  <c r="H8" i="2"/>
  <c r="U10" i="2"/>
  <c r="B259" i="22"/>
  <c r="B257" i="22"/>
  <c r="I78" i="16"/>
  <c r="B254" i="22"/>
  <c r="I57" i="16"/>
  <c r="H9" i="2"/>
  <c r="K15" i="3"/>
  <c r="U7" i="2"/>
  <c r="V7" i="2"/>
  <c r="T8" i="2"/>
  <c r="K9" i="2"/>
  <c r="I9" i="2"/>
  <c r="K39" i="3"/>
  <c r="K213" i="6"/>
  <c r="B255" i="22"/>
  <c r="K218" i="7"/>
  <c r="B256" i="22"/>
  <c r="B258" i="22"/>
  <c r="B186" i="22"/>
  <c r="T9" i="2"/>
  <c r="V10" i="2"/>
  <c r="V9" i="2"/>
  <c r="B784" i="22"/>
  <c r="C3" i="4"/>
  <c r="I60" i="16"/>
  <c r="K90" i="24"/>
  <c r="BW130" i="4"/>
  <c r="BW1" i="4"/>
  <c r="B273" i="22"/>
  <c r="J47" i="6"/>
  <c r="J36" i="6"/>
  <c r="J271" i="8"/>
  <c r="B271" i="22"/>
  <c r="I74" i="16"/>
  <c r="J33" i="7"/>
  <c r="J168" i="7"/>
  <c r="J169" i="7"/>
  <c r="J344" i="8"/>
  <c r="B275" i="22"/>
  <c r="K184" i="7"/>
  <c r="K12" i="24"/>
  <c r="L12" i="24"/>
  <c r="K8" i="24"/>
  <c r="L8" i="24"/>
  <c r="K177" i="6"/>
  <c r="K14" i="6"/>
  <c r="J52" i="6"/>
  <c r="J181" i="7"/>
  <c r="J199" i="6"/>
  <c r="J175" i="6"/>
  <c r="J204" i="6"/>
  <c r="L204" i="6" s="1"/>
  <c r="J97" i="7"/>
  <c r="J175" i="7"/>
  <c r="J407" i="8"/>
  <c r="J60" i="6"/>
  <c r="J320" i="8"/>
  <c r="R126" i="3"/>
  <c r="J66" i="7"/>
  <c r="B274" i="22"/>
  <c r="C5" i="4"/>
  <c r="J68" i="3"/>
  <c r="P68" i="3"/>
  <c r="J275" i="8"/>
  <c r="J75" i="6"/>
  <c r="J162" i="6"/>
  <c r="J130" i="6"/>
  <c r="J36" i="7"/>
  <c r="J206" i="8"/>
  <c r="J21" i="6"/>
  <c r="J99" i="6"/>
  <c r="J92" i="7"/>
  <c r="J207" i="8"/>
  <c r="J206" i="7"/>
  <c r="J86" i="7"/>
  <c r="J215" i="7"/>
  <c r="J217" i="7"/>
  <c r="J77" i="24"/>
  <c r="I51" i="16"/>
  <c r="K185" i="7"/>
  <c r="K183" i="7"/>
  <c r="B185" i="22"/>
  <c r="B276" i="22"/>
  <c r="K178" i="6"/>
  <c r="I47" i="16"/>
  <c r="J183" i="8"/>
  <c r="J46" i="8"/>
  <c r="J25" i="8"/>
  <c r="J29" i="8"/>
  <c r="AF5" i="4"/>
  <c r="CC66" i="4"/>
  <c r="AF6" i="4"/>
  <c r="J169" i="6"/>
  <c r="J174" i="6"/>
  <c r="J134" i="8"/>
  <c r="J213" i="6"/>
  <c r="J101" i="6"/>
  <c r="J206" i="6"/>
  <c r="J94" i="6"/>
  <c r="J163" i="6"/>
  <c r="J211" i="6"/>
  <c r="J107" i="7"/>
  <c r="J212" i="7"/>
  <c r="J39" i="6"/>
  <c r="J182" i="7"/>
  <c r="J33" i="6"/>
  <c r="J74" i="6"/>
  <c r="J177" i="6"/>
  <c r="J21" i="7"/>
  <c r="J108" i="7"/>
  <c r="J213" i="7"/>
  <c r="J39" i="7"/>
  <c r="J174" i="7"/>
  <c r="J69" i="8"/>
  <c r="J412" i="8"/>
  <c r="J102" i="7"/>
  <c r="J184" i="7"/>
  <c r="J111" i="8"/>
  <c r="J216" i="7"/>
  <c r="J270" i="8"/>
  <c r="J75" i="24"/>
  <c r="J31" i="24"/>
  <c r="AF3" i="4"/>
  <c r="B272" i="22"/>
  <c r="BZ2" i="4"/>
  <c r="CC131" i="4"/>
  <c r="C6" i="4"/>
  <c r="CC2" i="4"/>
  <c r="J104" i="6"/>
  <c r="J92" i="6"/>
  <c r="J87" i="7"/>
  <c r="J96" i="6"/>
  <c r="J209" i="6"/>
  <c r="J95" i="7"/>
  <c r="J201" i="6"/>
  <c r="J178" i="6"/>
  <c r="J103" i="7"/>
  <c r="J218" i="7"/>
  <c r="J129" i="6"/>
  <c r="J179" i="6"/>
  <c r="J210" i="6"/>
  <c r="J86" i="6"/>
  <c r="J102" i="6"/>
  <c r="J159" i="6"/>
  <c r="J176" i="6"/>
  <c r="J207" i="6"/>
  <c r="J25" i="7"/>
  <c r="J41" i="7"/>
  <c r="J135" i="7"/>
  <c r="J185" i="7"/>
  <c r="J188" i="8"/>
  <c r="J408" i="8"/>
  <c r="J97" i="6"/>
  <c r="J165" i="7"/>
  <c r="J219" i="7"/>
  <c r="J25" i="6"/>
  <c r="J41" i="6"/>
  <c r="J51" i="6"/>
  <c r="J91" i="6"/>
  <c r="J168" i="6"/>
  <c r="J200" i="6"/>
  <c r="J212" i="6"/>
  <c r="J26" i="7"/>
  <c r="J100" i="7"/>
  <c r="J136" i="7"/>
  <c r="J205" i="7"/>
  <c r="J189" i="8"/>
  <c r="J248" i="8"/>
  <c r="J80" i="7"/>
  <c r="J105" i="7"/>
  <c r="J183" i="7"/>
  <c r="J210" i="7"/>
  <c r="L210" i="7" s="1"/>
  <c r="J138" i="8"/>
  <c r="J343" i="8"/>
  <c r="J81" i="7"/>
  <c r="J98" i="7"/>
  <c r="J110" i="7"/>
  <c r="J180" i="7"/>
  <c r="J207" i="7"/>
  <c r="J70" i="8"/>
  <c r="J162" i="8"/>
  <c r="L162" i="8" s="1"/>
  <c r="J385" i="8"/>
  <c r="J163" i="8"/>
  <c r="L163" i="8"/>
  <c r="J133" i="8"/>
  <c r="J278" i="8"/>
  <c r="J90" i="24"/>
  <c r="L90" i="24"/>
  <c r="J73" i="24"/>
  <c r="J74" i="24"/>
  <c r="J72" i="24"/>
  <c r="J110" i="24"/>
  <c r="R117" i="3"/>
  <c r="M7" i="2"/>
  <c r="J7" i="2"/>
  <c r="G6" i="2"/>
  <c r="K22" i="3" s="1"/>
  <c r="P22" i="3" s="1"/>
  <c r="J44" i="3" s="1"/>
  <c r="J10" i="2"/>
  <c r="I10" i="2"/>
  <c r="J8" i="2"/>
  <c r="K35" i="3"/>
  <c r="K20" i="3"/>
  <c r="I8" i="2"/>
  <c r="K10" i="2"/>
  <c r="M10" i="2"/>
  <c r="K7" i="2"/>
  <c r="M8" i="2"/>
  <c r="J105" i="24"/>
  <c r="J111" i="24"/>
  <c r="D106" i="11" a="1"/>
  <c r="K6" i="20" a="1"/>
  <c r="AG106" i="11"/>
  <c r="U106" i="11"/>
  <c r="I106" i="11"/>
  <c r="AL106" i="11"/>
  <c r="AB106" i="11"/>
  <c r="R106" i="11"/>
  <c r="AM106" i="11"/>
  <c r="AC106" i="11"/>
  <c r="M106" i="11"/>
  <c r="G106" i="11"/>
  <c r="AH106" i="11"/>
  <c r="V106" i="11"/>
  <c r="L106" i="11"/>
  <c r="AI6" i="20"/>
  <c r="AN6" i="20"/>
  <c r="AC6" i="20"/>
  <c r="T6" i="20"/>
  <c r="N6" i="20"/>
  <c r="P6" i="20"/>
  <c r="S6" i="20"/>
  <c r="AB6" i="20"/>
  <c r="AO6" i="20"/>
  <c r="AJ6" i="20"/>
  <c r="Y6" i="20"/>
  <c r="J37" i="3"/>
  <c r="T6" i="2"/>
  <c r="K6" i="2"/>
  <c r="U6" i="2"/>
  <c r="V6" i="2"/>
  <c r="B6" i="2"/>
  <c r="F6" i="2"/>
  <c r="C6" i="2"/>
  <c r="I6" i="2"/>
  <c r="B287" i="22"/>
  <c r="B789" i="22"/>
  <c r="B693" i="22"/>
  <c r="P98" i="3"/>
  <c r="Y5" i="11" s="1"/>
  <c r="P5" i="3"/>
  <c r="H6" i="2"/>
  <c r="J22" i="3"/>
  <c r="A6" i="2"/>
  <c r="J6" i="2"/>
  <c r="D6" i="2"/>
  <c r="M6" i="2"/>
  <c r="S6" i="2"/>
  <c r="E6" i="2"/>
  <c r="B806" i="22"/>
  <c r="B34" i="22"/>
  <c r="L385" i="8"/>
  <c r="B35" i="22"/>
  <c r="B794" i="22"/>
  <c r="K70" i="3"/>
  <c r="B811" i="22"/>
  <c r="B39" i="22"/>
  <c r="P81" i="3"/>
  <c r="E5" i="11" s="1"/>
  <c r="P88" i="3"/>
  <c r="N5" i="11" s="1"/>
  <c r="P93" i="3"/>
  <c r="P105" i="3"/>
  <c r="AG29" i="4"/>
  <c r="CH98" i="4" s="1"/>
  <c r="BW2" i="4"/>
  <c r="B808" i="22"/>
  <c r="B813" i="22"/>
  <c r="B33" i="22"/>
  <c r="L248" i="8"/>
  <c r="B151" i="22"/>
  <c r="B862" i="22"/>
  <c r="B853" i="22"/>
  <c r="I15" i="16"/>
  <c r="I25" i="16"/>
  <c r="B209" i="22"/>
  <c r="P84" i="3"/>
  <c r="AG11" i="4"/>
  <c r="BQ10" i="4" s="1"/>
  <c r="P94" i="3"/>
  <c r="P97" i="3"/>
  <c r="I24" i="16"/>
  <c r="P80" i="3"/>
  <c r="P85" i="3"/>
  <c r="I12" i="16" s="1"/>
  <c r="B32" i="22"/>
  <c r="B30" i="22"/>
  <c r="B702" i="22"/>
  <c r="B698" i="22"/>
  <c r="B123" i="22"/>
  <c r="P86" i="3"/>
  <c r="P89" i="3"/>
  <c r="O5" i="11" s="1"/>
  <c r="P108" i="3"/>
  <c r="P82" i="3"/>
  <c r="I9" i="16" s="1"/>
  <c r="P110" i="3"/>
  <c r="P104" i="3"/>
  <c r="AE5" i="11"/>
  <c r="AE106" i="11" s="1"/>
  <c r="B859" i="22"/>
  <c r="B882" i="22"/>
  <c r="B145" i="22"/>
  <c r="B127" i="22"/>
  <c r="B293" i="22"/>
  <c r="B168" i="22"/>
  <c r="B841" i="22"/>
  <c r="B286" i="22"/>
  <c r="B837" i="22"/>
  <c r="B152" i="22"/>
  <c r="B809" i="22"/>
  <c r="B866" i="22"/>
  <c r="B798" i="22"/>
  <c r="B818" i="22"/>
  <c r="B149" i="22"/>
  <c r="B867" i="22"/>
  <c r="B804" i="22"/>
  <c r="K66" i="3"/>
  <c r="B848" i="22"/>
  <c r="B457" i="22"/>
  <c r="I43" i="3"/>
  <c r="I44" i="3"/>
  <c r="J49" i="3"/>
  <c r="J47" i="3"/>
  <c r="I64" i="3"/>
  <c r="J57" i="3"/>
  <c r="I46" i="3"/>
  <c r="J62" i="3"/>
  <c r="B537" i="22"/>
  <c r="J58" i="3"/>
  <c r="J53" i="3"/>
  <c r="J42" i="3"/>
  <c r="K189" i="8"/>
  <c r="L189" i="8" s="1"/>
  <c r="B535" i="22"/>
  <c r="I63" i="3"/>
  <c r="J63" i="3"/>
  <c r="I56" i="3"/>
  <c r="I58" i="3"/>
  <c r="I61" i="3"/>
  <c r="I42" i="3"/>
  <c r="B538" i="22"/>
  <c r="J52" i="3"/>
  <c r="I50" i="3"/>
  <c r="I48" i="3"/>
  <c r="I51" i="3"/>
  <c r="I49" i="3"/>
  <c r="I55" i="3"/>
  <c r="J55" i="3"/>
  <c r="J54" i="3"/>
  <c r="I47" i="3"/>
  <c r="J59" i="3"/>
  <c r="J51" i="3"/>
  <c r="J61" i="3"/>
  <c r="I59" i="3"/>
  <c r="I57" i="3"/>
  <c r="I54" i="3"/>
  <c r="J46" i="3"/>
  <c r="B536" i="22"/>
  <c r="J48" i="3"/>
  <c r="J60" i="3"/>
  <c r="J43" i="3"/>
  <c r="I53" i="3"/>
  <c r="J50" i="3"/>
  <c r="B539" i="22"/>
  <c r="J56" i="3"/>
  <c r="I52" i="3"/>
  <c r="I60" i="3"/>
  <c r="J64" i="3"/>
  <c r="K37" i="3"/>
  <c r="P37" i="3"/>
  <c r="I62" i="3"/>
  <c r="B783" i="22"/>
  <c r="B27" i="22"/>
  <c r="B36" i="22"/>
  <c r="B29" i="22"/>
  <c r="B31" i="22"/>
  <c r="B38" i="22"/>
  <c r="B711" i="22"/>
  <c r="B499" i="22"/>
  <c r="B500" i="22"/>
  <c r="B408" i="22"/>
  <c r="B337" i="22"/>
  <c r="B336" i="22"/>
  <c r="B328" i="22"/>
  <c r="B339" i="22"/>
  <c r="B338" i="22"/>
  <c r="B332" i="22"/>
  <c r="B331" i="22"/>
  <c r="K19" i="3"/>
  <c r="B334" i="22"/>
  <c r="B330" i="22"/>
  <c r="B335" i="22"/>
  <c r="B329" i="22"/>
  <c r="B333" i="22"/>
  <c r="P106" i="3"/>
  <c r="AI5" i="11"/>
  <c r="AP6" i="20"/>
  <c r="P95" i="3"/>
  <c r="BW66" i="4"/>
  <c r="AG37" i="4"/>
  <c r="BX137" i="4"/>
  <c r="F5" i="11"/>
  <c r="M6" i="20"/>
  <c r="I16" i="16"/>
  <c r="AG18" i="4"/>
  <c r="CH34" i="4" s="1"/>
  <c r="I7" i="16"/>
  <c r="D5" i="11"/>
  <c r="AG23" i="4"/>
  <c r="BQ92" i="4" s="1"/>
  <c r="I21" i="16"/>
  <c r="S5" i="11"/>
  <c r="Z6" i="20"/>
  <c r="I37" i="16"/>
  <c r="AN5" i="11"/>
  <c r="AN106" i="11" s="1"/>
  <c r="AG47" i="4"/>
  <c r="CH160" i="4" s="1"/>
  <c r="I35" i="16"/>
  <c r="AG43" i="4"/>
  <c r="CD137" i="4"/>
  <c r="AJ5" i="11"/>
  <c r="J5" i="11"/>
  <c r="Q6" i="20" s="1"/>
  <c r="I13" i="16"/>
  <c r="AG13" i="4"/>
  <c r="BQ28" i="4"/>
  <c r="AG28" i="4"/>
  <c r="CH97" i="4"/>
  <c r="X5" i="11"/>
  <c r="AE6" i="20"/>
  <c r="I11" i="16"/>
  <c r="H5" i="11"/>
  <c r="H106" i="11"/>
  <c r="I33" i="16"/>
  <c r="I22" i="16"/>
  <c r="T5" i="11"/>
  <c r="AG24" i="4"/>
  <c r="BQ93" i="4"/>
  <c r="K59" i="3"/>
  <c r="P62" i="3"/>
  <c r="K49" i="3"/>
  <c r="K48" i="3"/>
  <c r="P51" i="3"/>
  <c r="O6" i="20"/>
  <c r="X106" i="11"/>
  <c r="J106" i="11"/>
  <c r="AL6" i="20"/>
  <c r="AQ6" i="20"/>
  <c r="AJ106" i="11"/>
  <c r="D106" i="11"/>
  <c r="K6" i="20"/>
  <c r="F106" i="11"/>
  <c r="T106" i="11"/>
  <c r="AA6" i="20"/>
  <c r="AI106" i="11"/>
  <c r="P59" i="3"/>
  <c r="P56" i="3"/>
  <c r="K47" i="3"/>
  <c r="K56" i="3"/>
  <c r="P57" i="3"/>
  <c r="K60" i="3"/>
  <c r="K42" i="3"/>
  <c r="P61" i="3"/>
  <c r="K61" i="3"/>
  <c r="P53" i="3"/>
  <c r="K63" i="3"/>
  <c r="P54" i="3"/>
  <c r="K46" i="3"/>
  <c r="P60" i="3"/>
  <c r="P55" i="3"/>
  <c r="K44" i="3"/>
  <c r="P63" i="3"/>
  <c r="K54" i="3"/>
  <c r="P49" i="3"/>
  <c r="P46" i="3"/>
  <c r="K64" i="3"/>
  <c r="P48" i="3"/>
  <c r="K53" i="3"/>
  <c r="P50" i="3"/>
  <c r="K50" i="3"/>
  <c r="K52" i="3"/>
  <c r="K43" i="3"/>
  <c r="P42" i="3"/>
  <c r="K57" i="3"/>
  <c r="K62" i="3"/>
  <c r="P47" i="3"/>
  <c r="P58" i="3"/>
  <c r="P64" i="3"/>
  <c r="P52" i="3"/>
  <c r="K58" i="3"/>
  <c r="K55" i="3"/>
  <c r="K51" i="3"/>
  <c r="B567" i="22"/>
  <c r="B569" i="22"/>
  <c r="K138" i="8"/>
  <c r="L138" i="8"/>
  <c r="B138" i="22"/>
  <c r="B129" i="22"/>
  <c r="B141" i="22"/>
  <c r="AG41" i="4"/>
  <c r="CB160" i="4"/>
  <c r="S106" i="11"/>
  <c r="I31" i="16"/>
  <c r="K278" i="8"/>
  <c r="L278" i="8"/>
  <c r="B147" i="22"/>
  <c r="B869" i="22"/>
  <c r="I8" i="16"/>
  <c r="AG38" i="4"/>
  <c r="BX148" i="4"/>
  <c r="I32" i="16"/>
  <c r="AF5" i="11"/>
  <c r="C4" i="4"/>
  <c r="AF4" i="4"/>
  <c r="BW131" i="4"/>
  <c r="P109" i="3"/>
  <c r="P102" i="3"/>
  <c r="P100" i="3"/>
  <c r="B697" i="22"/>
  <c r="P92" i="3"/>
  <c r="P87" i="3"/>
  <c r="B208" i="22"/>
  <c r="P101" i="3"/>
  <c r="B886" i="22"/>
  <c r="B786" i="22"/>
  <c r="B436" i="22"/>
  <c r="B26" i="22"/>
  <c r="B437" i="22"/>
  <c r="B522" i="22"/>
  <c r="B524" i="22"/>
  <c r="B566" i="22"/>
  <c r="K275" i="8"/>
  <c r="L275" i="8" s="1"/>
  <c r="B561" i="22"/>
  <c r="K882" i="18"/>
  <c r="O1021" i="18"/>
  <c r="O1158" i="18"/>
  <c r="N1156" i="18"/>
  <c r="L1158" i="18"/>
  <c r="O1019" i="18"/>
  <c r="L1156" i="18"/>
  <c r="N1019" i="18"/>
  <c r="L1019" i="18"/>
  <c r="L882" i="18"/>
  <c r="K1158" i="18"/>
  <c r="O882" i="18"/>
  <c r="B721" i="22"/>
  <c r="M882" i="18"/>
  <c r="K1156" i="18"/>
  <c r="K1021" i="18"/>
  <c r="L884" i="18"/>
  <c r="B401" i="22"/>
  <c r="N884" i="18"/>
  <c r="B723" i="22"/>
  <c r="K884" i="18"/>
  <c r="N882" i="18"/>
  <c r="L1021" i="18"/>
  <c r="M884" i="18"/>
  <c r="O1156" i="18"/>
  <c r="K1019" i="18"/>
  <c r="M1019" i="18"/>
  <c r="M1156" i="18"/>
  <c r="N1021" i="18"/>
  <c r="O884" i="18"/>
  <c r="M1021" i="18"/>
  <c r="N1158" i="18"/>
  <c r="B725" i="22"/>
  <c r="M1158" i="18"/>
  <c r="AA5" i="11"/>
  <c r="P90" i="3"/>
  <c r="P96" i="3"/>
  <c r="B782" i="22"/>
  <c r="B28" i="22"/>
  <c r="B37" i="22"/>
  <c r="B855" i="22"/>
  <c r="AG32" i="4"/>
  <c r="BR148" i="4" s="1"/>
  <c r="I28" i="16"/>
  <c r="I14" i="16"/>
  <c r="K5" i="11"/>
  <c r="AG14" i="4"/>
  <c r="BQ29" i="4"/>
  <c r="AG35" i="4"/>
  <c r="BV160" i="4"/>
  <c r="AD5" i="11"/>
  <c r="I29" i="16"/>
  <c r="AM6" i="20"/>
  <c r="AF106" i="11"/>
  <c r="B435" i="22"/>
  <c r="Q5" i="11"/>
  <c r="AG21" i="4"/>
  <c r="BQ74" i="4" s="1"/>
  <c r="I19" i="16"/>
  <c r="I20" i="16"/>
  <c r="AG31" i="4"/>
  <c r="BR137" i="4" s="1"/>
  <c r="Z5" i="11"/>
  <c r="I27" i="16"/>
  <c r="AG44" i="4"/>
  <c r="CD148" i="4" s="1"/>
  <c r="I36" i="16"/>
  <c r="AK5" i="11"/>
  <c r="AK106" i="11"/>
  <c r="AH6" i="20"/>
  <c r="AA106" i="11"/>
  <c r="W5" i="11"/>
  <c r="AG27" i="4"/>
  <c r="I23" i="16"/>
  <c r="I17" i="16"/>
  <c r="AG19" i="4"/>
  <c r="P5" i="11"/>
  <c r="B545" i="22"/>
  <c r="B547" i="22"/>
  <c r="B549" i="22"/>
  <c r="AG6" i="20"/>
  <c r="Z106" i="11"/>
  <c r="K106" i="11"/>
  <c r="R6" i="20"/>
  <c r="Q106" i="11"/>
  <c r="X6" i="20"/>
  <c r="AK6" i="20"/>
  <c r="AD106" i="11"/>
  <c r="P106" i="11"/>
  <c r="W6" i="20"/>
  <c r="CH99" i="4"/>
  <c r="CH33" i="4"/>
  <c r="W106" i="11"/>
  <c r="AD6" i="20"/>
  <c r="D36" i="11" a="1"/>
  <c r="E36" i="11" a="1"/>
  <c r="F36" i="11" a="1"/>
  <c r="G36" i="11" a="1"/>
  <c r="H36" i="11" a="1"/>
  <c r="I36" i="11" a="1"/>
  <c r="J36" i="11" a="1"/>
  <c r="K36" i="11" a="1"/>
  <c r="L36" i="11" a="1"/>
  <c r="M36" i="11" a="1"/>
  <c r="N36" i="11" a="1"/>
  <c r="O36" i="11" a="1"/>
  <c r="P36" i="11" a="1"/>
  <c r="Q36" i="11" a="1"/>
  <c r="R36" i="11" a="1"/>
  <c r="S36" i="11" a="1"/>
  <c r="T36" i="11" a="1"/>
  <c r="U36" i="11" a="1"/>
  <c r="V36" i="11" a="1"/>
  <c r="W36" i="11" a="1"/>
  <c r="X36" i="11" a="1"/>
  <c r="Y36" i="11" a="1"/>
  <c r="AA36" i="11" a="1"/>
  <c r="AB36" i="11" a="1"/>
  <c r="AC36" i="11" a="1"/>
  <c r="AD36" i="11" a="1"/>
  <c r="AG36" i="11" a="1"/>
  <c r="AH36" i="11" a="1"/>
  <c r="AJ36" i="11" a="1"/>
  <c r="AK36" i="11" a="1"/>
  <c r="AL36" i="11" a="1"/>
  <c r="AM36" i="11" a="1"/>
  <c r="AN36" i="11" a="1"/>
  <c r="D37" i="11" a="1"/>
  <c r="E37" i="11" a="1"/>
  <c r="F37" i="11" a="1"/>
  <c r="G37" i="11" a="1"/>
  <c r="H37" i="11" a="1"/>
  <c r="I37" i="11" a="1"/>
  <c r="J37" i="11" a="1"/>
  <c r="K37" i="11" a="1"/>
  <c r="L37" i="11" a="1"/>
  <c r="M37" i="11" a="1"/>
  <c r="N37" i="11" a="1"/>
  <c r="O37" i="11" a="1"/>
  <c r="P37" i="11" a="1"/>
  <c r="Q37" i="11" a="1"/>
  <c r="R37" i="11" a="1"/>
  <c r="S37" i="11" a="1"/>
  <c r="T37" i="11" a="1"/>
  <c r="U37" i="11" a="1"/>
  <c r="V37" i="11" a="1"/>
  <c r="W37" i="11" a="1"/>
  <c r="X37" i="11" a="1"/>
  <c r="Y37" i="11" a="1"/>
  <c r="Z37" i="11" a="1"/>
  <c r="AB37" i="11" a="1"/>
  <c r="AC37" i="11" a="1"/>
  <c r="AD37" i="11" a="1"/>
  <c r="AH37" i="11" a="1"/>
  <c r="AJ37" i="11" a="1"/>
  <c r="AK37" i="11" a="1"/>
  <c r="AL37" i="11" a="1"/>
  <c r="AM37" i="11" a="1"/>
  <c r="AN37" i="11" a="1"/>
  <c r="D38" i="11" a="1"/>
  <c r="E38" i="11" a="1"/>
  <c r="F38" i="11" a="1"/>
  <c r="G38" i="11" a="1"/>
  <c r="H38" i="11" a="1"/>
  <c r="I38" i="11" a="1"/>
  <c r="J38" i="11" a="1"/>
  <c r="K38" i="11" a="1"/>
  <c r="L38" i="11" a="1"/>
  <c r="M38" i="11" a="1"/>
  <c r="N38" i="11" a="1"/>
  <c r="O38" i="11" a="1"/>
  <c r="P38" i="11" a="1"/>
  <c r="Q38" i="11" a="1"/>
  <c r="R38" i="11" a="1"/>
  <c r="S38" i="11" a="1"/>
  <c r="T38" i="11" a="1"/>
  <c r="U38" i="11" a="1"/>
  <c r="V38" i="11" a="1"/>
  <c r="W38" i="11" a="1"/>
  <c r="X38" i="11" a="1"/>
  <c r="Y38" i="11" a="1"/>
  <c r="Z38" i="11" a="1"/>
  <c r="AA38" i="11" a="1"/>
  <c r="AB38" i="11" a="1"/>
  <c r="AC38" i="11" a="1"/>
  <c r="AD38" i="11" a="1"/>
  <c r="AE38" i="11" a="1"/>
  <c r="AI38" i="11" a="1"/>
  <c r="AJ38" i="11" a="1"/>
  <c r="AK38" i="11" a="1"/>
  <c r="AL38" i="11" a="1"/>
  <c r="AM38" i="11" a="1"/>
  <c r="AN38" i="11" a="1"/>
  <c r="D39" i="11" a="1"/>
  <c r="E39" i="11" a="1"/>
  <c r="F39" i="11" a="1"/>
  <c r="G39" i="11" a="1"/>
  <c r="H39" i="11" a="1"/>
  <c r="I39" i="11" a="1"/>
  <c r="J39" i="11" a="1"/>
  <c r="K39" i="11" a="1"/>
  <c r="L39" i="11" a="1"/>
  <c r="M39" i="11" a="1"/>
  <c r="N39" i="11" a="1"/>
  <c r="O39" i="11" a="1"/>
  <c r="P39" i="11" a="1"/>
  <c r="Q39" i="11" a="1"/>
  <c r="R39" i="11" a="1"/>
  <c r="S39" i="11" a="1"/>
  <c r="U39" i="11" a="1"/>
  <c r="W39" i="11" a="1"/>
  <c r="Y39" i="11" a="1"/>
  <c r="AA39" i="11" a="1"/>
  <c r="AC39" i="11" a="1"/>
  <c r="AE39" i="11" a="1"/>
  <c r="AI39" i="11" a="1"/>
  <c r="AK39" i="11" a="1"/>
  <c r="AM39" i="11" a="1"/>
  <c r="D40" i="11" a="1"/>
  <c r="F40" i="11" a="1"/>
  <c r="H40" i="11" a="1"/>
  <c r="J40" i="11" a="1"/>
  <c r="L40" i="11" a="1"/>
  <c r="N40" i="11" a="1"/>
  <c r="P40" i="11" a="1"/>
  <c r="R40" i="11" a="1"/>
  <c r="T40" i="11" a="1"/>
  <c r="V40" i="11" a="1"/>
  <c r="X40" i="11" a="1"/>
  <c r="Z40" i="11" a="1"/>
  <c r="AB40" i="11" a="1"/>
  <c r="AD40" i="11" a="1"/>
  <c r="AF40" i="11" a="1"/>
  <c r="AH40" i="11" a="1"/>
  <c r="AJ40" i="11" a="1"/>
  <c r="AL40" i="11" a="1"/>
  <c r="AN40" i="11" a="1"/>
  <c r="E41" i="11" a="1"/>
  <c r="G41" i="11" a="1"/>
  <c r="I41" i="11" a="1"/>
  <c r="K41" i="11" a="1"/>
  <c r="M41" i="11" a="1"/>
  <c r="O41" i="11" a="1"/>
  <c r="Q41" i="11" a="1"/>
  <c r="S41" i="11" a="1"/>
  <c r="U41" i="11" a="1"/>
  <c r="W41" i="11" a="1"/>
  <c r="Y41" i="11" a="1"/>
  <c r="AA41" i="11" a="1"/>
  <c r="AC41" i="11" a="1"/>
  <c r="AE41" i="11" a="1"/>
  <c r="AG41" i="11" a="1"/>
  <c r="AI41" i="11" a="1"/>
  <c r="AM41" i="11" a="1"/>
  <c r="D42" i="11" a="1"/>
  <c r="F42" i="11" a="1"/>
  <c r="H42" i="11" a="1"/>
  <c r="J42" i="11" a="1"/>
  <c r="L42" i="11" a="1"/>
  <c r="N42" i="11" a="1"/>
  <c r="V39" i="11" a="1"/>
  <c r="Z39" i="11" a="1"/>
  <c r="AD39" i="11" a="1"/>
  <c r="AL39" i="11" a="1"/>
  <c r="E40" i="11" a="1"/>
  <c r="I40" i="11" a="1"/>
  <c r="M40" i="11" a="1"/>
  <c r="Q40" i="11" a="1"/>
  <c r="U40" i="11" a="1"/>
  <c r="Y40" i="11" a="1"/>
  <c r="AC40" i="11" a="1"/>
  <c r="AG40" i="11" a="1"/>
  <c r="AK40" i="11" a="1"/>
  <c r="D41" i="11" a="1"/>
  <c r="H41" i="11" a="1"/>
  <c r="L41" i="11" a="1"/>
  <c r="P41" i="11" a="1"/>
  <c r="T41" i="11" a="1"/>
  <c r="X41" i="11" a="1"/>
  <c r="AB41" i="11" a="1"/>
  <c r="AF41" i="11" a="1"/>
  <c r="G42" i="11" a="1"/>
  <c r="K42" i="11" a="1"/>
  <c r="O42" i="11" a="1"/>
  <c r="Q42" i="11" a="1"/>
  <c r="S42" i="11" a="1"/>
  <c r="U42" i="11" a="1"/>
  <c r="W42" i="11" a="1"/>
  <c r="Y42" i="11" a="1"/>
  <c r="AC42" i="11" a="1"/>
  <c r="AE42" i="11" a="1"/>
  <c r="AG42" i="11" a="1"/>
  <c r="AI42" i="11" a="1"/>
  <c r="AM42" i="11" a="1"/>
  <c r="D43" i="11" a="1"/>
  <c r="F43" i="11" a="1"/>
  <c r="H43" i="11" a="1"/>
  <c r="J43" i="11" a="1"/>
  <c r="L43" i="11" a="1"/>
  <c r="N43" i="11" a="1"/>
  <c r="P43" i="11" a="1"/>
  <c r="R43" i="11" a="1"/>
  <c r="T43" i="11" a="1"/>
  <c r="V43" i="11" a="1"/>
  <c r="X43" i="11" a="1"/>
  <c r="Z43" i="11" a="1"/>
  <c r="AD43" i="11" a="1"/>
  <c r="AF43" i="11" a="1"/>
  <c r="AH43" i="11" a="1"/>
  <c r="AJ43" i="11" a="1"/>
  <c r="AN43" i="11" a="1"/>
  <c r="E44" i="11" a="1"/>
  <c r="G44" i="11" a="1"/>
  <c r="I44" i="11" a="1"/>
  <c r="K44" i="11" a="1"/>
  <c r="M44" i="11" a="1"/>
  <c r="O44" i="11" a="1"/>
  <c r="Q44" i="11" a="1"/>
  <c r="S44" i="11" a="1"/>
  <c r="U44" i="11" a="1"/>
  <c r="W44" i="11" a="1"/>
  <c r="Y44" i="11" a="1"/>
  <c r="AA44" i="11" a="1"/>
  <c r="AC44" i="11" a="1"/>
  <c r="AE44" i="11" a="1"/>
  <c r="AG44" i="11" a="1"/>
  <c r="AI44" i="11" a="1"/>
  <c r="AK44" i="11" a="1"/>
  <c r="D45" i="11" a="1"/>
  <c r="F45" i="11" a="1"/>
  <c r="H45" i="11" a="1"/>
  <c r="J45" i="11" a="1"/>
  <c r="L45" i="11" a="1"/>
  <c r="N45" i="11" a="1"/>
  <c r="P45" i="11" a="1"/>
  <c r="R45" i="11" a="1"/>
  <c r="T45" i="11" a="1"/>
  <c r="V45" i="11" a="1"/>
  <c r="X45" i="11" a="1"/>
  <c r="Z45" i="11" a="1"/>
  <c r="AB45" i="11" a="1"/>
  <c r="AD45" i="11" a="1"/>
  <c r="AF45" i="11" a="1"/>
  <c r="AH45" i="11" a="1"/>
  <c r="AL45" i="11" a="1"/>
  <c r="G9" i="11" a="1"/>
  <c r="I9" i="11" a="1"/>
  <c r="K9" i="11" a="1"/>
  <c r="M9" i="11" a="1"/>
  <c r="O9" i="11" a="1"/>
  <c r="Q9" i="11" a="1"/>
  <c r="S9" i="11" a="1"/>
  <c r="U9" i="11" a="1"/>
  <c r="W9" i="11" a="1"/>
  <c r="Y9" i="11" a="1"/>
  <c r="AA9" i="11" a="1"/>
  <c r="AC9" i="11" a="1"/>
  <c r="AE9" i="11" a="1"/>
  <c r="AG9" i="11" a="1"/>
  <c r="AI9" i="11" a="1"/>
  <c r="AK9" i="11" a="1"/>
  <c r="AM9" i="11" a="1"/>
  <c r="H10" i="11" a="1"/>
  <c r="L10" i="11" a="1"/>
  <c r="N10" i="11" a="1"/>
  <c r="P10" i="11" a="1"/>
  <c r="R10" i="11" a="1"/>
  <c r="T10" i="11" a="1"/>
  <c r="V10" i="11" a="1"/>
  <c r="X10" i="11" a="1"/>
  <c r="Z10" i="11" a="1"/>
  <c r="AB10" i="11" a="1"/>
  <c r="AD10" i="11" a="1"/>
  <c r="AF10" i="11" a="1"/>
  <c r="AH10" i="11" a="1"/>
  <c r="AJ10" i="11" a="1"/>
  <c r="AL10" i="11" a="1"/>
  <c r="AN10" i="11" a="1"/>
  <c r="E11" i="11" a="1"/>
  <c r="G11" i="11" a="1"/>
  <c r="I11" i="11" a="1"/>
  <c r="K11" i="11" a="1"/>
  <c r="M11" i="11" a="1"/>
  <c r="O11" i="11" a="1"/>
  <c r="Q11" i="11" a="1"/>
  <c r="S11" i="11" a="1"/>
  <c r="U11" i="11" a="1"/>
  <c r="W11" i="11" a="1"/>
  <c r="Y11" i="11" a="1"/>
  <c r="AA11" i="11" a="1"/>
  <c r="AC11" i="11" a="1"/>
  <c r="AE11" i="11" a="1"/>
  <c r="AG11" i="11" a="1"/>
  <c r="AI11" i="11" a="1"/>
  <c r="AK11" i="11" a="1"/>
  <c r="AM11" i="11" a="1"/>
  <c r="D12" i="11" a="1"/>
  <c r="F12" i="11" a="1"/>
  <c r="H12" i="11" a="1"/>
  <c r="J12" i="11" a="1"/>
  <c r="L12" i="11" a="1"/>
  <c r="N12" i="11" a="1"/>
  <c r="P12" i="11" a="1"/>
  <c r="R12" i="11" a="1"/>
  <c r="T12" i="11" a="1"/>
  <c r="V12" i="11" a="1"/>
  <c r="X12" i="11" a="1"/>
  <c r="Z12" i="11" a="1"/>
  <c r="AB12" i="11" a="1"/>
  <c r="AD12" i="11" a="1"/>
  <c r="AE12" i="11" a="1"/>
  <c r="AF12" i="11" a="1"/>
  <c r="AG12" i="11" a="1"/>
  <c r="AH12" i="11" a="1"/>
  <c r="AI12" i="11" a="1"/>
  <c r="AJ12" i="11" a="1"/>
  <c r="AK12" i="11" a="1"/>
  <c r="AL12" i="11" a="1"/>
  <c r="AM12" i="11" a="1"/>
  <c r="AN12" i="11" a="1"/>
  <c r="E13" i="11" a="1"/>
  <c r="F13" i="11" a="1"/>
  <c r="G13" i="11" a="1"/>
  <c r="L13" i="11" a="1"/>
  <c r="M13" i="11" a="1"/>
  <c r="R13" i="11" a="1"/>
  <c r="S13" i="11" a="1"/>
  <c r="T13" i="11" a="1"/>
  <c r="U13" i="11" a="1"/>
  <c r="V13" i="11" a="1"/>
  <c r="W13" i="11" a="1"/>
  <c r="X13" i="11" a="1"/>
  <c r="Y13" i="11" a="1"/>
  <c r="Z13" i="11" a="1"/>
  <c r="AA13" i="11" a="1"/>
  <c r="AB13" i="11" a="1"/>
  <c r="AC13" i="11" a="1"/>
  <c r="AD13" i="11" a="1"/>
  <c r="AE13" i="11" a="1"/>
  <c r="AF13" i="11" a="1"/>
  <c r="AG13" i="11" a="1"/>
  <c r="AH13" i="11" a="1"/>
  <c r="AI13" i="11" a="1"/>
  <c r="AJ13" i="11" a="1"/>
  <c r="AK13" i="11" a="1"/>
  <c r="AL13" i="11" a="1"/>
  <c r="AM13" i="11" a="1"/>
  <c r="AN13" i="11" a="1"/>
  <c r="D14" i="11" a="1"/>
  <c r="E14" i="11" a="1"/>
  <c r="F14" i="11" a="1"/>
  <c r="G14" i="11" a="1"/>
  <c r="K14" i="11" a="1"/>
  <c r="L14" i="11" a="1"/>
  <c r="M14" i="11" a="1"/>
  <c r="N14" i="11" a="1"/>
  <c r="O14" i="11" a="1"/>
  <c r="P14" i="11" a="1"/>
  <c r="Q14" i="11" a="1"/>
  <c r="R14" i="11" a="1"/>
  <c r="S14" i="11" a="1"/>
  <c r="T14" i="11" a="1"/>
  <c r="U14" i="11" a="1"/>
  <c r="V14" i="11" a="1"/>
  <c r="W14" i="11" a="1"/>
  <c r="X14" i="11" a="1"/>
  <c r="Y14" i="11" a="1"/>
  <c r="Z14" i="11" a="1"/>
  <c r="AA14" i="11" a="1"/>
  <c r="AB14" i="11" a="1"/>
  <c r="AC14" i="11" a="1"/>
  <c r="AD14" i="11" a="1"/>
  <c r="AE14" i="11" a="1"/>
  <c r="AF14" i="11" a="1"/>
  <c r="AG14" i="11" a="1"/>
  <c r="AH14" i="11" a="1"/>
  <c r="AI14" i="11" a="1"/>
  <c r="AJ14" i="11" a="1"/>
  <c r="AK14" i="11" a="1"/>
  <c r="AL14" i="11" a="1"/>
  <c r="AM14" i="11" a="1"/>
  <c r="AN14" i="11" a="1"/>
  <c r="D15" i="11" a="1"/>
  <c r="F15" i="11" a="1"/>
  <c r="G15" i="11" a="1"/>
  <c r="I15" i="11" a="1"/>
  <c r="K15" i="11" a="1"/>
  <c r="M15" i="11" a="1"/>
  <c r="Q15" i="11" a="1"/>
  <c r="R15" i="11" a="1"/>
  <c r="S15" i="11" a="1"/>
  <c r="T15" i="11" a="1"/>
  <c r="U15" i="11" a="1"/>
  <c r="V15" i="11" a="1"/>
  <c r="W15" i="11" a="1"/>
  <c r="X15" i="11" a="1"/>
  <c r="Y15" i="11" a="1"/>
  <c r="Z15" i="11" a="1"/>
  <c r="AA15" i="11" a="1"/>
  <c r="AB15" i="11" a="1"/>
  <c r="AC15" i="11" a="1"/>
  <c r="AD15" i="11" a="1"/>
  <c r="AE15" i="11" a="1"/>
  <c r="AF15" i="11" a="1"/>
  <c r="AG15" i="11" a="1"/>
  <c r="AH15" i="11" a="1"/>
  <c r="AI15" i="11" a="1"/>
  <c r="AJ15" i="11" a="1"/>
  <c r="AK15" i="11" a="1"/>
  <c r="AL15" i="11" a="1"/>
  <c r="AM15" i="11" a="1"/>
  <c r="AN15" i="11" a="1"/>
  <c r="D16" i="11" a="1"/>
  <c r="E16" i="11" a="1"/>
  <c r="F16" i="11" a="1"/>
  <c r="G16" i="11" a="1"/>
  <c r="L16" i="11" a="1"/>
  <c r="N16" i="11" a="1"/>
  <c r="O16" i="11" a="1"/>
  <c r="P16" i="11" a="1"/>
  <c r="Q16" i="11" a="1"/>
  <c r="R16" i="11" a="1"/>
  <c r="S16" i="11" a="1"/>
  <c r="U16" i="11" a="1"/>
  <c r="V16" i="11" a="1"/>
  <c r="W16" i="11" a="1"/>
  <c r="X16" i="11" a="1"/>
  <c r="Y16" i="11" a="1"/>
  <c r="Z16" i="11" a="1"/>
  <c r="AA16" i="11" a="1"/>
  <c r="AB16" i="11" a="1"/>
  <c r="AC16" i="11" a="1"/>
  <c r="AD16" i="11" a="1"/>
  <c r="AE16" i="11" a="1"/>
  <c r="AF16" i="11" a="1"/>
  <c r="AG16" i="11" a="1"/>
  <c r="AH16" i="11" a="1"/>
  <c r="AI16" i="11" a="1"/>
  <c r="AJ16" i="11" a="1"/>
  <c r="AK16" i="11" a="1"/>
  <c r="AL16" i="11" a="1"/>
  <c r="AM16" i="11" a="1"/>
  <c r="AN16" i="11" a="1"/>
  <c r="D17" i="11" a="1"/>
  <c r="E17" i="11" a="1"/>
  <c r="F17" i="11" a="1"/>
  <c r="G17" i="11" a="1"/>
  <c r="H17" i="11" a="1"/>
  <c r="I17" i="11" a="1"/>
  <c r="K17" i="11" a="1"/>
  <c r="M17" i="11" a="1"/>
  <c r="N17" i="11" a="1"/>
  <c r="O17" i="11" a="1"/>
  <c r="P17" i="11" a="1"/>
  <c r="Q17" i="11" a="1"/>
  <c r="R17" i="11" a="1"/>
  <c r="S17" i="11" a="1"/>
  <c r="T17" i="11" a="1"/>
  <c r="U17" i="11" a="1"/>
  <c r="V17" i="11" a="1"/>
  <c r="W17" i="11" a="1"/>
  <c r="X17" i="11" a="1"/>
  <c r="Y17" i="11" a="1"/>
  <c r="Z17" i="11" a="1"/>
  <c r="AA17" i="11" a="1"/>
  <c r="AB17" i="11" a="1"/>
  <c r="AC17" i="11" a="1"/>
  <c r="AD17" i="11" a="1"/>
  <c r="AE17" i="11" a="1"/>
  <c r="AF17" i="11" a="1"/>
  <c r="AG17" i="11" a="1"/>
  <c r="AH17" i="11" a="1"/>
  <c r="AI17" i="11" a="1"/>
  <c r="AJ17" i="11" a="1"/>
  <c r="AK17" i="11" a="1"/>
  <c r="AL17" i="11" a="1"/>
  <c r="AM17" i="11" a="1"/>
  <c r="AN17" i="11" a="1"/>
  <c r="D18" i="11" a="1"/>
  <c r="E18" i="11" a="1"/>
  <c r="F18" i="11" a="1"/>
  <c r="G18" i="11" a="1"/>
  <c r="H18" i="11" a="1"/>
  <c r="I18" i="11" a="1"/>
  <c r="J18" i="11" a="1"/>
  <c r="L18" i="11" a="1"/>
  <c r="N18" i="11" a="1"/>
  <c r="O18" i="11" a="1"/>
  <c r="P18" i="11" a="1"/>
  <c r="Q18" i="11" a="1"/>
  <c r="R18" i="11" a="1"/>
  <c r="S18" i="11" a="1"/>
  <c r="T18" i="11" a="1"/>
  <c r="U18" i="11" a="1"/>
  <c r="V18" i="11" a="1"/>
  <c r="W18" i="11" a="1"/>
  <c r="X18" i="11" a="1"/>
  <c r="Y18" i="11" a="1"/>
  <c r="Z18" i="11" a="1"/>
  <c r="AA18" i="11" a="1"/>
  <c r="AB18" i="11" a="1"/>
  <c r="AC18" i="11" a="1"/>
  <c r="AD18" i="11" a="1"/>
  <c r="AE18" i="11" a="1"/>
  <c r="AF18" i="11" a="1"/>
  <c r="AG18" i="11" a="1"/>
  <c r="AH18" i="11" a="1"/>
  <c r="AI18" i="11" a="1"/>
  <c r="AJ18" i="11" a="1"/>
  <c r="AK18" i="11" a="1"/>
  <c r="AL18" i="11" a="1"/>
  <c r="AM18" i="11" a="1"/>
  <c r="AN18" i="11" a="1"/>
  <c r="D19" i="11" a="1"/>
  <c r="E19" i="11" a="1"/>
  <c r="F19" i="11" a="1"/>
  <c r="G19" i="11" a="1"/>
  <c r="I19" i="11" a="1"/>
  <c r="J19" i="11" a="1"/>
  <c r="K19" i="11" a="1"/>
  <c r="L19" i="11" a="1"/>
  <c r="M19" i="11" a="1"/>
  <c r="O19" i="11" a="1"/>
  <c r="P19" i="11" a="1"/>
  <c r="Q19" i="11" a="1"/>
  <c r="R19" i="11" a="1"/>
  <c r="S19" i="11" a="1"/>
  <c r="T19" i="11" a="1"/>
  <c r="U19" i="11" a="1"/>
  <c r="V19" i="11" a="1"/>
  <c r="W19" i="11" a="1"/>
  <c r="X19" i="11" a="1"/>
  <c r="Y19" i="11" a="1"/>
  <c r="Z19" i="11" a="1"/>
  <c r="AA19" i="11" a="1"/>
  <c r="AB19" i="11" a="1"/>
  <c r="AC19" i="11" a="1"/>
  <c r="AD19" i="11" a="1"/>
  <c r="AE19" i="11" a="1"/>
  <c r="AF19" i="11" a="1"/>
  <c r="AG19" i="11" a="1"/>
  <c r="AH19" i="11" a="1"/>
  <c r="AI19" i="11" a="1"/>
  <c r="AJ19" i="11" a="1"/>
  <c r="AK19" i="11" a="1"/>
  <c r="AL19" i="11" a="1"/>
  <c r="AM19" i="11" a="1"/>
  <c r="AN19" i="11" a="1"/>
  <c r="D20" i="11" a="1"/>
  <c r="E20" i="11" a="1"/>
  <c r="F20" i="11" a="1"/>
  <c r="G20" i="11" a="1"/>
  <c r="I20" i="11" a="1"/>
  <c r="J20" i="11" a="1"/>
  <c r="K20" i="11" a="1"/>
  <c r="L20" i="11" a="1"/>
  <c r="M20" i="11" a="1"/>
  <c r="N20" i="11" a="1"/>
  <c r="P20" i="11" a="1"/>
  <c r="Q20" i="11" a="1"/>
  <c r="R20" i="11" a="1"/>
  <c r="S20" i="11" a="1"/>
  <c r="T20" i="11" a="1"/>
  <c r="U20" i="11" a="1"/>
  <c r="V20" i="11" a="1"/>
  <c r="W20" i="11" a="1"/>
  <c r="X20" i="11" a="1"/>
  <c r="Y20" i="11" a="1"/>
  <c r="Z20" i="11" a="1"/>
  <c r="AA20" i="11" a="1"/>
  <c r="AB20" i="11" a="1"/>
  <c r="AC20" i="11" a="1"/>
  <c r="AD20" i="11" a="1"/>
  <c r="AE20" i="11" a="1"/>
  <c r="AF20" i="11" a="1"/>
  <c r="AG20" i="11" a="1"/>
  <c r="AH20" i="11" a="1"/>
  <c r="AI20" i="11" a="1"/>
  <c r="AJ20" i="11" a="1"/>
  <c r="AK20" i="11" a="1"/>
  <c r="AL20" i="11" a="1"/>
  <c r="AM20" i="11" a="1"/>
  <c r="AN20" i="11" a="1"/>
  <c r="D21" i="11" a="1"/>
  <c r="E21" i="11" a="1"/>
  <c r="F21" i="11" a="1"/>
  <c r="G21" i="11" a="1"/>
  <c r="I21" i="11" a="1"/>
  <c r="J21" i="11" a="1"/>
  <c r="K21" i="11" a="1"/>
  <c r="L21" i="11" a="1"/>
  <c r="M21" i="11" a="1"/>
  <c r="N21" i="11" a="1"/>
  <c r="O21" i="11" a="1"/>
  <c r="Q21" i="11" a="1"/>
  <c r="R21" i="11" a="1"/>
  <c r="S21" i="11" a="1"/>
  <c r="T21" i="11" a="1"/>
  <c r="U21" i="11" a="1"/>
  <c r="V21" i="11" a="1"/>
  <c r="W21" i="11" a="1"/>
  <c r="X21" i="11" a="1"/>
  <c r="Y21" i="11" a="1"/>
  <c r="Z21" i="11" a="1"/>
  <c r="AA21" i="11" a="1"/>
  <c r="AB21" i="11" a="1"/>
  <c r="AC21" i="11" a="1"/>
  <c r="AD21" i="11" a="1"/>
  <c r="AE21" i="11" a="1"/>
  <c r="AF21" i="11" a="1"/>
  <c r="AG21" i="11" a="1"/>
  <c r="AH21" i="11" a="1"/>
  <c r="AI21" i="11" a="1"/>
  <c r="AJ21" i="11" a="1"/>
  <c r="AK21" i="11" a="1"/>
  <c r="AL21" i="11" a="1"/>
  <c r="AM21" i="11" a="1"/>
  <c r="AN21" i="11" a="1"/>
  <c r="D22" i="11" a="1"/>
  <c r="E22" i="11" a="1"/>
  <c r="F22" i="11" a="1"/>
  <c r="G22" i="11" a="1"/>
  <c r="I22" i="11" a="1"/>
  <c r="J22" i="11" a="1"/>
  <c r="K22" i="11" a="1"/>
  <c r="L22" i="11" a="1"/>
  <c r="M22" i="11" a="1"/>
  <c r="N22" i="11" a="1"/>
  <c r="O22" i="11" a="1"/>
  <c r="P22" i="11" a="1"/>
  <c r="U22" i="11" a="1"/>
  <c r="V22" i="11" a="1"/>
  <c r="AA22" i="11" a="1"/>
  <c r="AB22" i="11" a="1"/>
  <c r="AC22" i="11" a="1"/>
  <c r="AD22" i="11" a="1"/>
  <c r="AE22" i="11" a="1"/>
  <c r="AF22" i="11" a="1"/>
  <c r="AG22" i="11" a="1"/>
  <c r="AH22" i="11" a="1"/>
  <c r="AI22" i="11" a="1"/>
  <c r="AJ22" i="11" a="1"/>
  <c r="AK22" i="11" a="1"/>
  <c r="AL22" i="11" a="1"/>
  <c r="AM22" i="11" a="1"/>
  <c r="AN22" i="11" a="1"/>
  <c r="D23" i="11" a="1"/>
  <c r="E23" i="11" a="1"/>
  <c r="F23" i="11" a="1"/>
  <c r="G23" i="11" a="1"/>
  <c r="H23" i="11" a="1"/>
  <c r="I23" i="11" a="1"/>
  <c r="J23" i="11" a="1"/>
  <c r="K23" i="11" a="1"/>
  <c r="L23" i="11" a="1"/>
  <c r="M23" i="11" a="1"/>
  <c r="N23" i="11" a="1"/>
  <c r="O23" i="11" a="1"/>
  <c r="P23" i="11" a="1"/>
  <c r="T23" i="11" a="1"/>
  <c r="U23" i="11" a="1"/>
  <c r="V23" i="11" a="1"/>
  <c r="W23" i="11" a="1"/>
  <c r="X23" i="11" a="1"/>
  <c r="Y23" i="11" a="1"/>
  <c r="Z23" i="11" a="1"/>
  <c r="AA23" i="11" a="1"/>
  <c r="AB23" i="11" a="1"/>
  <c r="AC23" i="11" a="1"/>
  <c r="AD23" i="11" a="1"/>
  <c r="AE23" i="11" a="1"/>
  <c r="AF23" i="11" a="1"/>
  <c r="AG23" i="11" a="1"/>
  <c r="AH23" i="11" a="1"/>
  <c r="AI23" i="11" a="1"/>
  <c r="AJ23" i="11" a="1"/>
  <c r="AK23" i="11" a="1"/>
  <c r="AL23" i="11" a="1"/>
  <c r="AM23" i="11" a="1"/>
  <c r="AN23" i="11" a="1"/>
  <c r="D24" i="11" a="1"/>
  <c r="E24" i="11" a="1"/>
  <c r="F24" i="11" a="1"/>
  <c r="G24" i="11" a="1"/>
  <c r="H24" i="11" a="1"/>
  <c r="I24" i="11" a="1"/>
  <c r="J24" i="11" a="1"/>
  <c r="K24" i="11" a="1"/>
  <c r="L24" i="11" a="1"/>
  <c r="M24" i="11" a="1"/>
  <c r="N24" i="11" a="1"/>
  <c r="O24" i="11" a="1"/>
  <c r="P24" i="11" a="1"/>
  <c r="T24" i="11" a="1"/>
  <c r="V24" i="11" a="1"/>
  <c r="Z24" i="11" a="1"/>
  <c r="AA24" i="11" a="1"/>
  <c r="AB24" i="11" a="1"/>
  <c r="AC24" i="11" a="1"/>
  <c r="AD24" i="11" a="1"/>
  <c r="AE24" i="11" a="1"/>
  <c r="AF24" i="11" a="1"/>
  <c r="AG24" i="11" a="1"/>
  <c r="AH24" i="11" a="1"/>
  <c r="AI24" i="11" a="1"/>
  <c r="AJ24" i="11" a="1"/>
  <c r="AK24" i="11" a="1"/>
  <c r="AL24" i="11" a="1"/>
  <c r="AM24" i="11" a="1"/>
  <c r="AN24" i="11" a="1"/>
  <c r="D25" i="11" a="1"/>
  <c r="E25" i="11" a="1"/>
  <c r="F25" i="11" a="1"/>
  <c r="G25" i="11" a="1"/>
  <c r="H25" i="11" a="1"/>
  <c r="I25" i="11" a="1"/>
  <c r="J25" i="11" a="1"/>
  <c r="K25" i="11" a="1"/>
  <c r="L25" i="11" a="1"/>
  <c r="M25" i="11" a="1"/>
  <c r="N25" i="11" a="1"/>
  <c r="O25" i="11" a="1"/>
  <c r="P25" i="11" a="1"/>
  <c r="U25" i="11" a="1"/>
  <c r="W25" i="11" a="1"/>
  <c r="X25" i="11" a="1"/>
  <c r="Y25" i="11" a="1"/>
  <c r="Z25" i="11" a="1"/>
  <c r="AB25" i="11" a="1"/>
  <c r="AC25" i="11" a="1"/>
  <c r="AD25" i="11" a="1"/>
  <c r="AE25" i="11" a="1"/>
  <c r="AF25" i="11" a="1"/>
  <c r="AG25" i="11" a="1"/>
  <c r="AH25" i="11" a="1"/>
  <c r="AI25" i="11" a="1"/>
  <c r="AJ25" i="11" a="1"/>
  <c r="AK25" i="11" a="1"/>
  <c r="AL25" i="11" a="1"/>
  <c r="AM25" i="11" a="1"/>
  <c r="AN25" i="11" a="1"/>
  <c r="D26" i="11" a="1"/>
  <c r="E26" i="11" a="1"/>
  <c r="F26" i="11" a="1"/>
  <c r="G26" i="11" a="1"/>
  <c r="H26" i="11" a="1"/>
  <c r="I26" i="11" a="1"/>
  <c r="J26" i="11" a="1"/>
  <c r="K26" i="11" a="1"/>
  <c r="L26" i="11" a="1"/>
  <c r="M26" i="11" a="1"/>
  <c r="N26" i="11" a="1"/>
  <c r="O26" i="11" a="1"/>
  <c r="P26" i="11" a="1"/>
  <c r="Q26" i="11" a="1"/>
  <c r="R26" i="11" a="1"/>
  <c r="T26" i="11" a="1"/>
  <c r="V26" i="11" a="1"/>
  <c r="W26" i="11" a="1"/>
  <c r="X26" i="11" a="1"/>
  <c r="Y26" i="11" a="1"/>
  <c r="Z26" i="11" a="1"/>
  <c r="AA26" i="11" a="1"/>
  <c r="AB26" i="11" a="1"/>
  <c r="AC26" i="11" a="1"/>
  <c r="AD26" i="11" a="1"/>
  <c r="AE26" i="11" a="1"/>
  <c r="AF26" i="11" a="1"/>
  <c r="AG26" i="11" a="1"/>
  <c r="AH26" i="11" a="1"/>
  <c r="AI26" i="11" a="1"/>
  <c r="AJ26" i="11" a="1"/>
  <c r="AK26" i="11" a="1"/>
  <c r="AL26" i="11" a="1"/>
  <c r="AM26" i="11" a="1"/>
  <c r="AN26" i="11" a="1"/>
  <c r="D27" i="11" a="1"/>
  <c r="E27" i="11" a="1"/>
  <c r="F27" i="11" a="1"/>
  <c r="G27" i="11" a="1"/>
  <c r="H27" i="11" a="1"/>
  <c r="I27" i="11" a="1"/>
  <c r="J27" i="11" a="1"/>
  <c r="K27" i="11" a="1"/>
  <c r="L27" i="11" a="1"/>
  <c r="M27" i="11" a="1"/>
  <c r="N27" i="11" a="1"/>
  <c r="O27" i="11" a="1"/>
  <c r="P27" i="11" a="1"/>
  <c r="Q27" i="11" a="1"/>
  <c r="R27" i="11" a="1"/>
  <c r="S27" i="11" a="1"/>
  <c r="U27" i="11" a="1"/>
  <c r="W27" i="11" a="1"/>
  <c r="X27" i="11" a="1"/>
  <c r="Y27" i="11" a="1"/>
  <c r="Z27" i="11" a="1"/>
  <c r="AA27" i="11" a="1"/>
  <c r="AB27" i="11" a="1"/>
  <c r="AC27" i="11" a="1"/>
  <c r="AD27" i="11" a="1"/>
  <c r="AE27" i="11" a="1"/>
  <c r="AF27" i="11" a="1"/>
  <c r="AG27" i="11" a="1"/>
  <c r="AH27" i="11" a="1"/>
  <c r="AI27" i="11" a="1"/>
  <c r="AJ27" i="11" a="1"/>
  <c r="AK27" i="11" a="1"/>
  <c r="AL27" i="11" a="1"/>
  <c r="AM27" i="11" a="1"/>
  <c r="AN27" i="11" a="1"/>
  <c r="D28" i="11" a="1"/>
  <c r="E28" i="11" a="1"/>
  <c r="F28" i="11" a="1"/>
  <c r="G28" i="11" a="1"/>
  <c r="H28" i="11" a="1"/>
  <c r="I28" i="11" a="1"/>
  <c r="J28" i="11" a="1"/>
  <c r="K28" i="11" a="1"/>
  <c r="L28" i="11" a="1"/>
  <c r="M28" i="11" a="1"/>
  <c r="N28" i="11" a="1"/>
  <c r="O28" i="11" a="1"/>
  <c r="P28" i="11" a="1"/>
  <c r="R28" i="11" a="1"/>
  <c r="S28" i="11" a="1"/>
  <c r="T28" i="11" a="1"/>
  <c r="U28" i="11" a="1"/>
  <c r="V28" i="11" a="1"/>
  <c r="X28" i="11" a="1"/>
  <c r="Y28" i="11" a="1"/>
  <c r="Z28" i="11" a="1"/>
  <c r="AA28" i="11" a="1"/>
  <c r="AB28" i="11" a="1"/>
  <c r="AC28" i="11" a="1"/>
  <c r="AD28" i="11" a="1"/>
  <c r="AE28" i="11" a="1"/>
  <c r="AF28" i="11" a="1"/>
  <c r="AG28" i="11" a="1"/>
  <c r="AH28" i="11" a="1"/>
  <c r="AI28" i="11" a="1"/>
  <c r="AJ28" i="11" a="1"/>
  <c r="AK28" i="11" a="1"/>
  <c r="AL28" i="11" a="1"/>
  <c r="AM28" i="11" a="1"/>
  <c r="AN28" i="11" a="1"/>
  <c r="D29" i="11" a="1"/>
  <c r="E29" i="11" a="1"/>
  <c r="F29" i="11" a="1"/>
  <c r="G29" i="11" a="1"/>
  <c r="H29" i="11" a="1"/>
  <c r="I29" i="11" a="1"/>
  <c r="J29" i="11" a="1"/>
  <c r="K29" i="11" a="1"/>
  <c r="L29" i="11" a="1"/>
  <c r="M29" i="11" a="1"/>
  <c r="N29" i="11" a="1"/>
  <c r="O29" i="11" a="1"/>
  <c r="P29" i="11" a="1"/>
  <c r="R29" i="11" a="1"/>
  <c r="S29" i="11" a="1"/>
  <c r="T29" i="11" a="1"/>
  <c r="U29" i="11" a="1"/>
  <c r="V29" i="11" a="1"/>
  <c r="W29" i="11" a="1"/>
  <c r="Y29" i="11" a="1"/>
  <c r="Z29" i="11" a="1"/>
  <c r="AA29" i="11" a="1"/>
  <c r="AB29" i="11" a="1"/>
  <c r="AC29" i="11" a="1"/>
  <c r="AD29" i="11" a="1"/>
  <c r="AE29" i="11" a="1"/>
  <c r="AF29" i="11" a="1"/>
  <c r="AG29" i="11" a="1"/>
  <c r="AH29" i="11" a="1"/>
  <c r="AI29" i="11" a="1"/>
  <c r="AJ29" i="11" a="1"/>
  <c r="AK29" i="11" a="1"/>
  <c r="AL29" i="11" a="1"/>
  <c r="AM29" i="11" a="1"/>
  <c r="AN29" i="11" a="1"/>
  <c r="D30" i="11" a="1"/>
  <c r="E30" i="11" a="1"/>
  <c r="F30" i="11" a="1"/>
  <c r="G30" i="11" a="1"/>
  <c r="H30" i="11" a="1"/>
  <c r="I30" i="11" a="1"/>
  <c r="J30" i="11" a="1"/>
  <c r="K30" i="11" a="1"/>
  <c r="L30" i="11" a="1"/>
  <c r="M30" i="11" a="1"/>
  <c r="N30" i="11" a="1"/>
  <c r="O30" i="11" a="1"/>
  <c r="P30" i="11" a="1"/>
  <c r="R30" i="11" a="1"/>
  <c r="S30" i="11" a="1"/>
  <c r="T30" i="11" a="1"/>
  <c r="U30" i="11" a="1"/>
  <c r="V30" i="11" a="1"/>
  <c r="W30" i="11" a="1"/>
  <c r="X30" i="11" a="1"/>
  <c r="Z30" i="11" a="1"/>
  <c r="AA30" i="11" a="1"/>
  <c r="AB30" i="11" a="1"/>
  <c r="AC30" i="11" a="1"/>
  <c r="AD30" i="11" a="1"/>
  <c r="AE30" i="11" a="1"/>
  <c r="AF30" i="11" a="1"/>
  <c r="AG30" i="11" a="1"/>
  <c r="AH30" i="11" a="1"/>
  <c r="AI30" i="11" a="1"/>
  <c r="AJ30" i="11" a="1"/>
  <c r="AK30" i="11" a="1"/>
  <c r="AL30" i="11" a="1"/>
  <c r="AM30" i="11" a="1"/>
  <c r="AN30" i="11" a="1"/>
  <c r="D31" i="11" a="1"/>
  <c r="E31" i="11" a="1"/>
  <c r="F31" i="11" a="1"/>
  <c r="G31" i="11" a="1"/>
  <c r="H31" i="11" a="1"/>
  <c r="I31" i="11" a="1"/>
  <c r="J31" i="11" a="1"/>
  <c r="K31" i="11" a="1"/>
  <c r="L31" i="11" a="1"/>
  <c r="M31" i="11" a="1"/>
  <c r="N31" i="11" a="1"/>
  <c r="O31" i="11" a="1"/>
  <c r="P31" i="11" a="1"/>
  <c r="R31" i="11" a="1"/>
  <c r="S31" i="11" a="1"/>
  <c r="T31" i="11" a="1"/>
  <c r="U31" i="11" a="1"/>
  <c r="V31" i="11" a="1"/>
  <c r="W31" i="11" a="1"/>
  <c r="X31" i="11" a="1"/>
  <c r="Y31" i="11" a="1"/>
  <c r="AB31" i="11" a="1"/>
  <c r="AC31" i="11" a="1"/>
  <c r="AF31" i="11" a="1"/>
  <c r="AG31" i="11" a="1"/>
  <c r="AH31" i="11" a="1"/>
  <c r="AI31" i="11" a="1"/>
  <c r="AJ31" i="11" a="1"/>
  <c r="AK31" i="11" a="1"/>
  <c r="AL31" i="11" a="1"/>
  <c r="AM31" i="11" a="1"/>
  <c r="AN31" i="11" a="1"/>
  <c r="D32" i="11" a="1"/>
  <c r="E32" i="11" a="1"/>
  <c r="F32" i="11" a="1"/>
  <c r="G32" i="11" a="1"/>
  <c r="H32" i="11" a="1"/>
  <c r="I32" i="11" a="1"/>
  <c r="J32" i="11" a="1"/>
  <c r="K32" i="11" a="1"/>
  <c r="L32" i="11" a="1"/>
  <c r="M32" i="11" a="1"/>
  <c r="N32" i="11" a="1"/>
  <c r="O32" i="11" a="1"/>
  <c r="P32" i="11" a="1"/>
  <c r="Q32" i="11" a="1"/>
  <c r="R32" i="11" a="1"/>
  <c r="S32" i="11" a="1"/>
  <c r="U32" i="11" a="1"/>
  <c r="V32" i="11" a="1"/>
  <c r="W32" i="11" a="1"/>
  <c r="X32" i="11" a="1"/>
  <c r="Y32" i="11" a="1"/>
  <c r="AC32" i="11" a="1"/>
  <c r="AE32" i="11" a="1"/>
  <c r="AG32" i="11" a="1"/>
  <c r="AH32" i="11" a="1"/>
  <c r="AI32" i="11" a="1"/>
  <c r="AJ32" i="11" a="1"/>
  <c r="AL32" i="11" a="1"/>
  <c r="AM32" i="11" a="1"/>
  <c r="AN32" i="11" a="1"/>
  <c r="D33" i="11" a="1"/>
  <c r="E33" i="11" a="1"/>
  <c r="F33" i="11" a="1"/>
  <c r="G33" i="11" a="1"/>
  <c r="H33" i="11" a="1"/>
  <c r="I33" i="11" a="1"/>
  <c r="J33" i="11" a="1"/>
  <c r="K33" i="11" a="1"/>
  <c r="L33" i="11" a="1"/>
  <c r="M33" i="11" a="1"/>
  <c r="N33" i="11" a="1"/>
  <c r="O33" i="11" a="1"/>
  <c r="P33" i="11" a="1"/>
  <c r="Q33" i="11" a="1"/>
  <c r="R33" i="11" a="1"/>
  <c r="S33" i="11" a="1"/>
  <c r="T33" i="11" a="1"/>
  <c r="U33" i="11" a="1"/>
  <c r="V33" i="11" a="1"/>
  <c r="W33" i="11" a="1"/>
  <c r="X33" i="11" a="1"/>
  <c r="Y33" i="11" a="1"/>
  <c r="Z33" i="11" a="1"/>
  <c r="AD33" i="11" a="1"/>
  <c r="AE33" i="11" a="1"/>
  <c r="AF33" i="11" a="1"/>
  <c r="AG33" i="11" a="1"/>
  <c r="AH33" i="11" a="1"/>
  <c r="AI33" i="11" a="1"/>
  <c r="AJ33" i="11" a="1"/>
  <c r="AK33" i="11" a="1"/>
  <c r="AL33" i="11" a="1"/>
  <c r="AM33" i="11" a="1"/>
  <c r="AN33" i="11" a="1"/>
  <c r="D34" i="11" a="1"/>
  <c r="E34" i="11" a="1"/>
  <c r="F34" i="11" a="1"/>
  <c r="G34" i="11" a="1"/>
  <c r="H34" i="11" a="1"/>
  <c r="I34" i="11" a="1"/>
  <c r="J34" i="11" a="1"/>
  <c r="K34" i="11" a="1"/>
  <c r="L34" i="11" a="1"/>
  <c r="M34" i="11" a="1"/>
  <c r="N34" i="11" a="1"/>
  <c r="O34" i="11" a="1"/>
  <c r="P34" i="11" a="1"/>
  <c r="Q34" i="11" a="1"/>
  <c r="R34" i="11" a="1"/>
  <c r="S34" i="11" a="1"/>
  <c r="T34" i="11" a="1"/>
  <c r="U34" i="11" a="1"/>
  <c r="V34" i="11" a="1"/>
  <c r="W34" i="11" a="1"/>
  <c r="X34" i="11" a="1"/>
  <c r="Y34" i="11" a="1"/>
  <c r="Z34" i="11" a="1"/>
  <c r="AA34" i="11" a="1"/>
  <c r="AD34" i="11" a="1"/>
  <c r="AE34" i="11" a="1"/>
  <c r="AF34" i="11" a="1"/>
  <c r="AG34" i="11" a="1"/>
  <c r="AH34" i="11" a="1"/>
  <c r="AI34" i="11" a="1"/>
  <c r="AJ34" i="11" a="1"/>
  <c r="AK34" i="11" a="1"/>
  <c r="AL34" i="11" a="1"/>
  <c r="AM34" i="11" a="1"/>
  <c r="AN34" i="11" a="1"/>
  <c r="D35" i="11" a="1"/>
  <c r="E35" i="11" a="1"/>
  <c r="F35" i="11" a="1"/>
  <c r="G35" i="11" a="1"/>
  <c r="H35" i="11" a="1"/>
  <c r="I35" i="11" a="1"/>
  <c r="J35" i="11" a="1"/>
  <c r="K35" i="11" a="1"/>
  <c r="L35" i="11" a="1"/>
  <c r="M35" i="11" a="1"/>
  <c r="N35" i="11" a="1"/>
  <c r="T39" i="11" a="1"/>
  <c r="X39" i="11" a="1"/>
  <c r="AB39" i="11" a="1"/>
  <c r="AF39" i="11" a="1"/>
  <c r="AJ39" i="11" a="1"/>
  <c r="AN39" i="11" a="1"/>
  <c r="G40" i="11" a="1"/>
  <c r="K40" i="11" a="1"/>
  <c r="O40" i="11" a="1"/>
  <c r="S40" i="11" a="1"/>
  <c r="W40" i="11" a="1"/>
  <c r="AA40" i="11" a="1"/>
  <c r="AM40" i="11" a="1"/>
  <c r="F41" i="11" a="1"/>
  <c r="J41" i="11" a="1"/>
  <c r="N41" i="11" a="1"/>
  <c r="R41" i="11" a="1"/>
  <c r="V41" i="11" a="1"/>
  <c r="AD41" i="11" a="1"/>
  <c r="AH41" i="11" a="1"/>
  <c r="AL41" i="11" a="1"/>
  <c r="E42" i="11" a="1"/>
  <c r="I42" i="11" a="1"/>
  <c r="M42" i="11" a="1"/>
  <c r="P42" i="11" a="1"/>
  <c r="R42" i="11" a="1"/>
  <c r="T42" i="11" a="1"/>
  <c r="V42" i="11" a="1"/>
  <c r="X42" i="11" a="1"/>
  <c r="Z42" i="11" a="1"/>
  <c r="AB42" i="11" a="1"/>
  <c r="AD42" i="11" a="1"/>
  <c r="AF42" i="11" a="1"/>
  <c r="AH42" i="11" a="1"/>
  <c r="E43" i="11" a="1"/>
  <c r="G43" i="11" a="1"/>
  <c r="I43" i="11" a="1"/>
  <c r="K43" i="11" a="1"/>
  <c r="M43" i="11" a="1"/>
  <c r="O43" i="11" a="1"/>
  <c r="Q43" i="11" a="1"/>
  <c r="S43" i="11" a="1"/>
  <c r="U43" i="11" a="1"/>
  <c r="W43" i="11" a="1"/>
  <c r="Y43" i="11" a="1"/>
  <c r="AA43" i="11" a="1"/>
  <c r="AC43" i="11" a="1"/>
  <c r="AE43" i="11" a="1"/>
  <c r="AG43" i="11" a="1"/>
  <c r="AI43" i="11" a="1"/>
  <c r="D44" i="11" a="1"/>
  <c r="F44" i="11" a="1"/>
  <c r="H44" i="11" a="1"/>
  <c r="L44" i="11" a="1"/>
  <c r="P44" i="11" a="1"/>
  <c r="T44" i="11" a="1"/>
  <c r="X44" i="11" a="1"/>
  <c r="AB44" i="11" a="1"/>
  <c r="AF44" i="11" a="1"/>
  <c r="AJ44" i="11" a="1"/>
  <c r="AN44" i="11" a="1"/>
  <c r="G45" i="11" a="1"/>
  <c r="K45" i="11" a="1"/>
  <c r="O45" i="11" a="1"/>
  <c r="S45" i="11" a="1"/>
  <c r="W45" i="11" a="1"/>
  <c r="AA45" i="11" a="1"/>
  <c r="AE45" i="11" a="1"/>
  <c r="AI45" i="11" a="1"/>
  <c r="AM45" i="11" a="1"/>
  <c r="J9" i="11" a="1"/>
  <c r="N9" i="11" a="1"/>
  <c r="R9" i="11" a="1"/>
  <c r="V9" i="11" a="1"/>
  <c r="Z9" i="11" a="1"/>
  <c r="AD9" i="11" a="1"/>
  <c r="AH9" i="11" a="1"/>
  <c r="AL9" i="11" a="1"/>
  <c r="I10" i="11" a="1"/>
  <c r="M10" i="11" a="1"/>
  <c r="Q10" i="11" a="1"/>
  <c r="U10" i="11" a="1"/>
  <c r="Y10" i="11" a="1"/>
  <c r="AC10" i="11" a="1"/>
  <c r="AG10" i="11" a="1"/>
  <c r="AK10" i="11" a="1"/>
  <c r="H11" i="11" a="1"/>
  <c r="L11" i="11" a="1"/>
  <c r="P11" i="11" a="1"/>
  <c r="T11" i="11" a="1"/>
  <c r="X11" i="11" a="1"/>
  <c r="AB11" i="11" a="1"/>
  <c r="AF11" i="11" a="1"/>
  <c r="AJ11" i="11" a="1"/>
  <c r="AN11" i="11" a="1"/>
  <c r="K12" i="11" a="1"/>
  <c r="O12" i="11" a="1"/>
  <c r="S12" i="11" a="1"/>
  <c r="W12" i="11" a="1"/>
  <c r="AA12" i="11" a="1"/>
  <c r="O35" i="11" a="1"/>
  <c r="P35" i="11" a="1"/>
  <c r="Q35" i="11" a="1"/>
  <c r="R35" i="11" a="1"/>
  <c r="S35" i="11" a="1"/>
  <c r="T35" i="11" a="1"/>
  <c r="U35" i="11" a="1"/>
  <c r="V35" i="11" a="1"/>
  <c r="W35" i="11" a="1"/>
  <c r="X35" i="11" a="1"/>
  <c r="Y35" i="11" a="1"/>
  <c r="AA35" i="11" a="1"/>
  <c r="AB35" i="11" a="1"/>
  <c r="AC35" i="11" a="1"/>
  <c r="AE35" i="11" a="1"/>
  <c r="AF35" i="11" a="1"/>
  <c r="AG35" i="11" a="1"/>
  <c r="AH35" i="11" a="1"/>
  <c r="AI35" i="11" a="1"/>
  <c r="AJ35" i="11" a="1"/>
  <c r="AK35" i="11" a="1"/>
  <c r="AL35" i="11" a="1"/>
  <c r="AM35" i="11" a="1"/>
  <c r="AN35" i="11" a="1"/>
  <c r="F4" i="11" a="1"/>
  <c r="I4" i="11" a="1"/>
  <c r="AF4" i="11" a="1"/>
  <c r="AG4" i="11" a="1"/>
  <c r="AH4" i="11" a="1"/>
  <c r="AI4" i="11" a="1"/>
  <c r="AJ4" i="11" a="1"/>
  <c r="AL4" i="11" a="1"/>
  <c r="AM4" i="11" a="1"/>
  <c r="I217" i="7" a="1"/>
  <c r="I218" i="7" a="1"/>
  <c r="I219" i="7" a="1"/>
  <c r="I180" i="7" a="1"/>
  <c r="I181" i="7" a="1"/>
  <c r="I182" i="7" a="1"/>
  <c r="I183" i="7" a="1"/>
  <c r="I184" i="7" a="1"/>
  <c r="I185" i="7" a="1"/>
  <c r="I174" i="7" a="1"/>
  <c r="I175" i="7" a="1"/>
  <c r="I168" i="7" a="1"/>
  <c r="I169" i="7" a="1"/>
  <c r="I165" i="7" a="1"/>
  <c r="I135" i="7" a="1"/>
  <c r="I136" i="7" a="1"/>
  <c r="I110" i="7" a="1"/>
  <c r="I105" i="7" a="1"/>
  <c r="I100" i="7" a="1"/>
  <c r="I95" i="7" a="1"/>
  <c r="I92" i="7" a="1"/>
  <c r="I86" i="7" a="1"/>
  <c r="I87" i="7" a="1"/>
  <c r="I80" i="7" a="1"/>
  <c r="I81" i="7" a="1"/>
  <c r="I41" i="7" a="1"/>
  <c r="I39" i="7" a="1"/>
  <c r="I36" i="7" a="1"/>
  <c r="I33" i="7" a="1"/>
  <c r="I25" i="7" a="1"/>
  <c r="I26" i="7" a="1"/>
  <c r="I211" i="6" a="1"/>
  <c r="I212" i="6" a="1"/>
  <c r="I213" i="6" a="1"/>
  <c r="I174" i="6" a="1"/>
  <c r="I175" i="6" a="1"/>
  <c r="I176" i="6" a="1"/>
  <c r="I177" i="6" a="1"/>
  <c r="I178" i="6" a="1"/>
  <c r="I179" i="6" a="1"/>
  <c r="I168" i="6" a="1"/>
  <c r="I169" i="6" a="1"/>
  <c r="I162" i="6" a="1"/>
  <c r="I159" i="6" a="1"/>
  <c r="I129" i="6" a="1"/>
  <c r="I130" i="6" a="1"/>
  <c r="I104" i="6" a="1"/>
  <c r="I99" i="6" a="1"/>
  <c r="I94" i="6" a="1"/>
  <c r="I86" i="6" a="1"/>
  <c r="I74" i="6" a="1"/>
  <c r="I75" i="6" a="1"/>
  <c r="I41" i="6" a="1"/>
  <c r="I39" i="6" a="1"/>
  <c r="I36" i="6" a="1"/>
  <c r="I33" i="6" a="1"/>
  <c r="I25" i="6" a="1"/>
  <c r="I136" i="24" a="1"/>
  <c r="I116" i="24" a="1"/>
  <c r="I117" i="24" a="1"/>
  <c r="I110" i="24" a="1"/>
  <c r="I111" i="24" a="1"/>
  <c r="I107" i="24" a="1"/>
  <c r="I105" i="24" a="1"/>
  <c r="I83" i="24" a="1"/>
  <c r="I81" i="24" a="1"/>
  <c r="I62" i="24" a="1"/>
  <c r="I57" i="24" a="1"/>
  <c r="I51" i="24" a="1"/>
  <c r="I52" i="24" a="1"/>
  <c r="I22" i="24" a="1"/>
  <c r="I20" i="24" a="1"/>
  <c r="I15" i="24" a="1"/>
  <c r="B16" i="53" a="1"/>
  <c r="B17" i="53" a="1"/>
  <c r="B18" i="53" a="1"/>
  <c r="B11" i="53" a="1"/>
  <c r="B12" i="53" a="1"/>
  <c r="B13" i="53" a="1"/>
  <c r="B3" i="53" a="1"/>
  <c r="B4" i="53" a="1"/>
  <c r="B5" i="53" a="1"/>
  <c r="B6" i="53" a="1"/>
  <c r="B7" i="53" a="1"/>
  <c r="B8" i="53" a="1"/>
  <c r="I170" i="3" a="1"/>
  <c r="I152" i="3" a="1"/>
  <c r="I134" i="3" a="1"/>
  <c r="I119" i="3" a="1"/>
  <c r="J44" i="11" a="1"/>
  <c r="N44" i="11" a="1"/>
  <c r="R44" i="11" a="1"/>
  <c r="V44" i="11" a="1"/>
  <c r="Z44" i="11" a="1"/>
  <c r="AD44" i="11" a="1"/>
  <c r="AH44" i="11" a="1"/>
  <c r="E45" i="11" a="1"/>
  <c r="I45" i="11" a="1"/>
  <c r="M45" i="11" a="1"/>
  <c r="Q45" i="11" a="1"/>
  <c r="U45" i="11" a="1"/>
  <c r="Y45" i="11" a="1"/>
  <c r="AC45" i="11" a="1"/>
  <c r="AG45" i="11" a="1"/>
  <c r="AK45" i="11" a="1"/>
  <c r="L9" i="11" a="1"/>
  <c r="P9" i="11" a="1"/>
  <c r="T9" i="11" a="1"/>
  <c r="X9" i="11" a="1"/>
  <c r="AB9" i="11" a="1"/>
  <c r="AF9" i="11" a="1"/>
  <c r="AJ9" i="11" a="1"/>
  <c r="AN9" i="11" a="1"/>
  <c r="K10" i="11" a="1"/>
  <c r="O10" i="11" a="1"/>
  <c r="S10" i="11" a="1"/>
  <c r="W10" i="11" a="1"/>
  <c r="AA10" i="11" a="1"/>
  <c r="AE10" i="11" a="1"/>
  <c r="AI10" i="11" a="1"/>
  <c r="AM10" i="11" a="1"/>
  <c r="J11" i="11" a="1"/>
  <c r="N11" i="11" a="1"/>
  <c r="R11" i="11" a="1"/>
  <c r="V11" i="11" a="1"/>
  <c r="Z11" i="11" a="1"/>
  <c r="AD11" i="11" a="1"/>
  <c r="AH11" i="11" a="1"/>
  <c r="AL11" i="11" a="1"/>
  <c r="I12" i="11" a="1"/>
  <c r="M12" i="11" a="1"/>
  <c r="Q12" i="11" a="1"/>
  <c r="U12" i="11" a="1"/>
  <c r="Y12" i="11" a="1"/>
  <c r="AC12" i="11" a="1"/>
  <c r="AC12" i="11" l="1"/>
  <c r="Y12" i="11"/>
  <c r="U12" i="11"/>
  <c r="Q12" i="11"/>
  <c r="M12" i="11"/>
  <c r="I12" i="11"/>
  <c r="AL11" i="11"/>
  <c r="AH11" i="11"/>
  <c r="AD11" i="11"/>
  <c r="Z11" i="11"/>
  <c r="V11" i="11"/>
  <c r="R11" i="11"/>
  <c r="N11" i="11"/>
  <c r="J11" i="11"/>
  <c r="AM10" i="11"/>
  <c r="AI10" i="11"/>
  <c r="AE10" i="11"/>
  <c r="AA10" i="11"/>
  <c r="W10" i="11"/>
  <c r="S10" i="11"/>
  <c r="O10" i="11"/>
  <c r="K10" i="11"/>
  <c r="AN9" i="11"/>
  <c r="AJ9" i="11"/>
  <c r="AF9" i="11"/>
  <c r="AB9" i="11"/>
  <c r="X9" i="11"/>
  <c r="T9" i="11"/>
  <c r="P9" i="11"/>
  <c r="L9" i="11"/>
  <c r="AK45" i="11"/>
  <c r="AG45" i="11"/>
  <c r="AC45" i="11"/>
  <c r="Y45" i="11"/>
  <c r="U45" i="11"/>
  <c r="Q45" i="11"/>
  <c r="M45" i="11"/>
  <c r="I45" i="11"/>
  <c r="E45" i="11"/>
  <c r="AH44" i="11"/>
  <c r="AD44" i="11"/>
  <c r="Z44" i="11"/>
  <c r="V44" i="11"/>
  <c r="R44" i="11"/>
  <c r="N44" i="11"/>
  <c r="J44" i="11"/>
  <c r="I119" i="3"/>
  <c r="I134" i="3"/>
  <c r="I152" i="3"/>
  <c r="I170" i="3"/>
  <c r="B8" i="53"/>
  <c r="I149" i="3" s="1"/>
  <c r="B7" i="53"/>
  <c r="I131" i="3" s="1"/>
  <c r="B6" i="53"/>
  <c r="I28" i="24" s="1"/>
  <c r="L28" i="24" s="1"/>
  <c r="B5" i="53"/>
  <c r="I21" i="7" s="1"/>
  <c r="B4" i="53"/>
  <c r="I21" i="6" s="1"/>
  <c r="B3" i="53"/>
  <c r="I13" i="24" s="1"/>
  <c r="L13" i="24" s="1"/>
  <c r="K5" i="24" s="1"/>
  <c r="L5" i="24" s="1"/>
  <c r="B13" i="53"/>
  <c r="I148" i="3" s="1"/>
  <c r="B12" i="53"/>
  <c r="I130" i="3" s="1"/>
  <c r="B11" i="53"/>
  <c r="I118" i="3" s="1"/>
  <c r="P118" i="3" s="1"/>
  <c r="B18" i="53"/>
  <c r="I150" i="3" s="1"/>
  <c r="B17" i="53"/>
  <c r="I132" i="3" s="1"/>
  <c r="B16" i="53"/>
  <c r="I82" i="24" s="1"/>
  <c r="L82" i="24" s="1"/>
  <c r="I15" i="24"/>
  <c r="L15" i="24" s="1"/>
  <c r="K7" i="24" s="1"/>
  <c r="L7" i="24" s="1"/>
  <c r="I20" i="24"/>
  <c r="L20" i="24" s="1"/>
  <c r="I22" i="24"/>
  <c r="L22" i="24" s="1"/>
  <c r="I52" i="24"/>
  <c r="L52" i="24" s="1"/>
  <c r="I51" i="24"/>
  <c r="L51" i="24" s="1"/>
  <c r="I57" i="24"/>
  <c r="L57" i="24" s="1"/>
  <c r="I62" i="24"/>
  <c r="L62" i="24" s="1"/>
  <c r="I81" i="24"/>
  <c r="L81" i="24" s="1"/>
  <c r="I83" i="24"/>
  <c r="L83" i="24" s="1"/>
  <c r="I105" i="24"/>
  <c r="L105" i="24" s="1"/>
  <c r="I107" i="24"/>
  <c r="L107" i="24" s="1"/>
  <c r="I111" i="24"/>
  <c r="L111" i="24" s="1"/>
  <c r="I110" i="24"/>
  <c r="L110" i="24" s="1"/>
  <c r="I117" i="24"/>
  <c r="L117" i="24" s="1"/>
  <c r="I116" i="24"/>
  <c r="L116" i="24" s="1"/>
  <c r="I136" i="24"/>
  <c r="L136" i="24" s="1"/>
  <c r="I25" i="6"/>
  <c r="I33" i="6"/>
  <c r="I36" i="6"/>
  <c r="I39" i="6"/>
  <c r="I41" i="6"/>
  <c r="I75" i="6"/>
  <c r="I74" i="6"/>
  <c r="I86" i="6"/>
  <c r="I94" i="6"/>
  <c r="I99" i="6"/>
  <c r="I104" i="6"/>
  <c r="I130" i="6"/>
  <c r="I129" i="6"/>
  <c r="I159" i="6"/>
  <c r="I162" i="6"/>
  <c r="I169" i="6"/>
  <c r="I168" i="6"/>
  <c r="I179" i="6"/>
  <c r="I178" i="6"/>
  <c r="I177" i="6"/>
  <c r="I176" i="6"/>
  <c r="I175" i="6"/>
  <c r="I174" i="6"/>
  <c r="I213" i="6"/>
  <c r="I212" i="6"/>
  <c r="I211" i="6"/>
  <c r="I26" i="7"/>
  <c r="I25" i="7"/>
  <c r="I33" i="7"/>
  <c r="I36" i="7"/>
  <c r="I39" i="7"/>
  <c r="I41" i="7"/>
  <c r="I81" i="7"/>
  <c r="I80" i="7"/>
  <c r="I87" i="7"/>
  <c r="I86" i="7"/>
  <c r="I92" i="7"/>
  <c r="I95" i="7"/>
  <c r="I100" i="7"/>
  <c r="I105" i="7"/>
  <c r="I110" i="7"/>
  <c r="I136" i="7"/>
  <c r="I135" i="7"/>
  <c r="I165" i="7"/>
  <c r="I169" i="7"/>
  <c r="I168" i="7"/>
  <c r="I175" i="7"/>
  <c r="I174" i="7"/>
  <c r="I185" i="7"/>
  <c r="I184" i="7"/>
  <c r="I183" i="7"/>
  <c r="I182" i="7"/>
  <c r="I181" i="7"/>
  <c r="I180" i="7"/>
  <c r="I219" i="7"/>
  <c r="I218" i="7"/>
  <c r="I217" i="7"/>
  <c r="AM4" i="11"/>
  <c r="AL4" i="11"/>
  <c r="AJ4" i="11"/>
  <c r="AI4" i="11"/>
  <c r="AH4" i="11"/>
  <c r="AG4" i="11"/>
  <c r="AF4" i="11"/>
  <c r="I4" i="11"/>
  <c r="F4" i="11"/>
  <c r="AN35" i="11"/>
  <c r="AM35" i="11"/>
  <c r="AL35" i="11"/>
  <c r="AK35" i="11"/>
  <c r="AJ35" i="11"/>
  <c r="AI35" i="11"/>
  <c r="AH35" i="11"/>
  <c r="AG35" i="11"/>
  <c r="AF35" i="11"/>
  <c r="AE35" i="11"/>
  <c r="AC35" i="11"/>
  <c r="AB35" i="11"/>
  <c r="AA35" i="11"/>
  <c r="Y35" i="11"/>
  <c r="X35" i="11"/>
  <c r="W35" i="11"/>
  <c r="V35" i="11"/>
  <c r="U35" i="11"/>
  <c r="T35" i="11"/>
  <c r="S35" i="11"/>
  <c r="R35" i="11"/>
  <c r="Q35" i="11"/>
  <c r="P35" i="11"/>
  <c r="O35" i="11"/>
  <c r="AA12" i="11"/>
  <c r="W12" i="11"/>
  <c r="S12" i="11"/>
  <c r="O12" i="11"/>
  <c r="K12" i="11"/>
  <c r="AN11" i="11"/>
  <c r="AJ11" i="11"/>
  <c r="AF11" i="11"/>
  <c r="AB11" i="11"/>
  <c r="X11" i="11"/>
  <c r="T11" i="11"/>
  <c r="P11" i="11"/>
  <c r="L11" i="11"/>
  <c r="H11" i="11"/>
  <c r="AK10" i="11"/>
  <c r="AG10" i="11"/>
  <c r="AC10" i="11"/>
  <c r="Y10" i="11"/>
  <c r="U10" i="11"/>
  <c r="Q10" i="11"/>
  <c r="M10" i="11"/>
  <c r="I10" i="11"/>
  <c r="AL9" i="11"/>
  <c r="AH9" i="11"/>
  <c r="AD9" i="11"/>
  <c r="Z9" i="11"/>
  <c r="V9" i="11"/>
  <c r="R9" i="11"/>
  <c r="N9" i="11"/>
  <c r="J9" i="11"/>
  <c r="AM45" i="11"/>
  <c r="AI45" i="11"/>
  <c r="AE45" i="11"/>
  <c r="AA45" i="11"/>
  <c r="W45" i="11"/>
  <c r="S45" i="11"/>
  <c r="O45" i="11"/>
  <c r="K45" i="11"/>
  <c r="G45" i="11"/>
  <c r="AN44" i="11"/>
  <c r="AJ44" i="11"/>
  <c r="AF44" i="11"/>
  <c r="AB44" i="11"/>
  <c r="X44" i="11"/>
  <c r="T44" i="11"/>
  <c r="P44" i="11"/>
  <c r="L44" i="11"/>
  <c r="H44" i="11"/>
  <c r="F44" i="11"/>
  <c r="D44" i="11"/>
  <c r="AI43" i="11"/>
  <c r="AG43" i="11"/>
  <c r="AE43" i="11"/>
  <c r="AC43" i="11"/>
  <c r="AA43" i="11"/>
  <c r="Y43" i="11"/>
  <c r="W43" i="11"/>
  <c r="U43" i="11"/>
  <c r="S43" i="11"/>
  <c r="Q43" i="11"/>
  <c r="O43" i="11"/>
  <c r="M43" i="11"/>
  <c r="K43" i="11"/>
  <c r="I43" i="11"/>
  <c r="G43" i="11"/>
  <c r="E43" i="11"/>
  <c r="AH42" i="11"/>
  <c r="AF42" i="11"/>
  <c r="AD42" i="11"/>
  <c r="AB42" i="11"/>
  <c r="Z42" i="11"/>
  <c r="X42" i="11"/>
  <c r="V42" i="11"/>
  <c r="T42" i="11"/>
  <c r="R42" i="11"/>
  <c r="P42" i="11"/>
  <c r="M42" i="11"/>
  <c r="I42" i="11"/>
  <c r="E42" i="11"/>
  <c r="AL41" i="11"/>
  <c r="AH41" i="11"/>
  <c r="AD41" i="11"/>
  <c r="V41" i="11"/>
  <c r="R41" i="11"/>
  <c r="N41" i="11"/>
  <c r="J41" i="11"/>
  <c r="F41" i="11"/>
  <c r="AM40" i="11"/>
  <c r="AA40" i="11"/>
  <c r="W40" i="11"/>
  <c r="S40" i="11"/>
  <c r="O40" i="11"/>
  <c r="K40" i="11"/>
  <c r="G40" i="11"/>
  <c r="AN39" i="11"/>
  <c r="AJ39" i="11"/>
  <c r="AF39" i="11"/>
  <c r="AB39" i="11"/>
  <c r="X39" i="11"/>
  <c r="T39" i="11"/>
  <c r="N35" i="11"/>
  <c r="M35" i="11"/>
  <c r="L35" i="11"/>
  <c r="K35" i="11"/>
  <c r="J35" i="11"/>
  <c r="I35" i="11"/>
  <c r="H35" i="11"/>
  <c r="G35" i="11"/>
  <c r="F35" i="11"/>
  <c r="E35" i="11"/>
  <c r="D35" i="11"/>
  <c r="AN34" i="11"/>
  <c r="AM34" i="11"/>
  <c r="AL34" i="11"/>
  <c r="AK34" i="11"/>
  <c r="AJ34" i="11"/>
  <c r="AI34" i="11"/>
  <c r="AH34" i="11"/>
  <c r="AG34" i="11"/>
  <c r="AF34" i="11"/>
  <c r="AE34" i="11"/>
  <c r="AD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AN33" i="11"/>
  <c r="AM33" i="11"/>
  <c r="AL33" i="11"/>
  <c r="AK33" i="11"/>
  <c r="AJ33" i="11"/>
  <c r="AI33" i="11"/>
  <c r="AH33" i="11"/>
  <c r="AG33" i="11"/>
  <c r="AF33" i="11"/>
  <c r="AE33" i="11"/>
  <c r="AD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AN32" i="11"/>
  <c r="AM32" i="11"/>
  <c r="AL32" i="11"/>
  <c r="AJ32" i="11"/>
  <c r="AI32" i="11"/>
  <c r="AH32" i="11"/>
  <c r="AG32" i="11"/>
  <c r="AE32" i="11"/>
  <c r="AC32" i="11"/>
  <c r="Y32" i="11"/>
  <c r="X32" i="11"/>
  <c r="W32" i="11"/>
  <c r="V32" i="11"/>
  <c r="U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AN31" i="11"/>
  <c r="AM31" i="11"/>
  <c r="AL31" i="11"/>
  <c r="AK31" i="11"/>
  <c r="AJ31" i="11"/>
  <c r="AI31" i="11"/>
  <c r="AH31" i="11"/>
  <c r="AG31" i="11"/>
  <c r="AF31" i="11"/>
  <c r="AC31" i="11"/>
  <c r="AB31" i="11"/>
  <c r="Y31" i="11"/>
  <c r="X31" i="11"/>
  <c r="W31" i="11"/>
  <c r="V31" i="11"/>
  <c r="U31" i="11"/>
  <c r="T31" i="11"/>
  <c r="S31" i="11"/>
  <c r="R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X30" i="11"/>
  <c r="W30" i="11"/>
  <c r="V30" i="11"/>
  <c r="U30" i="11"/>
  <c r="T30" i="11"/>
  <c r="S30" i="11"/>
  <c r="R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W29" i="11"/>
  <c r="V29" i="11"/>
  <c r="U29" i="11"/>
  <c r="T29" i="11"/>
  <c r="S29" i="11"/>
  <c r="R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V28" i="11"/>
  <c r="U28" i="11"/>
  <c r="T28" i="11"/>
  <c r="S28" i="11"/>
  <c r="R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U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T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U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V24" i="11"/>
  <c r="T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V22" i="11"/>
  <c r="U22" i="11"/>
  <c r="P22" i="11"/>
  <c r="O22" i="11"/>
  <c r="N22" i="11"/>
  <c r="M22" i="11"/>
  <c r="L22" i="11"/>
  <c r="K22" i="11"/>
  <c r="J22" i="11"/>
  <c r="I22" i="11"/>
  <c r="G22" i="11"/>
  <c r="F22" i="11"/>
  <c r="E22" i="11"/>
  <c r="D22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O21" i="11"/>
  <c r="N21" i="11"/>
  <c r="M21" i="11"/>
  <c r="L21" i="11"/>
  <c r="K21" i="11"/>
  <c r="J21" i="11"/>
  <c r="I21" i="11"/>
  <c r="G21" i="11"/>
  <c r="F21" i="11"/>
  <c r="E21" i="11"/>
  <c r="D21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N20" i="11"/>
  <c r="M20" i="11"/>
  <c r="L20" i="11"/>
  <c r="K20" i="11"/>
  <c r="J20" i="11"/>
  <c r="I20" i="11"/>
  <c r="G20" i="11"/>
  <c r="F20" i="11"/>
  <c r="E20" i="11"/>
  <c r="D20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M19" i="11"/>
  <c r="L19" i="11"/>
  <c r="K19" i="11"/>
  <c r="J19" i="11"/>
  <c r="I19" i="11"/>
  <c r="G19" i="11"/>
  <c r="F19" i="11"/>
  <c r="E19" i="11"/>
  <c r="D19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L18" i="11"/>
  <c r="J18" i="11"/>
  <c r="I18" i="11"/>
  <c r="H18" i="11"/>
  <c r="G18" i="11"/>
  <c r="F18" i="11"/>
  <c r="E18" i="11"/>
  <c r="D18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K17" i="11"/>
  <c r="I17" i="11"/>
  <c r="H17" i="11"/>
  <c r="G17" i="11"/>
  <c r="F17" i="11"/>
  <c r="E17" i="11"/>
  <c r="D17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S16" i="11"/>
  <c r="R16" i="11"/>
  <c r="Q16" i="11"/>
  <c r="P16" i="11"/>
  <c r="O16" i="11"/>
  <c r="N16" i="11"/>
  <c r="L16" i="11"/>
  <c r="G16" i="11"/>
  <c r="F16" i="11"/>
  <c r="E16" i="11"/>
  <c r="D16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M15" i="11"/>
  <c r="K15" i="11"/>
  <c r="I15" i="11"/>
  <c r="G15" i="11"/>
  <c r="F15" i="11"/>
  <c r="D15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G14" i="11"/>
  <c r="F14" i="11"/>
  <c r="E14" i="11"/>
  <c r="D14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M13" i="11"/>
  <c r="L13" i="11"/>
  <c r="G13" i="11"/>
  <c r="F13" i="11"/>
  <c r="E13" i="11"/>
  <c r="AN12" i="11"/>
  <c r="AM12" i="11"/>
  <c r="AL12" i="11"/>
  <c r="AK12" i="11"/>
  <c r="AJ12" i="11"/>
  <c r="AI12" i="11"/>
  <c r="AH12" i="11"/>
  <c r="AG12" i="11"/>
  <c r="AF12" i="11"/>
  <c r="AE12" i="11"/>
  <c r="AD12" i="11"/>
  <c r="AB12" i="11"/>
  <c r="Z12" i="11"/>
  <c r="X12" i="11"/>
  <c r="V12" i="11"/>
  <c r="T12" i="11"/>
  <c r="R12" i="11"/>
  <c r="P12" i="11"/>
  <c r="N12" i="11"/>
  <c r="L12" i="11"/>
  <c r="J12" i="11"/>
  <c r="H12" i="11"/>
  <c r="F12" i="11"/>
  <c r="D12" i="11"/>
  <c r="AM11" i="11"/>
  <c r="AK11" i="11"/>
  <c r="AI11" i="11"/>
  <c r="AG11" i="11"/>
  <c r="AE11" i="11"/>
  <c r="AC11" i="11"/>
  <c r="AA11" i="11"/>
  <c r="Y11" i="11"/>
  <c r="W11" i="11"/>
  <c r="U11" i="11"/>
  <c r="S11" i="11"/>
  <c r="Q11" i="11"/>
  <c r="O11" i="11"/>
  <c r="M11" i="11"/>
  <c r="K11" i="11"/>
  <c r="I11" i="11"/>
  <c r="G11" i="11"/>
  <c r="E11" i="11"/>
  <c r="AN10" i="11"/>
  <c r="AL10" i="11"/>
  <c r="AJ10" i="11"/>
  <c r="AH10" i="11"/>
  <c r="AF10" i="11"/>
  <c r="AD10" i="11"/>
  <c r="AB10" i="11"/>
  <c r="Z10" i="11"/>
  <c r="X10" i="11"/>
  <c r="V10" i="11"/>
  <c r="T10" i="11"/>
  <c r="R10" i="11"/>
  <c r="P10" i="11"/>
  <c r="N10" i="11"/>
  <c r="L10" i="11"/>
  <c r="H10" i="11"/>
  <c r="AM9" i="11"/>
  <c r="AK9" i="11"/>
  <c r="AI9" i="11"/>
  <c r="AG9" i="11"/>
  <c r="AE9" i="11"/>
  <c r="AC9" i="11"/>
  <c r="AA9" i="11"/>
  <c r="Y9" i="11"/>
  <c r="W9" i="11"/>
  <c r="U9" i="11"/>
  <c r="S9" i="11"/>
  <c r="Q9" i="11"/>
  <c r="O9" i="11"/>
  <c r="M9" i="11"/>
  <c r="K9" i="11"/>
  <c r="I9" i="11"/>
  <c r="G9" i="11"/>
  <c r="AL45" i="11"/>
  <c r="AH45" i="11"/>
  <c r="AF45" i="11"/>
  <c r="AD45" i="11"/>
  <c r="AB45" i="11"/>
  <c r="Z45" i="11"/>
  <c r="X45" i="11"/>
  <c r="V45" i="11"/>
  <c r="T45" i="11"/>
  <c r="R45" i="11"/>
  <c r="P45" i="11"/>
  <c r="N45" i="11"/>
  <c r="L45" i="11"/>
  <c r="J45" i="11"/>
  <c r="H45" i="11"/>
  <c r="F45" i="11"/>
  <c r="D45" i="11"/>
  <c r="AK44" i="11"/>
  <c r="AI44" i="11"/>
  <c r="AG44" i="11"/>
  <c r="AE44" i="11"/>
  <c r="AC44" i="11"/>
  <c r="AA44" i="11"/>
  <c r="Y44" i="11"/>
  <c r="W44" i="11"/>
  <c r="U44" i="11"/>
  <c r="S44" i="11"/>
  <c r="Q44" i="11"/>
  <c r="O44" i="11"/>
  <c r="M44" i="11"/>
  <c r="K44" i="11"/>
  <c r="I44" i="11"/>
  <c r="G44" i="11"/>
  <c r="E44" i="11"/>
  <c r="AN43" i="11"/>
  <c r="AJ43" i="11"/>
  <c r="AH43" i="11"/>
  <c r="AF43" i="11"/>
  <c r="AD43" i="11"/>
  <c r="Z43" i="11"/>
  <c r="X43" i="11"/>
  <c r="V43" i="11"/>
  <c r="T43" i="11"/>
  <c r="R43" i="11"/>
  <c r="P43" i="11"/>
  <c r="N43" i="11"/>
  <c r="L43" i="11"/>
  <c r="J43" i="11"/>
  <c r="H43" i="11"/>
  <c r="F43" i="11"/>
  <c r="D43" i="11"/>
  <c r="AM42" i="11"/>
  <c r="AI42" i="11"/>
  <c r="AG42" i="11"/>
  <c r="AE42" i="11"/>
  <c r="AC42" i="11"/>
  <c r="Y42" i="11"/>
  <c r="W42" i="11"/>
  <c r="U42" i="11"/>
  <c r="S42" i="11"/>
  <c r="Q42" i="11"/>
  <c r="O42" i="11"/>
  <c r="K42" i="11"/>
  <c r="G42" i="11"/>
  <c r="AF41" i="11"/>
  <c r="AB41" i="11"/>
  <c r="X41" i="11"/>
  <c r="T41" i="11"/>
  <c r="P41" i="11"/>
  <c r="L41" i="11"/>
  <c r="H41" i="11"/>
  <c r="D41" i="11"/>
  <c r="AK40" i="11"/>
  <c r="AG40" i="11"/>
  <c r="AC40" i="11"/>
  <c r="Y40" i="11"/>
  <c r="U40" i="11"/>
  <c r="Q40" i="11"/>
  <c r="M40" i="11"/>
  <c r="I40" i="11"/>
  <c r="E40" i="11"/>
  <c r="AL39" i="11"/>
  <c r="AD39" i="11"/>
  <c r="Z39" i="11"/>
  <c r="V39" i="11"/>
  <c r="N42" i="11"/>
  <c r="L42" i="11"/>
  <c r="J42" i="11"/>
  <c r="H42" i="11"/>
  <c r="F42" i="11"/>
  <c r="D42" i="11"/>
  <c r="AM41" i="11"/>
  <c r="AI41" i="11"/>
  <c r="AG41" i="11"/>
  <c r="AE41" i="11"/>
  <c r="AC41" i="11"/>
  <c r="AA41" i="11"/>
  <c r="Y41" i="11"/>
  <c r="W41" i="11"/>
  <c r="U41" i="11"/>
  <c r="S41" i="11"/>
  <c r="Q41" i="11"/>
  <c r="O41" i="11"/>
  <c r="M41" i="11"/>
  <c r="K41" i="11"/>
  <c r="I41" i="11"/>
  <c r="G41" i="11"/>
  <c r="E41" i="11"/>
  <c r="AN40" i="11"/>
  <c r="AL40" i="11"/>
  <c r="AJ40" i="11"/>
  <c r="AH40" i="11"/>
  <c r="AF40" i="11"/>
  <c r="AD40" i="11"/>
  <c r="AB40" i="11"/>
  <c r="Z40" i="11"/>
  <c r="X40" i="11"/>
  <c r="V40" i="11"/>
  <c r="T40" i="11"/>
  <c r="R40" i="11"/>
  <c r="P40" i="11"/>
  <c r="N40" i="11"/>
  <c r="L40" i="11"/>
  <c r="J40" i="11"/>
  <c r="H40" i="11"/>
  <c r="F40" i="11"/>
  <c r="D40" i="11"/>
  <c r="AM39" i="11"/>
  <c r="AK39" i="11"/>
  <c r="AI39" i="11"/>
  <c r="AE39" i="11"/>
  <c r="AC39" i="11"/>
  <c r="AA39" i="11"/>
  <c r="Y39" i="11"/>
  <c r="W39" i="11"/>
  <c r="U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AN38" i="11"/>
  <c r="AM38" i="11"/>
  <c r="AL38" i="11"/>
  <c r="AK38" i="11"/>
  <c r="AJ38" i="11"/>
  <c r="AI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AN37" i="11"/>
  <c r="AM37" i="11"/>
  <c r="AL37" i="11"/>
  <c r="AK37" i="11"/>
  <c r="AJ37" i="11"/>
  <c r="AH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AN36" i="11"/>
  <c r="AM36" i="11"/>
  <c r="AL36" i="11"/>
  <c r="AK36" i="11"/>
  <c r="AJ36" i="11"/>
  <c r="AH36" i="11"/>
  <c r="AG36" i="11"/>
  <c r="AD36" i="11"/>
  <c r="AC36" i="11"/>
  <c r="AB36" i="11"/>
  <c r="AA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L6" i="20"/>
  <c r="C106" i="11"/>
  <c r="E106" i="11"/>
  <c r="AF6" i="20"/>
  <c r="Y106" i="11"/>
  <c r="K127" i="8"/>
  <c r="L127" i="8" s="1"/>
  <c r="K22" i="8"/>
  <c r="L22" i="8" s="1"/>
  <c r="B292" i="22"/>
  <c r="K100" i="8"/>
  <c r="L100" i="8" s="1"/>
  <c r="B690" i="22"/>
  <c r="K97" i="8"/>
  <c r="L97" i="8" s="1"/>
  <c r="B700" i="22"/>
  <c r="K96" i="8"/>
  <c r="L96" i="8" s="1"/>
  <c r="B695" i="22"/>
  <c r="K150" i="7"/>
  <c r="L150" i="7" s="1"/>
  <c r="K187" i="7"/>
  <c r="L187" i="7" s="1"/>
  <c r="K221" i="7"/>
  <c r="L221" i="7" s="1"/>
  <c r="B143" i="22"/>
  <c r="B125" i="22"/>
  <c r="K8" i="7"/>
  <c r="L8" i="7" s="1"/>
  <c r="B863" i="22"/>
  <c r="K13" i="7"/>
  <c r="L13" i="7" s="1"/>
  <c r="B846" i="22"/>
  <c r="B844" i="22"/>
  <c r="K12" i="7"/>
  <c r="L12" i="7" s="1"/>
  <c r="K11" i="7"/>
  <c r="L11" i="7" s="1"/>
  <c r="B842" i="22"/>
  <c r="B40" i="22"/>
  <c r="K145" i="6"/>
  <c r="L145" i="6" s="1"/>
  <c r="B146" i="22"/>
  <c r="K182" i="6"/>
  <c r="L182" i="6" s="1"/>
  <c r="K216" i="6"/>
  <c r="L216" i="6" s="1"/>
  <c r="B128" i="22"/>
  <c r="K143" i="6"/>
  <c r="L143" i="6" s="1"/>
  <c r="B124" i="22"/>
  <c r="K180" i="6"/>
  <c r="L180" i="6" s="1"/>
  <c r="K214" i="6"/>
  <c r="L214" i="6" s="1"/>
  <c r="B142" i="22"/>
  <c r="K11" i="6"/>
  <c r="L11" i="6" s="1"/>
  <c r="B843" i="22"/>
  <c r="V6" i="20"/>
  <c r="O106" i="11"/>
  <c r="N106" i="11"/>
  <c r="U6" i="20"/>
  <c r="B468" i="22"/>
  <c r="B467" i="22"/>
  <c r="B289" i="22"/>
  <c r="K24" i="8"/>
  <c r="L24" i="8" s="1"/>
  <c r="K101" i="8"/>
  <c r="L101" i="8" s="1"/>
  <c r="K120" i="8"/>
  <c r="L120" i="8" s="1"/>
  <c r="K141" i="8"/>
  <c r="L141" i="8" s="1"/>
  <c r="B148" i="22"/>
  <c r="B796" i="22"/>
  <c r="B816" i="22"/>
  <c r="B858" i="22"/>
  <c r="K6" i="7"/>
  <c r="L6" i="7" s="1"/>
  <c r="K49" i="7" s="1"/>
  <c r="L49" i="7" s="1"/>
  <c r="K48" i="6"/>
  <c r="B484" i="22"/>
  <c r="B486" i="22"/>
  <c r="L48" i="6"/>
  <c r="K144" i="6"/>
  <c r="L144" i="6" s="1"/>
  <c r="K181" i="6"/>
  <c r="L181" i="6" s="1"/>
  <c r="K215" i="6"/>
  <c r="L215" i="6" s="1"/>
  <c r="K12" i="6"/>
  <c r="L12" i="6" s="1"/>
  <c r="B126" i="22"/>
  <c r="B144" i="22"/>
  <c r="B845" i="22"/>
  <c r="B847" i="22"/>
  <c r="K13" i="6"/>
  <c r="L13" i="6" s="1"/>
  <c r="K8" i="6"/>
  <c r="L8" i="6" s="1"/>
  <c r="K10" i="6"/>
  <c r="L10" i="6" s="1"/>
  <c r="L163" i="6"/>
  <c r="B852" i="22"/>
  <c r="B865" i="22"/>
  <c r="B41" i="22"/>
  <c r="AG17" i="4"/>
  <c r="K293" i="8"/>
  <c r="L293" i="8" s="1"/>
  <c r="K287" i="8"/>
  <c r="L287" i="8" s="1"/>
  <c r="K375" i="8"/>
  <c r="L375" i="8" s="1"/>
  <c r="K415" i="8"/>
  <c r="L415" i="8" s="1"/>
  <c r="K394" i="8"/>
  <c r="L394" i="8" s="1"/>
  <c r="K173" i="8"/>
  <c r="K178" i="8"/>
  <c r="L178" i="8" s="1"/>
  <c r="K276" i="8"/>
  <c r="L276" i="8" s="1"/>
  <c r="K264" i="8"/>
  <c r="L264" i="8" s="1"/>
  <c r="K234" i="8"/>
  <c r="L234" i="8" s="1"/>
  <c r="K370" i="8"/>
  <c r="L370" i="8" s="1"/>
  <c r="K165" i="3"/>
  <c r="P165" i="3" s="1"/>
  <c r="K166" i="3"/>
  <c r="P166" i="3" s="1"/>
  <c r="K233" i="8"/>
  <c r="L233" i="8" s="1"/>
  <c r="K371" i="8"/>
  <c r="L371" i="8" s="1"/>
  <c r="K21" i="3"/>
  <c r="P21" i="3" s="1"/>
  <c r="K23" i="3" s="1"/>
  <c r="P23" i="3" s="1"/>
  <c r="K326" i="8"/>
  <c r="L326" i="8" s="1"/>
  <c r="K52" i="8"/>
  <c r="L52" i="8" s="1"/>
  <c r="K48" i="24"/>
  <c r="L48" i="24" s="1"/>
  <c r="K406" i="8"/>
  <c r="L406" i="8" s="1"/>
  <c r="K411" i="8"/>
  <c r="L411" i="8" s="1"/>
  <c r="L173" i="8"/>
  <c r="K166" i="8"/>
  <c r="L166" i="8" s="1"/>
  <c r="K49" i="8"/>
  <c r="L49" i="8" s="1"/>
  <c r="K186" i="8"/>
  <c r="L186" i="8" s="1"/>
  <c r="K323" i="8"/>
  <c r="L323" i="8" s="1"/>
  <c r="K44" i="24" a="1"/>
  <c r="K44" i="24" s="1"/>
  <c r="L44" i="24" s="1"/>
  <c r="L149" i="8"/>
  <c r="K149" i="8"/>
  <c r="L170" i="8"/>
  <c r="L10" i="8"/>
  <c r="G4" i="11" a="1"/>
  <c r="T4" i="11" a="1"/>
  <c r="X4" i="11" a="1"/>
  <c r="R4" i="11" a="1"/>
  <c r="I16" i="11" a="1"/>
  <c r="K4" i="11" a="1"/>
  <c r="AK4" i="11" a="1"/>
  <c r="AF32" i="11" a="1"/>
  <c r="AE4" i="11" a="1"/>
  <c r="D4" i="11" a="1"/>
  <c r="Y4" i="11" a="1"/>
  <c r="W4" i="11" a="1"/>
  <c r="N4" i="11" a="1"/>
  <c r="O4" i="11" a="1"/>
  <c r="P4" i="11" a="1"/>
  <c r="M4" i="11" a="1"/>
  <c r="AE31" i="11" a="1"/>
  <c r="R25" i="11" a="1"/>
  <c r="R25" i="11" l="1"/>
  <c r="AE31" i="11"/>
  <c r="M4" i="11"/>
  <c r="P4" i="11"/>
  <c r="O4" i="11"/>
  <c r="N4" i="11"/>
  <c r="W4" i="11"/>
  <c r="Y4" i="11"/>
  <c r="D4" i="11"/>
  <c r="AE4" i="11"/>
  <c r="AF32" i="11"/>
  <c r="AK4" i="11"/>
  <c r="K4" i="11"/>
  <c r="I16" i="11"/>
  <c r="R4" i="11"/>
  <c r="X4" i="11"/>
  <c r="T4" i="11"/>
  <c r="G4" i="11"/>
  <c r="K198" i="8"/>
  <c r="L198" i="8" s="1"/>
  <c r="K199" i="8"/>
  <c r="L199" i="8" s="1"/>
  <c r="K335" i="8"/>
  <c r="L335" i="8" s="1"/>
  <c r="K336" i="8"/>
  <c r="L336" i="8" s="1"/>
  <c r="K53" i="24"/>
  <c r="L53" i="24" s="1"/>
  <c r="K76" i="6"/>
  <c r="L76" i="6" s="1"/>
  <c r="K76" i="7"/>
  <c r="L76" i="7" s="1"/>
  <c r="K88" i="7"/>
  <c r="L88" i="7" s="1"/>
  <c r="K61" i="8"/>
  <c r="L61" i="8" s="1"/>
  <c r="B604" i="22"/>
  <c r="B605" i="22"/>
  <c r="B606" i="22"/>
  <c r="K70" i="6"/>
  <c r="L70" i="6" s="1"/>
  <c r="K82" i="6"/>
  <c r="L82" i="6" s="1"/>
  <c r="K82" i="7"/>
  <c r="L82" i="7" s="1"/>
  <c r="K62" i="8"/>
  <c r="L62" i="8" s="1"/>
  <c r="B610" i="22"/>
  <c r="B603" i="22"/>
  <c r="B608" i="22"/>
  <c r="K325" i="8"/>
  <c r="L325" i="8" s="1"/>
  <c r="K322" i="8" s="1"/>
  <c r="L322" i="8" s="1"/>
  <c r="B544" i="22"/>
  <c r="K5" i="8"/>
  <c r="L5" i="8" s="1"/>
  <c r="K6" i="8"/>
  <c r="L6" i="8" s="1"/>
  <c r="K7" i="8"/>
  <c r="L7" i="8" s="1"/>
  <c r="K9" i="8"/>
  <c r="L9" i="8" s="1"/>
  <c r="B854" i="22"/>
  <c r="B864" i="22"/>
  <c r="B868" i="22"/>
  <c r="B160" i="22"/>
  <c r="K8" i="8"/>
  <c r="L8" i="8" s="1"/>
  <c r="B159" i="22"/>
  <c r="L111" i="8"/>
  <c r="B839" i="22"/>
  <c r="B856" i="22"/>
  <c r="K47" i="24"/>
  <c r="L47" i="24" s="1"/>
  <c r="K42" i="24" s="1"/>
  <c r="L42" i="24" s="1"/>
  <c r="K188" i="8"/>
  <c r="L188" i="8" s="1"/>
  <c r="B540" i="22"/>
  <c r="K237" i="8"/>
  <c r="L237" i="8" s="1"/>
  <c r="B688" i="22"/>
  <c r="K290" i="8"/>
  <c r="L290" i="8" s="1"/>
  <c r="B167" i="22"/>
  <c r="B857" i="22"/>
  <c r="CH35" i="4"/>
  <c r="AG48" i="4"/>
  <c r="B466" i="22"/>
  <c r="B454" i="22"/>
  <c r="B448" i="22"/>
  <c r="B130" i="22"/>
  <c r="B139" i="22"/>
  <c r="B442" i="22"/>
  <c r="B439" i="22"/>
  <c r="B451" i="22"/>
  <c r="B469" i="22"/>
  <c r="L218" i="7"/>
  <c r="I830" i="18"/>
  <c r="L180" i="7"/>
  <c r="I792" i="18"/>
  <c r="L182" i="7"/>
  <c r="I794" i="18"/>
  <c r="L184" i="7"/>
  <c r="I796" i="18"/>
  <c r="L174" i="7"/>
  <c r="I786" i="18"/>
  <c r="L168" i="7"/>
  <c r="I780" i="18"/>
  <c r="I777" i="18"/>
  <c r="L165" i="7"/>
  <c r="L136" i="7"/>
  <c r="I748" i="18"/>
  <c r="I717" i="18"/>
  <c r="L105" i="7"/>
  <c r="L95" i="7"/>
  <c r="I707" i="18"/>
  <c r="I698" i="18"/>
  <c r="L86" i="7"/>
  <c r="L80" i="7"/>
  <c r="I692" i="18"/>
  <c r="I653" i="18"/>
  <c r="L41" i="7"/>
  <c r="L36" i="7"/>
  <c r="I648" i="18"/>
  <c r="L25" i="7"/>
  <c r="I637" i="18"/>
  <c r="L211" i="6"/>
  <c r="I605" i="18"/>
  <c r="I607" i="18"/>
  <c r="L213" i="6"/>
  <c r="L175" i="6"/>
  <c r="I569" i="18"/>
  <c r="L177" i="6"/>
  <c r="I571" i="18"/>
  <c r="L179" i="6"/>
  <c r="I573" i="18"/>
  <c r="I563" i="18"/>
  <c r="L169" i="6"/>
  <c r="L159" i="6"/>
  <c r="I553" i="18"/>
  <c r="I524" i="18"/>
  <c r="L130" i="6"/>
  <c r="L99" i="6"/>
  <c r="I493" i="18"/>
  <c r="L86" i="6"/>
  <c r="I480" i="18"/>
  <c r="L75" i="6"/>
  <c r="I469" i="18"/>
  <c r="L39" i="6"/>
  <c r="I433" i="18"/>
  <c r="L33" i="6"/>
  <c r="I427" i="18"/>
  <c r="K21" i="24"/>
  <c r="L21" i="24" s="1"/>
  <c r="K35" i="24"/>
  <c r="L35" i="24" s="1"/>
  <c r="K36" i="24"/>
  <c r="L36" i="24" s="1"/>
  <c r="P150" i="3"/>
  <c r="I256" i="18"/>
  <c r="P130" i="3"/>
  <c r="I236" i="18"/>
  <c r="I633" i="18"/>
  <c r="L21" i="7"/>
  <c r="P131" i="3"/>
  <c r="I237" i="18"/>
  <c r="P170" i="3"/>
  <c r="B398" i="22" s="1"/>
  <c r="I276" i="18"/>
  <c r="P134" i="3"/>
  <c r="I240" i="18"/>
  <c r="B19" i="22"/>
  <c r="B409" i="22"/>
  <c r="B410" i="22"/>
  <c r="K51" i="8"/>
  <c r="L51" i="8" s="1"/>
  <c r="B542" i="22"/>
  <c r="K413" i="8"/>
  <c r="L413" i="8" s="1"/>
  <c r="K401" i="8"/>
  <c r="L401" i="8" s="1"/>
  <c r="B471" i="22"/>
  <c r="K412" i="8"/>
  <c r="L412" i="8" s="1"/>
  <c r="B568" i="22"/>
  <c r="B570" i="22"/>
  <c r="K176" i="8"/>
  <c r="L176" i="8" s="1"/>
  <c r="K177" i="8"/>
  <c r="L177" i="8" s="1"/>
  <c r="B501" i="22"/>
  <c r="B523" i="22"/>
  <c r="B131" i="22"/>
  <c r="B140" i="22"/>
  <c r="K310" i="8"/>
  <c r="L310" i="8" s="1"/>
  <c r="K315" i="8"/>
  <c r="L315" i="8" s="1"/>
  <c r="B518" i="22"/>
  <c r="B519" i="22"/>
  <c r="B713" i="22"/>
  <c r="B515" i="22"/>
  <c r="B514" i="22"/>
  <c r="B480" i="22"/>
  <c r="B482" i="22"/>
  <c r="B445" i="22"/>
  <c r="B504" i="22"/>
  <c r="B503" i="22"/>
  <c r="B68" i="22"/>
  <c r="L217" i="7"/>
  <c r="I829" i="18"/>
  <c r="I831" i="18"/>
  <c r="L219" i="7"/>
  <c r="L181" i="7"/>
  <c r="I793" i="18"/>
  <c r="L183" i="7"/>
  <c r="I795" i="18"/>
  <c r="L185" i="7"/>
  <c r="I797" i="18"/>
  <c r="L175" i="7"/>
  <c r="I787" i="18"/>
  <c r="L169" i="7"/>
  <c r="I781" i="18"/>
  <c r="L135" i="7"/>
  <c r="I747" i="18"/>
  <c r="I722" i="18"/>
  <c r="L110" i="7"/>
  <c r="L100" i="7"/>
  <c r="I712" i="18"/>
  <c r="I704" i="18"/>
  <c r="L92" i="7"/>
  <c r="L87" i="7"/>
  <c r="I699" i="18"/>
  <c r="I693" i="18"/>
  <c r="L81" i="7"/>
  <c r="L39" i="7"/>
  <c r="I651" i="18"/>
  <c r="I645" i="18"/>
  <c r="L33" i="7"/>
  <c r="L26" i="7"/>
  <c r="I638" i="18"/>
  <c r="L212" i="6"/>
  <c r="I606" i="18"/>
  <c r="L174" i="6"/>
  <c r="I568" i="18"/>
  <c r="I570" i="18"/>
  <c r="L176" i="6"/>
  <c r="L178" i="6"/>
  <c r="I572" i="18"/>
  <c r="L168" i="6"/>
  <c r="I562" i="18"/>
  <c r="L162" i="6"/>
  <c r="I556" i="18"/>
  <c r="L129" i="6"/>
  <c r="I523" i="18"/>
  <c r="L104" i="6"/>
  <c r="I498" i="18"/>
  <c r="L94" i="6"/>
  <c r="I488" i="18"/>
  <c r="I468" i="18"/>
  <c r="L74" i="6"/>
  <c r="L41" i="6"/>
  <c r="I435" i="18"/>
  <c r="L36" i="6"/>
  <c r="I430" i="18"/>
  <c r="L25" i="6"/>
  <c r="I419" i="18"/>
  <c r="K23" i="24"/>
  <c r="L23" i="24" s="1"/>
  <c r="I238" i="18"/>
  <c r="P132" i="3"/>
  <c r="K132" i="24"/>
  <c r="L132" i="24" s="1"/>
  <c r="K129" i="24"/>
  <c r="L129" i="24" s="1"/>
  <c r="P148" i="3"/>
  <c r="I254" i="18"/>
  <c r="L21" i="6"/>
  <c r="I415" i="18"/>
  <c r="K86" i="24"/>
  <c r="L86" i="24" s="1"/>
  <c r="K87" i="24"/>
  <c r="L87" i="24" s="1"/>
  <c r="K27" i="24"/>
  <c r="L27" i="24" s="1"/>
  <c r="K26" i="24" s="1"/>
  <c r="L26" i="24" s="1"/>
  <c r="P149" i="3"/>
  <c r="I255" i="18"/>
  <c r="P152" i="3"/>
  <c r="I258" i="18"/>
  <c r="P119" i="3"/>
  <c r="I225" i="18"/>
  <c r="AA4" i="11" a="1"/>
  <c r="AD4" i="11" a="1"/>
  <c r="AN4" i="11" a="1"/>
  <c r="N13" i="2" a="1"/>
  <c r="N15" i="2" a="1"/>
  <c r="N24" i="2" a="1"/>
  <c r="N27" i="2" a="1"/>
  <c r="N29" i="2" a="1"/>
  <c r="N33" i="2" a="1"/>
  <c r="AF38" i="11" a="1"/>
  <c r="Z4" i="11" a="1"/>
  <c r="AB4" i="11" a="1"/>
  <c r="AC4" i="11" a="1"/>
  <c r="AG37" i="11" a="1"/>
  <c r="AK32" i="11" a="1"/>
  <c r="K103" i="24" l="1"/>
  <c r="L103" i="24" s="1"/>
  <c r="AK32" i="11"/>
  <c r="AG37" i="11"/>
  <c r="AC4" i="11"/>
  <c r="AB4" i="11"/>
  <c r="Z4" i="11"/>
  <c r="AF38" i="11"/>
  <c r="N33" i="2"/>
  <c r="A10" i="569" s="1"/>
  <c r="N29" i="2"/>
  <c r="N27" i="2"/>
  <c r="N24" i="2"/>
  <c r="A11" i="569" s="1"/>
  <c r="N15" i="2"/>
  <c r="J17" i="3" s="1"/>
  <c r="P17" i="3" s="1"/>
  <c r="N13" i="2"/>
  <c r="A12" i="569" s="1"/>
  <c r="AN4" i="11"/>
  <c r="AD4" i="11"/>
  <c r="AA4" i="11"/>
  <c r="K25" i="24"/>
  <c r="L25" i="24" s="1"/>
  <c r="K104" i="24"/>
  <c r="L104" i="24" s="1"/>
  <c r="K102" i="24" s="1"/>
  <c r="L102" i="24" s="1"/>
  <c r="M1196" i="18"/>
  <c r="N1196" i="18"/>
  <c r="K1196" i="18"/>
  <c r="O1196" i="18"/>
  <c r="L1196" i="18"/>
  <c r="K5" i="6"/>
  <c r="L5" i="6" s="1"/>
  <c r="B840" i="22"/>
  <c r="B166" i="22"/>
  <c r="B162" i="22"/>
  <c r="B164" i="22"/>
  <c r="B163" i="22"/>
  <c r="B161" i="22"/>
  <c r="B165" i="22"/>
  <c r="K211" i="7"/>
  <c r="L211" i="7" s="1"/>
  <c r="B546" i="22"/>
  <c r="B805" i="22"/>
  <c r="K678" i="18"/>
  <c r="N678" i="18"/>
  <c r="L680" i="18"/>
  <c r="M680" i="18"/>
  <c r="L678" i="18"/>
  <c r="M678" i="18"/>
  <c r="K69" i="7"/>
  <c r="L69" i="7" s="1"/>
  <c r="K204" i="7"/>
  <c r="L204" i="7" s="1"/>
  <c r="B810" i="22"/>
  <c r="I71" i="16"/>
  <c r="K680" i="18"/>
  <c r="O678" i="18"/>
  <c r="N680" i="18"/>
  <c r="B722" i="22"/>
  <c r="O680" i="18"/>
  <c r="K133" i="24"/>
  <c r="L133" i="24" s="1"/>
  <c r="K124" i="24"/>
  <c r="L124" i="24" s="1"/>
  <c r="K9" i="6"/>
  <c r="L9" i="6" s="1"/>
  <c r="B850" i="22"/>
  <c r="B283" i="22"/>
  <c r="K37" i="6"/>
  <c r="L37" i="6" s="1"/>
  <c r="B290" i="22"/>
  <c r="K42" i="6"/>
  <c r="L42" i="6" s="1"/>
  <c r="K10" i="7"/>
  <c r="L10" i="7" s="1"/>
  <c r="B851" i="22"/>
  <c r="K40" i="7"/>
  <c r="L40" i="7" s="1"/>
  <c r="B284" i="22"/>
  <c r="B876" i="22"/>
  <c r="K57" i="7"/>
  <c r="L57" i="7" s="1"/>
  <c r="K374" i="8"/>
  <c r="L374" i="8" s="1"/>
  <c r="B692" i="22"/>
  <c r="K5" i="7"/>
  <c r="L5" i="7" s="1"/>
  <c r="B157" i="22"/>
  <c r="B156" i="22"/>
  <c r="B838" i="22"/>
  <c r="B153" i="22"/>
  <c r="B155" i="22"/>
  <c r="B158" i="22"/>
  <c r="B154" i="22"/>
  <c r="K63" i="6"/>
  <c r="L63" i="6" s="1"/>
  <c r="K198" i="6"/>
  <c r="L198" i="6" s="1"/>
  <c r="K205" i="6"/>
  <c r="L205" i="6" s="1"/>
  <c r="I54" i="16"/>
  <c r="L456" i="18"/>
  <c r="K466" i="18"/>
  <c r="K456" i="18"/>
  <c r="K45" i="24"/>
  <c r="L45" i="24" s="1"/>
  <c r="M456" i="18"/>
  <c r="N454" i="18"/>
  <c r="O456" i="18"/>
  <c r="K472" i="18"/>
  <c r="B548" i="22"/>
  <c r="B807" i="22"/>
  <c r="B812" i="22"/>
  <c r="L454" i="18"/>
  <c r="K454" i="18"/>
  <c r="N456" i="18"/>
  <c r="O454" i="18"/>
  <c r="B724" i="22"/>
  <c r="M454" i="18"/>
  <c r="K460" i="18"/>
  <c r="I73" i="16"/>
  <c r="B815" i="22"/>
  <c r="B795" i="22"/>
  <c r="K33" i="24"/>
  <c r="L33" i="24" s="1"/>
  <c r="K32" i="24"/>
  <c r="L32" i="24" s="1"/>
  <c r="B281" i="22"/>
  <c r="K34" i="6"/>
  <c r="L34" i="6" s="1"/>
  <c r="K40" i="6"/>
  <c r="L40" i="6" s="1"/>
  <c r="B285" i="22"/>
  <c r="B394" i="22"/>
  <c r="K155" i="6"/>
  <c r="L155" i="6" s="1"/>
  <c r="K157" i="6"/>
  <c r="L157" i="6" s="1"/>
  <c r="B396" i="22"/>
  <c r="K9" i="7"/>
  <c r="L9" i="7" s="1"/>
  <c r="B849" i="22"/>
  <c r="K37" i="7"/>
  <c r="L37" i="7" s="1"/>
  <c r="B282" i="22"/>
  <c r="B313" i="22"/>
  <c r="B318" i="22"/>
  <c r="B470" i="22"/>
  <c r="K34" i="8"/>
  <c r="L34" i="8" s="1"/>
  <c r="B529" i="22"/>
  <c r="B526" i="22"/>
  <c r="B421" i="22"/>
  <c r="B425" i="22"/>
  <c r="B423" i="22"/>
  <c r="B424" i="22"/>
  <c r="B422" i="22"/>
  <c r="K28" i="8"/>
  <c r="L28" i="8" s="1"/>
  <c r="K14" i="24"/>
  <c r="L14" i="24" s="1"/>
  <c r="K6" i="24" s="1"/>
  <c r="L6" i="24" s="1"/>
  <c r="I44" i="16"/>
  <c r="B187" i="22"/>
  <c r="K23" i="7"/>
  <c r="L23" i="7" s="1"/>
  <c r="I75" i="16"/>
  <c r="K143" i="7"/>
  <c r="L143" i="7" s="1"/>
  <c r="K46" i="7"/>
  <c r="L46" i="7" s="1"/>
  <c r="B694" i="22"/>
  <c r="B699" i="22"/>
  <c r="K142" i="7"/>
  <c r="L142" i="7" s="1"/>
  <c r="I72" i="16"/>
  <c r="B787" i="22"/>
  <c r="K76" i="24"/>
  <c r="L76" i="24" s="1"/>
  <c r="K77" i="24"/>
  <c r="L77" i="24" s="1"/>
  <c r="B817" i="22"/>
  <c r="I56" i="16"/>
  <c r="B797" i="22"/>
  <c r="B280" i="22"/>
  <c r="K34" i="7"/>
  <c r="L34" i="7" s="1"/>
  <c r="K313" i="8"/>
  <c r="L313" i="8" s="1"/>
  <c r="K314" i="8"/>
  <c r="L314" i="8" s="1"/>
  <c r="B520" i="22"/>
  <c r="B532" i="22"/>
  <c r="K184" i="8"/>
  <c r="L184" i="8" s="1"/>
  <c r="B315" i="22"/>
  <c r="K47" i="8"/>
  <c r="L47" i="8" s="1"/>
  <c r="B320" i="22"/>
  <c r="K185" i="8"/>
  <c r="L185" i="8" s="1"/>
  <c r="K23" i="6"/>
  <c r="L23" i="6" s="1"/>
  <c r="I58" i="16"/>
  <c r="B188" i="22"/>
  <c r="K18" i="3"/>
  <c r="P18" i="3" s="1"/>
  <c r="B397" i="22"/>
  <c r="B399" i="22"/>
  <c r="K17" i="3"/>
  <c r="K244" i="8"/>
  <c r="L244" i="8" s="1"/>
  <c r="K381" i="8"/>
  <c r="L381" i="8" s="1"/>
  <c r="K136" i="6"/>
  <c r="L136" i="6" s="1"/>
  <c r="B696" i="22"/>
  <c r="B701" i="22"/>
  <c r="K137" i="6"/>
  <c r="L137" i="6" s="1"/>
  <c r="K45" i="6"/>
  <c r="L45" i="6" s="1"/>
  <c r="B788" i="22"/>
  <c r="I55" i="16"/>
  <c r="K42" i="7"/>
  <c r="L42" i="7" s="1"/>
  <c r="B393" i="22" s="1"/>
  <c r="B288" i="22"/>
  <c r="K161" i="7"/>
  <c r="L161" i="7" s="1"/>
  <c r="K107" i="8"/>
  <c r="L107" i="8" s="1"/>
  <c r="B477" i="22"/>
  <c r="K48" i="8"/>
  <c r="L48" i="8" s="1"/>
  <c r="B474" i="22"/>
  <c r="K41" i="8"/>
  <c r="L41" i="8" s="1"/>
  <c r="B511" i="22"/>
  <c r="B509" i="22"/>
  <c r="B712" i="22"/>
  <c r="B508" i="22"/>
  <c r="K32" i="8"/>
  <c r="L32" i="8" s="1"/>
  <c r="K31" i="8"/>
  <c r="L31" i="8" s="1"/>
  <c r="B317" i="22"/>
  <c r="B322" i="22"/>
  <c r="K321" i="8"/>
  <c r="L321" i="8" s="1"/>
  <c r="K27" i="8"/>
  <c r="L27" i="8" s="1"/>
  <c r="K43" i="24"/>
  <c r="L43" i="24" s="1"/>
  <c r="K41" i="24" s="1"/>
  <c r="I41" i="24" s="1"/>
  <c r="L41" i="24" s="1"/>
  <c r="D13" i="11" a="1"/>
  <c r="L4" i="11" a="1"/>
  <c r="Q4" i="11" a="1"/>
  <c r="AB43" i="11" a="1"/>
  <c r="Z41" i="11" a="1"/>
  <c r="AK43" i="11" a="1"/>
  <c r="AA42" i="11" a="1"/>
  <c r="H9" i="11" a="1"/>
  <c r="H4" i="11" a="1"/>
  <c r="V4" i="11" a="1"/>
  <c r="U4" i="11" a="1"/>
  <c r="E4" i="11" a="1"/>
  <c r="AL42" i="11" a="1"/>
  <c r="AA37" i="11" a="1"/>
  <c r="Z36" i="11" a="1"/>
  <c r="Z36" i="11" l="1"/>
  <c r="AA37" i="11"/>
  <c r="AL42" i="11"/>
  <c r="E4" i="11"/>
  <c r="U4" i="11"/>
  <c r="V4" i="11"/>
  <c r="H4" i="11"/>
  <c r="H9" i="11"/>
  <c r="AA42" i="11"/>
  <c r="AK43" i="11"/>
  <c r="Z41" i="11"/>
  <c r="AB43" i="11"/>
  <c r="Q4" i="11"/>
  <c r="L4" i="11"/>
  <c r="D13" i="11"/>
  <c r="K84" i="24"/>
  <c r="L84" i="24" s="1"/>
  <c r="K122" i="24"/>
  <c r="L122" i="24" s="1"/>
  <c r="K127" i="24"/>
  <c r="L127" i="24" s="1"/>
  <c r="K79" i="24"/>
  <c r="L79" i="24" s="1"/>
  <c r="K78" i="24"/>
  <c r="L78" i="24" s="1"/>
  <c r="K80" i="24"/>
  <c r="L80" i="24" s="1"/>
  <c r="K39" i="8"/>
  <c r="L39" i="8" s="1"/>
  <c r="B527" i="22"/>
  <c r="K40" i="8"/>
  <c r="L40" i="8" s="1"/>
  <c r="B512" i="22"/>
  <c r="K87" i="8"/>
  <c r="L87" i="8" s="1"/>
  <c r="M922" i="18"/>
  <c r="O922" i="18"/>
  <c r="N922" i="18"/>
  <c r="L922" i="18"/>
  <c r="K922" i="18"/>
  <c r="K108" i="8"/>
  <c r="L108" i="8" s="1"/>
  <c r="B744" i="22"/>
  <c r="K162" i="7"/>
  <c r="L162" i="7" s="1"/>
  <c r="B739" i="22"/>
  <c r="K382" i="8"/>
  <c r="L382" i="8" s="1"/>
  <c r="B745" i="22"/>
  <c r="B861" i="22"/>
  <c r="K7" i="6"/>
  <c r="L7" i="6" s="1"/>
  <c r="B412" i="22"/>
  <c r="B460" i="22"/>
  <c r="K158" i="6"/>
  <c r="L158" i="6" s="1"/>
  <c r="B742" i="22"/>
  <c r="K30" i="24"/>
  <c r="L30" i="24" s="1"/>
  <c r="B464" i="22"/>
  <c r="K214" i="7"/>
  <c r="L214" i="7" s="1"/>
  <c r="K197" i="7"/>
  <c r="L197" i="7" s="1"/>
  <c r="K213" i="7"/>
  <c r="L213" i="7" s="1"/>
  <c r="K215" i="7"/>
  <c r="L215" i="7" s="1"/>
  <c r="B459" i="22"/>
  <c r="K216" i="7"/>
  <c r="L216" i="7" s="1"/>
  <c r="B559" i="22"/>
  <c r="B463" i="22"/>
  <c r="K212" i="7"/>
  <c r="L212" i="7" s="1"/>
  <c r="B564" i="22"/>
  <c r="K196" i="7"/>
  <c r="L196" i="7" s="1"/>
  <c r="B555" i="22"/>
  <c r="B557" i="22"/>
  <c r="B562" i="22"/>
  <c r="B25" i="22"/>
  <c r="B430" i="22"/>
  <c r="B428" i="22"/>
  <c r="B433" i="22"/>
  <c r="B429" i="22"/>
  <c r="B432" i="22"/>
  <c r="B431" i="22"/>
  <c r="K361" i="8"/>
  <c r="L361" i="8" s="1"/>
  <c r="K320" i="8"/>
  <c r="I320" i="8" s="1"/>
  <c r="B327" i="22"/>
  <c r="B18" i="22"/>
  <c r="B214" i="22"/>
  <c r="K360" i="8"/>
  <c r="L360" i="8" s="1"/>
  <c r="B395" i="22"/>
  <c r="K163" i="7"/>
  <c r="L163" i="7" s="1"/>
  <c r="B427" i="22"/>
  <c r="K44" i="6"/>
  <c r="L44" i="6" s="1"/>
  <c r="K245" i="8"/>
  <c r="L245" i="8" s="1"/>
  <c r="B743" i="22"/>
  <c r="K224" i="8"/>
  <c r="L224" i="8" s="1"/>
  <c r="K1059" i="18"/>
  <c r="M1059" i="18"/>
  <c r="N1059" i="18"/>
  <c r="L1059" i="18"/>
  <c r="O1059" i="18"/>
  <c r="K46" i="8"/>
  <c r="I46" i="8" s="1"/>
  <c r="B16" i="22"/>
  <c r="B325" i="22"/>
  <c r="K86" i="8"/>
  <c r="L86" i="8" s="1"/>
  <c r="B212" i="22"/>
  <c r="K183" i="8"/>
  <c r="I183" i="8" s="1"/>
  <c r="B210" i="22"/>
  <c r="B323" i="22"/>
  <c r="B14" i="22"/>
  <c r="K223" i="8"/>
  <c r="L223" i="8" s="1"/>
  <c r="K7" i="7"/>
  <c r="L7" i="7" s="1"/>
  <c r="B860" i="22"/>
  <c r="K156" i="6"/>
  <c r="L156" i="6" s="1"/>
  <c r="B740" i="22"/>
  <c r="K31" i="24"/>
  <c r="L31" i="24" s="1"/>
  <c r="K208" i="6"/>
  <c r="L208" i="6" s="1"/>
  <c r="K191" i="6"/>
  <c r="L191" i="6" s="1"/>
  <c r="B461" i="22"/>
  <c r="K206" i="6"/>
  <c r="L206" i="6" s="1"/>
  <c r="B565" i="22"/>
  <c r="K210" i="6"/>
  <c r="L210" i="6" s="1"/>
  <c r="B465" i="22"/>
  <c r="K209" i="6"/>
  <c r="L209" i="6" s="1"/>
  <c r="B563" i="22"/>
  <c r="K190" i="6"/>
  <c r="L190" i="6" s="1"/>
  <c r="K207" i="6"/>
  <c r="L207" i="6" s="1"/>
  <c r="B556" i="22"/>
  <c r="B560" i="22"/>
  <c r="B558" i="22"/>
  <c r="K64" i="6"/>
  <c r="L64" i="6" s="1"/>
  <c r="B543" i="22"/>
  <c r="B416" i="22"/>
  <c r="B417" i="22"/>
  <c r="B414" i="22"/>
  <c r="B418" i="22"/>
  <c r="B415" i="22"/>
  <c r="B413" i="22"/>
  <c r="B419" i="22"/>
  <c r="B20" i="22"/>
  <c r="K52" i="7"/>
  <c r="L52" i="7" s="1"/>
  <c r="K53" i="7"/>
  <c r="L53" i="7" s="1"/>
  <c r="B870" i="22"/>
  <c r="B492" i="22"/>
  <c r="B462" i="22"/>
  <c r="B541" i="22"/>
  <c r="K70" i="7"/>
  <c r="L70" i="7" s="1"/>
  <c r="K193" i="8"/>
  <c r="L193" i="8" s="1"/>
  <c r="K345" i="8"/>
  <c r="L345" i="8" s="1"/>
  <c r="K329" i="8"/>
  <c r="L329" i="8" s="1"/>
  <c r="K330" i="8"/>
  <c r="L330" i="8" s="1"/>
  <c r="K340" i="8"/>
  <c r="L340" i="8" s="1"/>
  <c r="K61" i="24"/>
  <c r="L61" i="24" s="1"/>
  <c r="K208" i="8"/>
  <c r="L208" i="8" s="1"/>
  <c r="K192" i="8"/>
  <c r="L192" i="8" s="1"/>
  <c r="K50" i="24"/>
  <c r="L50" i="24" s="1"/>
  <c r="K79" i="6"/>
  <c r="L79" i="6" s="1"/>
  <c r="K85" i="7"/>
  <c r="L85" i="7" s="1"/>
  <c r="K56" i="8"/>
  <c r="L56" i="8" s="1"/>
  <c r="K66" i="8"/>
  <c r="L66" i="8" s="1"/>
  <c r="B629" i="22"/>
  <c r="B627" i="22"/>
  <c r="B615" i="22"/>
  <c r="K74" i="3"/>
  <c r="B625" i="22"/>
  <c r="B636" i="22"/>
  <c r="B638" i="22"/>
  <c r="B635" i="22"/>
  <c r="B637" i="22"/>
  <c r="K93" i="6"/>
  <c r="L93" i="6" s="1"/>
  <c r="B341" i="22" s="1"/>
  <c r="K88" i="6"/>
  <c r="L88" i="6" s="1"/>
  <c r="K99" i="7"/>
  <c r="L99" i="7" s="1"/>
  <c r="B340" i="22" s="1"/>
  <c r="K94" i="7"/>
  <c r="L94" i="7" s="1"/>
  <c r="K93" i="7" s="1"/>
  <c r="L93" i="7" s="1"/>
  <c r="K71" i="8"/>
  <c r="L71" i="8" s="1"/>
  <c r="K55" i="8"/>
  <c r="L55" i="8" s="1"/>
  <c r="K75" i="3"/>
  <c r="B616" i="22"/>
  <c r="B628" i="22"/>
  <c r="B624" i="22"/>
  <c r="B621" i="22"/>
  <c r="B626" i="22"/>
  <c r="B630" i="22"/>
  <c r="B640" i="22"/>
  <c r="B642" i="22"/>
  <c r="B639" i="22"/>
  <c r="B641" i="22"/>
  <c r="K103" i="6"/>
  <c r="L103" i="6" s="1"/>
  <c r="B354" i="22" s="1"/>
  <c r="K73" i="6"/>
  <c r="L73" i="6" s="1"/>
  <c r="B634" i="22"/>
  <c r="K79" i="7"/>
  <c r="L79" i="7" s="1"/>
  <c r="B632" i="22"/>
  <c r="B623" i="22"/>
  <c r="K85" i="6"/>
  <c r="L85" i="6" s="1"/>
  <c r="K84" i="6" s="1"/>
  <c r="L84" i="6" s="1"/>
  <c r="K109" i="7"/>
  <c r="L109" i="7" s="1"/>
  <c r="B353" i="22" s="1"/>
  <c r="K98" i="6"/>
  <c r="L98" i="6" s="1"/>
  <c r="K97" i="6" s="1"/>
  <c r="L97" i="6" s="1"/>
  <c r="B618" i="22"/>
  <c r="B620" i="22"/>
  <c r="K67" i="6"/>
  <c r="L67" i="6" s="1"/>
  <c r="B631" i="22"/>
  <c r="K73" i="7"/>
  <c r="L73" i="7" s="1"/>
  <c r="B633" i="22"/>
  <c r="K91" i="7"/>
  <c r="L91" i="7" s="1"/>
  <c r="B652" i="22" s="1"/>
  <c r="K56" i="24"/>
  <c r="L56" i="24" s="1"/>
  <c r="K55" i="24" s="1"/>
  <c r="L55" i="24" s="1"/>
  <c r="K109" i="24" s="1"/>
  <c r="L109" i="24" s="1"/>
  <c r="K100" i="24" s="1"/>
  <c r="L100" i="24" s="1"/>
  <c r="B622" i="22"/>
  <c r="K104" i="7"/>
  <c r="L104" i="7" s="1"/>
  <c r="B351" i="22" s="1"/>
  <c r="B617" i="22"/>
  <c r="B619" i="22"/>
  <c r="K203" i="8"/>
  <c r="L203" i="8" s="1"/>
  <c r="J4" i="11" a="1"/>
  <c r="J10" i="11" a="1"/>
  <c r="H22" i="11" a="1"/>
  <c r="S4" i="11" a="1"/>
  <c r="S25" i="11" a="1"/>
  <c r="AA33" i="11" a="1"/>
  <c r="AB32" i="11" a="1"/>
  <c r="E15" i="11" a="1"/>
  <c r="G10" i="11" a="1"/>
  <c r="G10" i="11" l="1"/>
  <c r="E15" i="11"/>
  <c r="AB32" i="11"/>
  <c r="AA33" i="11"/>
  <c r="S25" i="11"/>
  <c r="S4" i="11"/>
  <c r="H22" i="11"/>
  <c r="J10" i="11"/>
  <c r="J4" i="11"/>
  <c r="K165" i="6"/>
  <c r="L165" i="6" s="1"/>
  <c r="B202" i="22"/>
  <c r="K53" i="8"/>
  <c r="L53" i="8" s="1"/>
  <c r="O889" i="18"/>
  <c r="K889" i="18"/>
  <c r="B364" i="22"/>
  <c r="N889" i="18"/>
  <c r="L889" i="18"/>
  <c r="M889" i="18"/>
  <c r="K173" i="7"/>
  <c r="L173" i="7" s="1"/>
  <c r="B203" i="22"/>
  <c r="B655" i="22"/>
  <c r="K87" i="6"/>
  <c r="L87" i="6" s="1"/>
  <c r="N890" i="18"/>
  <c r="L890" i="18"/>
  <c r="K54" i="8"/>
  <c r="L54" i="8" s="1"/>
  <c r="M890" i="18"/>
  <c r="K890" i="18"/>
  <c r="B368" i="22"/>
  <c r="O890" i="18"/>
  <c r="M472" i="18"/>
  <c r="N472" i="18"/>
  <c r="O472" i="18"/>
  <c r="K78" i="6"/>
  <c r="L78" i="6" s="1"/>
  <c r="L472" i="18"/>
  <c r="B365" i="22"/>
  <c r="K190" i="8"/>
  <c r="L190" i="8" s="1"/>
  <c r="O1026" i="18"/>
  <c r="B362" i="22"/>
  <c r="K1026" i="18"/>
  <c r="N1026" i="18"/>
  <c r="L1026" i="18"/>
  <c r="M1026" i="18"/>
  <c r="K58" i="24"/>
  <c r="L58" i="24" s="1"/>
  <c r="K59" i="24"/>
  <c r="L59" i="24" s="1"/>
  <c r="K60" i="24"/>
  <c r="L60" i="24" s="1"/>
  <c r="K328" i="8"/>
  <c r="L328" i="8" s="1"/>
  <c r="L1164" i="18"/>
  <c r="N1164" i="18"/>
  <c r="K1164" i="18"/>
  <c r="B369" i="22"/>
  <c r="M1164" i="18"/>
  <c r="O1164" i="18"/>
  <c r="B348" i="22"/>
  <c r="B658" i="22"/>
  <c r="B357" i="22"/>
  <c r="K343" i="8"/>
  <c r="L343" i="8" s="1"/>
  <c r="K344" i="8"/>
  <c r="L344" i="8" s="1"/>
  <c r="K342" i="8"/>
  <c r="L342" i="8" s="1"/>
  <c r="B645" i="22"/>
  <c r="K106" i="7"/>
  <c r="L106" i="7" s="1"/>
  <c r="B643" i="22"/>
  <c r="K67" i="7"/>
  <c r="L67" i="7" s="1"/>
  <c r="B319" i="22"/>
  <c r="K68" i="7"/>
  <c r="L68" i="7" s="1"/>
  <c r="B314" i="22"/>
  <c r="B481" i="22"/>
  <c r="K48" i="7"/>
  <c r="L48" i="7" s="1"/>
  <c r="K56" i="7"/>
  <c r="L56" i="7" s="1"/>
  <c r="B875" i="22"/>
  <c r="K95" i="6"/>
  <c r="L95" i="6" s="1"/>
  <c r="B648" i="22"/>
  <c r="B644" i="22"/>
  <c r="B316" i="22"/>
  <c r="K61" i="6"/>
  <c r="L61" i="6" s="1"/>
  <c r="K62" i="6"/>
  <c r="L62" i="6" s="1"/>
  <c r="B321" i="22"/>
  <c r="K142" i="6"/>
  <c r="L142" i="6" s="1"/>
  <c r="B691" i="22"/>
  <c r="K91" i="6"/>
  <c r="L91" i="6" s="1"/>
  <c r="K92" i="6"/>
  <c r="L92" i="6" s="1"/>
  <c r="K97" i="7"/>
  <c r="L97" i="7" s="1"/>
  <c r="L46" i="8"/>
  <c r="I882" i="18"/>
  <c r="K242" i="8"/>
  <c r="L242" i="8" s="1"/>
  <c r="K164" i="7"/>
  <c r="L164" i="7" s="1"/>
  <c r="B741" i="22"/>
  <c r="K148" i="7"/>
  <c r="L148" i="7" s="1"/>
  <c r="B689" i="22"/>
  <c r="B343" i="22"/>
  <c r="B344" i="22"/>
  <c r="B345" i="22"/>
  <c r="B760" i="22"/>
  <c r="K153" i="6"/>
  <c r="L153" i="6" s="1"/>
  <c r="K103" i="7"/>
  <c r="L103" i="7" s="1"/>
  <c r="B349" i="22"/>
  <c r="K98" i="7"/>
  <c r="L98" i="7" s="1"/>
  <c r="B737" i="22"/>
  <c r="K106" i="8"/>
  <c r="L106" i="8" s="1"/>
  <c r="B762" i="22"/>
  <c r="B352" i="22"/>
  <c r="K70" i="24"/>
  <c r="L70" i="24" s="1"/>
  <c r="K66" i="24" s="1"/>
  <c r="L66" i="24" s="1"/>
  <c r="K71" i="24"/>
  <c r="L71" i="24" s="1"/>
  <c r="B653" i="22"/>
  <c r="B350" i="22"/>
  <c r="B649" i="22"/>
  <c r="K202" i="8"/>
  <c r="L202" i="8" s="1"/>
  <c r="K72" i="7"/>
  <c r="L72" i="7" s="1"/>
  <c r="L684" i="18"/>
  <c r="M684" i="18"/>
  <c r="N684" i="18"/>
  <c r="O684" i="18"/>
  <c r="K684" i="18"/>
  <c r="B358" i="22"/>
  <c r="K66" i="6"/>
  <c r="L66" i="6" s="1"/>
  <c r="L460" i="18"/>
  <c r="M460" i="18"/>
  <c r="O460" i="18"/>
  <c r="N460" i="18"/>
  <c r="B359" i="22"/>
  <c r="M690" i="18"/>
  <c r="L690" i="18"/>
  <c r="K690" i="18"/>
  <c r="N690" i="18"/>
  <c r="K78" i="7"/>
  <c r="L78" i="7" s="1"/>
  <c r="K157" i="7" s="1"/>
  <c r="L157" i="7" s="1"/>
  <c r="B360" i="22"/>
  <c r="O690" i="18"/>
  <c r="K72" i="6"/>
  <c r="L72" i="6" s="1"/>
  <c r="L466" i="18"/>
  <c r="O466" i="18"/>
  <c r="B361" i="22"/>
  <c r="N466" i="18"/>
  <c r="M466" i="18"/>
  <c r="K70" i="8"/>
  <c r="L70" i="8" s="1"/>
  <c r="B356" i="22"/>
  <c r="K69" i="8"/>
  <c r="L69" i="8" s="1"/>
  <c r="B347" i="22"/>
  <c r="B657" i="22"/>
  <c r="K68" i="8"/>
  <c r="L68" i="8" s="1"/>
  <c r="B650" i="22"/>
  <c r="K65" i="8"/>
  <c r="L65" i="8" s="1"/>
  <c r="K84" i="7"/>
  <c r="L84" i="7" s="1"/>
  <c r="K696" i="18"/>
  <c r="B363" i="22"/>
  <c r="M696" i="18"/>
  <c r="L696" i="18"/>
  <c r="N696" i="18"/>
  <c r="O696" i="18"/>
  <c r="K49" i="24"/>
  <c r="L49" i="24" s="1"/>
  <c r="K101" i="24" s="1"/>
  <c r="L101" i="24" s="1"/>
  <c r="K207" i="8"/>
  <c r="L207" i="8" s="1"/>
  <c r="B355" i="22"/>
  <c r="K205" i="8"/>
  <c r="L205" i="8" s="1"/>
  <c r="B346" i="22"/>
  <c r="K206" i="8"/>
  <c r="L206" i="8" s="1"/>
  <c r="B656" i="22"/>
  <c r="B651" i="22"/>
  <c r="K339" i="8"/>
  <c r="L339" i="8" s="1"/>
  <c r="K327" i="8"/>
  <c r="L327" i="8" s="1"/>
  <c r="K379" i="8" s="1"/>
  <c r="L379" i="8" s="1"/>
  <c r="N1163" i="18"/>
  <c r="M1163" i="18"/>
  <c r="L1163" i="18"/>
  <c r="K1163" i="18"/>
  <c r="O1163" i="18"/>
  <c r="B366" i="22"/>
  <c r="K191" i="8"/>
  <c r="L191" i="8" s="1"/>
  <c r="M1027" i="18"/>
  <c r="B367" i="22"/>
  <c r="K1027" i="18"/>
  <c r="L1027" i="18"/>
  <c r="N1027" i="18"/>
  <c r="O1027" i="18"/>
  <c r="K101" i="7"/>
  <c r="L101" i="7" s="1"/>
  <c r="K96" i="7"/>
  <c r="L96" i="7" s="1"/>
  <c r="B647" i="22"/>
  <c r="K96" i="6"/>
  <c r="L96" i="6" s="1"/>
  <c r="K90" i="6"/>
  <c r="L90" i="6" s="1"/>
  <c r="K100" i="6"/>
  <c r="L100" i="6" s="1"/>
  <c r="B646" i="22"/>
  <c r="K152" i="6"/>
  <c r="L152" i="6" s="1"/>
  <c r="K149" i="6" s="1"/>
  <c r="L149" i="6" s="1"/>
  <c r="B733" i="22"/>
  <c r="K50" i="7"/>
  <c r="L50" i="7" s="1"/>
  <c r="B489" i="22"/>
  <c r="B490" i="22"/>
  <c r="B488" i="22"/>
  <c r="L183" i="8"/>
  <c r="I1019" i="18"/>
  <c r="B761" i="22"/>
  <c r="K243" i="8"/>
  <c r="L243" i="8" s="1"/>
  <c r="B736" i="22"/>
  <c r="K44" i="7"/>
  <c r="L44" i="7" s="1"/>
  <c r="B654" i="22"/>
  <c r="L320" i="8"/>
  <c r="I1156" i="18"/>
  <c r="K107" i="7"/>
  <c r="L107" i="7" s="1"/>
  <c r="K108" i="7"/>
  <c r="L108" i="7" s="1"/>
  <c r="K101" i="6"/>
  <c r="L101" i="6" s="1"/>
  <c r="K102" i="6"/>
  <c r="L102" i="6" s="1"/>
  <c r="K154" i="6"/>
  <c r="L154" i="6" s="1"/>
  <c r="B735" i="22"/>
  <c r="K102" i="7"/>
  <c r="L102" i="7" s="1"/>
  <c r="B342" i="22"/>
  <c r="B495" i="22"/>
  <c r="B494" i="22"/>
  <c r="B496" i="22"/>
  <c r="K49" i="6"/>
  <c r="L49" i="6" s="1"/>
  <c r="B763" i="22"/>
  <c r="K380" i="8"/>
  <c r="L380" i="8" s="1"/>
  <c r="B738" i="22"/>
  <c r="B757" i="22"/>
  <c r="K158" i="7"/>
  <c r="L158" i="7" s="1"/>
  <c r="B732" i="22"/>
  <c r="K105" i="8"/>
  <c r="L105" i="8" s="1"/>
  <c r="K90" i="7"/>
  <c r="L90" i="7" s="1"/>
  <c r="G12" i="11" a="1"/>
  <c r="D10" i="11" a="1"/>
  <c r="Q13" i="11" a="1"/>
  <c r="J14" i="11" a="1"/>
  <c r="R24" i="11" a="1"/>
  <c r="L15" i="11" a="1"/>
  <c r="S23" i="11" a="1"/>
  <c r="S23" i="11" l="1"/>
  <c r="L15" i="11"/>
  <c r="R24" i="11"/>
  <c r="J14" i="11"/>
  <c r="Q13" i="11"/>
  <c r="D10" i="11"/>
  <c r="G12" i="11"/>
  <c r="K367" i="8"/>
  <c r="L367" i="8" s="1"/>
  <c r="K404" i="8"/>
  <c r="L404" i="8" s="1"/>
  <c r="K398" i="8"/>
  <c r="L398" i="8" s="1"/>
  <c r="K366" i="8"/>
  <c r="L366" i="8" s="1"/>
  <c r="K356" i="8" s="1"/>
  <c r="L356" i="8" s="1"/>
  <c r="K362" i="8"/>
  <c r="L362" i="8" s="1"/>
  <c r="B387" i="22"/>
  <c r="M1197" i="18"/>
  <c r="N1197" i="18"/>
  <c r="K1197" i="18"/>
  <c r="O1197" i="18"/>
  <c r="L1198" i="18"/>
  <c r="M1198" i="18"/>
  <c r="B554" i="22"/>
  <c r="N1198" i="18"/>
  <c r="L1197" i="18"/>
  <c r="B386" i="22"/>
  <c r="B392" i="22"/>
  <c r="K1198" i="18"/>
  <c r="O1198" i="18"/>
  <c r="B434" i="22"/>
  <c r="K261" i="8"/>
  <c r="L261" i="8" s="1"/>
  <c r="K229" i="8"/>
  <c r="L229" i="8" s="1"/>
  <c r="K225" i="8"/>
  <c r="L225" i="8" s="1"/>
  <c r="K230" i="8"/>
  <c r="L230" i="8" s="1"/>
  <c r="K267" i="8"/>
  <c r="L267" i="8" s="1"/>
  <c r="B407" i="22"/>
  <c r="L1060" i="18"/>
  <c r="M1060" i="18"/>
  <c r="O1061" i="18"/>
  <c r="B371" i="22"/>
  <c r="K1060" i="18"/>
  <c r="B370" i="22"/>
  <c r="O1060" i="18"/>
  <c r="B388" i="22"/>
  <c r="B550" i="22"/>
  <c r="K1061" i="18"/>
  <c r="L1061" i="18"/>
  <c r="M1061" i="18"/>
  <c r="N1060" i="18"/>
  <c r="N1061" i="18"/>
  <c r="B455" i="22"/>
  <c r="K173" i="6"/>
  <c r="L173" i="6" s="1"/>
  <c r="B753" i="22"/>
  <c r="B679" i="22"/>
  <c r="K194" i="6"/>
  <c r="L194" i="6" s="1"/>
  <c r="B453" i="22"/>
  <c r="B674" i="22"/>
  <c r="K177" i="7"/>
  <c r="L177" i="7" s="1"/>
  <c r="B440" i="22"/>
  <c r="B748" i="22"/>
  <c r="B438" i="22"/>
  <c r="K198" i="7"/>
  <c r="L198" i="7" s="1"/>
  <c r="B521" i="22"/>
  <c r="K271" i="8"/>
  <c r="L271" i="8" s="1"/>
  <c r="B6" i="22"/>
  <c r="B580" i="22"/>
  <c r="K263" i="8"/>
  <c r="L263" i="8" s="1"/>
  <c r="B207" i="22"/>
  <c r="K387" i="8"/>
  <c r="L387" i="8" s="1"/>
  <c r="K378" i="8" s="1"/>
  <c r="L378" i="8" s="1"/>
  <c r="B4" i="22"/>
  <c r="K172" i="7"/>
  <c r="L172" i="7" s="1"/>
  <c r="B502" i="22"/>
  <c r="K195" i="7"/>
  <c r="L195" i="7" s="1"/>
  <c r="K207" i="7"/>
  <c r="L207" i="7" s="1"/>
  <c r="B576" i="22"/>
  <c r="K141" i="7"/>
  <c r="L141" i="7" s="1"/>
  <c r="K122" i="7" s="1"/>
  <c r="L122" i="7" s="1"/>
  <c r="B833" i="22"/>
  <c r="B3" i="22"/>
  <c r="K164" i="6"/>
  <c r="L164" i="6" s="1"/>
  <c r="K188" i="6"/>
  <c r="L188" i="6" s="1"/>
  <c r="K200" i="6"/>
  <c r="L200" i="6" s="1"/>
  <c r="K134" i="6"/>
  <c r="L134" i="6" s="1"/>
  <c r="K115" i="6" s="1"/>
  <c r="L115" i="6" s="1"/>
  <c r="B831" i="22"/>
  <c r="B574" i="22"/>
  <c r="B493" i="22"/>
  <c r="B571" i="22"/>
  <c r="K205" i="7"/>
  <c r="L205" i="7" s="1"/>
  <c r="K139" i="7"/>
  <c r="L139" i="7" s="1"/>
  <c r="K120" i="7" s="1"/>
  <c r="L120" i="7" s="1"/>
  <c r="K193" i="7"/>
  <c r="L193" i="7" s="1"/>
  <c r="B479" i="22"/>
  <c r="B828" i="22"/>
  <c r="K145" i="7"/>
  <c r="L145" i="7" s="1"/>
  <c r="K124" i="7" s="1"/>
  <c r="L124" i="7" s="1"/>
  <c r="K144" i="7"/>
  <c r="L144" i="7" s="1"/>
  <c r="K123" i="7" s="1"/>
  <c r="L123" i="7" s="1"/>
  <c r="K146" i="7"/>
  <c r="L146" i="7" s="1"/>
  <c r="K125" i="7" s="1"/>
  <c r="L125" i="7" s="1"/>
  <c r="B821" i="22"/>
  <c r="B823" i="22"/>
  <c r="B819" i="22"/>
  <c r="K159" i="7"/>
  <c r="L159" i="7" s="1"/>
  <c r="K154" i="7" s="1"/>
  <c r="L154" i="7" s="1"/>
  <c r="K138" i="6"/>
  <c r="L138" i="6" s="1"/>
  <c r="K117" i="6" s="1"/>
  <c r="L117" i="6" s="1"/>
  <c r="K139" i="6"/>
  <c r="L139" i="6" s="1"/>
  <c r="K118" i="6" s="1"/>
  <c r="L118" i="6" s="1"/>
  <c r="K140" i="6"/>
  <c r="L140" i="6" s="1"/>
  <c r="K119" i="6" s="1"/>
  <c r="L119" i="6" s="1"/>
  <c r="B822" i="22"/>
  <c r="B824" i="22"/>
  <c r="B820" i="22"/>
  <c r="K127" i="6"/>
  <c r="L127" i="6" s="1"/>
  <c r="K520" i="18"/>
  <c r="N520" i="18"/>
  <c r="L520" i="18"/>
  <c r="M520" i="18"/>
  <c r="O520" i="18"/>
  <c r="K114" i="24"/>
  <c r="L114" i="24" s="1"/>
  <c r="K134" i="24"/>
  <c r="L134" i="24" s="1"/>
  <c r="K113" i="24"/>
  <c r="L113" i="24" s="1"/>
  <c r="K125" i="24"/>
  <c r="L125" i="24" s="1"/>
  <c r="K166" i="6"/>
  <c r="L166" i="6" s="1"/>
  <c r="B5" i="22"/>
  <c r="B835" i="22"/>
  <c r="B513" i="22"/>
  <c r="B578" i="22"/>
  <c r="K135" i="6"/>
  <c r="L135" i="6" s="1"/>
  <c r="K116" i="6" s="1"/>
  <c r="L116" i="6" s="1"/>
  <c r="K189" i="6"/>
  <c r="L189" i="6" s="1"/>
  <c r="K201" i="6"/>
  <c r="L201" i="6" s="1"/>
  <c r="K126" i="8"/>
  <c r="L126" i="8" s="1"/>
  <c r="B525" i="22"/>
  <c r="B581" i="22"/>
  <c r="K134" i="8"/>
  <c r="L134" i="8" s="1"/>
  <c r="B7" i="22"/>
  <c r="K171" i="7"/>
  <c r="L171" i="7" s="1"/>
  <c r="B201" i="22"/>
  <c r="K155" i="7"/>
  <c r="L155" i="7" s="1"/>
  <c r="K45" i="7"/>
  <c r="L45" i="7" s="1"/>
  <c r="K171" i="6"/>
  <c r="L171" i="6" s="1"/>
  <c r="B749" i="22"/>
  <c r="B675" i="22"/>
  <c r="B443" i="22"/>
  <c r="K192" i="6"/>
  <c r="L192" i="6" s="1"/>
  <c r="B441" i="22"/>
  <c r="B750" i="22"/>
  <c r="B446" i="22"/>
  <c r="K178" i="7"/>
  <c r="L178" i="7" s="1"/>
  <c r="B676" i="22"/>
  <c r="K199" i="7"/>
  <c r="L199" i="7" s="1"/>
  <c r="B444" i="22"/>
  <c r="K386" i="8"/>
  <c r="L386" i="8" s="1"/>
  <c r="K377" i="8" s="1"/>
  <c r="L377" i="8" s="1"/>
  <c r="B836" i="22"/>
  <c r="K407" i="8"/>
  <c r="L407" i="8" s="1"/>
  <c r="K399" i="8"/>
  <c r="L399" i="8" s="1"/>
  <c r="K368" i="8"/>
  <c r="L368" i="8" s="1"/>
  <c r="K352" i="8" s="1"/>
  <c r="L352" i="8" s="1"/>
  <c r="B579" i="22"/>
  <c r="B517" i="22"/>
  <c r="K254" i="8"/>
  <c r="L254" i="8" s="1"/>
  <c r="B754" i="22"/>
  <c r="B456" i="22"/>
  <c r="B680" i="22"/>
  <c r="B458" i="22"/>
  <c r="K265" i="8"/>
  <c r="L265" i="8" s="1"/>
  <c r="K232" i="8"/>
  <c r="L232" i="8" s="1"/>
  <c r="K216" i="8" s="1"/>
  <c r="L216" i="8" s="1"/>
  <c r="B825" i="22"/>
  <c r="K108" i="24"/>
  <c r="L108" i="24" s="1"/>
  <c r="K99" i="24" s="1"/>
  <c r="L99" i="24" s="1"/>
  <c r="K85" i="24"/>
  <c r="L85" i="24" s="1"/>
  <c r="K68" i="24" s="1"/>
  <c r="L68" i="24" s="1"/>
  <c r="K130" i="24"/>
  <c r="L130" i="24" s="1"/>
  <c r="K123" i="24"/>
  <c r="L123" i="24" s="1"/>
  <c r="B206" i="22"/>
  <c r="K113" i="8"/>
  <c r="L113" i="8" s="1"/>
  <c r="K104" i="8" s="1"/>
  <c r="L104" i="8" s="1"/>
  <c r="B755" i="22"/>
  <c r="B475" i="22"/>
  <c r="B473" i="22"/>
  <c r="B681" i="22"/>
  <c r="K128" i="8"/>
  <c r="L128" i="8" s="1"/>
  <c r="K117" i="8"/>
  <c r="L117" i="8" s="1"/>
  <c r="B826" i="22"/>
  <c r="K95" i="8"/>
  <c r="L95" i="8" s="1"/>
  <c r="K79" i="8" s="1"/>
  <c r="L79" i="8" s="1"/>
  <c r="K170" i="7"/>
  <c r="L170" i="7" s="1"/>
  <c r="K153" i="7" s="1"/>
  <c r="L153" i="7" s="1"/>
  <c r="B2" i="22"/>
  <c r="K194" i="7"/>
  <c r="L194" i="7" s="1"/>
  <c r="B487" i="22"/>
  <c r="B573" i="22"/>
  <c r="K140" i="7"/>
  <c r="L140" i="7" s="1"/>
  <c r="K121" i="7" s="1"/>
  <c r="L121" i="7" s="1"/>
  <c r="B830" i="22"/>
  <c r="K206" i="7"/>
  <c r="L206" i="7" s="1"/>
  <c r="K133" i="6"/>
  <c r="L133" i="6" s="1"/>
  <c r="K114" i="6" s="1"/>
  <c r="L114" i="6" s="1"/>
  <c r="B829" i="22"/>
  <c r="B572" i="22"/>
  <c r="K187" i="6"/>
  <c r="L187" i="6" s="1"/>
  <c r="B483" i="22"/>
  <c r="K199" i="6"/>
  <c r="L199" i="6" s="1"/>
  <c r="B205" i="22"/>
  <c r="K250" i="8"/>
  <c r="L250" i="8" s="1"/>
  <c r="K241" i="8" s="1"/>
  <c r="L241" i="8" s="1"/>
  <c r="K148" i="6"/>
  <c r="L148" i="6" s="1"/>
  <c r="B759" i="22"/>
  <c r="K160" i="7"/>
  <c r="L160" i="7" s="1"/>
  <c r="K156" i="7" s="1"/>
  <c r="L156" i="7" s="1"/>
  <c r="B734" i="22"/>
  <c r="K92" i="8"/>
  <c r="L92" i="8" s="1"/>
  <c r="K88" i="8"/>
  <c r="L88" i="8" s="1"/>
  <c r="K93" i="8"/>
  <c r="L93" i="8" s="1"/>
  <c r="K130" i="8"/>
  <c r="L130" i="8" s="1"/>
  <c r="L924" i="18"/>
  <c r="B552" i="22"/>
  <c r="M923" i="18"/>
  <c r="N923" i="18"/>
  <c r="M924" i="18"/>
  <c r="B420" i="22"/>
  <c r="K924" i="18"/>
  <c r="O924" i="18"/>
  <c r="B378" i="22"/>
  <c r="N924" i="18"/>
  <c r="B379" i="22"/>
  <c r="O923" i="18"/>
  <c r="B390" i="22"/>
  <c r="K923" i="18"/>
  <c r="L923" i="18"/>
  <c r="K124" i="8"/>
  <c r="L124" i="8" s="1"/>
  <c r="B758" i="22"/>
  <c r="K60" i="6"/>
  <c r="I60" i="6" s="1"/>
  <c r="B17" i="22"/>
  <c r="B326" i="22"/>
  <c r="K126" i="6"/>
  <c r="L126" i="6" s="1"/>
  <c r="B213" i="22"/>
  <c r="B449" i="22"/>
  <c r="B677" i="22"/>
  <c r="K172" i="6"/>
  <c r="L172" i="6" s="1"/>
  <c r="B751" i="22"/>
  <c r="B447" i="22"/>
  <c r="K193" i="6"/>
  <c r="L193" i="6" s="1"/>
  <c r="K55" i="6"/>
  <c r="L55" i="6" s="1"/>
  <c r="B878" i="22"/>
  <c r="K133" i="7"/>
  <c r="L133" i="7" s="1"/>
  <c r="O744" i="18"/>
  <c r="L744" i="18"/>
  <c r="K744" i="18"/>
  <c r="N744" i="18"/>
  <c r="M744" i="18"/>
  <c r="K66" i="7"/>
  <c r="I66" i="7" s="1"/>
  <c r="B15" i="22"/>
  <c r="B324" i="22"/>
  <c r="K132" i="7"/>
  <c r="L132" i="7" s="1"/>
  <c r="B211" i="22"/>
  <c r="K179" i="7"/>
  <c r="L179" i="7" s="1"/>
  <c r="B678" i="22"/>
  <c r="B752" i="22"/>
  <c r="B452" i="22"/>
  <c r="K200" i="7"/>
  <c r="L200" i="7" s="1"/>
  <c r="B450" i="22"/>
  <c r="B478" i="22"/>
  <c r="B756" i="22"/>
  <c r="B682" i="22"/>
  <c r="K391" i="8"/>
  <c r="L391" i="8" s="1"/>
  <c r="K402" i="8"/>
  <c r="L402" i="8" s="1"/>
  <c r="B476" i="22"/>
  <c r="K369" i="8"/>
  <c r="L369" i="8" s="1"/>
  <c r="K353" i="8" s="1"/>
  <c r="L353" i="8" s="1"/>
  <c r="B827" i="22"/>
  <c r="B8" i="22"/>
  <c r="K408" i="8"/>
  <c r="L408" i="8" s="1"/>
  <c r="K400" i="8"/>
  <c r="L400" i="8" s="1"/>
  <c r="B582" i="22"/>
  <c r="B530" i="22"/>
  <c r="K94" i="24"/>
  <c r="L94" i="24" s="1"/>
  <c r="K95" i="24"/>
  <c r="L95" i="24" s="1"/>
  <c r="K270" i="8"/>
  <c r="L270" i="8" s="1"/>
  <c r="B575" i="22"/>
  <c r="B498" i="22"/>
  <c r="K262" i="8"/>
  <c r="L262" i="8" s="1"/>
  <c r="K249" i="8"/>
  <c r="L249" i="8" s="1"/>
  <c r="K240" i="8" s="1"/>
  <c r="L240" i="8" s="1"/>
  <c r="K231" i="8"/>
  <c r="L231" i="8" s="1"/>
  <c r="K215" i="8" s="1"/>
  <c r="L215" i="8" s="1"/>
  <c r="B832" i="22"/>
  <c r="B204" i="22"/>
  <c r="K167" i="6"/>
  <c r="L167" i="6" s="1"/>
  <c r="K150" i="6" s="1"/>
  <c r="L150" i="6" s="1"/>
  <c r="B577" i="22"/>
  <c r="K133" i="8"/>
  <c r="L133" i="8" s="1"/>
  <c r="B507" i="22"/>
  <c r="K125" i="8"/>
  <c r="L125" i="8" s="1"/>
  <c r="K112" i="8"/>
  <c r="L112" i="8" s="1"/>
  <c r="K103" i="8" s="1"/>
  <c r="L103" i="8" s="1"/>
  <c r="K94" i="8"/>
  <c r="L94" i="8" s="1"/>
  <c r="K78" i="8" s="1"/>
  <c r="L78" i="8" s="1"/>
  <c r="B834" i="22"/>
  <c r="K151" i="6"/>
  <c r="L151" i="6" s="1"/>
  <c r="K147" i="6" s="1"/>
  <c r="L147" i="6" s="1"/>
  <c r="P15" i="11" a="1"/>
  <c r="W24" i="11" a="1"/>
  <c r="T22" i="11" a="1"/>
  <c r="J13" i="11" a="1"/>
  <c r="R22" i="11" a="1"/>
  <c r="X22" i="11" a="1"/>
  <c r="Y22" i="11" a="1"/>
  <c r="T27" i="11" a="1"/>
  <c r="O13" i="11" a="1"/>
  <c r="K13" i="11" a="1"/>
  <c r="N15" i="11" a="1"/>
  <c r="AI37" i="11" a="1"/>
  <c r="E9" i="11" a="1"/>
  <c r="I13" i="11" a="1"/>
  <c r="K18" i="11" a="1"/>
  <c r="V25" i="11" a="1"/>
  <c r="O15" i="11" a="1"/>
  <c r="AN42" i="11" a="1"/>
  <c r="AA31" i="11" a="1"/>
  <c r="J17" i="11" a="1"/>
  <c r="L17" i="11" a="1"/>
  <c r="W22" i="11" a="1"/>
  <c r="N13" i="11" a="1"/>
  <c r="P13" i="11" a="1"/>
  <c r="F10" i="11" a="1"/>
  <c r="U24" i="11" a="1"/>
  <c r="Q31" i="11" a="1"/>
  <c r="X24" i="11" a="1"/>
  <c r="AK41" i="11" a="1"/>
  <c r="AI36" i="11" a="1"/>
  <c r="AD32" i="11" a="1"/>
  <c r="AD31" i="11" a="1"/>
  <c r="S22" i="11" a="1"/>
  <c r="Y24" i="11" a="1"/>
  <c r="AN41" i="11" a="1"/>
  <c r="AF36" i="11" a="1"/>
  <c r="AL44" i="11" a="1"/>
  <c r="AC33" i="11" a="1"/>
  <c r="AH38" i="11" a="1"/>
  <c r="AM43" i="11" a="1"/>
  <c r="E12" i="11" a="1"/>
  <c r="S26" i="11" a="1"/>
  <c r="AG39" i="11" a="1"/>
  <c r="M16" i="11" a="1"/>
  <c r="AB34" i="11" a="1"/>
  <c r="AB34" i="11" l="1"/>
  <c r="M16" i="11"/>
  <c r="AG39" i="11"/>
  <c r="S26" i="11"/>
  <c r="E12" i="11"/>
  <c r="AM43" i="11"/>
  <c r="AH38" i="11"/>
  <c r="AC33" i="11"/>
  <c r="AL44" i="11"/>
  <c r="AF36" i="11"/>
  <c r="AN41" i="11"/>
  <c r="Y24" i="11"/>
  <c r="S22" i="11"/>
  <c r="AD31" i="11"/>
  <c r="AD32" i="11"/>
  <c r="AI36" i="11"/>
  <c r="AK41" i="11"/>
  <c r="X24" i="11"/>
  <c r="Q31" i="11"/>
  <c r="U24" i="11"/>
  <c r="F10" i="11"/>
  <c r="P13" i="11"/>
  <c r="N13" i="11"/>
  <c r="W22" i="11"/>
  <c r="L17" i="11"/>
  <c r="J17" i="11"/>
  <c r="AA31" i="11"/>
  <c r="AN42" i="11"/>
  <c r="O15" i="11"/>
  <c r="V25" i="11"/>
  <c r="K18" i="11"/>
  <c r="I13" i="11"/>
  <c r="E9" i="11"/>
  <c r="AI37" i="11"/>
  <c r="N15" i="11"/>
  <c r="K13" i="11"/>
  <c r="O13" i="11"/>
  <c r="T27" i="11"/>
  <c r="Y22" i="11"/>
  <c r="X22" i="11"/>
  <c r="R22" i="11"/>
  <c r="J13" i="11"/>
  <c r="T22" i="11"/>
  <c r="W24" i="11"/>
  <c r="P15" i="11"/>
  <c r="K26" i="8"/>
  <c r="L26" i="8" s="1"/>
  <c r="K219" i="8"/>
  <c r="L219" i="8" s="1"/>
  <c r="B592" i="22"/>
  <c r="B597" i="22"/>
  <c r="K93" i="24"/>
  <c r="L93" i="24" s="1"/>
  <c r="K92" i="24"/>
  <c r="L92" i="24" s="1"/>
  <c r="L66" i="7"/>
  <c r="I678" i="18"/>
  <c r="K50" i="6"/>
  <c r="L50" i="6" s="1"/>
  <c r="K60" i="7"/>
  <c r="L60" i="7" s="1"/>
  <c r="B885" i="22" s="1"/>
  <c r="B497" i="22"/>
  <c r="B881" i="22"/>
  <c r="L60" i="6"/>
  <c r="I454" i="18"/>
  <c r="B590" i="22"/>
  <c r="B595" i="22"/>
  <c r="B661" i="22"/>
  <c r="M912" i="18"/>
  <c r="K913" i="18"/>
  <c r="N912" i="18"/>
  <c r="O912" i="18"/>
  <c r="N913" i="18"/>
  <c r="M913" i="18"/>
  <c r="K83" i="8"/>
  <c r="L83" i="8" s="1"/>
  <c r="O913" i="18"/>
  <c r="L912" i="18"/>
  <c r="L913" i="18"/>
  <c r="K912" i="18"/>
  <c r="B588" i="22"/>
  <c r="B593" i="22"/>
  <c r="K220" i="8"/>
  <c r="L220" i="8" s="1"/>
  <c r="M1050" i="18"/>
  <c r="N1050" i="18"/>
  <c r="O1050" i="18"/>
  <c r="O1049" i="18"/>
  <c r="N1049" i="18"/>
  <c r="B659" i="22"/>
  <c r="L1050" i="18"/>
  <c r="L1049" i="18"/>
  <c r="K1050" i="18"/>
  <c r="K1049" i="18"/>
  <c r="M1049" i="18"/>
  <c r="B663" i="22"/>
  <c r="K1186" i="18"/>
  <c r="L1187" i="18"/>
  <c r="K1187" i="18"/>
  <c r="O1186" i="18"/>
  <c r="N1186" i="18"/>
  <c r="N1187" i="18"/>
  <c r="K357" i="8"/>
  <c r="L357" i="8" s="1"/>
  <c r="K355" i="8" s="1"/>
  <c r="L355" i="8" s="1"/>
  <c r="K354" i="8" s="1"/>
  <c r="L354" i="8" s="1"/>
  <c r="M1186" i="18"/>
  <c r="M1187" i="18"/>
  <c r="L1186" i="18"/>
  <c r="O1187" i="18"/>
  <c r="AB33" i="11" a="1"/>
  <c r="AG38" i="11" a="1"/>
  <c r="AH39" i="11" a="1"/>
  <c r="AL43" i="11" a="1"/>
  <c r="AN45" i="11" a="1"/>
  <c r="S24" i="11" a="1"/>
  <c r="AK42" i="11" a="1"/>
  <c r="N19" i="11" a="1"/>
  <c r="E10" i="11" a="1"/>
  <c r="O20" i="11" a="1"/>
  <c r="Y30" i="11" a="1"/>
  <c r="R23" i="11" a="1"/>
  <c r="J16" i="11" a="1"/>
  <c r="M18" i="11" a="1"/>
  <c r="AM44" i="11" a="1"/>
  <c r="AC34" i="11" a="1"/>
  <c r="AF37" i="11" a="1"/>
  <c r="AD35" i="11" a="1"/>
  <c r="AI40" i="11" a="1"/>
  <c r="U26" i="11" a="1"/>
  <c r="P21" i="11" a="1"/>
  <c r="W28" i="11" a="1"/>
  <c r="V27" i="11" a="1"/>
  <c r="I14" i="11" a="1"/>
  <c r="K16" i="11" a="1"/>
  <c r="X29" i="11" a="1"/>
  <c r="Z22" i="11" a="1"/>
  <c r="Z22" i="11" l="1"/>
  <c r="X29" i="11"/>
  <c r="K16" i="11"/>
  <c r="I14" i="11"/>
  <c r="V27" i="11"/>
  <c r="W28" i="11"/>
  <c r="P21" i="11"/>
  <c r="U26" i="11"/>
  <c r="AI40" i="11"/>
  <c r="AD35" i="11"/>
  <c r="AF37" i="11"/>
  <c r="AC34" i="11"/>
  <c r="AM44" i="11"/>
  <c r="M18" i="11"/>
  <c r="J16" i="11"/>
  <c r="R23" i="11"/>
  <c r="Y30" i="11"/>
  <c r="O20" i="11"/>
  <c r="E10" i="11"/>
  <c r="N19" i="11"/>
  <c r="AK42" i="11"/>
  <c r="S24" i="11"/>
  <c r="AN45" i="11"/>
  <c r="AL43" i="11"/>
  <c r="AH39" i="11"/>
  <c r="AG38" i="11"/>
  <c r="AB33" i="11"/>
  <c r="K351" i="8"/>
  <c r="L351" i="8" s="1"/>
  <c r="K350" i="8"/>
  <c r="L350" i="8" s="1"/>
  <c r="K186" i="6"/>
  <c r="L186" i="6" s="1"/>
  <c r="K131" i="6"/>
  <c r="L131" i="6" s="1"/>
  <c r="K132" i="6"/>
  <c r="L132" i="6" s="1"/>
  <c r="K196" i="6"/>
  <c r="L196" i="6" s="1"/>
  <c r="K128" i="6"/>
  <c r="L128" i="6" s="1"/>
  <c r="B382" i="22"/>
  <c r="O521" i="18"/>
  <c r="B380" i="22"/>
  <c r="B391" i="22"/>
  <c r="B553" i="22"/>
  <c r="N521" i="18"/>
  <c r="K522" i="18"/>
  <c r="L521" i="18"/>
  <c r="N522" i="18"/>
  <c r="B383" i="22"/>
  <c r="L522" i="18"/>
  <c r="M521" i="18"/>
  <c r="B426" i="22"/>
  <c r="B381" i="22"/>
  <c r="B384" i="22"/>
  <c r="O522" i="18"/>
  <c r="M522" i="18"/>
  <c r="K521" i="18"/>
  <c r="B385" i="22"/>
  <c r="K58" i="7"/>
  <c r="L58" i="7" s="1"/>
  <c r="B506" i="22"/>
  <c r="K56" i="6"/>
  <c r="L56" i="6" s="1"/>
  <c r="K137" i="7"/>
  <c r="L137" i="7" s="1"/>
  <c r="K202" i="7"/>
  <c r="L202" i="7" s="1"/>
  <c r="K134" i="7"/>
  <c r="L134" i="7" s="1"/>
  <c r="K192" i="7"/>
  <c r="L192" i="7" s="1"/>
  <c r="K138" i="7"/>
  <c r="L138" i="7" s="1"/>
  <c r="B375" i="22"/>
  <c r="M745" i="18"/>
  <c r="L746" i="18"/>
  <c r="O745" i="18"/>
  <c r="B376" i="22"/>
  <c r="B389" i="22"/>
  <c r="B551" i="22"/>
  <c r="O746" i="18"/>
  <c r="B373" i="22"/>
  <c r="B374" i="22"/>
  <c r="N746" i="18"/>
  <c r="B411" i="22"/>
  <c r="K745" i="18"/>
  <c r="M746" i="18"/>
  <c r="N745" i="18"/>
  <c r="L745" i="18"/>
  <c r="K746" i="18"/>
  <c r="B372" i="22"/>
  <c r="B377" i="22"/>
  <c r="K82" i="8"/>
  <c r="L82" i="8" s="1"/>
  <c r="K81" i="8" s="1"/>
  <c r="L81" i="8" s="1"/>
  <c r="K80" i="8" s="1"/>
  <c r="L80" i="8" s="1"/>
  <c r="K89" i="24"/>
  <c r="L89" i="24" s="1"/>
  <c r="K69" i="24" s="1"/>
  <c r="L69" i="24" s="1"/>
  <c r="K88" i="24"/>
  <c r="L88" i="24" s="1"/>
  <c r="K218" i="8"/>
  <c r="L218" i="8" s="1"/>
  <c r="K217" i="8" s="1"/>
  <c r="L217" i="8" s="1"/>
  <c r="J15" i="11" a="1"/>
  <c r="AJ42" i="11" a="1"/>
  <c r="AJ45" i="11" a="1"/>
  <c r="T16" i="11" a="1"/>
  <c r="F9" i="11" a="1"/>
  <c r="F9" i="11" l="1"/>
  <c r="T16" i="11"/>
  <c r="AJ45" i="11"/>
  <c r="AJ42" i="11"/>
  <c r="J15" i="11"/>
  <c r="K76" i="8"/>
  <c r="L76" i="8" s="1"/>
  <c r="K77" i="8"/>
  <c r="L77" i="8" s="1"/>
  <c r="B589" i="22"/>
  <c r="B594" i="22"/>
  <c r="K52" i="6"/>
  <c r="L52" i="6" s="1"/>
  <c r="B516" i="22"/>
  <c r="K51" i="6"/>
  <c r="B872" i="22"/>
  <c r="K61" i="7"/>
  <c r="L61" i="7" s="1"/>
  <c r="B880" i="22"/>
  <c r="L503" i="18"/>
  <c r="M505" i="18"/>
  <c r="N502" i="18"/>
  <c r="K505" i="18"/>
  <c r="K504" i="18"/>
  <c r="M503" i="18"/>
  <c r="N503" i="18"/>
  <c r="K502" i="18"/>
  <c r="O502" i="18"/>
  <c r="M507" i="18"/>
  <c r="O503" i="18"/>
  <c r="L506" i="18"/>
  <c r="O504" i="18"/>
  <c r="N505" i="18"/>
  <c r="L505" i="18"/>
  <c r="K123" i="6"/>
  <c r="L123" i="6" s="1"/>
  <c r="O505" i="18"/>
  <c r="L504" i="18"/>
  <c r="M506" i="18"/>
  <c r="N504" i="18"/>
  <c r="K506" i="18"/>
  <c r="O507" i="18"/>
  <c r="K503" i="18"/>
  <c r="N507" i="18"/>
  <c r="L502" i="18"/>
  <c r="L507" i="18"/>
  <c r="M502" i="18"/>
  <c r="N506" i="18"/>
  <c r="K507" i="18"/>
  <c r="O506" i="18"/>
  <c r="M504" i="18"/>
  <c r="B662" i="22"/>
  <c r="K213" i="8"/>
  <c r="L213" i="8" s="1"/>
  <c r="K214" i="8"/>
  <c r="L214" i="8" s="1"/>
  <c r="K74" i="24"/>
  <c r="L74" i="24" s="1"/>
  <c r="K75" i="24"/>
  <c r="L75" i="24" s="1"/>
  <c r="K67" i="24"/>
  <c r="L67" i="24" s="1"/>
  <c r="N726" i="18"/>
  <c r="L728" i="18"/>
  <c r="K726" i="18"/>
  <c r="N730" i="18"/>
  <c r="O730" i="18"/>
  <c r="O728" i="18"/>
  <c r="M731" i="18"/>
  <c r="M729" i="18"/>
  <c r="K729" i="18"/>
  <c r="N728" i="18"/>
  <c r="O731" i="18"/>
  <c r="L726" i="18"/>
  <c r="L731" i="18"/>
  <c r="K730" i="18"/>
  <c r="O726" i="18"/>
  <c r="B660" i="22"/>
  <c r="N729" i="18"/>
  <c r="O727" i="18"/>
  <c r="L727" i="18"/>
  <c r="M726" i="18"/>
  <c r="M728" i="18"/>
  <c r="L729" i="18"/>
  <c r="N727" i="18"/>
  <c r="K727" i="18"/>
  <c r="O729" i="18"/>
  <c r="L730" i="18"/>
  <c r="M727" i="18"/>
  <c r="M730" i="18"/>
  <c r="K731" i="18"/>
  <c r="N731" i="18"/>
  <c r="K728" i="18"/>
  <c r="K129" i="7"/>
  <c r="L129" i="7" s="1"/>
  <c r="K128" i="7"/>
  <c r="L128" i="7" s="1"/>
  <c r="B591" i="22"/>
  <c r="B596" i="22"/>
  <c r="K122" i="6"/>
  <c r="L122" i="6" s="1"/>
  <c r="K121" i="6" s="1"/>
  <c r="L121" i="6" s="1"/>
  <c r="K120" i="6" s="1"/>
  <c r="L120" i="6" s="1"/>
  <c r="F11" i="11" a="1"/>
  <c r="Z35" i="11" a="1"/>
  <c r="AE40" i="11" a="1"/>
  <c r="AJ41" i="11" a="1"/>
  <c r="Z32" i="11" a="1"/>
  <c r="AE37" i="11" a="1"/>
  <c r="D11" i="11" a="1"/>
  <c r="K127" i="7" l="1"/>
  <c r="L127" i="7" s="1"/>
  <c r="K126" i="7" s="1"/>
  <c r="L126" i="7" s="1"/>
  <c r="K116" i="7" s="1"/>
  <c r="L116" i="7" s="1"/>
  <c r="D11" i="11"/>
  <c r="AE37" i="11"/>
  <c r="Z32" i="11"/>
  <c r="AJ41" i="11"/>
  <c r="AE40" i="11"/>
  <c r="Z35" i="11"/>
  <c r="F11" i="11"/>
  <c r="K114" i="7"/>
  <c r="L114" i="7" s="1"/>
  <c r="K117" i="7"/>
  <c r="L117" i="7" s="1"/>
  <c r="K73" i="24"/>
  <c r="L73" i="24" s="1"/>
  <c r="K72" i="24" s="1"/>
  <c r="L72" i="24" s="1"/>
  <c r="K59" i="7"/>
  <c r="L59" i="7" s="1"/>
  <c r="K35" i="8"/>
  <c r="L35" i="8" s="1"/>
  <c r="B505" i="22"/>
  <c r="B883" i="22"/>
  <c r="K47" i="6"/>
  <c r="B485" i="22"/>
  <c r="K109" i="6"/>
  <c r="L109" i="6" s="1"/>
  <c r="K111" i="6"/>
  <c r="L111" i="6" s="1"/>
  <c r="K113" i="6"/>
  <c r="L113" i="6" s="1"/>
  <c r="K108" i="6"/>
  <c r="L108" i="6" s="1"/>
  <c r="K110" i="6"/>
  <c r="L110" i="6" s="1"/>
  <c r="K112" i="6"/>
  <c r="L112" i="6" s="1"/>
  <c r="D9" i="11" a="1"/>
  <c r="Z31" i="11" a="1"/>
  <c r="Q25" i="11" a="1"/>
  <c r="H19" i="11" a="1"/>
  <c r="H14" i="11" a="1"/>
  <c r="H20" i="11" a="1"/>
  <c r="AE36" i="11" a="1"/>
  <c r="Q23" i="11" a="1"/>
  <c r="Q28" i="11" a="1"/>
  <c r="T32" i="11" a="1"/>
  <c r="H15" i="11" a="1"/>
  <c r="H21" i="11" a="1"/>
  <c r="H16" i="11" a="1"/>
  <c r="K118" i="7" l="1"/>
  <c r="L118" i="7" s="1"/>
  <c r="K119" i="7"/>
  <c r="L119" i="7" s="1"/>
  <c r="K115" i="7"/>
  <c r="L115" i="7" s="1"/>
  <c r="H16" i="11"/>
  <c r="H21" i="11"/>
  <c r="H15" i="11"/>
  <c r="T32" i="11"/>
  <c r="Q28" i="11"/>
  <c r="Q23" i="11"/>
  <c r="AE36" i="11"/>
  <c r="H20" i="11"/>
  <c r="H14" i="11"/>
  <c r="H19" i="11"/>
  <c r="Q25" i="11"/>
  <c r="Z31" i="11"/>
  <c r="D9" i="11"/>
  <c r="K30" i="8"/>
  <c r="L30" i="8" s="1"/>
  <c r="B510" i="22"/>
  <c r="Q29" i="11" a="1"/>
  <c r="Q30" i="11" a="1"/>
  <c r="Q24" i="11" a="1"/>
  <c r="AA25" i="11" a="1"/>
  <c r="T25" i="11" a="1"/>
  <c r="H13" i="11" a="1"/>
  <c r="Q29" i="11" l="1"/>
  <c r="Q24" i="11"/>
  <c r="Q30" i="11"/>
  <c r="H13" i="11"/>
  <c r="T25" i="11"/>
  <c r="AA25" i="11"/>
  <c r="Q22" i="11" a="1"/>
  <c r="AA32" i="11" a="1"/>
  <c r="Q22" i="11" l="1"/>
  <c r="AA32" i="11"/>
  <c r="D49" i="11" s="1" a="1"/>
  <c r="P49" i="11" l="1"/>
  <c r="AH49" i="11"/>
  <c r="AC49" i="11"/>
  <c r="T49" i="11"/>
  <c r="O49" i="11"/>
  <c r="E49" i="11"/>
  <c r="N49" i="11"/>
  <c r="H49" i="11"/>
  <c r="AK49" i="11"/>
  <c r="D49" i="11"/>
  <c r="AI49" i="11"/>
  <c r="AJ49" i="11"/>
  <c r="I49" i="11"/>
  <c r="AF49" i="11"/>
  <c r="AN49" i="11"/>
  <c r="AB49" i="11"/>
  <c r="S49" i="11"/>
  <c r="AE49" i="11"/>
  <c r="AD49" i="11"/>
  <c r="X49" i="11"/>
  <c r="R49" i="11"/>
  <c r="Z49" i="11"/>
  <c r="M49" i="11"/>
  <c r="L49" i="11"/>
  <c r="AG49" i="11"/>
  <c r="F49" i="11"/>
  <c r="G49" i="11"/>
  <c r="AM49" i="11"/>
  <c r="V49" i="11"/>
  <c r="AA49" i="11"/>
  <c r="W49" i="11"/>
  <c r="U49" i="11"/>
  <c r="Y49" i="11"/>
  <c r="K49" i="11"/>
  <c r="AL49" i="11"/>
  <c r="Q49" i="11"/>
  <c r="J49" i="11"/>
  <c r="BW63" i="20" l="1"/>
  <c r="BW81" i="20"/>
  <c r="BW19" i="20"/>
  <c r="BW87" i="20"/>
  <c r="BW21" i="20"/>
  <c r="BW25" i="20"/>
  <c r="BW98" i="20"/>
  <c r="AL61" i="11"/>
  <c r="BW20" i="20"/>
  <c r="BW92" i="20"/>
  <c r="BW109" i="20"/>
  <c r="BW105" i="20"/>
  <c r="BW65" i="20"/>
  <c r="BW69" i="20"/>
  <c r="BW26" i="20"/>
  <c r="BW82" i="20"/>
  <c r="BW49" i="20"/>
  <c r="BW39" i="20"/>
  <c r="BW27" i="20"/>
  <c r="BW52" i="20"/>
  <c r="BW73" i="20"/>
  <c r="BW96" i="20"/>
  <c r="BW44" i="20"/>
  <c r="BW14" i="20"/>
  <c r="BW61" i="20"/>
  <c r="BW103" i="20"/>
  <c r="BW93" i="20"/>
  <c r="BW18" i="20"/>
  <c r="BW24" i="20"/>
  <c r="BW23" i="20"/>
  <c r="BW47" i="20"/>
  <c r="BW74" i="20"/>
  <c r="BW76" i="20"/>
  <c r="BW95" i="20"/>
  <c r="BW28" i="20"/>
  <c r="BW35" i="20"/>
  <c r="BW108" i="20"/>
  <c r="BW32" i="20"/>
  <c r="BW75" i="20"/>
  <c r="BW59" i="20"/>
  <c r="BW67" i="20"/>
  <c r="BW110" i="20"/>
  <c r="BW89" i="20"/>
  <c r="BW46" i="20"/>
  <c r="BW80" i="20"/>
  <c r="BW60" i="20"/>
  <c r="BW72" i="20"/>
  <c r="BW33" i="20"/>
  <c r="BW38" i="20"/>
  <c r="BW31" i="20"/>
  <c r="BW111" i="20"/>
  <c r="BW48" i="20"/>
  <c r="BW71" i="20"/>
  <c r="BW86" i="20"/>
  <c r="BW16" i="20"/>
  <c r="BW42" i="20"/>
  <c r="BW77" i="20"/>
  <c r="BW101" i="20"/>
  <c r="BW22" i="20"/>
  <c r="BW51" i="20"/>
  <c r="BW43" i="20"/>
  <c r="BW85" i="20"/>
  <c r="BW107" i="20"/>
  <c r="BW90" i="20"/>
  <c r="BW64" i="20"/>
  <c r="BW106" i="20"/>
  <c r="BW66" i="20"/>
  <c r="BW45" i="20"/>
  <c r="BW78" i="20"/>
  <c r="BW53" i="20"/>
  <c r="BW30" i="20"/>
  <c r="BW100" i="20"/>
  <c r="BW34" i="20"/>
  <c r="BW17" i="20"/>
  <c r="BW29" i="20"/>
  <c r="BW15" i="20"/>
  <c r="BW36" i="20"/>
  <c r="BW62" i="20"/>
  <c r="BW79" i="20"/>
  <c r="BW104" i="20"/>
  <c r="BW13" i="20"/>
  <c r="BW57" i="20"/>
  <c r="BW91" i="20"/>
  <c r="BW41" i="20"/>
  <c r="BW56" i="20"/>
  <c r="BW102" i="20"/>
  <c r="BW12" i="20"/>
  <c r="BW97" i="20"/>
  <c r="BW88" i="20"/>
  <c r="BW40" i="20"/>
  <c r="BW70" i="20"/>
  <c r="AL60" i="11"/>
  <c r="BW58" i="20"/>
  <c r="BW83" i="20"/>
  <c r="BW54" i="20"/>
  <c r="BW55" i="20"/>
  <c r="BW99" i="20"/>
  <c r="BW68" i="20"/>
  <c r="BW50" i="20"/>
  <c r="BW94" i="20"/>
  <c r="BW37" i="20"/>
  <c r="BW84" i="20"/>
  <c r="AL95" i="11"/>
  <c r="AL73" i="11"/>
  <c r="AL77" i="11"/>
  <c r="AL84" i="11"/>
  <c r="AL91" i="11"/>
  <c r="AL69" i="11"/>
  <c r="AL70" i="11"/>
  <c r="AL72" i="11"/>
  <c r="AL76" i="11"/>
  <c r="AL80" i="11"/>
  <c r="AL83" i="11"/>
  <c r="AL87" i="11"/>
  <c r="AL88" i="11"/>
  <c r="AL90" i="11"/>
  <c r="AL68" i="11"/>
  <c r="AL93" i="11"/>
  <c r="AL94" i="11"/>
  <c r="AL102" i="11"/>
  <c r="AL67" i="11"/>
  <c r="AL75" i="11"/>
  <c r="AL82" i="11"/>
  <c r="AL86" i="11"/>
  <c r="AL98" i="11"/>
  <c r="AL97" i="11"/>
  <c r="AL96" i="11"/>
  <c r="AL71" i="11"/>
  <c r="AL74" i="11"/>
  <c r="AL78" i="11"/>
  <c r="AL79" i="11"/>
  <c r="AL81" i="11"/>
  <c r="AL85" i="11"/>
  <c r="AL89" i="11"/>
  <c r="AL66" i="11"/>
  <c r="AL92" i="11"/>
  <c r="AI45" i="4"/>
  <c r="CC156" i="4" s="1"/>
  <c r="CD152" i="4"/>
  <c r="AL99" i="11"/>
  <c r="AQ46" i="4"/>
  <c r="AQ45" i="4"/>
  <c r="AL109" i="11"/>
  <c r="AL101" i="11"/>
  <c r="BG27" i="20"/>
  <c r="BG83" i="20"/>
  <c r="BG40" i="20"/>
  <c r="BG30" i="20"/>
  <c r="BG46" i="20"/>
  <c r="BG70" i="20"/>
  <c r="BG108" i="20"/>
  <c r="BG80" i="20"/>
  <c r="BG105" i="20"/>
  <c r="BG103" i="20"/>
  <c r="BG47" i="20"/>
  <c r="BG110" i="20"/>
  <c r="BG62" i="20"/>
  <c r="BG54" i="20"/>
  <c r="BG77" i="20"/>
  <c r="BG98" i="20"/>
  <c r="BG20" i="20"/>
  <c r="BG89" i="20"/>
  <c r="BG53" i="20"/>
  <c r="BG31" i="20"/>
  <c r="BG36" i="20"/>
  <c r="BG65" i="20"/>
  <c r="V61" i="11"/>
  <c r="BG21" i="20"/>
  <c r="BG75" i="20"/>
  <c r="BG92" i="20"/>
  <c r="BG104" i="20"/>
  <c r="BG72" i="20"/>
  <c r="BG76" i="20"/>
  <c r="BG43" i="20"/>
  <c r="BG41" i="20"/>
  <c r="BG102" i="20"/>
  <c r="BG18" i="20"/>
  <c r="BG63" i="20"/>
  <c r="BG90" i="20"/>
  <c r="BG109" i="20"/>
  <c r="BG93" i="20"/>
  <c r="BG49" i="20"/>
  <c r="BG34" i="20"/>
  <c r="BG48" i="20"/>
  <c r="BG86" i="20"/>
  <c r="BG82" i="20"/>
  <c r="BG61" i="20"/>
  <c r="BG97" i="20"/>
  <c r="BG32" i="20"/>
  <c r="BG50" i="20"/>
  <c r="BG58" i="20"/>
  <c r="BG13" i="20"/>
  <c r="V59" i="11"/>
  <c r="BG99" i="20"/>
  <c r="BG74" i="20"/>
  <c r="BG33" i="20"/>
  <c r="BG55" i="20"/>
  <c r="BG26" i="20"/>
  <c r="BG107" i="20"/>
  <c r="BG12" i="20"/>
  <c r="BG28" i="20"/>
  <c r="BG64" i="20"/>
  <c r="BG23" i="20"/>
  <c r="BG85" i="20"/>
  <c r="BG101" i="20"/>
  <c r="BG96" i="20"/>
  <c r="BG100" i="20"/>
  <c r="BG15" i="20"/>
  <c r="BG24" i="20"/>
  <c r="BG67" i="20"/>
  <c r="BG79" i="20"/>
  <c r="BG68" i="20"/>
  <c r="V60" i="11"/>
  <c r="BG60" i="20"/>
  <c r="BG14" i="20"/>
  <c r="BG37" i="20"/>
  <c r="BG69" i="20"/>
  <c r="BG38" i="20"/>
  <c r="BG87" i="20"/>
  <c r="BG35" i="20"/>
  <c r="BG19" i="20"/>
  <c r="BG71" i="20"/>
  <c r="BG56" i="20"/>
  <c r="BG81" i="20"/>
  <c r="BG51" i="20"/>
  <c r="BG66" i="20"/>
  <c r="BG78" i="20"/>
  <c r="BG94" i="20"/>
  <c r="BG73" i="20"/>
  <c r="BG42" i="20"/>
  <c r="BG57" i="20"/>
  <c r="BG84" i="20"/>
  <c r="BG44" i="20"/>
  <c r="BG111" i="20"/>
  <c r="BG39" i="20"/>
  <c r="BG95" i="20"/>
  <c r="BG88" i="20"/>
  <c r="BG16" i="20"/>
  <c r="BG45" i="20"/>
  <c r="BG52" i="20"/>
  <c r="BG22" i="20"/>
  <c r="BG59" i="20"/>
  <c r="BG29" i="20"/>
  <c r="BG17" i="20"/>
  <c r="BG106" i="20"/>
  <c r="BG91" i="20"/>
  <c r="BG25" i="20"/>
  <c r="V73" i="11"/>
  <c r="V77" i="11"/>
  <c r="V85" i="11"/>
  <c r="V90" i="11"/>
  <c r="V94" i="11"/>
  <c r="V95" i="11"/>
  <c r="V102" i="11"/>
  <c r="V69" i="11"/>
  <c r="V70" i="11"/>
  <c r="V72" i="11"/>
  <c r="V76" i="11"/>
  <c r="V80" i="11"/>
  <c r="V83" i="11"/>
  <c r="V88" i="11"/>
  <c r="V89" i="11"/>
  <c r="V99" i="11"/>
  <c r="V92" i="11"/>
  <c r="V101" i="11"/>
  <c r="V68" i="11"/>
  <c r="V93" i="11"/>
  <c r="V96" i="11"/>
  <c r="V67" i="11"/>
  <c r="V75" i="11"/>
  <c r="V81" i="11"/>
  <c r="V87" i="11"/>
  <c r="V91" i="11"/>
  <c r="V97" i="11"/>
  <c r="V100" i="11"/>
  <c r="V71" i="11"/>
  <c r="V74" i="11"/>
  <c r="V78" i="11"/>
  <c r="V79" i="11"/>
  <c r="V86" i="11"/>
  <c r="V98" i="11"/>
  <c r="V66" i="11"/>
  <c r="V109" i="11"/>
  <c r="AR24" i="4"/>
  <c r="AR26" i="4"/>
  <c r="BS103" i="4" s="1"/>
  <c r="V82" i="11"/>
  <c r="G61" i="11"/>
  <c r="G62" i="11" s="1"/>
  <c r="G60" i="11"/>
  <c r="G94" i="11"/>
  <c r="G95" i="11"/>
  <c r="G98" i="11"/>
  <c r="G70" i="11"/>
  <c r="G76" i="11"/>
  <c r="G83" i="11"/>
  <c r="G87" i="11"/>
  <c r="G97" i="11"/>
  <c r="G93" i="11"/>
  <c r="G99" i="11"/>
  <c r="G66" i="11"/>
  <c r="G75" i="11"/>
  <c r="G79" i="11"/>
  <c r="G80" i="11"/>
  <c r="G82" i="11"/>
  <c r="G86" i="11"/>
  <c r="G90" i="11"/>
  <c r="G100" i="11"/>
  <c r="G96" i="11"/>
  <c r="G101" i="11"/>
  <c r="G72" i="11"/>
  <c r="G74" i="11"/>
  <c r="G78" i="11"/>
  <c r="G85" i="11"/>
  <c r="G92" i="11"/>
  <c r="G68" i="11"/>
  <c r="G71" i="11"/>
  <c r="G73" i="11"/>
  <c r="G77" i="11"/>
  <c r="G81" i="11"/>
  <c r="G84" i="11"/>
  <c r="G88" i="11"/>
  <c r="G89" i="11"/>
  <c r="G91" i="11"/>
  <c r="G102" i="11"/>
  <c r="G109" i="11"/>
  <c r="G67" i="11"/>
  <c r="AX49" i="20"/>
  <c r="AX73" i="20"/>
  <c r="AX53" i="20"/>
  <c r="AX90" i="20"/>
  <c r="AX99" i="20"/>
  <c r="AX107" i="20"/>
  <c r="AX35" i="20"/>
  <c r="AX63" i="20"/>
  <c r="AX70" i="20"/>
  <c r="AX50" i="20"/>
  <c r="AX56" i="20"/>
  <c r="AX64" i="20"/>
  <c r="AX44" i="20"/>
  <c r="AX32" i="20"/>
  <c r="AX65" i="20"/>
  <c r="AX46" i="20"/>
  <c r="AX101" i="20"/>
  <c r="M61" i="11"/>
  <c r="AX89" i="20"/>
  <c r="AX21" i="20"/>
  <c r="AX14" i="20"/>
  <c r="AX17" i="20"/>
  <c r="AX92" i="20"/>
  <c r="AX19" i="20"/>
  <c r="AX88" i="20"/>
  <c r="AX54" i="20"/>
  <c r="AX13" i="20"/>
  <c r="AX72" i="20"/>
  <c r="AX108" i="20"/>
  <c r="AX75" i="20"/>
  <c r="AX12" i="20"/>
  <c r="AX24" i="20"/>
  <c r="AX96" i="20"/>
  <c r="AX102" i="20"/>
  <c r="AX74" i="20"/>
  <c r="AX111" i="20"/>
  <c r="AX33" i="20"/>
  <c r="AX81" i="20"/>
  <c r="AX27" i="20"/>
  <c r="AX28" i="20"/>
  <c r="AX22" i="20"/>
  <c r="AX79" i="20"/>
  <c r="AX42" i="20"/>
  <c r="AX48" i="20"/>
  <c r="AX37" i="20"/>
  <c r="AX15" i="20"/>
  <c r="AX86" i="20"/>
  <c r="AX106" i="20"/>
  <c r="AX18" i="20"/>
  <c r="AX87" i="20"/>
  <c r="AX45" i="20"/>
  <c r="AX85" i="20"/>
  <c r="AX93" i="20"/>
  <c r="AX77" i="20"/>
  <c r="AX69" i="20"/>
  <c r="AX39" i="20"/>
  <c r="AX80" i="20"/>
  <c r="AX59" i="20"/>
  <c r="AX68" i="20"/>
  <c r="AX40" i="20"/>
  <c r="AX38" i="20"/>
  <c r="AX84" i="20"/>
  <c r="AX31" i="20"/>
  <c r="AX60" i="20"/>
  <c r="AX110" i="20"/>
  <c r="AX95" i="20"/>
  <c r="AX71" i="20"/>
  <c r="AX83" i="20"/>
  <c r="AX78" i="20"/>
  <c r="M59" i="11"/>
  <c r="AX109" i="20"/>
  <c r="AX43" i="20"/>
  <c r="AX57" i="20"/>
  <c r="AX82" i="20"/>
  <c r="AX91" i="20"/>
  <c r="M60" i="11"/>
  <c r="AX103" i="20"/>
  <c r="AX98" i="20"/>
  <c r="AX30" i="20"/>
  <c r="AX94" i="20"/>
  <c r="AX20" i="20"/>
  <c r="AX66" i="20"/>
  <c r="AX34" i="20"/>
  <c r="AX58" i="20"/>
  <c r="AX52" i="20"/>
  <c r="AX100" i="20"/>
  <c r="AX51" i="20"/>
  <c r="AX26" i="20"/>
  <c r="AX62" i="20"/>
  <c r="AX76" i="20"/>
  <c r="AX16" i="20"/>
  <c r="AX41" i="20"/>
  <c r="AX47" i="20"/>
  <c r="AX29" i="20"/>
  <c r="AX105" i="20"/>
  <c r="AX67" i="20"/>
  <c r="AX36" i="20"/>
  <c r="AX23" i="20"/>
  <c r="AX61" i="20"/>
  <c r="AX97" i="20"/>
  <c r="AX25" i="20"/>
  <c r="AX104" i="20"/>
  <c r="AX55" i="20"/>
  <c r="M96" i="11"/>
  <c r="M97" i="11"/>
  <c r="M68" i="11"/>
  <c r="M71" i="11"/>
  <c r="M77" i="11"/>
  <c r="M85" i="11"/>
  <c r="M92" i="11"/>
  <c r="M100" i="11"/>
  <c r="M98" i="11"/>
  <c r="M76" i="11"/>
  <c r="M81" i="11"/>
  <c r="M84" i="11"/>
  <c r="M88" i="11"/>
  <c r="M89" i="11"/>
  <c r="M91" i="11"/>
  <c r="M99" i="11"/>
  <c r="M67" i="11"/>
  <c r="M102" i="11"/>
  <c r="M69" i="11"/>
  <c r="M94" i="11"/>
  <c r="M95" i="11"/>
  <c r="M66" i="11"/>
  <c r="M70" i="11"/>
  <c r="M74" i="11"/>
  <c r="M79" i="11"/>
  <c r="M83" i="11"/>
  <c r="M87" i="11"/>
  <c r="M93" i="11"/>
  <c r="M101" i="11"/>
  <c r="M72" i="11"/>
  <c r="M78" i="11"/>
  <c r="M80" i="11"/>
  <c r="M82" i="11"/>
  <c r="M86" i="11"/>
  <c r="M90" i="11"/>
  <c r="M109" i="11"/>
  <c r="AR14" i="4"/>
  <c r="AR16" i="4"/>
  <c r="BS39" i="4" s="1"/>
  <c r="M73" i="11"/>
  <c r="BB37" i="20"/>
  <c r="BB106" i="20"/>
  <c r="BB23" i="20"/>
  <c r="BB34" i="20"/>
  <c r="BB95" i="20"/>
  <c r="BB110" i="20"/>
  <c r="BB94" i="20"/>
  <c r="BB27" i="20"/>
  <c r="BB68" i="20"/>
  <c r="BB20" i="20"/>
  <c r="BB19" i="20"/>
  <c r="BB63" i="20"/>
  <c r="BB33" i="20"/>
  <c r="BB76" i="20"/>
  <c r="BB108" i="20"/>
  <c r="BB64" i="20"/>
  <c r="BB54" i="20"/>
  <c r="BB28" i="20"/>
  <c r="BB12" i="20"/>
  <c r="BB52" i="20"/>
  <c r="BB97" i="20"/>
  <c r="Q61" i="11"/>
  <c r="BB14" i="20"/>
  <c r="BB111" i="20"/>
  <c r="BB78" i="20"/>
  <c r="BB79" i="20"/>
  <c r="BB55" i="20"/>
  <c r="BB99" i="20"/>
  <c r="BB70" i="20"/>
  <c r="BB109" i="20"/>
  <c r="BB77" i="20"/>
  <c r="BB21" i="20"/>
  <c r="BB58" i="20"/>
  <c r="BB91" i="20"/>
  <c r="BB88" i="20"/>
  <c r="BB107" i="20"/>
  <c r="BB60" i="20"/>
  <c r="BB72" i="20"/>
  <c r="BB84" i="20"/>
  <c r="BB46" i="20"/>
  <c r="BB71" i="20"/>
  <c r="BB102" i="20"/>
  <c r="BB81" i="20"/>
  <c r="BB96" i="20"/>
  <c r="BB90" i="20"/>
  <c r="BB18" i="20"/>
  <c r="BB82" i="20"/>
  <c r="BB73" i="20"/>
  <c r="BB29" i="20"/>
  <c r="BB74" i="20"/>
  <c r="BB16" i="20"/>
  <c r="BB89" i="20"/>
  <c r="BB85" i="20"/>
  <c r="BB38" i="20"/>
  <c r="BB57" i="20"/>
  <c r="BB69" i="20"/>
  <c r="BB67" i="20"/>
  <c r="BB92" i="20"/>
  <c r="BB25" i="20"/>
  <c r="BB59" i="20"/>
  <c r="BB56" i="20"/>
  <c r="BB22" i="20"/>
  <c r="BB32" i="20"/>
  <c r="BB42" i="20"/>
  <c r="BB24" i="20"/>
  <c r="BB45" i="20"/>
  <c r="BB105" i="20"/>
  <c r="BB17" i="20"/>
  <c r="BB26" i="20"/>
  <c r="BB39" i="20"/>
  <c r="BB86" i="20"/>
  <c r="BB83" i="20"/>
  <c r="BB65" i="20"/>
  <c r="BB15" i="20"/>
  <c r="BB100" i="20"/>
  <c r="BB98" i="20"/>
  <c r="Q60" i="11"/>
  <c r="BB101" i="20"/>
  <c r="BB35" i="20"/>
  <c r="BB44" i="20"/>
  <c r="BB51" i="20"/>
  <c r="BB66" i="20"/>
  <c r="BB50" i="20"/>
  <c r="BB103" i="20"/>
  <c r="BB30" i="20"/>
  <c r="BB41" i="20"/>
  <c r="BB53" i="20"/>
  <c r="BB104" i="20"/>
  <c r="BB87" i="20"/>
  <c r="BB75" i="20"/>
  <c r="BB49" i="20"/>
  <c r="BB93" i="20"/>
  <c r="BB31" i="20"/>
  <c r="BB40" i="20"/>
  <c r="BB36" i="20"/>
  <c r="BB62" i="20"/>
  <c r="BB43" i="20"/>
  <c r="BB13" i="20"/>
  <c r="BB61" i="20"/>
  <c r="BB48" i="20"/>
  <c r="BB47" i="20"/>
  <c r="BB80" i="20"/>
  <c r="Q59" i="11"/>
  <c r="Q96" i="11"/>
  <c r="Q66" i="11"/>
  <c r="Q71" i="11"/>
  <c r="Q76" i="11"/>
  <c r="Q92" i="11"/>
  <c r="Q101" i="11"/>
  <c r="Q75" i="11"/>
  <c r="Q84" i="11"/>
  <c r="Q89" i="11"/>
  <c r="Q91" i="11"/>
  <c r="Q94" i="11"/>
  <c r="Q95" i="11"/>
  <c r="Q99" i="11"/>
  <c r="Q68" i="11"/>
  <c r="Q72" i="11"/>
  <c r="Q73" i="11"/>
  <c r="Q74" i="11"/>
  <c r="Q78" i="11"/>
  <c r="Q83" i="11"/>
  <c r="Q100" i="11"/>
  <c r="Q67" i="11"/>
  <c r="Q102" i="11"/>
  <c r="Q69" i="11"/>
  <c r="Q93" i="11"/>
  <c r="Q98" i="11"/>
  <c r="Q97" i="11"/>
  <c r="Q77" i="11"/>
  <c r="Q90" i="11"/>
  <c r="AI21" i="4"/>
  <c r="BS73" i="4" s="1"/>
  <c r="Q70" i="11"/>
  <c r="AH31" i="4"/>
  <c r="Q88" i="11"/>
  <c r="Q109" i="11"/>
  <c r="AN28" i="4"/>
  <c r="AL23" i="4"/>
  <c r="BV86" i="4" s="1"/>
  <c r="AN27" i="4"/>
  <c r="AL22" i="4"/>
  <c r="AN29" i="4"/>
  <c r="AL24" i="4"/>
  <c r="BS86" i="4" s="1"/>
  <c r="Q82" i="11"/>
  <c r="Q81" i="11"/>
  <c r="Q85" i="11"/>
  <c r="Q87" i="11"/>
  <c r="Q86" i="11"/>
  <c r="Q80" i="11"/>
  <c r="AV50" i="20"/>
  <c r="AV64" i="20"/>
  <c r="AV30" i="20"/>
  <c r="AV15" i="20"/>
  <c r="AV67" i="20"/>
  <c r="K59" i="11"/>
  <c r="AV79" i="20"/>
  <c r="AV51" i="20"/>
  <c r="AV43" i="20"/>
  <c r="AV25" i="20"/>
  <c r="AV78" i="20"/>
  <c r="AV96" i="20"/>
  <c r="AV103" i="20"/>
  <c r="AV75" i="20"/>
  <c r="AV12" i="20"/>
  <c r="AV88" i="20"/>
  <c r="AV86" i="20"/>
  <c r="AV74" i="20"/>
  <c r="AV72" i="20"/>
  <c r="AV24" i="20"/>
  <c r="AV21" i="20"/>
  <c r="AV23" i="20"/>
  <c r="K60" i="11"/>
  <c r="AV53" i="20"/>
  <c r="AV52" i="20"/>
  <c r="AV20" i="20"/>
  <c r="AV33" i="20"/>
  <c r="AV87" i="20"/>
  <c r="AV104" i="20"/>
  <c r="AV18" i="20"/>
  <c r="AV46" i="20"/>
  <c r="AV66" i="20"/>
  <c r="AV57" i="20"/>
  <c r="AV84" i="20"/>
  <c r="AV34" i="20"/>
  <c r="AV81" i="20"/>
  <c r="AV22" i="20"/>
  <c r="AV58" i="20"/>
  <c r="AV49" i="20"/>
  <c r="AV54" i="20"/>
  <c r="AV110" i="20"/>
  <c r="AV56" i="20"/>
  <c r="AV85" i="20"/>
  <c r="AV97" i="20"/>
  <c r="AV42" i="20"/>
  <c r="AV89" i="20"/>
  <c r="AV32" i="20"/>
  <c r="AV31" i="20"/>
  <c r="AV99" i="20"/>
  <c r="AV101" i="20"/>
  <c r="AV61" i="20"/>
  <c r="AV47" i="20"/>
  <c r="AV69" i="20"/>
  <c r="AV71" i="20"/>
  <c r="AV59" i="20"/>
  <c r="AV13" i="20"/>
  <c r="K61" i="11"/>
  <c r="AV29" i="20"/>
  <c r="AV14" i="20"/>
  <c r="AV35" i="20"/>
  <c r="AV92" i="20"/>
  <c r="AV17" i="20"/>
  <c r="AV36" i="20"/>
  <c r="AV41" i="20"/>
  <c r="AV73" i="20"/>
  <c r="AV105" i="20"/>
  <c r="AV65" i="20"/>
  <c r="AV45" i="20"/>
  <c r="AV55" i="20"/>
  <c r="AV40" i="20"/>
  <c r="AV37" i="20"/>
  <c r="AV16" i="20"/>
  <c r="AV93" i="20"/>
  <c r="AV98" i="20"/>
  <c r="AV111" i="20"/>
  <c r="AV90" i="20"/>
  <c r="AV106" i="20"/>
  <c r="AV91" i="20"/>
  <c r="AV109" i="20"/>
  <c r="AV26" i="20"/>
  <c r="AV70" i="20"/>
  <c r="AV60" i="20"/>
  <c r="AV102" i="20"/>
  <c r="AV82" i="20"/>
  <c r="AV76" i="20"/>
  <c r="AV100" i="20"/>
  <c r="AV62" i="20"/>
  <c r="AV38" i="20"/>
  <c r="AV27" i="20"/>
  <c r="AV28" i="20"/>
  <c r="AV80" i="20"/>
  <c r="AV95" i="20"/>
  <c r="AV19" i="20"/>
  <c r="AV83" i="20"/>
  <c r="AV68" i="20"/>
  <c r="AI14" i="4"/>
  <c r="BQ25" i="4" s="1"/>
  <c r="AV39" i="20"/>
  <c r="AV94" i="20"/>
  <c r="AV48" i="20"/>
  <c r="AV107" i="20"/>
  <c r="AV44" i="20"/>
  <c r="AV77" i="20"/>
  <c r="AV108" i="20"/>
  <c r="AV63" i="20"/>
  <c r="K94" i="11"/>
  <c r="K95" i="11"/>
  <c r="K99" i="11"/>
  <c r="K101" i="11"/>
  <c r="K72" i="11"/>
  <c r="K79" i="11"/>
  <c r="K83" i="11"/>
  <c r="K87" i="11"/>
  <c r="K102" i="11"/>
  <c r="K67" i="11"/>
  <c r="K93" i="11"/>
  <c r="K68" i="11"/>
  <c r="K74" i="11"/>
  <c r="K78" i="11"/>
  <c r="K80" i="11"/>
  <c r="K82" i="11"/>
  <c r="K86" i="11"/>
  <c r="K90" i="11"/>
  <c r="K97" i="11"/>
  <c r="K69" i="11"/>
  <c r="K96" i="11"/>
  <c r="K98" i="11"/>
  <c r="K71" i="11"/>
  <c r="K77" i="11"/>
  <c r="K85" i="11"/>
  <c r="K92" i="11"/>
  <c r="K66" i="11"/>
  <c r="K76" i="11"/>
  <c r="K81" i="11"/>
  <c r="K84" i="11"/>
  <c r="K88" i="11"/>
  <c r="K89" i="11"/>
  <c r="K91" i="11"/>
  <c r="K100" i="11"/>
  <c r="AQ14" i="4"/>
  <c r="AM14" i="4"/>
  <c r="BS20" i="4" s="1"/>
  <c r="K109" i="11"/>
  <c r="AQ16" i="4"/>
  <c r="K70" i="11"/>
  <c r="K75" i="11"/>
  <c r="BF50" i="20"/>
  <c r="BF104" i="20"/>
  <c r="BF105" i="20"/>
  <c r="BF57" i="20"/>
  <c r="BF78" i="20"/>
  <c r="BF12" i="20"/>
  <c r="BF23" i="20"/>
  <c r="BF63" i="20"/>
  <c r="BF55" i="20"/>
  <c r="BF89" i="20"/>
  <c r="BF65" i="20"/>
  <c r="BF40" i="20"/>
  <c r="BF74" i="20"/>
  <c r="BF82" i="20"/>
  <c r="BF33" i="20"/>
  <c r="BF72" i="20"/>
  <c r="BF62" i="20"/>
  <c r="BF38" i="20"/>
  <c r="BF101" i="20"/>
  <c r="BF45" i="20"/>
  <c r="BF73" i="20"/>
  <c r="BF51" i="20"/>
  <c r="BF22" i="20"/>
  <c r="BF52" i="20"/>
  <c r="BF36" i="20"/>
  <c r="BF30" i="20"/>
  <c r="BF17" i="20"/>
  <c r="BF68" i="20"/>
  <c r="BF16" i="20"/>
  <c r="BF26" i="20"/>
  <c r="BF108" i="20"/>
  <c r="BF102" i="20"/>
  <c r="BF95" i="20"/>
  <c r="BF46" i="20"/>
  <c r="BF14" i="20"/>
  <c r="BF79" i="20"/>
  <c r="BF67" i="20"/>
  <c r="BF59" i="20"/>
  <c r="BF109" i="20"/>
  <c r="BF106" i="20"/>
  <c r="BF100" i="20"/>
  <c r="U61" i="11"/>
  <c r="BF110" i="20"/>
  <c r="BF27" i="20"/>
  <c r="BF60" i="20"/>
  <c r="BF91" i="20"/>
  <c r="BF44" i="20"/>
  <c r="BF24" i="20"/>
  <c r="BF58" i="20"/>
  <c r="BF99" i="20"/>
  <c r="BF32" i="20"/>
  <c r="BF97" i="20"/>
  <c r="BF107" i="20"/>
  <c r="BF48" i="20"/>
  <c r="BF103" i="20"/>
  <c r="BF47" i="20"/>
  <c r="BF83" i="20"/>
  <c r="BF80" i="20"/>
  <c r="BF54" i="20"/>
  <c r="BF70" i="20"/>
  <c r="BF76" i="20"/>
  <c r="BF66" i="20"/>
  <c r="BF71" i="20"/>
  <c r="BF92" i="20"/>
  <c r="BF20" i="20"/>
  <c r="BF15" i="20"/>
  <c r="BF93" i="20"/>
  <c r="BF13" i="20"/>
  <c r="BF69" i="20"/>
  <c r="BF88" i="20"/>
  <c r="U60" i="11"/>
  <c r="BF18" i="20"/>
  <c r="BF81" i="20"/>
  <c r="U59" i="11"/>
  <c r="BF111" i="20"/>
  <c r="BF75" i="20"/>
  <c r="BF98" i="20"/>
  <c r="BF94" i="20"/>
  <c r="BF77" i="20"/>
  <c r="BF96" i="20"/>
  <c r="BF28" i="20"/>
  <c r="BF85" i="20"/>
  <c r="BF87" i="20"/>
  <c r="BF29" i="20"/>
  <c r="BF34" i="20"/>
  <c r="BF53" i="20"/>
  <c r="BF41" i="20"/>
  <c r="BF56" i="20"/>
  <c r="BF90" i="20"/>
  <c r="BF25" i="20"/>
  <c r="BF64" i="20"/>
  <c r="BF42" i="20"/>
  <c r="BF39" i="20"/>
  <c r="BF49" i="20"/>
  <c r="BF35" i="20"/>
  <c r="BF86" i="20"/>
  <c r="BF31" i="20"/>
  <c r="BF84" i="20"/>
  <c r="BF21" i="20"/>
  <c r="BF61" i="20"/>
  <c r="BF37" i="20"/>
  <c r="BF19" i="20"/>
  <c r="BF43" i="20"/>
  <c r="U99" i="11"/>
  <c r="U68" i="11"/>
  <c r="U71" i="11"/>
  <c r="U76" i="11"/>
  <c r="U80" i="11"/>
  <c r="U84" i="11"/>
  <c r="U88" i="11"/>
  <c r="U89" i="11"/>
  <c r="U100" i="11"/>
  <c r="U92" i="11"/>
  <c r="U96" i="11"/>
  <c r="U98" i="11"/>
  <c r="U75" i="11"/>
  <c r="U87" i="11"/>
  <c r="U91" i="11"/>
  <c r="U102" i="11"/>
  <c r="U94" i="11"/>
  <c r="U95" i="11"/>
  <c r="U97" i="11"/>
  <c r="U66" i="11"/>
  <c r="U70" i="11"/>
  <c r="U72" i="11"/>
  <c r="U74" i="11"/>
  <c r="U78" i="11"/>
  <c r="U79" i="11"/>
  <c r="U86" i="11"/>
  <c r="U93" i="11"/>
  <c r="U101" i="11"/>
  <c r="U73" i="11"/>
  <c r="U77" i="11"/>
  <c r="U82" i="11"/>
  <c r="U85" i="11"/>
  <c r="U90" i="11"/>
  <c r="U67" i="11"/>
  <c r="U69" i="11"/>
  <c r="U109" i="11"/>
  <c r="AR25" i="4"/>
  <c r="BW95" i="4" s="1"/>
  <c r="AR23" i="4"/>
  <c r="U81" i="11"/>
  <c r="BL97" i="20"/>
  <c r="AA59" i="11"/>
  <c r="BL25" i="20"/>
  <c r="BL16" i="20"/>
  <c r="BL83" i="20"/>
  <c r="BL98" i="20"/>
  <c r="BL22" i="20"/>
  <c r="BL62" i="20"/>
  <c r="BL21" i="20"/>
  <c r="BL63" i="20"/>
  <c r="BL39" i="20"/>
  <c r="BL41" i="20"/>
  <c r="BL90" i="20"/>
  <c r="BL73" i="20"/>
  <c r="BL29" i="20"/>
  <c r="BL82" i="20"/>
  <c r="BL101" i="20"/>
  <c r="BL104" i="20"/>
  <c r="BL70" i="20"/>
  <c r="BL91" i="20"/>
  <c r="BL59" i="20"/>
  <c r="BL34" i="20"/>
  <c r="BL52" i="20"/>
  <c r="AA60" i="11"/>
  <c r="BL76" i="20"/>
  <c r="BL56" i="20"/>
  <c r="BL47" i="20"/>
  <c r="BL75" i="20"/>
  <c r="BL94" i="20"/>
  <c r="BL54" i="20"/>
  <c r="BL86" i="20"/>
  <c r="AA61" i="11"/>
  <c r="BL49" i="20"/>
  <c r="BL44" i="20"/>
  <c r="BL108" i="20"/>
  <c r="BL88" i="20"/>
  <c r="BL28" i="20"/>
  <c r="BL58" i="20"/>
  <c r="BL61" i="20"/>
  <c r="BL67" i="20"/>
  <c r="BL109" i="20"/>
  <c r="BL100" i="20"/>
  <c r="BL33" i="20"/>
  <c r="BL71" i="20"/>
  <c r="BL38" i="20"/>
  <c r="BL93" i="20"/>
  <c r="BL80" i="20"/>
  <c r="BL35" i="20"/>
  <c r="BL74" i="20"/>
  <c r="BL19" i="20"/>
  <c r="BL110" i="20"/>
  <c r="BL69" i="20"/>
  <c r="BL105" i="20"/>
  <c r="BL12" i="20"/>
  <c r="BL40" i="20"/>
  <c r="BL45" i="20"/>
  <c r="BL46" i="20"/>
  <c r="BL13" i="20"/>
  <c r="BL27" i="20"/>
  <c r="BL89" i="20"/>
  <c r="BL24" i="20"/>
  <c r="BL42" i="20"/>
  <c r="BL57" i="20"/>
  <c r="BL36" i="20"/>
  <c r="BL32" i="20"/>
  <c r="BL87" i="20"/>
  <c r="BL72" i="20"/>
  <c r="BL26" i="20"/>
  <c r="BL84" i="20"/>
  <c r="BL48" i="20"/>
  <c r="BL81" i="20"/>
  <c r="BL111" i="20"/>
  <c r="BL65" i="20"/>
  <c r="BL51" i="20"/>
  <c r="BL20" i="20"/>
  <c r="BL23" i="20"/>
  <c r="BL99" i="20"/>
  <c r="BL18" i="20"/>
  <c r="BL55" i="20"/>
  <c r="BL30" i="20"/>
  <c r="BL103" i="20"/>
  <c r="BL53" i="20"/>
  <c r="BL15" i="20"/>
  <c r="BL96" i="20"/>
  <c r="BL50" i="20"/>
  <c r="BL31" i="20"/>
  <c r="BL17" i="20"/>
  <c r="BL85" i="20"/>
  <c r="BL78" i="20"/>
  <c r="BL107" i="20"/>
  <c r="BL60" i="20"/>
  <c r="BL66" i="20"/>
  <c r="BL106" i="20"/>
  <c r="BL64" i="20"/>
  <c r="BL77" i="20"/>
  <c r="BL92" i="20"/>
  <c r="BL43" i="20"/>
  <c r="BL95" i="20"/>
  <c r="BL68" i="20"/>
  <c r="BL79" i="20"/>
  <c r="BL14" i="20"/>
  <c r="BL37" i="20"/>
  <c r="BL102" i="20"/>
  <c r="AA95" i="11"/>
  <c r="AA101" i="11"/>
  <c r="AA70" i="11"/>
  <c r="AA72" i="11"/>
  <c r="AA74" i="11"/>
  <c r="AA78" i="11"/>
  <c r="AA79" i="11"/>
  <c r="AA81" i="11"/>
  <c r="AA85" i="11"/>
  <c r="AA102" i="11"/>
  <c r="AA67" i="11"/>
  <c r="AA68" i="11"/>
  <c r="AA73" i="11"/>
  <c r="AA77" i="11"/>
  <c r="AA84" i="11"/>
  <c r="AA97" i="11"/>
  <c r="AA69" i="11"/>
  <c r="AA92" i="11"/>
  <c r="AA93" i="11"/>
  <c r="AA96" i="11"/>
  <c r="AA98" i="11"/>
  <c r="AA71" i="11"/>
  <c r="AA76" i="11"/>
  <c r="AA80" i="11"/>
  <c r="AA83" i="11"/>
  <c r="AA87" i="11"/>
  <c r="AA66" i="11"/>
  <c r="AA75" i="11"/>
  <c r="AA86" i="11"/>
  <c r="AA91" i="11"/>
  <c r="AA100" i="11"/>
  <c r="AH38" i="4"/>
  <c r="AH44" i="4"/>
  <c r="BR154" i="4"/>
  <c r="AA94" i="11"/>
  <c r="AA99" i="11"/>
  <c r="AH33" i="4"/>
  <c r="AA90" i="11"/>
  <c r="AM32" i="4"/>
  <c r="AA109" i="11"/>
  <c r="BS144" i="4"/>
  <c r="AA88" i="11"/>
  <c r="AI32" i="4"/>
  <c r="BQ146" i="4" s="1"/>
  <c r="AH24" i="4"/>
  <c r="AA82" i="11"/>
  <c r="BX31" i="20"/>
  <c r="BX36" i="20"/>
  <c r="BX95" i="20"/>
  <c r="BX57" i="20"/>
  <c r="BX74" i="20"/>
  <c r="BX106" i="20"/>
  <c r="BX63" i="20"/>
  <c r="BX24" i="20"/>
  <c r="BX16" i="20"/>
  <c r="BX17" i="20"/>
  <c r="BX104" i="20"/>
  <c r="BX90" i="20"/>
  <c r="BX85" i="20"/>
  <c r="BX86" i="20"/>
  <c r="BX67" i="20"/>
  <c r="BX73" i="20"/>
  <c r="BX109" i="20"/>
  <c r="BX40" i="20"/>
  <c r="BX28" i="20"/>
  <c r="BX100" i="20"/>
  <c r="BX91" i="20"/>
  <c r="BX43" i="20"/>
  <c r="AM60" i="11"/>
  <c r="BX87" i="20"/>
  <c r="BX96" i="20"/>
  <c r="BX26" i="20"/>
  <c r="BX75" i="20"/>
  <c r="BX14" i="20"/>
  <c r="BX79" i="20"/>
  <c r="BX83" i="20"/>
  <c r="BX80" i="20"/>
  <c r="BX94" i="20"/>
  <c r="BX76" i="20"/>
  <c r="BX19" i="20"/>
  <c r="BX82" i="20"/>
  <c r="BX72" i="20"/>
  <c r="BX102" i="20"/>
  <c r="BX13" i="20"/>
  <c r="BX84" i="20"/>
  <c r="BX44" i="20"/>
  <c r="BX51" i="20"/>
  <c r="BX27" i="20"/>
  <c r="BX52" i="20"/>
  <c r="BX55" i="20"/>
  <c r="BX21" i="20"/>
  <c r="BX35" i="20"/>
  <c r="BX108" i="20"/>
  <c r="BX37" i="20"/>
  <c r="BX111" i="20"/>
  <c r="BX64" i="20"/>
  <c r="BX12" i="20"/>
  <c r="BX49" i="20"/>
  <c r="BX34" i="20"/>
  <c r="BX23" i="20"/>
  <c r="BX15" i="20"/>
  <c r="BX69" i="20"/>
  <c r="BX53" i="20"/>
  <c r="BX62" i="20"/>
  <c r="BX77" i="20"/>
  <c r="BX32" i="20"/>
  <c r="BX92" i="20"/>
  <c r="BX54" i="20"/>
  <c r="AM61" i="11"/>
  <c r="BX18" i="20"/>
  <c r="BX66" i="20"/>
  <c r="BX68" i="20"/>
  <c r="BX59" i="20"/>
  <c r="BX88" i="20"/>
  <c r="BX38" i="20"/>
  <c r="BX50" i="20"/>
  <c r="BX29" i="20"/>
  <c r="BX33" i="20"/>
  <c r="BX42" i="20"/>
  <c r="BX58" i="20"/>
  <c r="BX78" i="20"/>
  <c r="BX30" i="20"/>
  <c r="BX105" i="20"/>
  <c r="BX60" i="20"/>
  <c r="BX103" i="20"/>
  <c r="BX97" i="20"/>
  <c r="BX70" i="20"/>
  <c r="BX65" i="20"/>
  <c r="BX39" i="20"/>
  <c r="BX81" i="20"/>
  <c r="BX98" i="20"/>
  <c r="BX41" i="20"/>
  <c r="BX56" i="20"/>
  <c r="BX22" i="20"/>
  <c r="BX20" i="20"/>
  <c r="BX110" i="20"/>
  <c r="BX93" i="20"/>
  <c r="BX25" i="20"/>
  <c r="BX48" i="20"/>
  <c r="AM59" i="11"/>
  <c r="BX89" i="20"/>
  <c r="BX107" i="20"/>
  <c r="BX99" i="20"/>
  <c r="BX45" i="20"/>
  <c r="BX61" i="20"/>
  <c r="BX101" i="20"/>
  <c r="BX47" i="20"/>
  <c r="BX71" i="20"/>
  <c r="BX46" i="20"/>
  <c r="AM69" i="11"/>
  <c r="AM70" i="11"/>
  <c r="AM72" i="11"/>
  <c r="AM74" i="11"/>
  <c r="AM78" i="11"/>
  <c r="AM79" i="11"/>
  <c r="AM81" i="11"/>
  <c r="AM85" i="11"/>
  <c r="AM89" i="11"/>
  <c r="AM92" i="11"/>
  <c r="AM93" i="11"/>
  <c r="AM94" i="11"/>
  <c r="AM96" i="11"/>
  <c r="AM98" i="11"/>
  <c r="AM99" i="11"/>
  <c r="AM66" i="11"/>
  <c r="AM73" i="11"/>
  <c r="AM77" i="11"/>
  <c r="AM84" i="11"/>
  <c r="AM91" i="11"/>
  <c r="AM71" i="11"/>
  <c r="AM76" i="11"/>
  <c r="AM80" i="11"/>
  <c r="AM83" i="11"/>
  <c r="AM87" i="11"/>
  <c r="AM88" i="11"/>
  <c r="AM90" i="11"/>
  <c r="AM97" i="11"/>
  <c r="AM95" i="11"/>
  <c r="AM68" i="11"/>
  <c r="AM75" i="11"/>
  <c r="AM82" i="11"/>
  <c r="AM86" i="11"/>
  <c r="AM102" i="11"/>
  <c r="AM67" i="11"/>
  <c r="AM109" i="11"/>
  <c r="CD158" i="4"/>
  <c r="AR45" i="4"/>
  <c r="AR46" i="4"/>
  <c r="AM100" i="11"/>
  <c r="F61" i="11"/>
  <c r="F71" i="11"/>
  <c r="F73" i="11"/>
  <c r="F75" i="11"/>
  <c r="F79" i="11"/>
  <c r="F80" i="11"/>
  <c r="F82" i="11"/>
  <c r="F86" i="11"/>
  <c r="F90" i="11"/>
  <c r="F94" i="11"/>
  <c r="F95" i="11"/>
  <c r="F102" i="11"/>
  <c r="F69" i="11"/>
  <c r="F70" i="11"/>
  <c r="F74" i="11"/>
  <c r="F78" i="11"/>
  <c r="F85" i="11"/>
  <c r="F92" i="11"/>
  <c r="F101" i="11"/>
  <c r="F93" i="11"/>
  <c r="F77" i="11"/>
  <c r="F81" i="11"/>
  <c r="F84" i="11"/>
  <c r="F88" i="11"/>
  <c r="F89" i="11"/>
  <c r="F91" i="11"/>
  <c r="F96" i="11"/>
  <c r="F97" i="11"/>
  <c r="F99" i="11"/>
  <c r="F100" i="11"/>
  <c r="F72" i="11"/>
  <c r="F76" i="11"/>
  <c r="F83" i="11"/>
  <c r="F87" i="11"/>
  <c r="F98" i="11"/>
  <c r="F109" i="11"/>
  <c r="F67" i="11"/>
  <c r="F66" i="11"/>
  <c r="AW75" i="20"/>
  <c r="AW79" i="20"/>
  <c r="AW81" i="20"/>
  <c r="AW76" i="20"/>
  <c r="AW71" i="20"/>
  <c r="AW80" i="20"/>
  <c r="AW69" i="20"/>
  <c r="AW94" i="20"/>
  <c r="AW52" i="20"/>
  <c r="AW28" i="20"/>
  <c r="AW23" i="20"/>
  <c r="AW42" i="20"/>
  <c r="AW29" i="20"/>
  <c r="AW90" i="20"/>
  <c r="AW27" i="20"/>
  <c r="AW60" i="20"/>
  <c r="AW70" i="20"/>
  <c r="AW46" i="20"/>
  <c r="AW22" i="20"/>
  <c r="AW17" i="20"/>
  <c r="AW33" i="20"/>
  <c r="AW85" i="20"/>
  <c r="AW61" i="20"/>
  <c r="AW105" i="20"/>
  <c r="AW93" i="20"/>
  <c r="AW14" i="20"/>
  <c r="AW12" i="20"/>
  <c r="AW53" i="20"/>
  <c r="AW98" i="20"/>
  <c r="AW41" i="20"/>
  <c r="AW15" i="20"/>
  <c r="AW87" i="20"/>
  <c r="AW32" i="20"/>
  <c r="AW84" i="20"/>
  <c r="AW106" i="20"/>
  <c r="AW40" i="20"/>
  <c r="AW47" i="20"/>
  <c r="AW31" i="20"/>
  <c r="AW100" i="20"/>
  <c r="L60" i="11"/>
  <c r="AW35" i="20"/>
  <c r="AW99" i="20"/>
  <c r="AW97" i="20"/>
  <c r="AW86" i="20"/>
  <c r="AW38" i="20"/>
  <c r="AW21" i="20"/>
  <c r="AW95" i="20"/>
  <c r="AW66" i="20"/>
  <c r="AW43" i="20"/>
  <c r="AW92" i="20"/>
  <c r="AW34" i="20"/>
  <c r="AW20" i="20"/>
  <c r="AW111" i="20"/>
  <c r="AW13" i="20"/>
  <c r="AW88" i="20"/>
  <c r="AW50" i="20"/>
  <c r="L59" i="11"/>
  <c r="AW49" i="20"/>
  <c r="AW78" i="20"/>
  <c r="AW45" i="20"/>
  <c r="AW30" i="20"/>
  <c r="AW109" i="20"/>
  <c r="AW44" i="20"/>
  <c r="AW36" i="20"/>
  <c r="AW63" i="20"/>
  <c r="AW24" i="20"/>
  <c r="AW58" i="20"/>
  <c r="AW96" i="20"/>
  <c r="AW77" i="20"/>
  <c r="AW68" i="20"/>
  <c r="AW64" i="20"/>
  <c r="AW102" i="20"/>
  <c r="AW59" i="20"/>
  <c r="AW91" i="20"/>
  <c r="AW26" i="20"/>
  <c r="AW56" i="20"/>
  <c r="AW54" i="20"/>
  <c r="AW19" i="20"/>
  <c r="AW103" i="20"/>
  <c r="AW104" i="20"/>
  <c r="L61" i="11"/>
  <c r="AW62" i="20"/>
  <c r="AW89" i="20"/>
  <c r="AW37" i="20"/>
  <c r="AW67" i="20"/>
  <c r="AW72" i="20"/>
  <c r="AW110" i="20"/>
  <c r="AW107" i="20"/>
  <c r="AW65" i="20"/>
  <c r="AW18" i="20"/>
  <c r="AW74" i="20"/>
  <c r="AW82" i="20"/>
  <c r="AW108" i="20"/>
  <c r="AW16" i="20"/>
  <c r="AW83" i="20"/>
  <c r="AW25" i="20"/>
  <c r="AW73" i="20"/>
  <c r="AW51" i="20"/>
  <c r="AW48" i="20"/>
  <c r="AW55" i="20"/>
  <c r="AW39" i="20"/>
  <c r="AW101" i="20"/>
  <c r="AW57" i="20"/>
  <c r="L93" i="11"/>
  <c r="L97" i="11"/>
  <c r="L99" i="11"/>
  <c r="L100" i="11"/>
  <c r="L76" i="11"/>
  <c r="L81" i="11"/>
  <c r="L84" i="11"/>
  <c r="L88" i="11"/>
  <c r="L89" i="11"/>
  <c r="L91" i="11"/>
  <c r="L66" i="11"/>
  <c r="L96" i="11"/>
  <c r="L71" i="11"/>
  <c r="L75" i="11"/>
  <c r="L79" i="11"/>
  <c r="L83" i="11"/>
  <c r="L87" i="11"/>
  <c r="L68" i="11"/>
  <c r="L102" i="11"/>
  <c r="L69" i="11"/>
  <c r="L73" i="11"/>
  <c r="L78" i="11"/>
  <c r="L80" i="11"/>
  <c r="L82" i="11"/>
  <c r="L86" i="11"/>
  <c r="L90" i="11"/>
  <c r="L94" i="11"/>
  <c r="L95" i="11"/>
  <c r="L98" i="11"/>
  <c r="L67" i="11"/>
  <c r="L70" i="11"/>
  <c r="L77" i="11"/>
  <c r="L85" i="11"/>
  <c r="L92" i="11"/>
  <c r="L101" i="11"/>
  <c r="L109" i="11"/>
  <c r="AR15" i="4"/>
  <c r="BW31" i="4" s="1"/>
  <c r="AR13" i="4"/>
  <c r="L72" i="11"/>
  <c r="BK33" i="20"/>
  <c r="BK46" i="20"/>
  <c r="BK61" i="20"/>
  <c r="BK36" i="20"/>
  <c r="BK28" i="20"/>
  <c r="BK95" i="20"/>
  <c r="BK16" i="20"/>
  <c r="BK76" i="20"/>
  <c r="BK96" i="20"/>
  <c r="BK24" i="20"/>
  <c r="BK53" i="20"/>
  <c r="BK14" i="20"/>
  <c r="BK69" i="20"/>
  <c r="BK87" i="20"/>
  <c r="BK52" i="20"/>
  <c r="BK105" i="20"/>
  <c r="BK111" i="20"/>
  <c r="BK110" i="20"/>
  <c r="BK48" i="20"/>
  <c r="BK34" i="20"/>
  <c r="BK83" i="20"/>
  <c r="BK102" i="20"/>
  <c r="BK39" i="20"/>
  <c r="BK85" i="20"/>
  <c r="BK91" i="20"/>
  <c r="BK104" i="20"/>
  <c r="BK109" i="20"/>
  <c r="BK78" i="20"/>
  <c r="BK107" i="20"/>
  <c r="BK32" i="20"/>
  <c r="BK23" i="20"/>
  <c r="BK77" i="20"/>
  <c r="BK35" i="20"/>
  <c r="BK92" i="20"/>
  <c r="BK62" i="20"/>
  <c r="BK101" i="20"/>
  <c r="BK75" i="20"/>
  <c r="BK98" i="20"/>
  <c r="BK68" i="20"/>
  <c r="BK26" i="20"/>
  <c r="BK40" i="20"/>
  <c r="BK17" i="20"/>
  <c r="BK70" i="20"/>
  <c r="BK51" i="20"/>
  <c r="BK55" i="20"/>
  <c r="BK25" i="20"/>
  <c r="BK99" i="20"/>
  <c r="BK74" i="20"/>
  <c r="BK89" i="20"/>
  <c r="Z61" i="11"/>
  <c r="BK57" i="20"/>
  <c r="BK44" i="20"/>
  <c r="BK54" i="20"/>
  <c r="BK15" i="20"/>
  <c r="BK106" i="20"/>
  <c r="BK81" i="20"/>
  <c r="BK20" i="20"/>
  <c r="BK37" i="20"/>
  <c r="BK97" i="20"/>
  <c r="BK21" i="20"/>
  <c r="BK100" i="20"/>
  <c r="BK67" i="20"/>
  <c r="BK103" i="20"/>
  <c r="BK94" i="20"/>
  <c r="BK71" i="20"/>
  <c r="BK50" i="20"/>
  <c r="BK13" i="20"/>
  <c r="BK80" i="20"/>
  <c r="BK72" i="20"/>
  <c r="BK63" i="20"/>
  <c r="BK58" i="20"/>
  <c r="BK49" i="20"/>
  <c r="BK12" i="20"/>
  <c r="BK19" i="20"/>
  <c r="Z59" i="11"/>
  <c r="BK27" i="20"/>
  <c r="BK108" i="20"/>
  <c r="BK93" i="20"/>
  <c r="BK47" i="20"/>
  <c r="BK59" i="20"/>
  <c r="BK64" i="20"/>
  <c r="BK86" i="20"/>
  <c r="BK90" i="20"/>
  <c r="BK82" i="20"/>
  <c r="BK18" i="20"/>
  <c r="BK30" i="20"/>
  <c r="BK29" i="20"/>
  <c r="BK38" i="20"/>
  <c r="BK66" i="20"/>
  <c r="BK43" i="20"/>
  <c r="BK42" i="20"/>
  <c r="BK31" i="20"/>
  <c r="BK45" i="20"/>
  <c r="BK84" i="20"/>
  <c r="BK41" i="20"/>
  <c r="BK56" i="20"/>
  <c r="BK22" i="20"/>
  <c r="BK79" i="20"/>
  <c r="BK73" i="20"/>
  <c r="BK60" i="20"/>
  <c r="BK88" i="20"/>
  <c r="BK65" i="20"/>
  <c r="Z60" i="11"/>
  <c r="Z67" i="11"/>
  <c r="Z73" i="11"/>
  <c r="Z77" i="11"/>
  <c r="Z84" i="11"/>
  <c r="Z90" i="11"/>
  <c r="Z66" i="11"/>
  <c r="Z101" i="11"/>
  <c r="Z68" i="11"/>
  <c r="Z94" i="11"/>
  <c r="Z95" i="11"/>
  <c r="Z97" i="11"/>
  <c r="Z96" i="11"/>
  <c r="Z100" i="11"/>
  <c r="Z70" i="11"/>
  <c r="Z72" i="11"/>
  <c r="Z76" i="11"/>
  <c r="Z80" i="11"/>
  <c r="Z83" i="11"/>
  <c r="Z87" i="11"/>
  <c r="Z75" i="11"/>
  <c r="Z86" i="11"/>
  <c r="Z91" i="11"/>
  <c r="Z102" i="11"/>
  <c r="Z69" i="11"/>
  <c r="Z71" i="11"/>
  <c r="Z74" i="11"/>
  <c r="Z78" i="11"/>
  <c r="Z81" i="11"/>
  <c r="Z82" i="11"/>
  <c r="Z85" i="11"/>
  <c r="Z99" i="11"/>
  <c r="AH37" i="4"/>
  <c r="AH43" i="4"/>
  <c r="Z93" i="11"/>
  <c r="Z98" i="11"/>
  <c r="Z109" i="11"/>
  <c r="AI31" i="4"/>
  <c r="BQ135" i="4" s="1"/>
  <c r="Z79" i="11"/>
  <c r="AL32" i="4"/>
  <c r="AN35" i="4"/>
  <c r="Z92" i="11"/>
  <c r="Z89" i="11"/>
  <c r="BI94" i="20"/>
  <c r="BI20" i="20"/>
  <c r="BI54" i="20"/>
  <c r="BI52" i="20"/>
  <c r="BI18" i="20"/>
  <c r="BI56" i="20"/>
  <c r="BI35" i="20"/>
  <c r="BI34" i="20"/>
  <c r="BI64" i="20"/>
  <c r="BI55" i="20"/>
  <c r="BI82" i="20"/>
  <c r="BI78" i="20"/>
  <c r="BI32" i="20"/>
  <c r="BI63" i="20"/>
  <c r="BI37" i="20"/>
  <c r="BI62" i="20"/>
  <c r="BI100" i="20"/>
  <c r="BI98" i="20"/>
  <c r="BI90" i="20"/>
  <c r="BI29" i="20"/>
  <c r="BI36" i="20"/>
  <c r="BI95" i="20"/>
  <c r="BI43" i="20"/>
  <c r="BI97" i="20"/>
  <c r="BI79" i="20"/>
  <c r="BI49" i="20"/>
  <c r="BI80" i="20"/>
  <c r="BI21" i="20"/>
  <c r="BI47" i="20"/>
  <c r="BI58" i="20"/>
  <c r="BI26" i="20"/>
  <c r="BI48" i="20"/>
  <c r="BI69" i="20"/>
  <c r="BI24" i="20"/>
  <c r="X61" i="11"/>
  <c r="BI106" i="20"/>
  <c r="BI46" i="20"/>
  <c r="BI50" i="20"/>
  <c r="BI31" i="20"/>
  <c r="BI104" i="20"/>
  <c r="BI99" i="20"/>
  <c r="BI70" i="20"/>
  <c r="BI111" i="20"/>
  <c r="BI96" i="20"/>
  <c r="BI16" i="20"/>
  <c r="X59" i="11"/>
  <c r="BI53" i="20"/>
  <c r="BI42" i="20"/>
  <c r="BI39" i="20"/>
  <c r="X60" i="11"/>
  <c r="BI57" i="20"/>
  <c r="BI38" i="20"/>
  <c r="BI102" i="20"/>
  <c r="BI41" i="20"/>
  <c r="BI60" i="20"/>
  <c r="BI68" i="20"/>
  <c r="BI27" i="20"/>
  <c r="BI73" i="20"/>
  <c r="BI59" i="20"/>
  <c r="BI25" i="20"/>
  <c r="BI108" i="20"/>
  <c r="BI74" i="20"/>
  <c r="BI15" i="20"/>
  <c r="BI23" i="20"/>
  <c r="BI40" i="20"/>
  <c r="BI110" i="20"/>
  <c r="BI72" i="20"/>
  <c r="BI91" i="20"/>
  <c r="BI77" i="20"/>
  <c r="BI103" i="20"/>
  <c r="BI109" i="20"/>
  <c r="BI71" i="20"/>
  <c r="BI19" i="20"/>
  <c r="BI33" i="20"/>
  <c r="BI14" i="20"/>
  <c r="BI86" i="20"/>
  <c r="BI13" i="20"/>
  <c r="BI12" i="20"/>
  <c r="BI17" i="20"/>
  <c r="BI107" i="20"/>
  <c r="BI44" i="20"/>
  <c r="BI81" i="20"/>
  <c r="BI101" i="20"/>
  <c r="BI65" i="20"/>
  <c r="BI66" i="20"/>
  <c r="BI30" i="20"/>
  <c r="BI67" i="20"/>
  <c r="BI89" i="20"/>
  <c r="BI51" i="20"/>
  <c r="BI87" i="20"/>
  <c r="BI75" i="20"/>
  <c r="BI76" i="20"/>
  <c r="BI84" i="20"/>
  <c r="BI92" i="20"/>
  <c r="BI28" i="20"/>
  <c r="BI83" i="20"/>
  <c r="BI45" i="20"/>
  <c r="BI22" i="20"/>
  <c r="BI105" i="20"/>
  <c r="BI93" i="20"/>
  <c r="BI85" i="20"/>
  <c r="BI61" i="20"/>
  <c r="BI88" i="20"/>
  <c r="X93" i="11"/>
  <c r="X98" i="11"/>
  <c r="X102" i="11"/>
  <c r="X69" i="11"/>
  <c r="X75" i="11"/>
  <c r="X87" i="11"/>
  <c r="X91" i="11"/>
  <c r="X68" i="11"/>
  <c r="X67" i="11"/>
  <c r="X71" i="11"/>
  <c r="X74" i="11"/>
  <c r="X78" i="11"/>
  <c r="X82" i="11"/>
  <c r="X85" i="11"/>
  <c r="X97" i="11"/>
  <c r="X100" i="11"/>
  <c r="X73" i="11"/>
  <c r="X77" i="11"/>
  <c r="X84" i="11"/>
  <c r="X90" i="11"/>
  <c r="X99" i="11"/>
  <c r="X101" i="11"/>
  <c r="X94" i="11"/>
  <c r="X95" i="11"/>
  <c r="X70" i="11"/>
  <c r="X72" i="11"/>
  <c r="X76" i="11"/>
  <c r="X80" i="11"/>
  <c r="X83" i="11"/>
  <c r="X88" i="11"/>
  <c r="X89" i="11"/>
  <c r="X96" i="11"/>
  <c r="X92" i="11"/>
  <c r="X66" i="11"/>
  <c r="AP28" i="4"/>
  <c r="AO28" i="4"/>
  <c r="CF83" i="4" s="1"/>
  <c r="X109" i="11"/>
  <c r="X79" i="11"/>
  <c r="X81" i="11"/>
  <c r="BP108" i="20"/>
  <c r="AE61" i="11"/>
  <c r="BP57" i="20"/>
  <c r="BP105" i="20"/>
  <c r="BP26" i="20"/>
  <c r="BP64" i="20"/>
  <c r="BP74" i="20"/>
  <c r="BP44" i="20"/>
  <c r="BP56" i="20"/>
  <c r="BP47" i="20"/>
  <c r="BP31" i="20"/>
  <c r="BP20" i="20"/>
  <c r="BP77" i="20"/>
  <c r="BP82" i="20"/>
  <c r="BP75" i="20"/>
  <c r="BP102" i="20"/>
  <c r="BP14" i="20"/>
  <c r="BP51" i="20"/>
  <c r="BP19" i="20"/>
  <c r="BP62" i="20"/>
  <c r="BP85" i="20"/>
  <c r="BP87" i="20"/>
  <c r="BP68" i="20"/>
  <c r="BP50" i="20"/>
  <c r="BP93" i="20"/>
  <c r="BP111" i="20"/>
  <c r="AE59" i="11"/>
  <c r="BP90" i="20"/>
  <c r="BP30" i="20"/>
  <c r="BP23" i="20"/>
  <c r="BP60" i="20"/>
  <c r="BP36" i="20"/>
  <c r="BP106" i="20"/>
  <c r="BP107" i="20"/>
  <c r="BP103" i="20"/>
  <c r="BP28" i="20"/>
  <c r="BP67" i="20"/>
  <c r="BP88" i="20"/>
  <c r="BP40" i="20"/>
  <c r="BP29" i="20"/>
  <c r="BP104" i="20"/>
  <c r="BP34" i="20"/>
  <c r="BP94" i="20"/>
  <c r="BP63" i="20"/>
  <c r="BP76" i="20"/>
  <c r="BP81" i="20"/>
  <c r="BP61" i="20"/>
  <c r="BP16" i="20"/>
  <c r="BP84" i="20"/>
  <c r="BP41" i="20"/>
  <c r="BP69" i="20"/>
  <c r="BP70" i="20"/>
  <c r="BP53" i="20"/>
  <c r="BP95" i="20"/>
  <c r="BP58" i="20"/>
  <c r="BP79" i="20"/>
  <c r="BP89" i="20"/>
  <c r="BP54" i="20"/>
  <c r="BP21" i="20"/>
  <c r="BP52" i="20"/>
  <c r="BP110" i="20"/>
  <c r="BP13" i="20"/>
  <c r="BP97" i="20"/>
  <c r="BP66" i="20"/>
  <c r="BP91" i="20"/>
  <c r="BP38" i="20"/>
  <c r="BP12" i="20"/>
  <c r="AE60" i="11"/>
  <c r="BP43" i="20"/>
  <c r="BP101" i="20"/>
  <c r="BP100" i="20"/>
  <c r="BP49" i="20"/>
  <c r="BP109" i="20"/>
  <c r="BP48" i="20"/>
  <c r="BP80" i="20"/>
  <c r="BP25" i="20"/>
  <c r="BP42" i="20"/>
  <c r="BP92" i="20"/>
  <c r="BP39" i="20"/>
  <c r="BP27" i="20"/>
  <c r="BP17" i="20"/>
  <c r="BP78" i="20"/>
  <c r="BP33" i="20"/>
  <c r="BP99" i="20"/>
  <c r="BP18" i="20"/>
  <c r="BP35" i="20"/>
  <c r="BP32" i="20"/>
  <c r="BP72" i="20"/>
  <c r="BP37" i="20"/>
  <c r="BP45" i="20"/>
  <c r="BP46" i="20"/>
  <c r="BP96" i="20"/>
  <c r="BP15" i="20"/>
  <c r="BP24" i="20"/>
  <c r="BP98" i="20"/>
  <c r="BP22" i="20"/>
  <c r="BP73" i="20"/>
  <c r="BP83" i="20"/>
  <c r="BP59" i="20"/>
  <c r="BP55" i="20"/>
  <c r="BP71" i="20"/>
  <c r="BP65" i="20"/>
  <c r="BP86" i="20"/>
  <c r="AE95" i="11"/>
  <c r="AE96" i="11"/>
  <c r="AE98" i="11"/>
  <c r="AE99" i="11"/>
  <c r="AE69" i="11"/>
  <c r="AE70" i="11"/>
  <c r="AE72" i="11"/>
  <c r="AE74" i="11"/>
  <c r="AE78" i="11"/>
  <c r="AE79" i="11"/>
  <c r="AE81" i="11"/>
  <c r="AE85" i="11"/>
  <c r="AE92" i="11"/>
  <c r="AE66" i="11"/>
  <c r="AE73" i="11"/>
  <c r="AE77" i="11"/>
  <c r="AE84" i="11"/>
  <c r="AE91" i="11"/>
  <c r="AE100" i="11"/>
  <c r="AE102" i="11"/>
  <c r="AE67" i="11"/>
  <c r="AI37" i="4"/>
  <c r="BW135" i="4" s="1"/>
  <c r="AE101" i="11"/>
  <c r="AE71" i="11"/>
  <c r="AE76" i="11"/>
  <c r="AE80" i="11"/>
  <c r="AE83" i="11"/>
  <c r="AE87" i="11"/>
  <c r="AE89" i="11"/>
  <c r="AE90" i="11"/>
  <c r="AE68" i="11"/>
  <c r="AE75" i="11"/>
  <c r="AE82" i="11"/>
  <c r="AE86" i="11"/>
  <c r="AE88" i="11"/>
  <c r="AE109" i="11"/>
  <c r="AL38" i="4"/>
  <c r="AN41" i="4"/>
  <c r="AE97" i="11"/>
  <c r="AE94" i="11"/>
  <c r="BM17" i="20"/>
  <c r="BM67" i="20"/>
  <c r="BM40" i="20"/>
  <c r="BM71" i="20"/>
  <c r="BM42" i="20"/>
  <c r="BM26" i="20"/>
  <c r="BM108" i="20"/>
  <c r="BM31" i="20"/>
  <c r="BM33" i="20"/>
  <c r="BM89" i="20"/>
  <c r="BM75" i="20"/>
  <c r="BM23" i="20"/>
  <c r="BM83" i="20"/>
  <c r="BM101" i="20"/>
  <c r="BM34" i="20"/>
  <c r="BM12" i="20"/>
  <c r="BM90" i="20"/>
  <c r="BM79" i="20"/>
  <c r="BM110" i="20"/>
  <c r="BM105" i="20"/>
  <c r="BM25" i="20"/>
  <c r="BM53" i="20"/>
  <c r="BM39" i="20"/>
  <c r="BM82" i="20"/>
  <c r="BM97" i="20"/>
  <c r="BM73" i="20"/>
  <c r="BM50" i="20"/>
  <c r="BM37" i="20"/>
  <c r="BM95" i="20"/>
  <c r="BM102" i="20"/>
  <c r="BM64" i="20"/>
  <c r="BM54" i="20"/>
  <c r="BM21" i="20"/>
  <c r="BM27" i="20"/>
  <c r="BM41" i="20"/>
  <c r="BM28" i="20"/>
  <c r="BM77" i="20"/>
  <c r="BM81" i="20"/>
  <c r="BM47" i="20"/>
  <c r="BM43" i="20"/>
  <c r="BM104" i="20"/>
  <c r="BM93" i="20"/>
  <c r="BM14" i="20"/>
  <c r="BM16" i="20"/>
  <c r="BM51" i="20"/>
  <c r="BM99" i="20"/>
  <c r="BM36" i="20"/>
  <c r="BM80" i="20"/>
  <c r="BM60" i="20"/>
  <c r="BM109" i="20"/>
  <c r="BM66" i="20"/>
  <c r="BM57" i="20"/>
  <c r="BM38" i="20"/>
  <c r="BM85" i="20"/>
  <c r="BM111" i="20"/>
  <c r="BM55" i="20"/>
  <c r="BM32" i="20"/>
  <c r="BM72" i="20"/>
  <c r="BM59" i="20"/>
  <c r="BM96" i="20"/>
  <c r="BM30" i="20"/>
  <c r="BM19" i="20"/>
  <c r="BM87" i="20"/>
  <c r="BM94" i="20"/>
  <c r="BM62" i="20"/>
  <c r="BM86" i="20"/>
  <c r="BM91" i="20"/>
  <c r="BM35" i="20"/>
  <c r="BM22" i="20"/>
  <c r="BM48" i="20"/>
  <c r="BM56" i="20"/>
  <c r="BM68" i="20"/>
  <c r="BM98" i="20"/>
  <c r="AB61" i="11"/>
  <c r="BM106" i="20"/>
  <c r="BM13" i="20"/>
  <c r="BM46" i="20"/>
  <c r="BM63" i="20"/>
  <c r="BM24" i="20"/>
  <c r="BM61" i="20"/>
  <c r="BM88" i="20"/>
  <c r="BM70" i="20"/>
  <c r="BM15" i="20"/>
  <c r="BM103" i="20"/>
  <c r="BM100" i="20"/>
  <c r="BM84" i="20"/>
  <c r="BM92" i="20"/>
  <c r="BM45" i="20"/>
  <c r="BM44" i="20"/>
  <c r="BM18" i="20"/>
  <c r="BM49" i="20"/>
  <c r="BM74" i="20"/>
  <c r="BM65" i="20"/>
  <c r="BM76" i="20"/>
  <c r="BM78" i="20"/>
  <c r="BM29" i="20"/>
  <c r="BM20" i="20"/>
  <c r="BM107" i="20"/>
  <c r="BM58" i="20"/>
  <c r="BM69" i="20"/>
  <c r="BM52" i="20"/>
  <c r="AB60" i="11"/>
  <c r="AB94" i="11"/>
  <c r="AB97" i="11"/>
  <c r="AB75" i="11"/>
  <c r="AB82" i="11"/>
  <c r="AB86" i="11"/>
  <c r="AB96" i="11"/>
  <c r="AB99" i="11"/>
  <c r="AB66" i="11"/>
  <c r="AB93" i="11"/>
  <c r="AB71" i="11"/>
  <c r="AB74" i="11"/>
  <c r="AB78" i="11"/>
  <c r="AB79" i="11"/>
  <c r="AB81" i="11"/>
  <c r="AB85" i="11"/>
  <c r="AB88" i="11"/>
  <c r="AB68" i="11"/>
  <c r="AB102" i="11"/>
  <c r="AB69" i="11"/>
  <c r="AB73" i="11"/>
  <c r="AB77" i="11"/>
  <c r="AB84" i="11"/>
  <c r="AB92" i="11"/>
  <c r="AB95" i="11"/>
  <c r="AB98" i="11"/>
  <c r="AB67" i="11"/>
  <c r="AB70" i="11"/>
  <c r="AB72" i="11"/>
  <c r="AB76" i="11"/>
  <c r="AB80" i="11"/>
  <c r="AB83" i="11"/>
  <c r="AB87" i="11"/>
  <c r="AB101" i="11"/>
  <c r="AI33" i="4"/>
  <c r="BQ156" i="4" s="1"/>
  <c r="BR152" i="4"/>
  <c r="AB100" i="11"/>
  <c r="AB89" i="11"/>
  <c r="AQ34" i="4"/>
  <c r="AB109" i="11"/>
  <c r="AQ33" i="4"/>
  <c r="AB91" i="11"/>
  <c r="BQ94" i="20"/>
  <c r="BQ65" i="20"/>
  <c r="BQ98" i="20"/>
  <c r="BQ17" i="20"/>
  <c r="BQ23" i="20"/>
  <c r="BQ18" i="20"/>
  <c r="BQ28" i="20"/>
  <c r="BQ53" i="20"/>
  <c r="AF61" i="11"/>
  <c r="BQ91" i="20"/>
  <c r="BQ47" i="20"/>
  <c r="BQ110" i="20"/>
  <c r="BQ52" i="20"/>
  <c r="BQ58" i="20"/>
  <c r="BQ55" i="20"/>
  <c r="BQ32" i="20"/>
  <c r="BQ31" i="20"/>
  <c r="BQ48" i="20"/>
  <c r="BQ34" i="20"/>
  <c r="BQ22" i="20"/>
  <c r="BQ51" i="20"/>
  <c r="BQ50" i="20"/>
  <c r="BQ60" i="20"/>
  <c r="BQ33" i="20"/>
  <c r="BQ77" i="20"/>
  <c r="BQ30" i="20"/>
  <c r="BQ89" i="20"/>
  <c r="BQ12" i="20"/>
  <c r="BQ56" i="20"/>
  <c r="BQ82" i="20"/>
  <c r="BQ68" i="20"/>
  <c r="BQ102" i="20"/>
  <c r="BQ26" i="20"/>
  <c r="BQ83" i="20"/>
  <c r="BQ74" i="20"/>
  <c r="BQ67" i="20"/>
  <c r="BQ108" i="20"/>
  <c r="BQ96" i="20"/>
  <c r="BQ80" i="20"/>
  <c r="BQ95" i="20"/>
  <c r="BQ41" i="20"/>
  <c r="BQ84" i="20"/>
  <c r="BQ105" i="20"/>
  <c r="BQ13" i="20"/>
  <c r="BQ49" i="20"/>
  <c r="BQ21" i="20"/>
  <c r="BQ35" i="20"/>
  <c r="BQ27" i="20"/>
  <c r="BQ76" i="20"/>
  <c r="BQ54" i="20"/>
  <c r="BQ40" i="20"/>
  <c r="BQ19" i="20"/>
  <c r="BQ99" i="20"/>
  <c r="BQ87" i="20"/>
  <c r="BQ39" i="20"/>
  <c r="BQ64" i="20"/>
  <c r="BQ59" i="20"/>
  <c r="BQ71" i="20"/>
  <c r="BQ20" i="20"/>
  <c r="BQ104" i="20"/>
  <c r="BQ63" i="20"/>
  <c r="BQ72" i="20"/>
  <c r="BQ93" i="20"/>
  <c r="BQ90" i="20"/>
  <c r="BQ62" i="20"/>
  <c r="BQ43" i="20"/>
  <c r="BQ97" i="20"/>
  <c r="BQ79" i="20"/>
  <c r="BQ36" i="20"/>
  <c r="BQ14" i="20"/>
  <c r="BQ107" i="20"/>
  <c r="BQ70" i="20"/>
  <c r="BQ88" i="20"/>
  <c r="BQ16" i="20"/>
  <c r="BQ57" i="20"/>
  <c r="BQ92" i="20"/>
  <c r="BQ78" i="20"/>
  <c r="BQ45" i="20"/>
  <c r="BQ109" i="20"/>
  <c r="BQ106" i="20"/>
  <c r="BQ103" i="20"/>
  <c r="BQ85" i="20"/>
  <c r="BQ29" i="20"/>
  <c r="BQ69" i="20"/>
  <c r="BQ81" i="20"/>
  <c r="BQ24" i="20"/>
  <c r="BQ61" i="20"/>
  <c r="BQ15" i="20"/>
  <c r="BQ73" i="20"/>
  <c r="BQ101" i="20"/>
  <c r="BQ42" i="20"/>
  <c r="BQ86" i="20"/>
  <c r="BQ111" i="20"/>
  <c r="BQ44" i="20"/>
  <c r="BQ37" i="20"/>
  <c r="BQ100" i="20"/>
  <c r="BQ75" i="20"/>
  <c r="BQ66" i="20"/>
  <c r="AF60" i="11"/>
  <c r="BQ25" i="20"/>
  <c r="AF59" i="11"/>
  <c r="BQ46" i="20"/>
  <c r="BQ38" i="20"/>
  <c r="AF102" i="11"/>
  <c r="AF75" i="11"/>
  <c r="AF82" i="11"/>
  <c r="AF86" i="11"/>
  <c r="AF101" i="11"/>
  <c r="AF67" i="11"/>
  <c r="AF71" i="11"/>
  <c r="AF74" i="11"/>
  <c r="AF78" i="11"/>
  <c r="AF79" i="11"/>
  <c r="AF81" i="11"/>
  <c r="AF85" i="11"/>
  <c r="AF96" i="11"/>
  <c r="AF92" i="11"/>
  <c r="AF66" i="11"/>
  <c r="AF97" i="11"/>
  <c r="AF98" i="11"/>
  <c r="AF73" i="11"/>
  <c r="AF77" i="11"/>
  <c r="AF84" i="11"/>
  <c r="AF91" i="11"/>
  <c r="AF99" i="11"/>
  <c r="AF68" i="11"/>
  <c r="AF100" i="11"/>
  <c r="AF69" i="11"/>
  <c r="AF70" i="11"/>
  <c r="AF72" i="11"/>
  <c r="AF76" i="11"/>
  <c r="AF80" i="11"/>
  <c r="AF83" i="11"/>
  <c r="AF87" i="11"/>
  <c r="AF88" i="11"/>
  <c r="AF90" i="11"/>
  <c r="AI38" i="4"/>
  <c r="BW146" i="4" s="1"/>
  <c r="AH39" i="4"/>
  <c r="AF89" i="11"/>
  <c r="BX154" i="4"/>
  <c r="AF95" i="11"/>
  <c r="AM38" i="4"/>
  <c r="AF109" i="11"/>
  <c r="BY144" i="4"/>
  <c r="AF93" i="11"/>
  <c r="BU104" i="20"/>
  <c r="BU109" i="20"/>
  <c r="BU70" i="20"/>
  <c r="BU21" i="20"/>
  <c r="BU63" i="20"/>
  <c r="BU81" i="20"/>
  <c r="BU15" i="20"/>
  <c r="BU32" i="20"/>
  <c r="BU74" i="20"/>
  <c r="BU56" i="20"/>
  <c r="BU19" i="20"/>
  <c r="BU66" i="20"/>
  <c r="BU31" i="20"/>
  <c r="BU107" i="20"/>
  <c r="BU53" i="20"/>
  <c r="BU97" i="20"/>
  <c r="BU100" i="20"/>
  <c r="BU20" i="20"/>
  <c r="BU17" i="20"/>
  <c r="BU36" i="20"/>
  <c r="BU13" i="20"/>
  <c r="BU41" i="20"/>
  <c r="BU73" i="20"/>
  <c r="BU35" i="20"/>
  <c r="BU71" i="20"/>
  <c r="BU51" i="20"/>
  <c r="BU86" i="20"/>
  <c r="BU106" i="20"/>
  <c r="BU85" i="20"/>
  <c r="BU42" i="20"/>
  <c r="BU47" i="20"/>
  <c r="BU67" i="20"/>
  <c r="BU72" i="20"/>
  <c r="BU60" i="20"/>
  <c r="BU76" i="20"/>
  <c r="BU50" i="20"/>
  <c r="BU24" i="20"/>
  <c r="BU75" i="20"/>
  <c r="AI43" i="4"/>
  <c r="CC135" i="4" s="1"/>
  <c r="BU69" i="20"/>
  <c r="BU57" i="20"/>
  <c r="BU29" i="20"/>
  <c r="BU108" i="20"/>
  <c r="BU105" i="20"/>
  <c r="BU91" i="20"/>
  <c r="BU92" i="20"/>
  <c r="BU78" i="20"/>
  <c r="BU38" i="20"/>
  <c r="BU23" i="20"/>
  <c r="BU87" i="20"/>
  <c r="BU89" i="20"/>
  <c r="BU25" i="20"/>
  <c r="BU83" i="20"/>
  <c r="BU43" i="20"/>
  <c r="BU48" i="20"/>
  <c r="BU28" i="20"/>
  <c r="BU52" i="20"/>
  <c r="BU98" i="20"/>
  <c r="BU27" i="20"/>
  <c r="AJ59" i="11"/>
  <c r="BU68" i="20"/>
  <c r="BU90" i="20"/>
  <c r="BU94" i="20"/>
  <c r="AJ61" i="11"/>
  <c r="BU49" i="20"/>
  <c r="BU40" i="20"/>
  <c r="AJ60" i="11"/>
  <c r="BU33" i="20"/>
  <c r="BU18" i="20"/>
  <c r="BU45" i="20"/>
  <c r="BU26" i="20"/>
  <c r="BU88" i="20"/>
  <c r="BU111" i="20"/>
  <c r="BU101" i="20"/>
  <c r="BU77" i="20"/>
  <c r="BU22" i="20"/>
  <c r="BU55" i="20"/>
  <c r="BU30" i="20"/>
  <c r="BU99" i="20"/>
  <c r="BU102" i="20"/>
  <c r="BU59" i="20"/>
  <c r="BU58" i="20"/>
  <c r="BU44" i="20"/>
  <c r="BU96" i="20"/>
  <c r="BU79" i="20"/>
  <c r="BU54" i="20"/>
  <c r="BU103" i="20"/>
  <c r="BU34" i="20"/>
  <c r="BU61" i="20"/>
  <c r="BU93" i="20"/>
  <c r="BU110" i="20"/>
  <c r="BU14" i="20"/>
  <c r="BU82" i="20"/>
  <c r="BU37" i="20"/>
  <c r="BU80" i="20"/>
  <c r="BU62" i="20"/>
  <c r="BU46" i="20"/>
  <c r="BU39" i="20"/>
  <c r="BU12" i="20"/>
  <c r="BU65" i="20"/>
  <c r="BU95" i="20"/>
  <c r="BU64" i="20"/>
  <c r="BU84" i="20"/>
  <c r="BU16" i="20"/>
  <c r="AJ93" i="11"/>
  <c r="AJ94" i="11"/>
  <c r="AJ97" i="11"/>
  <c r="AJ75" i="11"/>
  <c r="AJ82" i="11"/>
  <c r="AJ86" i="11"/>
  <c r="AJ100" i="11"/>
  <c r="AJ71" i="11"/>
  <c r="AJ74" i="11"/>
  <c r="AJ78" i="11"/>
  <c r="AJ79" i="11"/>
  <c r="AJ81" i="11"/>
  <c r="AJ85" i="11"/>
  <c r="AJ101" i="11"/>
  <c r="AJ92" i="11"/>
  <c r="AJ95" i="11"/>
  <c r="AJ73" i="11"/>
  <c r="AJ77" i="11"/>
  <c r="AJ84" i="11"/>
  <c r="AJ89" i="11"/>
  <c r="AJ91" i="11"/>
  <c r="AJ96" i="11"/>
  <c r="AJ66" i="11"/>
  <c r="AJ67" i="11"/>
  <c r="AJ69" i="11"/>
  <c r="AJ70" i="11"/>
  <c r="AJ72" i="11"/>
  <c r="AJ76" i="11"/>
  <c r="AJ80" i="11"/>
  <c r="AJ83" i="11"/>
  <c r="AJ87" i="11"/>
  <c r="AJ88" i="11"/>
  <c r="AJ90" i="11"/>
  <c r="AJ68" i="11"/>
  <c r="AJ109" i="11"/>
  <c r="AN47" i="4"/>
  <c r="AL44" i="4"/>
  <c r="AJ99" i="11"/>
  <c r="AJ102" i="11"/>
  <c r="D61" i="11"/>
  <c r="D93" i="11"/>
  <c r="D97" i="11"/>
  <c r="D99" i="11"/>
  <c r="D100" i="11"/>
  <c r="D72" i="11"/>
  <c r="D77" i="11"/>
  <c r="D81" i="11"/>
  <c r="D84" i="11"/>
  <c r="D88" i="11"/>
  <c r="D89" i="11"/>
  <c r="D91" i="11"/>
  <c r="D101" i="11"/>
  <c r="D96" i="11"/>
  <c r="D98" i="11"/>
  <c r="D76" i="11"/>
  <c r="D83" i="11"/>
  <c r="D87" i="11"/>
  <c r="D102" i="11"/>
  <c r="D69" i="11"/>
  <c r="D71" i="11"/>
  <c r="D73" i="11"/>
  <c r="D75" i="11"/>
  <c r="D79" i="11"/>
  <c r="D80" i="11"/>
  <c r="D82" i="11"/>
  <c r="D86" i="11"/>
  <c r="D90" i="11"/>
  <c r="D94" i="11"/>
  <c r="D95" i="11"/>
  <c r="D74" i="11"/>
  <c r="D78" i="11"/>
  <c r="D85" i="11"/>
  <c r="D92" i="11"/>
  <c r="AH11" i="4"/>
  <c r="D109" i="11"/>
  <c r="D70" i="11"/>
  <c r="D67" i="11"/>
  <c r="D68" i="11"/>
  <c r="AS63" i="20"/>
  <c r="AS78" i="20"/>
  <c r="AS57" i="20"/>
  <c r="AS82" i="20"/>
  <c r="AS95" i="20"/>
  <c r="AS55" i="20"/>
  <c r="AS42" i="20"/>
  <c r="AS19" i="20"/>
  <c r="AS24" i="20"/>
  <c r="AS109" i="20"/>
  <c r="AS25" i="20"/>
  <c r="AS12" i="20"/>
  <c r="AS94" i="20"/>
  <c r="AS90" i="20"/>
  <c r="AS76" i="20"/>
  <c r="H59" i="11"/>
  <c r="AS33" i="20"/>
  <c r="AS21" i="20"/>
  <c r="AS45" i="20"/>
  <c r="H60" i="11"/>
  <c r="AS23" i="20"/>
  <c r="AS52" i="20"/>
  <c r="AS108" i="20"/>
  <c r="AS111" i="20"/>
  <c r="AS30" i="20"/>
  <c r="AS47" i="20"/>
  <c r="AS65" i="20"/>
  <c r="AS80" i="20"/>
  <c r="AS51" i="20"/>
  <c r="AS79" i="20"/>
  <c r="AS72" i="20"/>
  <c r="AS71" i="20"/>
  <c r="AS41" i="20"/>
  <c r="AS27" i="20"/>
  <c r="AS36" i="20"/>
  <c r="AS28" i="20"/>
  <c r="AS101" i="20"/>
  <c r="AS35" i="20"/>
  <c r="AS88" i="20"/>
  <c r="AS104" i="20"/>
  <c r="AS74" i="20"/>
  <c r="AS75" i="20"/>
  <c r="AS48" i="20"/>
  <c r="AS99" i="20"/>
  <c r="AS77" i="20"/>
  <c r="AS81" i="20"/>
  <c r="AS107" i="20"/>
  <c r="AS50" i="20"/>
  <c r="AS15" i="20"/>
  <c r="AS67" i="20"/>
  <c r="AS39" i="20"/>
  <c r="AS17" i="20"/>
  <c r="AS49" i="20"/>
  <c r="AS89" i="20"/>
  <c r="AS13" i="20"/>
  <c r="AS43" i="20"/>
  <c r="AS98" i="20"/>
  <c r="AS93" i="20"/>
  <c r="AS102" i="20"/>
  <c r="AS66" i="20"/>
  <c r="AS87" i="20"/>
  <c r="AS20" i="20"/>
  <c r="AS60" i="20"/>
  <c r="AS40" i="20"/>
  <c r="AS18" i="20"/>
  <c r="AS29" i="20"/>
  <c r="AS59" i="20"/>
  <c r="AS34" i="20"/>
  <c r="AS62" i="20"/>
  <c r="AS92" i="20"/>
  <c r="AS97" i="20"/>
  <c r="AS22" i="20"/>
  <c r="AS105" i="20"/>
  <c r="AS32" i="20"/>
  <c r="AS100" i="20"/>
  <c r="AS16" i="20"/>
  <c r="AS44" i="20"/>
  <c r="AS106" i="20"/>
  <c r="AS64" i="20"/>
  <c r="AS46" i="20"/>
  <c r="C49" i="11"/>
  <c r="AS56" i="20"/>
  <c r="AS68" i="20"/>
  <c r="AS86" i="20"/>
  <c r="AS84" i="20"/>
  <c r="AS26" i="20"/>
  <c r="AS14" i="20"/>
  <c r="H61" i="11"/>
  <c r="AS69" i="20"/>
  <c r="AS38" i="20"/>
  <c r="AS103" i="20"/>
  <c r="AS70" i="20"/>
  <c r="AS73" i="20"/>
  <c r="AS83" i="20"/>
  <c r="AS54" i="20"/>
  <c r="AS85" i="20"/>
  <c r="AS31" i="20"/>
  <c r="AS96" i="20"/>
  <c r="AS37" i="20"/>
  <c r="AS91" i="20"/>
  <c r="AS58" i="20"/>
  <c r="AS110" i="20"/>
  <c r="AS53" i="20"/>
  <c r="AS61" i="20"/>
  <c r="H93" i="11"/>
  <c r="H98" i="11"/>
  <c r="H102" i="11"/>
  <c r="H67" i="11"/>
  <c r="H69" i="11"/>
  <c r="H81" i="11"/>
  <c r="H84" i="11"/>
  <c r="H88" i="11"/>
  <c r="H89" i="11"/>
  <c r="H91" i="11"/>
  <c r="H68" i="11"/>
  <c r="H96" i="11"/>
  <c r="H83" i="11"/>
  <c r="H87" i="11"/>
  <c r="H97" i="11"/>
  <c r="H99" i="11"/>
  <c r="H100" i="11"/>
  <c r="H75" i="11"/>
  <c r="H80" i="11"/>
  <c r="H82" i="11"/>
  <c r="H86" i="11"/>
  <c r="H90" i="11"/>
  <c r="H101" i="11"/>
  <c r="H94" i="11"/>
  <c r="H95" i="11"/>
  <c r="H74" i="11"/>
  <c r="H85" i="11"/>
  <c r="H92" i="11"/>
  <c r="H66" i="11"/>
  <c r="AH21" i="4"/>
  <c r="AI11" i="4"/>
  <c r="BS9" i="4" s="1"/>
  <c r="H79" i="11"/>
  <c r="H109" i="11"/>
  <c r="AL14" i="4"/>
  <c r="BS22" i="4" s="1"/>
  <c r="AL13" i="4"/>
  <c r="BV22" i="4" s="1"/>
  <c r="AN18" i="4"/>
  <c r="AN17" i="4"/>
  <c r="AN19" i="4"/>
  <c r="AL12" i="4"/>
  <c r="H71" i="11"/>
  <c r="H77" i="11"/>
  <c r="H73" i="11"/>
  <c r="H78" i="11"/>
  <c r="H76" i="11"/>
  <c r="H72" i="11"/>
  <c r="E61" i="11"/>
  <c r="E60" i="11"/>
  <c r="E96" i="11"/>
  <c r="E68" i="11"/>
  <c r="E74" i="11"/>
  <c r="E78" i="11"/>
  <c r="E85" i="11"/>
  <c r="E92" i="11"/>
  <c r="E100" i="11"/>
  <c r="E98" i="11"/>
  <c r="E71" i="11"/>
  <c r="E73" i="11"/>
  <c r="E77" i="11"/>
  <c r="E81" i="11"/>
  <c r="E84" i="11"/>
  <c r="E88" i="11"/>
  <c r="E89" i="11"/>
  <c r="E91" i="11"/>
  <c r="E94" i="11"/>
  <c r="E95" i="11"/>
  <c r="E97" i="11"/>
  <c r="E70" i="11"/>
  <c r="E76" i="11"/>
  <c r="E83" i="11"/>
  <c r="E87" i="11"/>
  <c r="E93" i="11"/>
  <c r="E101" i="11"/>
  <c r="E75" i="11"/>
  <c r="E79" i="11"/>
  <c r="E80" i="11"/>
  <c r="E82" i="11"/>
  <c r="E86" i="11"/>
  <c r="E90" i="11"/>
  <c r="E99" i="11"/>
  <c r="E102" i="11"/>
  <c r="E72" i="11"/>
  <c r="E109" i="11"/>
  <c r="E66" i="11"/>
  <c r="E69" i="11"/>
  <c r="BE86" i="20"/>
  <c r="BE105" i="20"/>
  <c r="BE84" i="20"/>
  <c r="BE18" i="20"/>
  <c r="BE25" i="20"/>
  <c r="BE60" i="20"/>
  <c r="BE99" i="20"/>
  <c r="BE58" i="20"/>
  <c r="BE48" i="20"/>
  <c r="BE81" i="20"/>
  <c r="BE89" i="20"/>
  <c r="BE109" i="20"/>
  <c r="BE69" i="20"/>
  <c r="BE55" i="20"/>
  <c r="BE12" i="20"/>
  <c r="T59" i="11"/>
  <c r="BE43" i="20"/>
  <c r="BE91" i="20"/>
  <c r="BE34" i="20"/>
  <c r="BE74" i="20"/>
  <c r="BE98" i="20"/>
  <c r="BE49" i="20"/>
  <c r="BE42" i="20"/>
  <c r="BE67" i="20"/>
  <c r="BE61" i="20"/>
  <c r="BE87" i="20"/>
  <c r="BE63" i="20"/>
  <c r="BE44" i="20"/>
  <c r="BE110" i="20"/>
  <c r="BE53" i="20"/>
  <c r="BE102" i="20"/>
  <c r="BE97" i="20"/>
  <c r="BE31" i="20"/>
  <c r="BE80" i="20"/>
  <c r="BE28" i="20"/>
  <c r="BE70" i="20"/>
  <c r="BE33" i="20"/>
  <c r="BE16" i="20"/>
  <c r="BE73" i="20"/>
  <c r="BE93" i="20"/>
  <c r="BE106" i="20"/>
  <c r="BE26" i="20"/>
  <c r="BE103" i="20"/>
  <c r="BE21" i="20"/>
  <c r="T60" i="11"/>
  <c r="BE66" i="20"/>
  <c r="BE96" i="20"/>
  <c r="BE82" i="20"/>
  <c r="T61" i="11"/>
  <c r="BE111" i="20"/>
  <c r="BE32" i="20"/>
  <c r="BE62" i="20"/>
  <c r="BE56" i="20"/>
  <c r="BE108" i="20"/>
  <c r="BE27" i="20"/>
  <c r="BE20" i="20"/>
  <c r="BE88" i="20"/>
  <c r="BE46" i="20"/>
  <c r="BE51" i="20"/>
  <c r="BE64" i="20"/>
  <c r="BE71" i="20"/>
  <c r="BE59" i="20"/>
  <c r="BE47" i="20"/>
  <c r="BE38" i="20"/>
  <c r="BE23" i="20"/>
  <c r="BE65" i="20"/>
  <c r="BE76" i="20"/>
  <c r="BE95" i="20"/>
  <c r="BE77" i="20"/>
  <c r="BE35" i="20"/>
  <c r="BE92" i="20"/>
  <c r="BE104" i="20"/>
  <c r="BE100" i="20"/>
  <c r="BE85" i="20"/>
  <c r="BE78" i="20"/>
  <c r="BE14" i="20"/>
  <c r="BE36" i="20"/>
  <c r="BE15" i="20"/>
  <c r="BE50" i="20"/>
  <c r="BE101" i="20"/>
  <c r="BE68" i="20"/>
  <c r="BE22" i="20"/>
  <c r="BE52" i="20"/>
  <c r="BE40" i="20"/>
  <c r="BE57" i="20"/>
  <c r="BE107" i="20"/>
  <c r="BE75" i="20"/>
  <c r="BE72" i="20"/>
  <c r="BE90" i="20"/>
  <c r="BE83" i="20"/>
  <c r="BE54" i="20"/>
  <c r="BE29" i="20"/>
  <c r="BE24" i="20"/>
  <c r="BE19" i="20"/>
  <c r="BE17" i="20"/>
  <c r="BE45" i="20"/>
  <c r="BE13" i="20"/>
  <c r="BE30" i="20"/>
  <c r="BE41" i="20"/>
  <c r="BE94" i="20"/>
  <c r="BE39" i="20"/>
  <c r="BE79" i="20"/>
  <c r="BE37" i="20"/>
  <c r="T93" i="11"/>
  <c r="T97" i="11"/>
  <c r="T100" i="11"/>
  <c r="T75" i="11"/>
  <c r="T83" i="11"/>
  <c r="T87" i="11"/>
  <c r="T91" i="11"/>
  <c r="T99" i="11"/>
  <c r="T98" i="11"/>
  <c r="T71" i="11"/>
  <c r="T74" i="11"/>
  <c r="T78" i="11"/>
  <c r="T81" i="11"/>
  <c r="T86" i="11"/>
  <c r="T101" i="11"/>
  <c r="T102" i="11"/>
  <c r="T69" i="11"/>
  <c r="T77" i="11"/>
  <c r="T85" i="11"/>
  <c r="T90" i="11"/>
  <c r="T96" i="11"/>
  <c r="T66" i="11"/>
  <c r="T94" i="11"/>
  <c r="T95" i="11"/>
  <c r="T67" i="11"/>
  <c r="T70" i="11"/>
  <c r="T72" i="11"/>
  <c r="T76" i="11"/>
  <c r="T80" i="11"/>
  <c r="T88" i="11"/>
  <c r="T68" i="11"/>
  <c r="T92" i="11"/>
  <c r="T109" i="11"/>
  <c r="AQ26" i="4"/>
  <c r="AM24" i="4"/>
  <c r="BS84" i="4" s="1"/>
  <c r="AQ24" i="4"/>
  <c r="T84" i="11"/>
  <c r="T79" i="11"/>
  <c r="T73" i="11"/>
  <c r="AI24" i="4"/>
  <c r="BQ89" i="4" s="1"/>
  <c r="AH32" i="4"/>
  <c r="T89" i="11"/>
  <c r="BS110" i="20"/>
  <c r="BS80" i="20"/>
  <c r="BS25" i="20"/>
  <c r="BS56" i="20"/>
  <c r="BS97" i="20"/>
  <c r="BS22" i="20"/>
  <c r="BS45" i="20"/>
  <c r="BS75" i="20"/>
  <c r="BS90" i="20"/>
  <c r="BS14" i="20"/>
  <c r="BS36" i="20"/>
  <c r="BS30" i="20"/>
  <c r="BS33" i="20"/>
  <c r="BS59" i="20"/>
  <c r="BS35" i="20"/>
  <c r="BS20" i="20"/>
  <c r="BS101" i="20"/>
  <c r="BS106" i="20"/>
  <c r="BS53" i="20"/>
  <c r="BS15" i="20"/>
  <c r="BS92" i="20"/>
  <c r="BS19" i="20"/>
  <c r="BS32" i="20"/>
  <c r="BS34" i="20"/>
  <c r="BS93" i="20"/>
  <c r="BS108" i="20"/>
  <c r="AH60" i="11"/>
  <c r="BS88" i="20"/>
  <c r="BS78" i="20"/>
  <c r="BS109" i="20"/>
  <c r="BS91" i="20"/>
  <c r="BS55" i="20"/>
  <c r="BS54" i="20"/>
  <c r="BS104" i="20"/>
  <c r="BS38" i="20"/>
  <c r="BS89" i="20"/>
  <c r="BS27" i="20"/>
  <c r="BS66" i="20"/>
  <c r="BS28" i="20"/>
  <c r="BS84" i="20"/>
  <c r="BS49" i="20"/>
  <c r="BS41" i="20"/>
  <c r="BS39" i="20"/>
  <c r="BS71" i="20"/>
  <c r="BS70" i="20"/>
  <c r="BS69" i="20"/>
  <c r="BS42" i="20"/>
  <c r="BS73" i="20"/>
  <c r="BS82" i="20"/>
  <c r="BS77" i="20"/>
  <c r="BS96" i="20"/>
  <c r="BS62" i="20"/>
  <c r="BS52" i="20"/>
  <c r="BS94" i="20"/>
  <c r="AH59" i="11"/>
  <c r="BS44" i="20"/>
  <c r="BS87" i="20"/>
  <c r="BS58" i="20"/>
  <c r="BS65" i="20"/>
  <c r="BS51" i="20"/>
  <c r="BS102" i="20"/>
  <c r="BS50" i="20"/>
  <c r="BS111" i="20"/>
  <c r="BS40" i="20"/>
  <c r="BS48" i="20"/>
  <c r="BS68" i="20"/>
  <c r="BS21" i="20"/>
  <c r="AH61" i="11"/>
  <c r="BS105" i="20"/>
  <c r="BS18" i="20"/>
  <c r="BS26" i="20"/>
  <c r="BS86" i="20"/>
  <c r="BS12" i="20"/>
  <c r="BS43" i="20"/>
  <c r="BS31" i="20"/>
  <c r="BS57" i="20"/>
  <c r="BS60" i="20"/>
  <c r="BS95" i="20"/>
  <c r="BS98" i="20"/>
  <c r="BS74" i="20"/>
  <c r="BS64" i="20"/>
  <c r="BS24" i="20"/>
  <c r="BS76" i="20"/>
  <c r="BS37" i="20"/>
  <c r="BS85" i="20"/>
  <c r="BS17" i="20"/>
  <c r="BS103" i="20"/>
  <c r="BS47" i="20"/>
  <c r="BS83" i="20"/>
  <c r="BS81" i="20"/>
  <c r="BS46" i="20"/>
  <c r="BS63" i="20"/>
  <c r="BS67" i="20"/>
  <c r="BS107" i="20"/>
  <c r="BS23" i="20"/>
  <c r="BS13" i="20"/>
  <c r="BS16" i="20"/>
  <c r="BS72" i="20"/>
  <c r="BS99" i="20"/>
  <c r="BS100" i="20"/>
  <c r="BS79" i="20"/>
  <c r="BS29" i="20"/>
  <c r="BS61" i="20"/>
  <c r="AH67" i="11"/>
  <c r="AH73" i="11"/>
  <c r="AH77" i="11"/>
  <c r="AH84" i="11"/>
  <c r="AH89" i="11"/>
  <c r="AH91" i="11"/>
  <c r="AH93" i="11"/>
  <c r="AH94" i="11"/>
  <c r="AH97" i="11"/>
  <c r="AH69" i="11"/>
  <c r="AH70" i="11"/>
  <c r="AH72" i="11"/>
  <c r="AH76" i="11"/>
  <c r="AH80" i="11"/>
  <c r="AH83" i="11"/>
  <c r="AH87" i="11"/>
  <c r="AH88" i="11"/>
  <c r="AH90" i="11"/>
  <c r="AH98" i="11"/>
  <c r="AH100" i="11"/>
  <c r="AH75" i="11"/>
  <c r="AH82" i="11"/>
  <c r="AH86" i="11"/>
  <c r="AH66" i="11"/>
  <c r="AH101" i="11"/>
  <c r="AH68" i="11"/>
  <c r="AH109" i="11"/>
  <c r="AH102" i="11"/>
  <c r="AH71" i="11"/>
  <c r="AH74" i="11"/>
  <c r="AH78" i="11"/>
  <c r="AH79" i="11"/>
  <c r="AH81" i="11"/>
  <c r="AH85" i="11"/>
  <c r="AH99" i="11"/>
  <c r="AH92" i="11"/>
  <c r="AR40" i="4"/>
  <c r="AR39" i="4"/>
  <c r="BX158" i="4"/>
  <c r="AH95" i="11"/>
  <c r="J60" i="11"/>
  <c r="AU58" i="20"/>
  <c r="AU36" i="20"/>
  <c r="AU39" i="20"/>
  <c r="AU19" i="20"/>
  <c r="AU44" i="20"/>
  <c r="AU27" i="20"/>
  <c r="AU78" i="20"/>
  <c r="AU43" i="20"/>
  <c r="AU14" i="20"/>
  <c r="AU59" i="20"/>
  <c r="AU49" i="20"/>
  <c r="AU51" i="20"/>
  <c r="AU63" i="20"/>
  <c r="AU91" i="20"/>
  <c r="AU53" i="20"/>
  <c r="AU84" i="20"/>
  <c r="AU35" i="20"/>
  <c r="AU99" i="20"/>
  <c r="AU108" i="20"/>
  <c r="AU29" i="20"/>
  <c r="AU33" i="20"/>
  <c r="AU111" i="20"/>
  <c r="AU88" i="20"/>
  <c r="AU52" i="20"/>
  <c r="AU98" i="20"/>
  <c r="AU31" i="20"/>
  <c r="AU70" i="20"/>
  <c r="AU15" i="20"/>
  <c r="AU45" i="20"/>
  <c r="AU25" i="20"/>
  <c r="AU92" i="20"/>
  <c r="AU12" i="20"/>
  <c r="AU75" i="20"/>
  <c r="AU77" i="20"/>
  <c r="AU107" i="20"/>
  <c r="AU24" i="20"/>
  <c r="AU104" i="20"/>
  <c r="AU46" i="20"/>
  <c r="AU32" i="20"/>
  <c r="AU50" i="20"/>
  <c r="AU81" i="20"/>
  <c r="AU95" i="20"/>
  <c r="AU16" i="20"/>
  <c r="AU26" i="20"/>
  <c r="AU18" i="20"/>
  <c r="AU30" i="20"/>
  <c r="AU106" i="20"/>
  <c r="AU37" i="20"/>
  <c r="AU23" i="20"/>
  <c r="AU69" i="20"/>
  <c r="AU54" i="20"/>
  <c r="AU87" i="20"/>
  <c r="AU55" i="20"/>
  <c r="AU38" i="20"/>
  <c r="J61" i="11"/>
  <c r="AU105" i="20"/>
  <c r="AU102" i="20"/>
  <c r="AU89" i="20"/>
  <c r="AU17" i="20"/>
  <c r="AU56" i="20"/>
  <c r="AU71" i="20"/>
  <c r="AU21" i="20"/>
  <c r="AU65" i="20"/>
  <c r="AU64" i="20"/>
  <c r="AU103" i="20"/>
  <c r="AU94" i="20"/>
  <c r="AU86" i="20"/>
  <c r="AU66" i="20"/>
  <c r="AU90" i="20"/>
  <c r="AU67" i="20"/>
  <c r="AU96" i="20"/>
  <c r="AU40" i="20"/>
  <c r="AU60" i="20"/>
  <c r="AU68" i="20"/>
  <c r="AU76" i="20"/>
  <c r="AU109" i="20"/>
  <c r="AU80" i="20"/>
  <c r="AU93" i="20"/>
  <c r="AU57" i="20"/>
  <c r="AU100" i="20"/>
  <c r="AU62" i="20"/>
  <c r="AU101" i="20"/>
  <c r="AU28" i="20"/>
  <c r="AU79" i="20"/>
  <c r="AU20" i="20"/>
  <c r="AU47" i="20"/>
  <c r="AU22" i="20"/>
  <c r="AU73" i="20"/>
  <c r="AU83" i="20"/>
  <c r="AU41" i="20"/>
  <c r="AU110" i="20"/>
  <c r="AU42" i="20"/>
  <c r="AU97" i="20"/>
  <c r="AU48" i="20"/>
  <c r="AU34" i="20"/>
  <c r="AU13" i="20"/>
  <c r="AU85" i="20"/>
  <c r="AU72" i="20"/>
  <c r="AU74" i="20"/>
  <c r="AU61" i="20"/>
  <c r="AU82" i="20"/>
  <c r="J75" i="11"/>
  <c r="J78" i="11"/>
  <c r="J80" i="11"/>
  <c r="J82" i="11"/>
  <c r="J86" i="11"/>
  <c r="J90" i="11"/>
  <c r="J98" i="11"/>
  <c r="J66" i="11"/>
  <c r="J101" i="11"/>
  <c r="J68" i="11"/>
  <c r="J94" i="11"/>
  <c r="J95" i="11"/>
  <c r="J97" i="11"/>
  <c r="J99" i="11"/>
  <c r="J100" i="11"/>
  <c r="J77" i="11"/>
  <c r="J85" i="11"/>
  <c r="J92" i="11"/>
  <c r="J93" i="11"/>
  <c r="J76" i="11"/>
  <c r="J81" i="11"/>
  <c r="J84" i="11"/>
  <c r="J88" i="11"/>
  <c r="J89" i="11"/>
  <c r="J91" i="11"/>
  <c r="J96" i="11"/>
  <c r="J102" i="11"/>
  <c r="J69" i="11"/>
  <c r="J79" i="11"/>
  <c r="J83" i="11"/>
  <c r="J87" i="11"/>
  <c r="J67" i="11"/>
  <c r="AH12" i="4"/>
  <c r="J71" i="11"/>
  <c r="AQ13" i="4"/>
  <c r="AM13" i="4"/>
  <c r="BV20" i="4" s="1"/>
  <c r="AQ15" i="4"/>
  <c r="J109" i="11"/>
  <c r="AH14" i="4"/>
  <c r="J70" i="11"/>
  <c r="J74" i="11"/>
  <c r="J73" i="11"/>
  <c r="BJ26" i="20"/>
  <c r="BJ45" i="20"/>
  <c r="BJ79" i="20"/>
  <c r="BJ92" i="20"/>
  <c r="BJ73" i="20"/>
  <c r="BJ96" i="20"/>
  <c r="BJ77" i="20"/>
  <c r="BJ17" i="20"/>
  <c r="BJ83" i="20"/>
  <c r="BJ24" i="20"/>
  <c r="BJ47" i="20"/>
  <c r="BJ56" i="20"/>
  <c r="BJ35" i="20"/>
  <c r="BJ39" i="20"/>
  <c r="BJ70" i="20"/>
  <c r="BJ22" i="20"/>
  <c r="BJ93" i="20"/>
  <c r="BJ98" i="20"/>
  <c r="BJ90" i="20"/>
  <c r="BJ97" i="20"/>
  <c r="BJ91" i="20"/>
  <c r="BJ49" i="20"/>
  <c r="BJ105" i="20"/>
  <c r="BJ87" i="20"/>
  <c r="BJ59" i="20"/>
  <c r="BJ99" i="20"/>
  <c r="BJ44" i="20"/>
  <c r="BJ21" i="20"/>
  <c r="BJ29" i="20"/>
  <c r="BJ63" i="20"/>
  <c r="Y59" i="11"/>
  <c r="BJ57" i="20"/>
  <c r="BJ89" i="20"/>
  <c r="BJ38" i="20"/>
  <c r="BJ28" i="20"/>
  <c r="BJ66" i="20"/>
  <c r="BJ52" i="20"/>
  <c r="Y60" i="11"/>
  <c r="BJ36" i="20"/>
  <c r="BJ31" i="20"/>
  <c r="BJ76" i="20"/>
  <c r="BJ100" i="20"/>
  <c r="BJ34" i="20"/>
  <c r="BJ88" i="20"/>
  <c r="BJ23" i="20"/>
  <c r="BJ108" i="20"/>
  <c r="BJ60" i="20"/>
  <c r="BJ62" i="20"/>
  <c r="BJ25" i="20"/>
  <c r="BJ94" i="20"/>
  <c r="BJ51" i="20"/>
  <c r="BJ81" i="20"/>
  <c r="BJ67" i="20"/>
  <c r="BJ106" i="20"/>
  <c r="BJ30" i="20"/>
  <c r="BJ43" i="20"/>
  <c r="BJ12" i="20"/>
  <c r="BJ110" i="20"/>
  <c r="BJ103" i="20"/>
  <c r="BJ33" i="20"/>
  <c r="BJ41" i="20"/>
  <c r="BJ85" i="20"/>
  <c r="Y61" i="11"/>
  <c r="BJ75" i="20"/>
  <c r="BJ20" i="20"/>
  <c r="BJ19" i="20"/>
  <c r="BJ71" i="20"/>
  <c r="BJ64" i="20"/>
  <c r="BJ15" i="20"/>
  <c r="BJ18" i="20"/>
  <c r="BJ53" i="20"/>
  <c r="BJ78" i="20"/>
  <c r="BJ48" i="20"/>
  <c r="BJ80" i="20"/>
  <c r="BJ72" i="20"/>
  <c r="BJ109" i="20"/>
  <c r="BJ68" i="20"/>
  <c r="BJ55" i="20"/>
  <c r="BJ65" i="20"/>
  <c r="BJ37" i="20"/>
  <c r="BJ32" i="20"/>
  <c r="BJ16" i="20"/>
  <c r="BJ54" i="20"/>
  <c r="BJ74" i="20"/>
  <c r="BJ84" i="20"/>
  <c r="BJ27" i="20"/>
  <c r="BJ69" i="20"/>
  <c r="BJ111" i="20"/>
  <c r="BJ14" i="20"/>
  <c r="BJ95" i="20"/>
  <c r="BJ102" i="20"/>
  <c r="BJ13" i="20"/>
  <c r="BJ86" i="20"/>
  <c r="BJ46" i="20"/>
  <c r="BJ61" i="20"/>
  <c r="BJ82" i="20"/>
  <c r="BJ42" i="20"/>
  <c r="BJ40" i="20"/>
  <c r="BJ107" i="20"/>
  <c r="BJ50" i="20"/>
  <c r="BJ101" i="20"/>
  <c r="BJ58" i="20"/>
  <c r="BJ104" i="20"/>
  <c r="Y66" i="11"/>
  <c r="Y71" i="11"/>
  <c r="Y76" i="11"/>
  <c r="Y80" i="11"/>
  <c r="Y83" i="11"/>
  <c r="Y88" i="11"/>
  <c r="Y89" i="11"/>
  <c r="Y67" i="11"/>
  <c r="Y92" i="11"/>
  <c r="Y102" i="11"/>
  <c r="Y69" i="11"/>
  <c r="Y97" i="11"/>
  <c r="Y101" i="11"/>
  <c r="Y75" i="11"/>
  <c r="Y86" i="11"/>
  <c r="Y91" i="11"/>
  <c r="Y94" i="11"/>
  <c r="Y95" i="11"/>
  <c r="Y99" i="11"/>
  <c r="Y68" i="11"/>
  <c r="Y70" i="11"/>
  <c r="Y72" i="11"/>
  <c r="Y74" i="11"/>
  <c r="Y78" i="11"/>
  <c r="Y82" i="11"/>
  <c r="Y85" i="11"/>
  <c r="Y100" i="11"/>
  <c r="Y93" i="11"/>
  <c r="Y96" i="11"/>
  <c r="Y98" i="11"/>
  <c r="Y73" i="11"/>
  <c r="Y77" i="11"/>
  <c r="Y84" i="11"/>
  <c r="Y90" i="11"/>
  <c r="Y109" i="11"/>
  <c r="AP29" i="4"/>
  <c r="AO29" i="4"/>
  <c r="CD83" i="4" s="1"/>
  <c r="Y81" i="11"/>
  <c r="Y79" i="11"/>
  <c r="BH21" i="20"/>
  <c r="BH94" i="20"/>
  <c r="BH47" i="20"/>
  <c r="BH37" i="20"/>
  <c r="BH101" i="20"/>
  <c r="BH97" i="20"/>
  <c r="BH22" i="20"/>
  <c r="BH58" i="20"/>
  <c r="BH39" i="20"/>
  <c r="BH81" i="20"/>
  <c r="BH54" i="20"/>
  <c r="BH23" i="20"/>
  <c r="BH87" i="20"/>
  <c r="BH73" i="20"/>
  <c r="BH89" i="20"/>
  <c r="BH19" i="20"/>
  <c r="BH56" i="20"/>
  <c r="BH55" i="20"/>
  <c r="BH90" i="20"/>
  <c r="BH44" i="20"/>
  <c r="BH52" i="20"/>
  <c r="BH43" i="20"/>
  <c r="BH84" i="20"/>
  <c r="BH59" i="20"/>
  <c r="BH63" i="20"/>
  <c r="BH106" i="20"/>
  <c r="BH95" i="20"/>
  <c r="BH29" i="20"/>
  <c r="BH82" i="20"/>
  <c r="BH66" i="20"/>
  <c r="BH15" i="20"/>
  <c r="BH35" i="20"/>
  <c r="BH46" i="20"/>
  <c r="BH71" i="20"/>
  <c r="BH61" i="20"/>
  <c r="BH26" i="20"/>
  <c r="BH111" i="20"/>
  <c r="BH76" i="20"/>
  <c r="BH34" i="20"/>
  <c r="BH27" i="20"/>
  <c r="BH36" i="20"/>
  <c r="BH38" i="20"/>
  <c r="BH107" i="20"/>
  <c r="BH20" i="20"/>
  <c r="BH79" i="20"/>
  <c r="BH25" i="20"/>
  <c r="BH86" i="20"/>
  <c r="BH75" i="20"/>
  <c r="BH108" i="20"/>
  <c r="BH96" i="20"/>
  <c r="BH68" i="20"/>
  <c r="BH16" i="20"/>
  <c r="BH24" i="20"/>
  <c r="BH69" i="20"/>
  <c r="BH32" i="20"/>
  <c r="BH78" i="20"/>
  <c r="BH60" i="20"/>
  <c r="BH62" i="20"/>
  <c r="BH83" i="20"/>
  <c r="W61" i="11"/>
  <c r="BH30" i="20"/>
  <c r="BH28" i="20"/>
  <c r="BH88" i="20"/>
  <c r="BH41" i="20"/>
  <c r="BH104" i="20"/>
  <c r="BH85" i="20"/>
  <c r="BH102" i="20"/>
  <c r="BH91" i="20"/>
  <c r="BH48" i="20"/>
  <c r="BH103" i="20"/>
  <c r="BH50" i="20"/>
  <c r="BH57" i="20"/>
  <c r="BH110" i="20"/>
  <c r="BH13" i="20"/>
  <c r="BH51" i="20"/>
  <c r="BH100" i="20"/>
  <c r="BH17" i="20"/>
  <c r="BH77" i="20"/>
  <c r="BH18" i="20"/>
  <c r="BH45" i="20"/>
  <c r="BH93" i="20"/>
  <c r="BH70" i="20"/>
  <c r="BH64" i="20"/>
  <c r="BH72" i="20"/>
  <c r="BH40" i="20"/>
  <c r="BH12" i="20"/>
  <c r="BH109" i="20"/>
  <c r="BH67" i="20"/>
  <c r="BH105" i="20"/>
  <c r="W59" i="11"/>
  <c r="BH80" i="20"/>
  <c r="BH53" i="20"/>
  <c r="BH74" i="20"/>
  <c r="BH98" i="20"/>
  <c r="BH31" i="20"/>
  <c r="BH49" i="20"/>
  <c r="BH42" i="20"/>
  <c r="W60" i="11"/>
  <c r="BH33" i="20"/>
  <c r="BH65" i="20"/>
  <c r="BH99" i="20"/>
  <c r="BH92" i="20"/>
  <c r="BH14" i="20"/>
  <c r="W94" i="11"/>
  <c r="W95" i="11"/>
  <c r="W96" i="11"/>
  <c r="W98" i="11"/>
  <c r="W70" i="11"/>
  <c r="W72" i="11"/>
  <c r="W74" i="11"/>
  <c r="W78" i="11"/>
  <c r="W82" i="11"/>
  <c r="W86" i="11"/>
  <c r="W97" i="11"/>
  <c r="W69" i="11"/>
  <c r="W93" i="11"/>
  <c r="W66" i="11"/>
  <c r="W73" i="11"/>
  <c r="W77" i="11"/>
  <c r="W84" i="11"/>
  <c r="W90" i="11"/>
  <c r="W100" i="11"/>
  <c r="W67" i="11"/>
  <c r="W101" i="11"/>
  <c r="W71" i="11"/>
  <c r="W76" i="11"/>
  <c r="W80" i="11"/>
  <c r="W83" i="11"/>
  <c r="W88" i="11"/>
  <c r="W89" i="11"/>
  <c r="W92" i="11"/>
  <c r="W99" i="11"/>
  <c r="W68" i="11"/>
  <c r="W75" i="11"/>
  <c r="W87" i="11"/>
  <c r="W91" i="11"/>
  <c r="W102" i="11"/>
  <c r="AO27" i="4"/>
  <c r="CB83" i="4" s="1"/>
  <c r="W109" i="11"/>
  <c r="AP23" i="4"/>
  <c r="BV84" i="4" s="1"/>
  <c r="AP27" i="4"/>
  <c r="W81" i="11"/>
  <c r="W79" i="11"/>
  <c r="BR13" i="20"/>
  <c r="BR95" i="20"/>
  <c r="BR73" i="20"/>
  <c r="BR41" i="20"/>
  <c r="BR98" i="20"/>
  <c r="BR12" i="20"/>
  <c r="BR96" i="20"/>
  <c r="BR52" i="20"/>
  <c r="BR110" i="20"/>
  <c r="BR72" i="20"/>
  <c r="BR89" i="20"/>
  <c r="BR69" i="20"/>
  <c r="BR16" i="20"/>
  <c r="BR21" i="20"/>
  <c r="BR75" i="20"/>
  <c r="BR82" i="20"/>
  <c r="BR91" i="20"/>
  <c r="BR55" i="20"/>
  <c r="BR14" i="20"/>
  <c r="BR92" i="20"/>
  <c r="AG61" i="11"/>
  <c r="BR44" i="20"/>
  <c r="BR36" i="20"/>
  <c r="BR48" i="20"/>
  <c r="BR97" i="20"/>
  <c r="BR54" i="20"/>
  <c r="BR38" i="20"/>
  <c r="BR57" i="20"/>
  <c r="BR76" i="20"/>
  <c r="BR85" i="20"/>
  <c r="BR70" i="20"/>
  <c r="BR33" i="20"/>
  <c r="BR107" i="20"/>
  <c r="BR63" i="20"/>
  <c r="BR49" i="20"/>
  <c r="BR64" i="20"/>
  <c r="BR109" i="20"/>
  <c r="BR104" i="20"/>
  <c r="BR99" i="20"/>
  <c r="BR22" i="20"/>
  <c r="AG60" i="11"/>
  <c r="BR86" i="20"/>
  <c r="BR61" i="20"/>
  <c r="BR43" i="20"/>
  <c r="BR47" i="20"/>
  <c r="BR25" i="20"/>
  <c r="BR51" i="20"/>
  <c r="BR83" i="20"/>
  <c r="BR80" i="20"/>
  <c r="BR50" i="20"/>
  <c r="BR24" i="20"/>
  <c r="BR90" i="20"/>
  <c r="BR93" i="20"/>
  <c r="BR71" i="20"/>
  <c r="BR74" i="20"/>
  <c r="BR15" i="20"/>
  <c r="BR78" i="20"/>
  <c r="BR102" i="20"/>
  <c r="BR45" i="20"/>
  <c r="BR77" i="20"/>
  <c r="BR18" i="20"/>
  <c r="BR53" i="20"/>
  <c r="BR58" i="20"/>
  <c r="BR81" i="20"/>
  <c r="BR88" i="20"/>
  <c r="BR46" i="20"/>
  <c r="BR65" i="20"/>
  <c r="BR84" i="20"/>
  <c r="BR106" i="20"/>
  <c r="BR35" i="20"/>
  <c r="BR87" i="20"/>
  <c r="BR32" i="20"/>
  <c r="BR17" i="20"/>
  <c r="BR34" i="20"/>
  <c r="BR79" i="20"/>
  <c r="BR42" i="20"/>
  <c r="BR56" i="20"/>
  <c r="BR94" i="20"/>
  <c r="BR103" i="20"/>
  <c r="BR29" i="20"/>
  <c r="BR105" i="20"/>
  <c r="BR59" i="20"/>
  <c r="BR62" i="20"/>
  <c r="BR26" i="20"/>
  <c r="BR111" i="20"/>
  <c r="BR23" i="20"/>
  <c r="BR108" i="20"/>
  <c r="BR19" i="20"/>
  <c r="BR66" i="20"/>
  <c r="BR37" i="20"/>
  <c r="BR40" i="20"/>
  <c r="BR39" i="20"/>
  <c r="BR68" i="20"/>
  <c r="BR31" i="20"/>
  <c r="BR60" i="20"/>
  <c r="BR20" i="20"/>
  <c r="BR28" i="20"/>
  <c r="BR67" i="20"/>
  <c r="BR30" i="20"/>
  <c r="BR100" i="20"/>
  <c r="BR101" i="20"/>
  <c r="BR27" i="20"/>
  <c r="AG66" i="11"/>
  <c r="AG71" i="11"/>
  <c r="AG76" i="11"/>
  <c r="AG80" i="11"/>
  <c r="AG83" i="11"/>
  <c r="AG87" i="11"/>
  <c r="AG88" i="11"/>
  <c r="AG90" i="11"/>
  <c r="AG101" i="11"/>
  <c r="AG75" i="11"/>
  <c r="AG82" i="11"/>
  <c r="AG86" i="11"/>
  <c r="AG93" i="11"/>
  <c r="AG68" i="11"/>
  <c r="AG69" i="11"/>
  <c r="AG70" i="11"/>
  <c r="AG72" i="11"/>
  <c r="AG74" i="11"/>
  <c r="AG78" i="11"/>
  <c r="AG79" i="11"/>
  <c r="AG81" i="11"/>
  <c r="AG85" i="11"/>
  <c r="AG100" i="11"/>
  <c r="AG67" i="11"/>
  <c r="AG92" i="11"/>
  <c r="AG102" i="11"/>
  <c r="AG98" i="11"/>
  <c r="AG97" i="11"/>
  <c r="AG99" i="11"/>
  <c r="AG73" i="11"/>
  <c r="AG77" i="11"/>
  <c r="AG84" i="11"/>
  <c r="AG89" i="11"/>
  <c r="AG91" i="11"/>
  <c r="AI39" i="4"/>
  <c r="BW156" i="4" s="1"/>
  <c r="BX152" i="4"/>
  <c r="AG94" i="11"/>
  <c r="AQ40" i="4"/>
  <c r="AG109" i="11"/>
  <c r="AQ39" i="4"/>
  <c r="AG96" i="11"/>
  <c r="BC42" i="20"/>
  <c r="BC57" i="20"/>
  <c r="BC38" i="20"/>
  <c r="BC94" i="20"/>
  <c r="BC110" i="20"/>
  <c r="BC93" i="20"/>
  <c r="BC28" i="20"/>
  <c r="BC103" i="20"/>
  <c r="BC105" i="20"/>
  <c r="BC48" i="20"/>
  <c r="BC54" i="20"/>
  <c r="BC76" i="20"/>
  <c r="BC75" i="20"/>
  <c r="BC33" i="20"/>
  <c r="R60" i="11"/>
  <c r="BC16" i="20"/>
  <c r="R61" i="11"/>
  <c r="BC13" i="20"/>
  <c r="BC21" i="20"/>
  <c r="BC95" i="20"/>
  <c r="BC12" i="20"/>
  <c r="BC98" i="20"/>
  <c r="BC47" i="20"/>
  <c r="BC100" i="20"/>
  <c r="BC107" i="20"/>
  <c r="BC79" i="20"/>
  <c r="BC15" i="20"/>
  <c r="BC20" i="20"/>
  <c r="BC22" i="20"/>
  <c r="BC78" i="20"/>
  <c r="BC68" i="20"/>
  <c r="BC59" i="20"/>
  <c r="BC83" i="20"/>
  <c r="BC80" i="20"/>
  <c r="BC65" i="20"/>
  <c r="BC40" i="20"/>
  <c r="BC90" i="20"/>
  <c r="BC88" i="20"/>
  <c r="BC46" i="20"/>
  <c r="BC58" i="20"/>
  <c r="S59" i="11"/>
  <c r="BC35" i="20"/>
  <c r="BC26" i="20"/>
  <c r="BC60" i="20"/>
  <c r="BC55" i="20"/>
  <c r="BC36" i="20"/>
  <c r="BC52" i="20"/>
  <c r="BC27" i="20"/>
  <c r="BC25" i="20"/>
  <c r="BC86" i="20"/>
  <c r="BC45" i="20"/>
  <c r="BC17" i="20"/>
  <c r="BC23" i="20"/>
  <c r="BC101" i="20"/>
  <c r="BC67" i="20"/>
  <c r="BC97" i="20"/>
  <c r="BC44" i="20"/>
  <c r="BC70" i="20"/>
  <c r="BC39" i="20"/>
  <c r="BC92" i="20"/>
  <c r="BC66" i="20"/>
  <c r="BC19" i="20"/>
  <c r="BC82" i="20"/>
  <c r="BC43" i="20"/>
  <c r="BC73" i="20"/>
  <c r="BC89" i="20"/>
  <c r="BC106" i="20"/>
  <c r="BC51" i="20"/>
  <c r="BC77" i="20"/>
  <c r="BC50" i="20"/>
  <c r="BC102" i="20"/>
  <c r="BC62" i="20"/>
  <c r="BC53" i="20"/>
  <c r="BC84" i="20"/>
  <c r="BC104" i="20"/>
  <c r="BC24" i="20"/>
  <c r="BC31" i="20"/>
  <c r="BC29" i="20"/>
  <c r="BC81" i="20"/>
  <c r="BC71" i="20"/>
  <c r="BC74" i="20"/>
  <c r="BC37" i="20"/>
  <c r="BC34" i="20"/>
  <c r="BC87" i="20"/>
  <c r="BC32" i="20"/>
  <c r="BC69" i="20"/>
  <c r="BC14" i="20"/>
  <c r="BC108" i="20"/>
  <c r="BC72" i="20"/>
  <c r="BC18" i="20"/>
  <c r="BC109" i="20"/>
  <c r="BC63" i="20"/>
  <c r="BC56" i="20"/>
  <c r="BC64" i="20"/>
  <c r="BC91" i="20"/>
  <c r="BC41" i="20"/>
  <c r="BC85" i="20"/>
  <c r="BC30" i="20"/>
  <c r="BC96" i="20"/>
  <c r="BC49" i="20"/>
  <c r="BC61" i="20"/>
  <c r="BC111" i="20"/>
  <c r="BC99" i="20"/>
  <c r="R67" i="11"/>
  <c r="R77" i="11"/>
  <c r="R85" i="11"/>
  <c r="R90" i="11"/>
  <c r="R94" i="11"/>
  <c r="R95" i="11"/>
  <c r="R97" i="11"/>
  <c r="R100" i="11"/>
  <c r="R70" i="11"/>
  <c r="R72" i="11"/>
  <c r="R73" i="11"/>
  <c r="R76" i="11"/>
  <c r="R88" i="11"/>
  <c r="R92" i="11"/>
  <c r="R93" i="11"/>
  <c r="R75" i="11"/>
  <c r="R84" i="11"/>
  <c r="R87" i="11"/>
  <c r="R89" i="11"/>
  <c r="R91" i="11"/>
  <c r="R98" i="11"/>
  <c r="R66" i="11"/>
  <c r="R101" i="11"/>
  <c r="R68" i="11"/>
  <c r="R96" i="11"/>
  <c r="R102" i="11"/>
  <c r="R69" i="11"/>
  <c r="R71" i="11"/>
  <c r="R74" i="11"/>
  <c r="R78" i="11"/>
  <c r="R83" i="11"/>
  <c r="R86" i="11"/>
  <c r="R99" i="11"/>
  <c r="R82" i="11"/>
  <c r="AH23" i="4"/>
  <c r="AI22" i="4"/>
  <c r="BQ87" i="4" s="1"/>
  <c r="R81" i="11"/>
  <c r="R109" i="11"/>
  <c r="AM22" i="4"/>
  <c r="R79" i="11"/>
  <c r="BO14" i="20"/>
  <c r="BO97" i="20"/>
  <c r="BO73" i="20"/>
  <c r="BO70" i="20"/>
  <c r="BO93" i="20"/>
  <c r="BO65" i="20"/>
  <c r="BO53" i="20"/>
  <c r="BO89" i="20"/>
  <c r="BO62" i="20"/>
  <c r="BO38" i="20"/>
  <c r="BO74" i="20"/>
  <c r="BO66" i="20"/>
  <c r="BO69" i="20"/>
  <c r="BO100" i="20"/>
  <c r="BO95" i="20"/>
  <c r="BO28" i="20"/>
  <c r="BO57" i="20"/>
  <c r="BO31" i="20"/>
  <c r="BO46" i="20"/>
  <c r="BO58" i="20"/>
  <c r="BO106" i="20"/>
  <c r="BO67" i="20"/>
  <c r="BO25" i="20"/>
  <c r="BO47" i="20"/>
  <c r="BO72" i="20"/>
  <c r="BO91" i="20"/>
  <c r="BO43" i="20"/>
  <c r="BO41" i="20"/>
  <c r="BO54" i="20"/>
  <c r="BO15" i="20"/>
  <c r="BO85" i="20"/>
  <c r="BO63" i="20"/>
  <c r="BO30" i="20"/>
  <c r="BO13" i="20"/>
  <c r="BO86" i="20"/>
  <c r="BO107" i="20"/>
  <c r="BO88" i="20"/>
  <c r="BO96" i="20"/>
  <c r="BO102" i="20"/>
  <c r="BO16" i="20"/>
  <c r="AD60" i="11"/>
  <c r="BO21" i="20"/>
  <c r="BO37" i="20"/>
  <c r="BO71" i="20"/>
  <c r="BO82" i="20"/>
  <c r="BO26" i="20"/>
  <c r="BO87" i="20"/>
  <c r="BO56" i="20"/>
  <c r="BO17" i="20"/>
  <c r="BO92" i="20"/>
  <c r="BO23" i="20"/>
  <c r="BO22" i="20"/>
  <c r="BO99" i="20"/>
  <c r="BO52" i="20"/>
  <c r="BO90" i="20"/>
  <c r="BO55" i="20"/>
  <c r="BO18" i="20"/>
  <c r="BO64" i="20"/>
  <c r="BO32" i="20"/>
  <c r="BO110" i="20"/>
  <c r="BO33" i="20"/>
  <c r="BO108" i="20"/>
  <c r="BO105" i="20"/>
  <c r="BO19" i="20"/>
  <c r="BO76" i="20"/>
  <c r="BO111" i="20"/>
  <c r="BO79" i="20"/>
  <c r="BO48" i="20"/>
  <c r="BO75" i="20"/>
  <c r="BO83" i="20"/>
  <c r="BO59" i="20"/>
  <c r="BO81" i="20"/>
  <c r="BO20" i="20"/>
  <c r="BO12" i="20"/>
  <c r="BO94" i="20"/>
  <c r="BO29" i="20"/>
  <c r="BO34" i="20"/>
  <c r="BO49" i="20"/>
  <c r="BO60" i="20"/>
  <c r="BO109" i="20"/>
  <c r="BO45" i="20"/>
  <c r="BO42" i="20"/>
  <c r="BO24" i="20"/>
  <c r="BO50" i="20"/>
  <c r="BO40" i="20"/>
  <c r="BO101" i="20"/>
  <c r="BO61" i="20"/>
  <c r="BO36" i="20"/>
  <c r="BO77" i="20"/>
  <c r="BO51" i="20"/>
  <c r="BO35" i="20"/>
  <c r="BO78" i="20"/>
  <c r="BO80" i="20"/>
  <c r="BO44" i="20"/>
  <c r="BO104" i="20"/>
  <c r="BO98" i="20"/>
  <c r="BO84" i="20"/>
  <c r="BO39" i="20"/>
  <c r="BO27" i="20"/>
  <c r="AD61" i="11"/>
  <c r="BO68" i="20"/>
  <c r="AD59" i="11"/>
  <c r="BO103" i="20"/>
  <c r="AD96" i="11"/>
  <c r="AD100" i="11"/>
  <c r="AD73" i="11"/>
  <c r="AD77" i="11"/>
  <c r="AD84" i="11"/>
  <c r="AD91" i="11"/>
  <c r="AD98" i="11"/>
  <c r="AD95" i="11"/>
  <c r="AD102" i="11"/>
  <c r="AD69" i="11"/>
  <c r="AD70" i="11"/>
  <c r="AD72" i="11"/>
  <c r="AD76" i="11"/>
  <c r="AD80" i="11"/>
  <c r="AD83" i="11"/>
  <c r="AD87" i="11"/>
  <c r="AD90" i="11"/>
  <c r="AD99" i="11"/>
  <c r="AD66" i="11"/>
  <c r="AD101" i="11"/>
  <c r="AD68" i="11"/>
  <c r="AD94" i="11"/>
  <c r="AD67" i="11"/>
  <c r="AD75" i="11"/>
  <c r="AD82" i="11"/>
  <c r="AD86" i="11"/>
  <c r="AD93" i="11"/>
  <c r="AD97" i="11"/>
  <c r="AD71" i="11"/>
  <c r="AD74" i="11"/>
  <c r="AD78" i="11"/>
  <c r="AD79" i="11"/>
  <c r="AD81" i="11"/>
  <c r="AD85" i="11"/>
  <c r="AO35" i="4"/>
  <c r="AP32" i="4"/>
  <c r="BT146" i="4" s="1"/>
  <c r="BV143" i="4"/>
  <c r="AP35" i="4"/>
  <c r="AD109" i="11"/>
  <c r="AD89" i="11"/>
  <c r="AD88" i="11"/>
  <c r="BD15" i="20"/>
  <c r="BD46" i="20"/>
  <c r="BD109" i="20"/>
  <c r="BD34" i="20"/>
  <c r="BD94" i="20"/>
  <c r="BD89" i="20"/>
  <c r="BD76" i="20"/>
  <c r="BD103" i="20"/>
  <c r="BD33" i="20"/>
  <c r="BD17" i="20"/>
  <c r="BD52" i="20"/>
  <c r="S61" i="11"/>
  <c r="BD91" i="20"/>
  <c r="BD70" i="20"/>
  <c r="BD14" i="20"/>
  <c r="BD29" i="20"/>
  <c r="BD22" i="20"/>
  <c r="BD100" i="20"/>
  <c r="BD69" i="20"/>
  <c r="BD74" i="20"/>
  <c r="BD23" i="20"/>
  <c r="BD65" i="20"/>
  <c r="BD27" i="20"/>
  <c r="BD93" i="20"/>
  <c r="BD41" i="20"/>
  <c r="BD47" i="20"/>
  <c r="BD85" i="20"/>
  <c r="BD67" i="20"/>
  <c r="BD57" i="20"/>
  <c r="BD77" i="20"/>
  <c r="BD28" i="20"/>
  <c r="BD54" i="20"/>
  <c r="BD80" i="20"/>
  <c r="BD16" i="20"/>
  <c r="BD30" i="20"/>
  <c r="BD31" i="20"/>
  <c r="BD83" i="20"/>
  <c r="BD32" i="20"/>
  <c r="BD36" i="20"/>
  <c r="BD63" i="20"/>
  <c r="BD48" i="20"/>
  <c r="BD92" i="20"/>
  <c r="BD87" i="20"/>
  <c r="BD90" i="20"/>
  <c r="BD51" i="20"/>
  <c r="BD44" i="20"/>
  <c r="BD20" i="20"/>
  <c r="BD12" i="20"/>
  <c r="BD68" i="20"/>
  <c r="BD71" i="20"/>
  <c r="BD79" i="20"/>
  <c r="BD59" i="20"/>
  <c r="BD105" i="20"/>
  <c r="BD104" i="20"/>
  <c r="BD101" i="20"/>
  <c r="BD60" i="20"/>
  <c r="BD58" i="20"/>
  <c r="BD106" i="20"/>
  <c r="BD107" i="20"/>
  <c r="BD43" i="20"/>
  <c r="BD73" i="20"/>
  <c r="BD88" i="20"/>
  <c r="BD110" i="20"/>
  <c r="BD38" i="20"/>
  <c r="BD99" i="20"/>
  <c r="BD13" i="20"/>
  <c r="BD66" i="20"/>
  <c r="BD97" i="20"/>
  <c r="BD50" i="20"/>
  <c r="BD62" i="20"/>
  <c r="BD102" i="20"/>
  <c r="S60" i="11"/>
  <c r="BD21" i="20"/>
  <c r="BD61" i="20"/>
  <c r="BD26" i="20"/>
  <c r="BD64" i="20"/>
  <c r="BD72" i="20"/>
  <c r="BD53" i="20"/>
  <c r="BD81" i="20"/>
  <c r="BD96" i="20"/>
  <c r="BD84" i="20"/>
  <c r="BD35" i="20"/>
  <c r="BD108" i="20"/>
  <c r="BD55" i="20"/>
  <c r="BD111" i="20"/>
  <c r="BD95" i="20"/>
  <c r="BD56" i="20"/>
  <c r="BD25" i="20"/>
  <c r="BD18" i="20"/>
  <c r="BD98" i="20"/>
  <c r="BD24" i="20"/>
  <c r="BD37" i="20"/>
  <c r="BD86" i="20"/>
  <c r="BD40" i="20"/>
  <c r="BD19" i="20"/>
  <c r="BD42" i="20"/>
  <c r="BD82" i="20"/>
  <c r="BD75" i="20"/>
  <c r="BD39" i="20"/>
  <c r="BD78" i="20"/>
  <c r="BD49" i="20"/>
  <c r="BD45" i="20"/>
  <c r="S94" i="11"/>
  <c r="S95" i="11"/>
  <c r="S101" i="11"/>
  <c r="S70" i="11"/>
  <c r="S72" i="11"/>
  <c r="S74" i="11"/>
  <c r="S78" i="11"/>
  <c r="S86" i="11"/>
  <c r="S93" i="11"/>
  <c r="S99" i="11"/>
  <c r="S68" i="11"/>
  <c r="S77" i="11"/>
  <c r="S85" i="11"/>
  <c r="S90" i="11"/>
  <c r="S96" i="11"/>
  <c r="S98" i="11"/>
  <c r="S71" i="11"/>
  <c r="S76" i="11"/>
  <c r="S88" i="11"/>
  <c r="S102" i="11"/>
  <c r="S92" i="11"/>
  <c r="S67" i="11"/>
  <c r="S66" i="11"/>
  <c r="S75" i="11"/>
  <c r="S84" i="11"/>
  <c r="S87" i="11"/>
  <c r="S89" i="11"/>
  <c r="S91" i="11"/>
  <c r="S97" i="11"/>
  <c r="S100" i="11"/>
  <c r="S69" i="11"/>
  <c r="AI23" i="4"/>
  <c r="BQ88" i="4" s="1"/>
  <c r="S82" i="11"/>
  <c r="AH22" i="4"/>
  <c r="AQ25" i="4"/>
  <c r="S109" i="11"/>
  <c r="AQ23" i="4"/>
  <c r="AM23" i="4"/>
  <c r="BW86" i="4" s="1"/>
  <c r="S80" i="11"/>
  <c r="S83" i="11"/>
  <c r="S79" i="11"/>
  <c r="BY67" i="20"/>
  <c r="BY66" i="20"/>
  <c r="BY93" i="20"/>
  <c r="BY87" i="20"/>
  <c r="BY108" i="20"/>
  <c r="BY58" i="20"/>
  <c r="BY107" i="20"/>
  <c r="BY22" i="20"/>
  <c r="BY43" i="20"/>
  <c r="BY29" i="20"/>
  <c r="BY65" i="20"/>
  <c r="BY13" i="20"/>
  <c r="BY75" i="20"/>
  <c r="BY32" i="20"/>
  <c r="BY26" i="20"/>
  <c r="BY61" i="20"/>
  <c r="BY53" i="20"/>
  <c r="BY110" i="20"/>
  <c r="BY77" i="20"/>
  <c r="BY19" i="20"/>
  <c r="BY46" i="20"/>
  <c r="BY17" i="20"/>
  <c r="BY70" i="20"/>
  <c r="BY78" i="20"/>
  <c r="BY72" i="20"/>
  <c r="BY24" i="20"/>
  <c r="BY97" i="20"/>
  <c r="BY63" i="20"/>
  <c r="BY84" i="20"/>
  <c r="BY12" i="20"/>
  <c r="BY28" i="20"/>
  <c r="BY16" i="20"/>
  <c r="BY18" i="20"/>
  <c r="BY62" i="20"/>
  <c r="BY45" i="20"/>
  <c r="BY92" i="20"/>
  <c r="BY82" i="20"/>
  <c r="BY49" i="20"/>
  <c r="BY57" i="20"/>
  <c r="BY91" i="20"/>
  <c r="BY50" i="20"/>
  <c r="BY105" i="20"/>
  <c r="BY76" i="20"/>
  <c r="BY27" i="20"/>
  <c r="BY74" i="20"/>
  <c r="BY83" i="20"/>
  <c r="BY15" i="20"/>
  <c r="BY81" i="20"/>
  <c r="BY52" i="20"/>
  <c r="AN60" i="11"/>
  <c r="BY25" i="20"/>
  <c r="BY23" i="20"/>
  <c r="AN61" i="11"/>
  <c r="BY56" i="20"/>
  <c r="BY69" i="20"/>
  <c r="BY73" i="20"/>
  <c r="BY86" i="20"/>
  <c r="BY101" i="20"/>
  <c r="BY59" i="20"/>
  <c r="BY48" i="20"/>
  <c r="BY96" i="20"/>
  <c r="BY106" i="20"/>
  <c r="BY41" i="20"/>
  <c r="BY71" i="20"/>
  <c r="BY47" i="20"/>
  <c r="BY37" i="20"/>
  <c r="BY85" i="20"/>
  <c r="BY94" i="20"/>
  <c r="BY100" i="20"/>
  <c r="BY80" i="20"/>
  <c r="BY54" i="20"/>
  <c r="BY35" i="20"/>
  <c r="BY68" i="20"/>
  <c r="BY51" i="20"/>
  <c r="BY38" i="20"/>
  <c r="BY88" i="20"/>
  <c r="BY103" i="20"/>
  <c r="BY98" i="20"/>
  <c r="BY102" i="20"/>
  <c r="BY109" i="20"/>
  <c r="BY33" i="20"/>
  <c r="BY42" i="20"/>
  <c r="BY104" i="20"/>
  <c r="BY21" i="20"/>
  <c r="BY44" i="20"/>
  <c r="BY99" i="20"/>
  <c r="BY31" i="20"/>
  <c r="BY60" i="20"/>
  <c r="BY20" i="20"/>
  <c r="BY64" i="20"/>
  <c r="BY55" i="20"/>
  <c r="BY40" i="20"/>
  <c r="BY89" i="20"/>
  <c r="BY34" i="20"/>
  <c r="BY79" i="20"/>
  <c r="BY14" i="20"/>
  <c r="BY39" i="20"/>
  <c r="BY111" i="20"/>
  <c r="BY90" i="20"/>
  <c r="AN59" i="11"/>
  <c r="BY36" i="20"/>
  <c r="BY95" i="20"/>
  <c r="BY30" i="20"/>
  <c r="AN93" i="11"/>
  <c r="AN94" i="11"/>
  <c r="AN100" i="11"/>
  <c r="AN75" i="11"/>
  <c r="AN82" i="11"/>
  <c r="AN86" i="11"/>
  <c r="AN68" i="11"/>
  <c r="AN67" i="11"/>
  <c r="AN71" i="11"/>
  <c r="AN74" i="11"/>
  <c r="AN78" i="11"/>
  <c r="AN79" i="11"/>
  <c r="AN81" i="11"/>
  <c r="AN85" i="11"/>
  <c r="AN89" i="11"/>
  <c r="AN92" i="11"/>
  <c r="AN66" i="11"/>
  <c r="AN95" i="11"/>
  <c r="AN97" i="11"/>
  <c r="AN73" i="11"/>
  <c r="AN77" i="11"/>
  <c r="AN84" i="11"/>
  <c r="AN91" i="11"/>
  <c r="AN101" i="11"/>
  <c r="AN69" i="11"/>
  <c r="AN70" i="11"/>
  <c r="AN72" i="11"/>
  <c r="AN76" i="11"/>
  <c r="AN80" i="11"/>
  <c r="AN83" i="11"/>
  <c r="AN87" i="11"/>
  <c r="AN88" i="11"/>
  <c r="AN90" i="11"/>
  <c r="AN96" i="11"/>
  <c r="AO47" i="4"/>
  <c r="AN109" i="11"/>
  <c r="AP47" i="4"/>
  <c r="CH143" i="4"/>
  <c r="AP44" i="4"/>
  <c r="CF146" i="4" s="1"/>
  <c r="AN99" i="11"/>
  <c r="AN98" i="11"/>
  <c r="AT53" i="20"/>
  <c r="AT72" i="20"/>
  <c r="AT102" i="20"/>
  <c r="AT22" i="20"/>
  <c r="AT67" i="20"/>
  <c r="AT104" i="20"/>
  <c r="AT45" i="20"/>
  <c r="AT103" i="20"/>
  <c r="AT29" i="20"/>
  <c r="AT82" i="20"/>
  <c r="AT55" i="20"/>
  <c r="AT71" i="20"/>
  <c r="AT41" i="20"/>
  <c r="AT39" i="20"/>
  <c r="AT87" i="20"/>
  <c r="AT36" i="20"/>
  <c r="AT77" i="20"/>
  <c r="AT70" i="20"/>
  <c r="AT56" i="20"/>
  <c r="AT69" i="20"/>
  <c r="AT61" i="20"/>
  <c r="AT34" i="20"/>
  <c r="AT51" i="20"/>
  <c r="AT43" i="20"/>
  <c r="AT33" i="20"/>
  <c r="AT90" i="20"/>
  <c r="AT15" i="20"/>
  <c r="AT101" i="20"/>
  <c r="AT32" i="20"/>
  <c r="AT84" i="20"/>
  <c r="AT17" i="20"/>
  <c r="AT97" i="20"/>
  <c r="AT78" i="20"/>
  <c r="AT50" i="20"/>
  <c r="AT30" i="20"/>
  <c r="AT16" i="20"/>
  <c r="AT106" i="20"/>
  <c r="AT25" i="20"/>
  <c r="J59" i="11"/>
  <c r="AT37" i="20"/>
  <c r="AT83" i="20"/>
  <c r="AT52" i="20"/>
  <c r="AT18" i="20"/>
  <c r="AT81" i="20"/>
  <c r="AT99" i="20"/>
  <c r="AT98" i="20"/>
  <c r="AT42" i="20"/>
  <c r="AT49" i="20"/>
  <c r="AT66" i="20"/>
  <c r="AT85" i="20"/>
  <c r="AT76" i="20"/>
  <c r="AT108" i="20"/>
  <c r="AT79" i="20"/>
  <c r="AT64" i="20"/>
  <c r="AT27" i="20"/>
  <c r="AT40" i="20"/>
  <c r="AT21" i="20"/>
  <c r="AT58" i="20"/>
  <c r="AT44" i="20"/>
  <c r="AT109" i="20"/>
  <c r="AT91" i="20"/>
  <c r="I60" i="11"/>
  <c r="AT31" i="20"/>
  <c r="AT35" i="20"/>
  <c r="AT93" i="20"/>
  <c r="AT111" i="20"/>
  <c r="AT105" i="20"/>
  <c r="AT26" i="20"/>
  <c r="AT13" i="20"/>
  <c r="AT68" i="20"/>
  <c r="AT14" i="20"/>
  <c r="AT96" i="20"/>
  <c r="AT47" i="20"/>
  <c r="AT94" i="20"/>
  <c r="AT88" i="20"/>
  <c r="AT60" i="20"/>
  <c r="AT74" i="20"/>
  <c r="AT57" i="20"/>
  <c r="AT89" i="20"/>
  <c r="AT100" i="20"/>
  <c r="AT110" i="20"/>
  <c r="AT24" i="20"/>
  <c r="AT92" i="20"/>
  <c r="AT59" i="20"/>
  <c r="AT19" i="20"/>
  <c r="AT12" i="20"/>
  <c r="AT48" i="20"/>
  <c r="AT20" i="20"/>
  <c r="AT54" i="20"/>
  <c r="AT65" i="20"/>
  <c r="AT95" i="20"/>
  <c r="AT62" i="20"/>
  <c r="AT73" i="20"/>
  <c r="AT75" i="20"/>
  <c r="AT46" i="20"/>
  <c r="I61" i="11"/>
  <c r="AT28" i="20"/>
  <c r="AT63" i="20"/>
  <c r="AT23" i="20"/>
  <c r="AT80" i="20"/>
  <c r="AT107" i="20"/>
  <c r="AT86" i="20"/>
  <c r="AT38" i="20"/>
  <c r="I96" i="11"/>
  <c r="I66" i="11"/>
  <c r="I74" i="11"/>
  <c r="I77" i="11"/>
  <c r="I85" i="11"/>
  <c r="I92" i="11"/>
  <c r="I99" i="11"/>
  <c r="I67" i="11"/>
  <c r="I102" i="11"/>
  <c r="I69" i="11"/>
  <c r="AI12" i="4"/>
  <c r="BQ23" i="4" s="1"/>
  <c r="I97" i="11"/>
  <c r="I101" i="11"/>
  <c r="I72" i="11"/>
  <c r="I76" i="11"/>
  <c r="I81" i="11"/>
  <c r="I84" i="11"/>
  <c r="I88" i="11"/>
  <c r="I89" i="11"/>
  <c r="I91" i="11"/>
  <c r="I94" i="11"/>
  <c r="I95" i="11"/>
  <c r="I68" i="11"/>
  <c r="I79" i="11"/>
  <c r="I83" i="11"/>
  <c r="I87" i="11"/>
  <c r="I100" i="11"/>
  <c r="I93" i="11"/>
  <c r="I98" i="11"/>
  <c r="I75" i="11"/>
  <c r="I78" i="11"/>
  <c r="I80" i="11"/>
  <c r="I82" i="11"/>
  <c r="I86" i="11"/>
  <c r="I90" i="11"/>
  <c r="I73" i="11"/>
  <c r="I109" i="11"/>
  <c r="AM12" i="4"/>
  <c r="I70" i="11"/>
  <c r="AI59" i="11"/>
  <c r="BT24" i="20"/>
  <c r="BT38" i="20"/>
  <c r="BT95" i="20"/>
  <c r="BT72" i="20"/>
  <c r="BT52" i="20"/>
  <c r="BT97" i="20"/>
  <c r="BT107" i="20"/>
  <c r="BT15" i="20"/>
  <c r="BT23" i="20"/>
  <c r="BT91" i="20"/>
  <c r="BT49" i="20"/>
  <c r="AI61" i="11"/>
  <c r="BT31" i="20"/>
  <c r="BT93" i="20"/>
  <c r="BT80" i="20"/>
  <c r="BT45" i="20"/>
  <c r="BT88" i="20"/>
  <c r="BT77" i="20"/>
  <c r="BT29" i="20"/>
  <c r="BT46" i="20"/>
  <c r="BT110" i="20"/>
  <c r="BT14" i="20"/>
  <c r="BT54" i="20"/>
  <c r="BT27" i="20"/>
  <c r="BT18" i="20"/>
  <c r="BT36" i="20"/>
  <c r="BT69" i="20"/>
  <c r="BT63" i="20"/>
  <c r="BT79" i="20"/>
  <c r="BT68" i="20"/>
  <c r="BT106" i="20"/>
  <c r="BT50" i="20"/>
  <c r="BT26" i="20"/>
  <c r="BT61" i="20"/>
  <c r="BT33" i="20"/>
  <c r="BT103" i="20"/>
  <c r="BT41" i="20"/>
  <c r="BT51" i="20"/>
  <c r="BT57" i="20"/>
  <c r="BT101" i="20"/>
  <c r="BT96" i="20"/>
  <c r="BT25" i="20"/>
  <c r="BT60" i="20"/>
  <c r="BT35" i="20"/>
  <c r="BT70" i="20"/>
  <c r="BT73" i="20"/>
  <c r="BT65" i="20"/>
  <c r="BT16" i="20"/>
  <c r="BT92" i="20"/>
  <c r="BT102" i="20"/>
  <c r="BT71" i="20"/>
  <c r="BT81" i="20"/>
  <c r="BT55" i="20"/>
  <c r="BT66" i="20"/>
  <c r="BT67" i="20"/>
  <c r="BT104" i="20"/>
  <c r="BT58" i="20"/>
  <c r="BT109" i="20"/>
  <c r="BT56" i="20"/>
  <c r="BT100" i="20"/>
  <c r="BT94" i="20"/>
  <c r="BT20" i="20"/>
  <c r="BT42" i="20"/>
  <c r="BT13" i="20"/>
  <c r="BT37" i="20"/>
  <c r="BT83" i="20"/>
  <c r="BT90" i="20"/>
  <c r="BT105" i="20"/>
  <c r="BT99" i="20"/>
  <c r="BT32" i="20"/>
  <c r="BT59" i="20"/>
  <c r="BT84" i="20"/>
  <c r="BT44" i="20"/>
  <c r="BT86" i="20"/>
  <c r="BT76" i="20"/>
  <c r="BT87" i="20"/>
  <c r="BT48" i="20"/>
  <c r="BT78" i="20"/>
  <c r="BT111" i="20"/>
  <c r="BT39" i="20"/>
  <c r="BT108" i="20"/>
  <c r="BT21" i="20"/>
  <c r="BT47" i="20"/>
  <c r="BT74" i="20"/>
  <c r="BT85" i="20"/>
  <c r="BT89" i="20"/>
  <c r="BT75" i="20"/>
  <c r="BT30" i="20"/>
  <c r="BT17" i="20"/>
  <c r="BT53" i="20"/>
  <c r="BT43" i="20"/>
  <c r="BT98" i="20"/>
  <c r="BT64" i="20"/>
  <c r="BT40" i="20"/>
  <c r="BT28" i="20"/>
  <c r="BT12" i="20"/>
  <c r="BT62" i="20"/>
  <c r="BT82" i="20"/>
  <c r="BT22" i="20"/>
  <c r="BT34" i="20"/>
  <c r="BT19" i="20"/>
  <c r="AI60" i="11"/>
  <c r="AI101" i="11"/>
  <c r="AI69" i="11"/>
  <c r="AI70" i="11"/>
  <c r="AI72" i="11"/>
  <c r="AI74" i="11"/>
  <c r="AI78" i="11"/>
  <c r="AI79" i="11"/>
  <c r="AI81" i="11"/>
  <c r="AI85" i="11"/>
  <c r="AI92" i="11"/>
  <c r="AI68" i="11"/>
  <c r="AI73" i="11"/>
  <c r="AI77" i="11"/>
  <c r="AI84" i="11"/>
  <c r="AI89" i="11"/>
  <c r="AI91" i="11"/>
  <c r="AI98" i="11"/>
  <c r="AI99" i="11"/>
  <c r="AI71" i="11"/>
  <c r="AI76" i="11"/>
  <c r="AI80" i="11"/>
  <c r="AI83" i="11"/>
  <c r="AI87" i="11"/>
  <c r="AI88" i="11"/>
  <c r="AI90" i="11"/>
  <c r="AI102" i="11"/>
  <c r="AI67" i="11"/>
  <c r="AI95" i="11"/>
  <c r="AI96" i="11"/>
  <c r="AI66" i="11"/>
  <c r="AI75" i="11"/>
  <c r="AI82" i="11"/>
  <c r="AI86" i="11"/>
  <c r="AI100" i="11"/>
  <c r="AO41" i="4"/>
  <c r="AP41" i="4"/>
  <c r="CB143" i="4"/>
  <c r="AI109" i="11"/>
  <c r="AP38" i="4"/>
  <c r="BZ146" i="4" s="1"/>
  <c r="AI93" i="11"/>
  <c r="AI94" i="11"/>
  <c r="BV50" i="20"/>
  <c r="BV108" i="20"/>
  <c r="BV82" i="20"/>
  <c r="AK61" i="11"/>
  <c r="BV90" i="20"/>
  <c r="BV34" i="20"/>
  <c r="BV72" i="20"/>
  <c r="BV69" i="20"/>
  <c r="BV102" i="20"/>
  <c r="AK59" i="11"/>
  <c r="BV15" i="20"/>
  <c r="BV110" i="20"/>
  <c r="BV99" i="20"/>
  <c r="BV43" i="20"/>
  <c r="BV57" i="20"/>
  <c r="BV55" i="20"/>
  <c r="BV89" i="20"/>
  <c r="BV83" i="20"/>
  <c r="BV87" i="20"/>
  <c r="BV17" i="20"/>
  <c r="BV23" i="20"/>
  <c r="BV105" i="20"/>
  <c r="BV37" i="20"/>
  <c r="BV39" i="20"/>
  <c r="BV77" i="20"/>
  <c r="BV96" i="20"/>
  <c r="BV62" i="20"/>
  <c r="BV54" i="20"/>
  <c r="BV70" i="20"/>
  <c r="BV14" i="20"/>
  <c r="BV30" i="20"/>
  <c r="BV94" i="20"/>
  <c r="BV106" i="20"/>
  <c r="BV100" i="20"/>
  <c r="BV48" i="20"/>
  <c r="BV46" i="20"/>
  <c r="BV12" i="20"/>
  <c r="BV88" i="20"/>
  <c r="BV49" i="20"/>
  <c r="BV68" i="20"/>
  <c r="BV32" i="20"/>
  <c r="BV101" i="20"/>
  <c r="BV44" i="20"/>
  <c r="BV85" i="20"/>
  <c r="BV27" i="20"/>
  <c r="BV35" i="20"/>
  <c r="BV40" i="20"/>
  <c r="BV25" i="20"/>
  <c r="BV58" i="20"/>
  <c r="BV63" i="20"/>
  <c r="BV84" i="20"/>
  <c r="BV74" i="20"/>
  <c r="BV67" i="20"/>
  <c r="BV19" i="20"/>
  <c r="BV45" i="20"/>
  <c r="BV107" i="20"/>
  <c r="BV26" i="20"/>
  <c r="BV76" i="20"/>
  <c r="BV47" i="20"/>
  <c r="BV16" i="20"/>
  <c r="BV73" i="20"/>
  <c r="BV98" i="20"/>
  <c r="BV86" i="20"/>
  <c r="BV75" i="20"/>
  <c r="BV91" i="20"/>
  <c r="BV33" i="20"/>
  <c r="BV20" i="20"/>
  <c r="BV56" i="20"/>
  <c r="BV21" i="20"/>
  <c r="BV42" i="20"/>
  <c r="AK60" i="11"/>
  <c r="BV92" i="20"/>
  <c r="BV51" i="20"/>
  <c r="BV80" i="20"/>
  <c r="BV65" i="20"/>
  <c r="BV79" i="20"/>
  <c r="BV28" i="20"/>
  <c r="BV41" i="20"/>
  <c r="BV52" i="20"/>
  <c r="BV81" i="20"/>
  <c r="BV78" i="20"/>
  <c r="BV71" i="20"/>
  <c r="BV103" i="20"/>
  <c r="BV109" i="20"/>
  <c r="BV36" i="20"/>
  <c r="BV95" i="20"/>
  <c r="BV59" i="20"/>
  <c r="BV24" i="20"/>
  <c r="BV97" i="20"/>
  <c r="BV38" i="20"/>
  <c r="BV104" i="20"/>
  <c r="BV18" i="20"/>
  <c r="BV22" i="20"/>
  <c r="BV93" i="20"/>
  <c r="BV29" i="20"/>
  <c r="BV111" i="20"/>
  <c r="BV53" i="20"/>
  <c r="BV61" i="20"/>
  <c r="BV13" i="20"/>
  <c r="BV60" i="20"/>
  <c r="BV66" i="20"/>
  <c r="BV31" i="20"/>
  <c r="BV64" i="20"/>
  <c r="AK68" i="11"/>
  <c r="AK71" i="11"/>
  <c r="AK76" i="11"/>
  <c r="AK80" i="11"/>
  <c r="AK83" i="11"/>
  <c r="AK87" i="11"/>
  <c r="AK88" i="11"/>
  <c r="AK90" i="11"/>
  <c r="AK95" i="11"/>
  <c r="AK75" i="11"/>
  <c r="AK82" i="11"/>
  <c r="AK86" i="11"/>
  <c r="AK102" i="11"/>
  <c r="AK96" i="11"/>
  <c r="AK97" i="11"/>
  <c r="AK66" i="11"/>
  <c r="AK69" i="11"/>
  <c r="AK70" i="11"/>
  <c r="AK72" i="11"/>
  <c r="AK74" i="11"/>
  <c r="AK78" i="11"/>
  <c r="AK79" i="11"/>
  <c r="AK81" i="11"/>
  <c r="AK85" i="11"/>
  <c r="AK92" i="11"/>
  <c r="AK93" i="11"/>
  <c r="AK94" i="11"/>
  <c r="AK101" i="11"/>
  <c r="AK73" i="11"/>
  <c r="AK77" i="11"/>
  <c r="AK84" i="11"/>
  <c r="AK91" i="11"/>
  <c r="AK67" i="11"/>
  <c r="CD154" i="4"/>
  <c r="AK89" i="11"/>
  <c r="AH45" i="4"/>
  <c r="AI44" i="4"/>
  <c r="CC146" i="4" s="1"/>
  <c r="AK100" i="11"/>
  <c r="AM44" i="4"/>
  <c r="AM43" i="4" s="1"/>
  <c r="AK109" i="11"/>
  <c r="CE144" i="4"/>
  <c r="AK98" i="11"/>
  <c r="AY57" i="20"/>
  <c r="N61" i="11"/>
  <c r="AY62" i="20"/>
  <c r="AY91" i="20"/>
  <c r="AY27" i="20"/>
  <c r="AY45" i="20"/>
  <c r="AY65" i="20"/>
  <c r="AY98" i="20"/>
  <c r="AY18" i="20"/>
  <c r="AY69" i="20"/>
  <c r="AY55" i="20"/>
  <c r="AY36" i="20"/>
  <c r="AY67" i="20"/>
  <c r="AY102" i="20"/>
  <c r="AY81" i="20"/>
  <c r="AY16" i="20"/>
  <c r="AY70" i="20"/>
  <c r="AY26" i="20"/>
  <c r="AY51" i="20"/>
  <c r="AY56" i="20"/>
  <c r="AY17" i="20"/>
  <c r="AY35" i="20"/>
  <c r="N60" i="11"/>
  <c r="AY47" i="20"/>
  <c r="AY19" i="20"/>
  <c r="AY38" i="20"/>
  <c r="AY44" i="20"/>
  <c r="AY101" i="20"/>
  <c r="AY93" i="20"/>
  <c r="AY111" i="20"/>
  <c r="AY42" i="20"/>
  <c r="AY73" i="20"/>
  <c r="AY86" i="20"/>
  <c r="AY99" i="20"/>
  <c r="AY29" i="20"/>
  <c r="AY76" i="20"/>
  <c r="AY50" i="20"/>
  <c r="AY107" i="20"/>
  <c r="AY104" i="20"/>
  <c r="AY83" i="20"/>
  <c r="AY77" i="20"/>
  <c r="AY28" i="20"/>
  <c r="AY84" i="20"/>
  <c r="AY61" i="20"/>
  <c r="AY21" i="20"/>
  <c r="AY13" i="20"/>
  <c r="AY52" i="20"/>
  <c r="AY97" i="20"/>
  <c r="AY71" i="20"/>
  <c r="AY94" i="20"/>
  <c r="AY72" i="20"/>
  <c r="AY79" i="20"/>
  <c r="AY75" i="20"/>
  <c r="AY23" i="20"/>
  <c r="AY85" i="20"/>
  <c r="AY87" i="20"/>
  <c r="AY106" i="20"/>
  <c r="AY58" i="20"/>
  <c r="AY39" i="20"/>
  <c r="AY15" i="20"/>
  <c r="AY22" i="20"/>
  <c r="AY34" i="20"/>
  <c r="AY53" i="20"/>
  <c r="AY66" i="20"/>
  <c r="AY31" i="20"/>
  <c r="AY64" i="20"/>
  <c r="AY12" i="20"/>
  <c r="AY30" i="20"/>
  <c r="AY68" i="20"/>
  <c r="AY90" i="20"/>
  <c r="AY37" i="20"/>
  <c r="AY109" i="20"/>
  <c r="AY46" i="20"/>
  <c r="AY96" i="20"/>
  <c r="AY88" i="20"/>
  <c r="AY100" i="20"/>
  <c r="AY40" i="20"/>
  <c r="AY43" i="20"/>
  <c r="AY103" i="20"/>
  <c r="AY92" i="20"/>
  <c r="AY63" i="20"/>
  <c r="AY108" i="20"/>
  <c r="N59" i="11"/>
  <c r="AY110" i="20"/>
  <c r="AY33" i="20"/>
  <c r="AY49" i="20"/>
  <c r="AY60" i="20"/>
  <c r="AY14" i="20"/>
  <c r="AY59" i="20"/>
  <c r="AY20" i="20"/>
  <c r="AY32" i="20"/>
  <c r="AY78" i="20"/>
  <c r="AY48" i="20"/>
  <c r="AY24" i="20"/>
  <c r="AY54" i="20"/>
  <c r="AY41" i="20"/>
  <c r="AY82" i="20"/>
  <c r="AY80" i="20"/>
  <c r="AY74" i="20"/>
  <c r="AY105" i="20"/>
  <c r="AY89" i="20"/>
  <c r="AY25" i="20"/>
  <c r="AY95" i="20"/>
  <c r="N78" i="11"/>
  <c r="N80" i="11"/>
  <c r="N82" i="11"/>
  <c r="N86" i="11"/>
  <c r="N90" i="11"/>
  <c r="N94" i="11"/>
  <c r="N95" i="11"/>
  <c r="N102" i="11"/>
  <c r="N69" i="11"/>
  <c r="N73" i="11"/>
  <c r="N77" i="11"/>
  <c r="N85" i="11"/>
  <c r="N92" i="11"/>
  <c r="N98" i="11"/>
  <c r="N66" i="11"/>
  <c r="N101" i="11"/>
  <c r="N68" i="11"/>
  <c r="N93" i="11"/>
  <c r="N67" i="11"/>
  <c r="N75" i="11"/>
  <c r="N81" i="11"/>
  <c r="N84" i="11"/>
  <c r="N88" i="11"/>
  <c r="N89" i="11"/>
  <c r="N91" i="11"/>
  <c r="N96" i="11"/>
  <c r="N97" i="11"/>
  <c r="N99" i="11"/>
  <c r="N100" i="11"/>
  <c r="N71" i="11"/>
  <c r="N74" i="11"/>
  <c r="N79" i="11"/>
  <c r="N83" i="11"/>
  <c r="N87" i="11"/>
  <c r="AP17" i="4"/>
  <c r="AO17" i="4"/>
  <c r="CB19" i="4" s="1"/>
  <c r="N109" i="11"/>
  <c r="AP13" i="4"/>
  <c r="BW22" i="4" s="1"/>
  <c r="N70" i="11"/>
  <c r="N72" i="11"/>
  <c r="AZ78" i="20"/>
  <c r="AZ45" i="20"/>
  <c r="AZ88" i="20"/>
  <c r="AZ24" i="20"/>
  <c r="AZ50" i="20"/>
  <c r="AZ21" i="20"/>
  <c r="AZ49" i="20"/>
  <c r="AZ73" i="20"/>
  <c r="AZ64" i="20"/>
  <c r="AZ14" i="20"/>
  <c r="AZ32" i="20"/>
  <c r="AZ85" i="20"/>
  <c r="AZ47" i="20"/>
  <c r="AZ36" i="20"/>
  <c r="AZ83" i="20"/>
  <c r="AZ111" i="20"/>
  <c r="AZ23" i="20"/>
  <c r="AZ42" i="20"/>
  <c r="AZ13" i="20"/>
  <c r="AZ37" i="20"/>
  <c r="AZ54" i="20"/>
  <c r="AZ71" i="20"/>
  <c r="AZ82" i="20"/>
  <c r="AZ109" i="20"/>
  <c r="AZ98" i="20"/>
  <c r="AZ44" i="20"/>
  <c r="AZ72" i="20"/>
  <c r="O60" i="11"/>
  <c r="AZ15" i="20"/>
  <c r="AZ86" i="20"/>
  <c r="AZ25" i="20"/>
  <c r="AZ105" i="20"/>
  <c r="AZ58" i="20"/>
  <c r="AZ104" i="20"/>
  <c r="AZ61" i="20"/>
  <c r="AZ93" i="20"/>
  <c r="AZ89" i="20"/>
  <c r="AZ57" i="20"/>
  <c r="AZ39" i="20"/>
  <c r="AZ56" i="20"/>
  <c r="AZ65" i="20"/>
  <c r="AZ51" i="20"/>
  <c r="AZ81" i="20"/>
  <c r="AZ103" i="20"/>
  <c r="AZ96" i="20"/>
  <c r="AZ94" i="20"/>
  <c r="AZ17" i="20"/>
  <c r="AZ60" i="20"/>
  <c r="AZ43" i="20"/>
  <c r="AZ22" i="20"/>
  <c r="AZ31" i="20"/>
  <c r="AZ108" i="20"/>
  <c r="AZ67" i="20"/>
  <c r="AZ91" i="20"/>
  <c r="AZ95" i="20"/>
  <c r="AZ41" i="20"/>
  <c r="AZ70" i="20"/>
  <c r="AZ74" i="20"/>
  <c r="AZ26" i="20"/>
  <c r="AZ102" i="20"/>
  <c r="AZ12" i="20"/>
  <c r="AZ66" i="20"/>
  <c r="AZ38" i="20"/>
  <c r="AZ68" i="20"/>
  <c r="AZ90" i="20"/>
  <c r="AZ79" i="20"/>
  <c r="AZ106" i="20"/>
  <c r="AZ20" i="20"/>
  <c r="AZ100" i="20"/>
  <c r="AZ77" i="20"/>
  <c r="AZ59" i="20"/>
  <c r="AZ18" i="20"/>
  <c r="AZ87" i="20"/>
  <c r="AZ52" i="20"/>
  <c r="AZ48" i="20"/>
  <c r="AZ75" i="20"/>
  <c r="AZ62" i="20"/>
  <c r="AZ46" i="20"/>
  <c r="AZ63" i="20"/>
  <c r="AZ29" i="20"/>
  <c r="AZ84" i="20"/>
  <c r="O59" i="11"/>
  <c r="AZ80" i="20"/>
  <c r="AZ33" i="20"/>
  <c r="AZ101" i="20"/>
  <c r="AZ107" i="20"/>
  <c r="AZ40" i="20"/>
  <c r="O61" i="11"/>
  <c r="AZ110" i="20"/>
  <c r="AZ97" i="20"/>
  <c r="AZ28" i="20"/>
  <c r="AZ76" i="20"/>
  <c r="AZ16" i="20"/>
  <c r="AZ55" i="20"/>
  <c r="AZ69" i="20"/>
  <c r="AZ35" i="20"/>
  <c r="AZ53" i="20"/>
  <c r="AZ27" i="20"/>
  <c r="AZ19" i="20"/>
  <c r="AZ34" i="20"/>
  <c r="AZ99" i="20"/>
  <c r="AZ30" i="20"/>
  <c r="AZ92" i="20"/>
  <c r="O94" i="11"/>
  <c r="O95" i="11"/>
  <c r="O98" i="11"/>
  <c r="O73" i="11"/>
  <c r="O74" i="11"/>
  <c r="O79" i="11"/>
  <c r="O83" i="11"/>
  <c r="O87" i="11"/>
  <c r="O93" i="11"/>
  <c r="O66" i="11"/>
  <c r="O78" i="11"/>
  <c r="O80" i="11"/>
  <c r="O82" i="11"/>
  <c r="O86" i="11"/>
  <c r="O90" i="11"/>
  <c r="O100" i="11"/>
  <c r="O102" i="11"/>
  <c r="O67" i="11"/>
  <c r="O96" i="11"/>
  <c r="O101" i="11"/>
  <c r="O71" i="11"/>
  <c r="O76" i="11"/>
  <c r="O85" i="11"/>
  <c r="O97" i="11"/>
  <c r="O69" i="11"/>
  <c r="O92" i="11"/>
  <c r="O99" i="11"/>
  <c r="O68" i="11"/>
  <c r="O75" i="11"/>
  <c r="O81" i="11"/>
  <c r="O84" i="11"/>
  <c r="O88" i="11"/>
  <c r="O89" i="11"/>
  <c r="O91" i="11"/>
  <c r="O109" i="11"/>
  <c r="AP18" i="4"/>
  <c r="AO18" i="4"/>
  <c r="CF19" i="4" s="1"/>
  <c r="O70" i="11"/>
  <c r="O72" i="11"/>
  <c r="BN31" i="20"/>
  <c r="BN39" i="20"/>
  <c r="BN84" i="20"/>
  <c r="BN34" i="20"/>
  <c r="BN71" i="20"/>
  <c r="BN52" i="20"/>
  <c r="BN21" i="20"/>
  <c r="BN97" i="20"/>
  <c r="BN40" i="20"/>
  <c r="BN19" i="20"/>
  <c r="BN43" i="20"/>
  <c r="BN111" i="20"/>
  <c r="BN110" i="20"/>
  <c r="BN80" i="20"/>
  <c r="BN20" i="20"/>
  <c r="BN16" i="20"/>
  <c r="BN66" i="20"/>
  <c r="BN88" i="20"/>
  <c r="BN58" i="20"/>
  <c r="BN77" i="20"/>
  <c r="BN102" i="20"/>
  <c r="BN64" i="20"/>
  <c r="BN87" i="20"/>
  <c r="BN94" i="20"/>
  <c r="BN103" i="20"/>
  <c r="BN37" i="20"/>
  <c r="BN100" i="20"/>
  <c r="BN14" i="20"/>
  <c r="BN108" i="20"/>
  <c r="BN78" i="20"/>
  <c r="BN33" i="20"/>
  <c r="BN81" i="20"/>
  <c r="BN69" i="20"/>
  <c r="BN86" i="20"/>
  <c r="AC60" i="11"/>
  <c r="BN61" i="20"/>
  <c r="BN47" i="20"/>
  <c r="BN41" i="20"/>
  <c r="BN51" i="20"/>
  <c r="BN68" i="20"/>
  <c r="BN91" i="20"/>
  <c r="BN109" i="20"/>
  <c r="BN79" i="20"/>
  <c r="BN107" i="20"/>
  <c r="BN50" i="20"/>
  <c r="BN85" i="20"/>
  <c r="BN27" i="20"/>
  <c r="BN60" i="20"/>
  <c r="BN101" i="20"/>
  <c r="BN15" i="20"/>
  <c r="BN83" i="20"/>
  <c r="BN26" i="20"/>
  <c r="BN74" i="20"/>
  <c r="BN62" i="20"/>
  <c r="BN25" i="20"/>
  <c r="BN12" i="20"/>
  <c r="BN59" i="20"/>
  <c r="BN44" i="20"/>
  <c r="BN49" i="20"/>
  <c r="BN65" i="20"/>
  <c r="BN46" i="20"/>
  <c r="AC61" i="11"/>
  <c r="BN45" i="20"/>
  <c r="BN67" i="20"/>
  <c r="BN93" i="20"/>
  <c r="BN90" i="20"/>
  <c r="BN13" i="20"/>
  <c r="BN24" i="20"/>
  <c r="BN70" i="20"/>
  <c r="BN95" i="20"/>
  <c r="BN92" i="20"/>
  <c r="BN106" i="20"/>
  <c r="BN53" i="20"/>
  <c r="BN55" i="20"/>
  <c r="BN30" i="20"/>
  <c r="BN76" i="20"/>
  <c r="BN98" i="20"/>
  <c r="BN23" i="20"/>
  <c r="BN28" i="20"/>
  <c r="BN73" i="20"/>
  <c r="AC59" i="11"/>
  <c r="BN35" i="20"/>
  <c r="BN18" i="20"/>
  <c r="BN29" i="20"/>
  <c r="BN32" i="20"/>
  <c r="BN72" i="20"/>
  <c r="BN99" i="20"/>
  <c r="BN54" i="20"/>
  <c r="BN104" i="20"/>
  <c r="BN105" i="20"/>
  <c r="BN56" i="20"/>
  <c r="BN42" i="20"/>
  <c r="BN75" i="20"/>
  <c r="BN22" i="20"/>
  <c r="BN57" i="20"/>
  <c r="BN38" i="20"/>
  <c r="BN17" i="20"/>
  <c r="BN48" i="20"/>
  <c r="BN82" i="20"/>
  <c r="BN96" i="20"/>
  <c r="BN36" i="20"/>
  <c r="BN89" i="20"/>
  <c r="BN63" i="20"/>
  <c r="AC109" i="11"/>
  <c r="AC93" i="11"/>
  <c r="AC97" i="11"/>
  <c r="AC68" i="11"/>
  <c r="AC71" i="11"/>
  <c r="AC76" i="11"/>
  <c r="AC80" i="11"/>
  <c r="AC83" i="11"/>
  <c r="AC87" i="11"/>
  <c r="AC100" i="11"/>
  <c r="AC96" i="11"/>
  <c r="AC98" i="11"/>
  <c r="AC99" i="11"/>
  <c r="AC75" i="11"/>
  <c r="AC82" i="11"/>
  <c r="AC86" i="11"/>
  <c r="AC89" i="11"/>
  <c r="AC67" i="11"/>
  <c r="AC102" i="11"/>
  <c r="AC69" i="11"/>
  <c r="AC95" i="11"/>
  <c r="AC66" i="11"/>
  <c r="AC70" i="11"/>
  <c r="AC72" i="11"/>
  <c r="AC74" i="11"/>
  <c r="AC78" i="11"/>
  <c r="AC79" i="11"/>
  <c r="AC81" i="11"/>
  <c r="AC85" i="11"/>
  <c r="AC88" i="11"/>
  <c r="AC94" i="11"/>
  <c r="AC101" i="11"/>
  <c r="AC73" i="11"/>
  <c r="AC77" i="11"/>
  <c r="AC84" i="11"/>
  <c r="AC92" i="11"/>
  <c r="AR34" i="4"/>
  <c r="BR158" i="4"/>
  <c r="AR33" i="4"/>
  <c r="AC90" i="11"/>
  <c r="BA58" i="20"/>
  <c r="BA103" i="20"/>
  <c r="BA98" i="20"/>
  <c r="BA85" i="20"/>
  <c r="BA94" i="20"/>
  <c r="BA74" i="20"/>
  <c r="P60" i="11"/>
  <c r="BA110" i="20"/>
  <c r="BA78" i="20"/>
  <c r="BA41" i="20"/>
  <c r="BA87" i="20"/>
  <c r="BA40" i="20"/>
  <c r="BA17" i="20"/>
  <c r="BA109" i="20"/>
  <c r="BA88" i="20"/>
  <c r="BA76" i="20"/>
  <c r="BA66" i="20"/>
  <c r="BA96" i="20"/>
  <c r="BA37" i="20"/>
  <c r="BA92" i="20"/>
  <c r="BA18" i="20"/>
  <c r="BA30" i="20"/>
  <c r="BA59" i="20"/>
  <c r="BA60" i="20"/>
  <c r="BA19" i="20"/>
  <c r="BA64" i="20"/>
  <c r="BA105" i="20"/>
  <c r="BA75" i="20"/>
  <c r="BA26" i="20"/>
  <c r="BA28" i="20"/>
  <c r="BA63" i="20"/>
  <c r="BA33" i="20"/>
  <c r="BA50" i="20"/>
  <c r="BA90" i="20"/>
  <c r="BA62" i="20"/>
  <c r="BA106" i="20"/>
  <c r="BA99" i="20"/>
  <c r="BA108" i="20"/>
  <c r="BA83" i="20"/>
  <c r="BA72" i="20"/>
  <c r="BA46" i="20"/>
  <c r="BA79" i="20"/>
  <c r="BA104" i="20"/>
  <c r="BA54" i="20"/>
  <c r="BA15" i="20"/>
  <c r="BA35" i="20"/>
  <c r="BA111" i="20"/>
  <c r="BA42" i="20"/>
  <c r="BA107" i="20"/>
  <c r="BA53" i="20"/>
  <c r="BA82" i="20"/>
  <c r="BA16" i="20"/>
  <c r="BA32" i="20"/>
  <c r="BA71" i="20"/>
  <c r="BA23" i="20"/>
  <c r="P61" i="11"/>
  <c r="BA102" i="20"/>
  <c r="BA73" i="20"/>
  <c r="BA70" i="20"/>
  <c r="BA24" i="20"/>
  <c r="BA65" i="20"/>
  <c r="BA77" i="20"/>
  <c r="BA52" i="20"/>
  <c r="BA12" i="20"/>
  <c r="BA81" i="20"/>
  <c r="P59" i="11"/>
  <c r="BA67" i="20"/>
  <c r="BA84" i="20"/>
  <c r="BA49" i="20"/>
  <c r="BA55" i="20"/>
  <c r="BA25" i="20"/>
  <c r="BA39" i="20"/>
  <c r="BA68" i="20"/>
  <c r="BA69" i="20"/>
  <c r="BA27" i="20"/>
  <c r="BA29" i="20"/>
  <c r="BA14" i="20"/>
  <c r="BA101" i="20"/>
  <c r="BA89" i="20"/>
  <c r="BA34" i="20"/>
  <c r="BA56" i="20"/>
  <c r="BA91" i="20"/>
  <c r="BA100" i="20"/>
  <c r="BA45" i="20"/>
  <c r="BA21" i="20"/>
  <c r="BA38" i="20"/>
  <c r="BA80" i="20"/>
  <c r="BA93" i="20"/>
  <c r="BA86" i="20"/>
  <c r="BA61" i="20"/>
  <c r="BA57" i="20"/>
  <c r="BA47" i="20"/>
  <c r="BA43" i="20"/>
  <c r="BA36" i="20"/>
  <c r="BA44" i="20"/>
  <c r="BA13" i="20"/>
  <c r="BA20" i="20"/>
  <c r="BA22" i="20"/>
  <c r="BA31" i="20"/>
  <c r="BA51" i="20"/>
  <c r="BA48" i="20"/>
  <c r="BA95" i="20"/>
  <c r="BA97" i="20"/>
  <c r="P93" i="11"/>
  <c r="P102" i="11"/>
  <c r="P69" i="11"/>
  <c r="P75" i="11"/>
  <c r="P81" i="11"/>
  <c r="P84" i="11"/>
  <c r="P88" i="11"/>
  <c r="P89" i="11"/>
  <c r="P91" i="11"/>
  <c r="P101" i="11"/>
  <c r="P96" i="11"/>
  <c r="P67" i="11"/>
  <c r="P71" i="11"/>
  <c r="P74" i="11"/>
  <c r="P79" i="11"/>
  <c r="P83" i="11"/>
  <c r="P87" i="11"/>
  <c r="P66" i="11"/>
  <c r="P97" i="11"/>
  <c r="P98" i="11"/>
  <c r="P100" i="11"/>
  <c r="P77" i="11"/>
  <c r="P80" i="11"/>
  <c r="P82" i="11"/>
  <c r="P86" i="11"/>
  <c r="P90" i="11"/>
  <c r="P99" i="11"/>
  <c r="P68" i="11"/>
  <c r="P94" i="11"/>
  <c r="P95" i="11"/>
  <c r="P73" i="11"/>
  <c r="P76" i="11"/>
  <c r="P85" i="11"/>
  <c r="P92" i="11"/>
  <c r="AO19" i="4"/>
  <c r="CD19" i="4" s="1"/>
  <c r="P109" i="11"/>
  <c r="AP19" i="4"/>
  <c r="P72" i="11"/>
  <c r="P70" i="11"/>
  <c r="P62" i="11" l="1"/>
  <c r="W46" i="4" s="1"/>
  <c r="P46" i="4"/>
  <c r="BX58" i="4" s="1"/>
  <c r="P48" i="4"/>
  <c r="P47" i="4" s="1"/>
  <c r="E46" i="4"/>
  <c r="AK19" i="4"/>
  <c r="CF26" i="4" s="1"/>
  <c r="AJ19" i="4"/>
  <c r="CD46" i="4" s="1"/>
  <c r="CD156" i="4"/>
  <c r="T48" i="4"/>
  <c r="T47" i="4" s="1"/>
  <c r="M46" i="4"/>
  <c r="T46" i="4"/>
  <c r="AN62" i="11"/>
  <c r="AA46" i="4" s="1"/>
  <c r="AK47" i="4"/>
  <c r="CH150" i="4" s="1"/>
  <c r="AJ47" i="4"/>
  <c r="CH163" i="4" s="1"/>
  <c r="BX160" i="4"/>
  <c r="Q46" i="4"/>
  <c r="BX123" i="4" s="1"/>
  <c r="G46" i="4"/>
  <c r="Y62" i="11"/>
  <c r="X46" i="4" s="1"/>
  <c r="Q48" i="4"/>
  <c r="Q47" i="4" s="1"/>
  <c r="AK29" i="4"/>
  <c r="CD90" i="4" s="1"/>
  <c r="AJ29" i="4"/>
  <c r="CD110" i="4" s="1"/>
  <c r="BS25" i="4"/>
  <c r="BW33" i="4"/>
  <c r="BY22" i="4"/>
  <c r="AL11" i="4"/>
  <c r="M2" i="20"/>
  <c r="C59" i="11"/>
  <c r="I6" i="20"/>
  <c r="H7" i="20" s="1"/>
  <c r="I7" i="20"/>
  <c r="C109" i="11"/>
  <c r="AB90" i="11"/>
  <c r="AB107" i="11" s="1"/>
  <c r="K73" i="11"/>
  <c r="K107" i="11" s="1"/>
  <c r="N76" i="11"/>
  <c r="N107" i="11" s="1"/>
  <c r="AC91" i="11"/>
  <c r="AC107" i="11" s="1"/>
  <c r="S81" i="11"/>
  <c r="S107" i="11" s="1"/>
  <c r="AK99" i="11"/>
  <c r="AK107" i="11" s="1"/>
  <c r="C10" i="4"/>
  <c r="D62" i="11"/>
  <c r="O10" i="4"/>
  <c r="CB145" i="4"/>
  <c r="CB150" i="4"/>
  <c r="X62" i="11"/>
  <c r="X42" i="4" s="1"/>
  <c r="Q42" i="4"/>
  <c r="BX122" i="4" s="1"/>
  <c r="Q44" i="4"/>
  <c r="Q43" i="4" s="1"/>
  <c r="G42" i="4"/>
  <c r="AK28" i="4"/>
  <c r="CF90" i="4" s="1"/>
  <c r="AJ28" i="4"/>
  <c r="CF110" i="4" s="1"/>
  <c r="BS146" i="4"/>
  <c r="AL31" i="4"/>
  <c r="CD135" i="4"/>
  <c r="R10" i="4"/>
  <c r="Z62" i="11"/>
  <c r="Y10" i="4" s="1"/>
  <c r="I10" i="4"/>
  <c r="AJ31" i="4"/>
  <c r="BS135" i="4" s="1"/>
  <c r="AK31" i="4"/>
  <c r="BS140" i="4" s="1"/>
  <c r="O42" i="4"/>
  <c r="O44" i="4"/>
  <c r="O43" i="4" s="1"/>
  <c r="C46" i="4"/>
  <c r="F62" i="11"/>
  <c r="AM31" i="4"/>
  <c r="BR156" i="4"/>
  <c r="CD146" i="4"/>
  <c r="R26" i="4"/>
  <c r="R27" i="4" s="1"/>
  <c r="R28" i="4" s="1"/>
  <c r="AA62" i="11"/>
  <c r="Y26" i="4" s="1"/>
  <c r="I26" i="4"/>
  <c r="AK32" i="4"/>
  <c r="BT151" i="4" s="1"/>
  <c r="AJ25" i="4"/>
  <c r="BV110" i="4" s="1"/>
  <c r="Q24" i="4"/>
  <c r="Q23" i="4" s="1"/>
  <c r="Q22" i="4"/>
  <c r="BX119" i="4" s="1"/>
  <c r="U62" i="11"/>
  <c r="X22" i="4" s="1"/>
  <c r="G22" i="4"/>
  <c r="AK25" i="4"/>
  <c r="BV98" i="4" s="1"/>
  <c r="BS41" i="4"/>
  <c r="BY86" i="4"/>
  <c r="AL21" i="4"/>
  <c r="AS31" i="4"/>
  <c r="BR135" i="4"/>
  <c r="Q62" i="11"/>
  <c r="X10" i="4" s="1"/>
  <c r="Q10" i="4"/>
  <c r="G10" i="4"/>
  <c r="AJ21" i="4"/>
  <c r="BX71" i="4" s="1"/>
  <c r="AK21" i="4"/>
  <c r="BV71" i="4" s="1"/>
  <c r="P34" i="4"/>
  <c r="BX55" i="4" s="1"/>
  <c r="AJ16" i="4"/>
  <c r="BT46" i="4" s="1"/>
  <c r="P36" i="4"/>
  <c r="P35" i="4" s="1"/>
  <c r="M62" i="11"/>
  <c r="W34" i="4" s="1"/>
  <c r="E34" i="4"/>
  <c r="AK16" i="4"/>
  <c r="BS43" i="4" s="1"/>
  <c r="V62" i="11"/>
  <c r="X34" i="4" s="1"/>
  <c r="Q34" i="4"/>
  <c r="BX120" i="4" s="1"/>
  <c r="Q36" i="4"/>
  <c r="Q35" i="4" s="1"/>
  <c r="AJ26" i="4"/>
  <c r="BT110" i="4" s="1"/>
  <c r="G34" i="4"/>
  <c r="AK26" i="4"/>
  <c r="BS107" i="4" s="1"/>
  <c r="CD160" i="4"/>
  <c r="AL62" i="11"/>
  <c r="AA30" i="4" s="1"/>
  <c r="M30" i="4"/>
  <c r="T30" i="4"/>
  <c r="T31" i="4" s="1"/>
  <c r="T32" i="4" s="1"/>
  <c r="AK45" i="4"/>
  <c r="CF157" i="4" s="1"/>
  <c r="AC108" i="11"/>
  <c r="N108" i="11"/>
  <c r="P38" i="4"/>
  <c r="BX56" i="4" s="1"/>
  <c r="P40" i="4"/>
  <c r="P39" i="4" s="1"/>
  <c r="N62" i="11"/>
  <c r="W38" i="4" s="1"/>
  <c r="E38" i="4"/>
  <c r="AK17" i="4"/>
  <c r="CB26" i="4" s="1"/>
  <c r="AJ17" i="4"/>
  <c r="CB46" i="4" s="1"/>
  <c r="AK108" i="11"/>
  <c r="K46" i="4"/>
  <c r="AI62" i="11"/>
  <c r="Z46" i="4" s="1"/>
  <c r="S48" i="4"/>
  <c r="S47" i="4" s="1"/>
  <c r="S46" i="4"/>
  <c r="AK41" i="4"/>
  <c r="AJ41" i="4"/>
  <c r="CB163" i="4" s="1"/>
  <c r="AM11" i="4"/>
  <c r="BY20" i="4"/>
  <c r="G18" i="4"/>
  <c r="S62" i="11"/>
  <c r="X18" i="4" s="1"/>
  <c r="Q18" i="4"/>
  <c r="AK23" i="4"/>
  <c r="BV94" i="4" s="1"/>
  <c r="R46" i="4"/>
  <c r="R48" i="4"/>
  <c r="R47" i="4" s="1"/>
  <c r="AD62" i="11"/>
  <c r="Y46" i="4" s="1"/>
  <c r="I46" i="4"/>
  <c r="AK35" i="4"/>
  <c r="BV150" i="4" s="1"/>
  <c r="AJ35" i="4"/>
  <c r="BV163" i="4" s="1"/>
  <c r="R62" i="11"/>
  <c r="X14" i="4" s="1"/>
  <c r="G14" i="4"/>
  <c r="Q14" i="4"/>
  <c r="AK22" i="4"/>
  <c r="BY90" i="4" s="1"/>
  <c r="S36" i="4"/>
  <c r="S35" i="4" s="1"/>
  <c r="S34" i="4"/>
  <c r="AK40" i="4"/>
  <c r="BY163" i="4" s="1"/>
  <c r="AH62" i="11"/>
  <c r="Z34" i="4" s="1"/>
  <c r="AJ40" i="4"/>
  <c r="BZ163" i="4" s="1"/>
  <c r="K34" i="4"/>
  <c r="BS105" i="4"/>
  <c r="Q26" i="4"/>
  <c r="T62" i="11"/>
  <c r="X26" i="4" s="1"/>
  <c r="G26" i="4"/>
  <c r="AK24" i="4"/>
  <c r="BS96" i="4" s="1"/>
  <c r="D66" i="11"/>
  <c r="CB21" i="4"/>
  <c r="E67" i="11"/>
  <c r="E108" i="11" s="1"/>
  <c r="AD92" i="11"/>
  <c r="AD108" i="11" s="1"/>
  <c r="P78" i="11"/>
  <c r="P107" i="11" s="1"/>
  <c r="AG95" i="11"/>
  <c r="AG107" i="11" s="1"/>
  <c r="T82" i="11"/>
  <c r="T108" i="11" s="1"/>
  <c r="Q79" i="11"/>
  <c r="Q107" i="11" s="1"/>
  <c r="G69" i="11"/>
  <c r="G108" i="11" s="1"/>
  <c r="Y87" i="11"/>
  <c r="Y107" i="11" s="1"/>
  <c r="AH96" i="11"/>
  <c r="AH107" i="11" s="1"/>
  <c r="Z88" i="11"/>
  <c r="Z107" i="11" s="1"/>
  <c r="J72" i="11"/>
  <c r="J107" i="11" s="1"/>
  <c r="AE93" i="11"/>
  <c r="AE107" i="11" s="1"/>
  <c r="CH145" i="4"/>
  <c r="M10" i="4"/>
  <c r="AJ43" i="4"/>
  <c r="CE135" i="4" s="1"/>
  <c r="AJ62" i="11"/>
  <c r="AA10" i="4" s="1"/>
  <c r="T10" i="4"/>
  <c r="AK43" i="4"/>
  <c r="CE140" i="4" s="1"/>
  <c r="K26" i="4"/>
  <c r="AF62" i="11"/>
  <c r="Z26" i="4" s="1"/>
  <c r="S26" i="4"/>
  <c r="S27" i="4" s="1"/>
  <c r="S28" i="4" s="1"/>
  <c r="AK38" i="4"/>
  <c r="BZ151" i="4" s="1"/>
  <c r="BR160" i="4"/>
  <c r="AB108" i="11"/>
  <c r="R30" i="4"/>
  <c r="R31" i="4" s="1"/>
  <c r="R32" i="4" s="1"/>
  <c r="AB62" i="11"/>
  <c r="Y30" i="4" s="1"/>
  <c r="I30" i="4"/>
  <c r="AK33" i="4"/>
  <c r="BT157" i="4" s="1"/>
  <c r="P108" i="11"/>
  <c r="I34" i="4"/>
  <c r="AC62" i="11"/>
  <c r="Y34" i="4" s="1"/>
  <c r="R36" i="4"/>
  <c r="R35" i="4" s="1"/>
  <c r="R34" i="4"/>
  <c r="AJ34" i="4"/>
  <c r="BT163" i="4" s="1"/>
  <c r="AK34" i="4"/>
  <c r="BS163" i="4" s="1"/>
  <c r="P42" i="4"/>
  <c r="BX57" i="4" s="1"/>
  <c r="O62" i="11"/>
  <c r="W42" i="4" s="1"/>
  <c r="P44" i="4"/>
  <c r="P43" i="4" s="1"/>
  <c r="E42" i="4"/>
  <c r="AK18" i="4"/>
  <c r="CD26" i="4" s="1"/>
  <c r="AJ18" i="4"/>
  <c r="CF46" i="4" s="1"/>
  <c r="AK62" i="11"/>
  <c r="AA26" i="4" s="1"/>
  <c r="M26" i="4"/>
  <c r="T26" i="4"/>
  <c r="T27" i="4" s="1"/>
  <c r="T28" i="4" s="1"/>
  <c r="AK44" i="4"/>
  <c r="CF151" i="4" s="1"/>
  <c r="P14" i="4"/>
  <c r="E14" i="4"/>
  <c r="I62" i="11"/>
  <c r="W14" i="4" s="1"/>
  <c r="AK12" i="4"/>
  <c r="BY26" i="4" s="1"/>
  <c r="AH13" i="4"/>
  <c r="BW97" i="4"/>
  <c r="S108" i="11"/>
  <c r="AM21" i="4"/>
  <c r="BY84" i="4"/>
  <c r="BV88" i="4"/>
  <c r="AG108" i="11"/>
  <c r="AG62" i="11"/>
  <c r="Z30" i="4" s="1"/>
  <c r="K30" i="4"/>
  <c r="S30" i="4"/>
  <c r="S31" i="4" s="1"/>
  <c r="S32" i="4" s="1"/>
  <c r="AK39" i="4"/>
  <c r="BZ157" i="4" s="1"/>
  <c r="Q38" i="4"/>
  <c r="BX121" i="4" s="1"/>
  <c r="G38" i="4"/>
  <c r="W62" i="11"/>
  <c r="X38" i="4" s="1"/>
  <c r="Q40" i="4"/>
  <c r="Q39" i="4" s="1"/>
  <c r="AK27" i="4"/>
  <c r="CB90" i="4" s="1"/>
  <c r="AJ27" i="4"/>
  <c r="CB110" i="4" s="1"/>
  <c r="Y108" i="11"/>
  <c r="J108" i="11"/>
  <c r="P18" i="4"/>
  <c r="J62" i="11"/>
  <c r="W18" i="4" s="1"/>
  <c r="E18" i="4"/>
  <c r="AK13" i="4"/>
  <c r="BV30" i="4" s="1"/>
  <c r="AI13" i="4"/>
  <c r="BQ24" i="4" s="1"/>
  <c r="AH108" i="11"/>
  <c r="BR146" i="4"/>
  <c r="AS32" i="4"/>
  <c r="O18" i="4"/>
  <c r="O19" i="4" s="1"/>
  <c r="O20" i="4" s="1"/>
  <c r="C18" i="4"/>
  <c r="E62" i="11"/>
  <c r="CD21" i="4"/>
  <c r="CD20" i="4"/>
  <c r="CF21" i="4"/>
  <c r="BQ72" i="4"/>
  <c r="AS21" i="4"/>
  <c r="H62" i="11"/>
  <c r="W10" i="4" s="1"/>
  <c r="P10" i="4"/>
  <c r="E10" i="4"/>
  <c r="AJ11" i="4"/>
  <c r="AK11" i="4"/>
  <c r="C60" i="11"/>
  <c r="F68" i="11"/>
  <c r="F108" i="11" s="1"/>
  <c r="H70" i="11"/>
  <c r="H108" i="11" s="1"/>
  <c r="BQ8" i="4"/>
  <c r="W85" i="11"/>
  <c r="W108" i="11" s="1"/>
  <c r="L74" i="11"/>
  <c r="L108" i="11" s="1"/>
  <c r="AF94" i="11"/>
  <c r="AF107" i="11" s="1"/>
  <c r="X86" i="11"/>
  <c r="X108" i="11" s="1"/>
  <c r="R80" i="11"/>
  <c r="R108" i="11" s="1"/>
  <c r="M75" i="11"/>
  <c r="M107" i="11" s="1"/>
  <c r="I71" i="11"/>
  <c r="I108" i="11" s="1"/>
  <c r="AN102" i="11"/>
  <c r="AN108" i="11" s="1"/>
  <c r="U83" i="11"/>
  <c r="U107" i="11" s="1"/>
  <c r="AJ98" i="11"/>
  <c r="AJ107" i="11" s="1"/>
  <c r="AM101" i="11"/>
  <c r="AM107" i="11" s="1"/>
  <c r="AA89" i="11"/>
  <c r="AA108" i="11" s="1"/>
  <c r="V84" i="11"/>
  <c r="V107" i="11" s="1"/>
  <c r="O77" i="11"/>
  <c r="O108" i="11" s="1"/>
  <c r="AL100" i="11"/>
  <c r="AL107" i="11" s="1"/>
  <c r="AI97" i="11"/>
  <c r="AI108" i="11" s="1"/>
  <c r="D60" i="11"/>
  <c r="AL43" i="4"/>
  <c r="CE146" i="4"/>
  <c r="AM37" i="4"/>
  <c r="BX156" i="4"/>
  <c r="AF108" i="11"/>
  <c r="AL37" i="4"/>
  <c r="BY146" i="4"/>
  <c r="AE62" i="11"/>
  <c r="Z10" i="4" s="1"/>
  <c r="S10" i="4"/>
  <c r="K10" i="4"/>
  <c r="AJ37" i="4"/>
  <c r="BY135" i="4" s="1"/>
  <c r="AK37" i="4"/>
  <c r="BY140" i="4" s="1"/>
  <c r="BV145" i="4"/>
  <c r="BX135" i="4"/>
  <c r="Z108" i="11"/>
  <c r="L62" i="11"/>
  <c r="W22" i="4" s="1"/>
  <c r="P24" i="4"/>
  <c r="P23" i="4" s="1"/>
  <c r="AJ15" i="4"/>
  <c r="BV46" i="4" s="1"/>
  <c r="P22" i="4"/>
  <c r="BX54" i="4" s="1"/>
  <c r="E22" i="4"/>
  <c r="AK15" i="4"/>
  <c r="BV34" i="4" s="1"/>
  <c r="F60" i="11"/>
  <c r="AM62" i="11"/>
  <c r="AA34" i="4" s="1"/>
  <c r="T34" i="4"/>
  <c r="AJ46" i="4"/>
  <c r="CF163" i="4" s="1"/>
  <c r="T36" i="4"/>
  <c r="T35" i="4" s="1"/>
  <c r="M34" i="4"/>
  <c r="AK46" i="4"/>
  <c r="CE163" i="4" s="1"/>
  <c r="BS89" i="4"/>
  <c r="BX146" i="4"/>
  <c r="AS38" i="4"/>
  <c r="U108" i="11"/>
  <c r="E26" i="4"/>
  <c r="K62" i="11"/>
  <c r="W26" i="4" s="1"/>
  <c r="P26" i="4"/>
  <c r="AK14" i="4"/>
  <c r="BS32" i="4" s="1"/>
  <c r="CD85" i="4"/>
  <c r="CB85" i="4"/>
  <c r="CF85" i="4"/>
  <c r="Q108" i="11"/>
  <c r="AL108" i="11"/>
  <c r="AE108" i="11" l="1"/>
  <c r="V108" i="11"/>
  <c r="K108" i="11"/>
  <c r="AS24" i="4"/>
  <c r="AS39" i="4"/>
  <c r="O107" i="11"/>
  <c r="AS23" i="4"/>
  <c r="AS25" i="4"/>
  <c r="AS26" i="4"/>
  <c r="AS27" i="4" s="1"/>
  <c r="AS28" i="4" s="1"/>
  <c r="AS29" i="4" s="1"/>
  <c r="AS37" i="4"/>
  <c r="R107" i="11"/>
  <c r="AS11" i="4"/>
  <c r="AE110" i="11"/>
  <c r="Z110" i="11"/>
  <c r="Y110" i="11"/>
  <c r="P110" i="11"/>
  <c r="S110" i="11"/>
  <c r="N110" i="11"/>
  <c r="AB110" i="11"/>
  <c r="AL110" i="11"/>
  <c r="U110" i="11"/>
  <c r="AF110" i="11"/>
  <c r="J110" i="11"/>
  <c r="AH110" i="11"/>
  <c r="AG110" i="11"/>
  <c r="AK110" i="11"/>
  <c r="AC110" i="11"/>
  <c r="K110" i="11"/>
  <c r="P27" i="4"/>
  <c r="P28" i="4" s="1"/>
  <c r="BX53" i="4"/>
  <c r="BY171" i="4"/>
  <c r="K50" i="4"/>
  <c r="L10" i="4" s="1"/>
  <c r="BZ141" i="4" s="1"/>
  <c r="K11" i="4"/>
  <c r="L11" i="4" s="1"/>
  <c r="K12" i="4"/>
  <c r="V110" i="11"/>
  <c r="M108" i="11"/>
  <c r="M110" i="11" s="1"/>
  <c r="W28" i="4"/>
  <c r="W27" i="4"/>
  <c r="AM108" i="11"/>
  <c r="AM110" i="11" s="1"/>
  <c r="S12" i="4"/>
  <c r="S11" i="4"/>
  <c r="AJ108" i="11"/>
  <c r="AJ110" i="11" s="1"/>
  <c r="AI107" i="11"/>
  <c r="AI110" i="11" s="1"/>
  <c r="AA107" i="11"/>
  <c r="AA110" i="11" s="1"/>
  <c r="AN107" i="11"/>
  <c r="AN110" i="11" s="1"/>
  <c r="I107" i="11"/>
  <c r="I110" i="11" s="1"/>
  <c r="X107" i="11"/>
  <c r="X110" i="11" s="1"/>
  <c r="L107" i="11"/>
  <c r="L110" i="11" s="1"/>
  <c r="W107" i="11"/>
  <c r="W110" i="11" s="1"/>
  <c r="H107" i="11"/>
  <c r="H110" i="11" s="1"/>
  <c r="P109" i="6" s="1"/>
  <c r="F107" i="11"/>
  <c r="F110" i="11" s="1"/>
  <c r="AJ48" i="4"/>
  <c r="BX7" i="4"/>
  <c r="BX50" i="4"/>
  <c r="P11" i="4"/>
  <c r="P12" i="4"/>
  <c r="C20" i="4"/>
  <c r="C19" i="4"/>
  <c r="W19" i="4"/>
  <c r="W20" i="4"/>
  <c r="G40" i="4"/>
  <c r="G39" i="4"/>
  <c r="L30" i="4"/>
  <c r="BZ155" i="4" s="1"/>
  <c r="BY173" i="4"/>
  <c r="K31" i="4"/>
  <c r="L31" i="4" s="1"/>
  <c r="K32" i="4"/>
  <c r="L32" i="4" s="1"/>
  <c r="E15" i="4"/>
  <c r="E16" i="4"/>
  <c r="BZ172" i="4"/>
  <c r="M27" i="4"/>
  <c r="M28" i="4"/>
  <c r="E43" i="4"/>
  <c r="E44" i="4"/>
  <c r="W43" i="4"/>
  <c r="W44" i="4"/>
  <c r="Y35" i="4"/>
  <c r="Y36" i="4"/>
  <c r="Y32" i="4"/>
  <c r="Y31" i="4"/>
  <c r="L26" i="4"/>
  <c r="BZ149" i="4" s="1"/>
  <c r="BY172" i="4"/>
  <c r="K28" i="4"/>
  <c r="L28" i="4" s="1"/>
  <c r="K27" i="4"/>
  <c r="L27" i="4" s="1"/>
  <c r="T11" i="4"/>
  <c r="T12" i="4"/>
  <c r="G107" i="11"/>
  <c r="G110" i="11" s="1"/>
  <c r="T107" i="11"/>
  <c r="T110" i="11" s="1"/>
  <c r="AD107" i="11"/>
  <c r="AD110" i="11" s="1"/>
  <c r="E107" i="11"/>
  <c r="E110" i="11" s="1"/>
  <c r="D108" i="11"/>
  <c r="C108" i="11" s="1"/>
  <c r="D107" i="11"/>
  <c r="G27" i="4"/>
  <c r="G28" i="4"/>
  <c r="BX118" i="4"/>
  <c r="Q27" i="4"/>
  <c r="Q28" i="4" s="1"/>
  <c r="Q15" i="4"/>
  <c r="Q16" i="4" s="1"/>
  <c r="BX116" i="4"/>
  <c r="X15" i="4"/>
  <c r="X16" i="4"/>
  <c r="Y48" i="4"/>
  <c r="Y47" i="4"/>
  <c r="X19" i="4"/>
  <c r="X20" i="4"/>
  <c r="L46" i="4"/>
  <c r="CB154" i="4" s="1"/>
  <c r="K48" i="4"/>
  <c r="L48" i="4" s="1"/>
  <c r="K47" i="4"/>
  <c r="L47" i="4" s="1"/>
  <c r="BY175" i="4"/>
  <c r="W40" i="4"/>
  <c r="W39" i="4"/>
  <c r="BZ173" i="4"/>
  <c r="M32" i="4"/>
  <c r="M31" i="4"/>
  <c r="AS46" i="4"/>
  <c r="AS47" i="4" s="1"/>
  <c r="E35" i="4"/>
  <c r="E36" i="4"/>
  <c r="BX115" i="4"/>
  <c r="Q11" i="4"/>
  <c r="Q12" i="4"/>
  <c r="X24" i="4"/>
  <c r="X23" i="4"/>
  <c r="Y27" i="4"/>
  <c r="Y28" i="4"/>
  <c r="AS44" i="4"/>
  <c r="AS33" i="4"/>
  <c r="BX171" i="4"/>
  <c r="I50" i="4"/>
  <c r="J10" i="4" s="1"/>
  <c r="BT141" i="4" s="1"/>
  <c r="I11" i="4"/>
  <c r="I12" i="4"/>
  <c r="J12" i="4" s="1"/>
  <c r="R11" i="4"/>
  <c r="R12" i="4"/>
  <c r="AS43" i="4"/>
  <c r="X44" i="4"/>
  <c r="X43" i="4"/>
  <c r="AS15" i="4"/>
  <c r="G48" i="4"/>
  <c r="G47" i="4"/>
  <c r="AA47" i="4"/>
  <c r="AA48" i="4"/>
  <c r="M47" i="4"/>
  <c r="BZ175" i="4"/>
  <c r="M48" i="4"/>
  <c r="E48" i="4"/>
  <c r="E47" i="4"/>
  <c r="E27" i="4"/>
  <c r="E28" i="4"/>
  <c r="M36" i="4"/>
  <c r="BZ174" i="4"/>
  <c r="M35" i="4"/>
  <c r="AA36" i="4"/>
  <c r="AA35" i="4"/>
  <c r="E23" i="4"/>
  <c r="E24" i="4"/>
  <c r="W23" i="4"/>
  <c r="W24" i="4"/>
  <c r="Z50" i="4"/>
  <c r="Z12" i="4"/>
  <c r="Z11" i="4"/>
  <c r="O110" i="11"/>
  <c r="R110" i="11"/>
  <c r="BV7" i="4"/>
  <c r="AK48" i="4"/>
  <c r="E50" i="4"/>
  <c r="F42" i="4" s="1"/>
  <c r="CD30" i="4" s="1"/>
  <c r="E11" i="4"/>
  <c r="F11" i="4" s="1"/>
  <c r="E12" i="4"/>
  <c r="W11" i="4"/>
  <c r="W12" i="4"/>
  <c r="W50" i="4"/>
  <c r="E20" i="4"/>
  <c r="F20" i="4" s="1"/>
  <c r="E19" i="4"/>
  <c r="F19" i="4" s="1"/>
  <c r="P19" i="4"/>
  <c r="P20" i="4" s="1"/>
  <c r="BX52" i="4"/>
  <c r="X39" i="4"/>
  <c r="X40" i="4"/>
  <c r="Z32" i="4"/>
  <c r="Z31" i="4"/>
  <c r="BV24" i="4"/>
  <c r="AS13" i="4"/>
  <c r="W15" i="4"/>
  <c r="W16" i="4"/>
  <c r="P15" i="4"/>
  <c r="P16" i="4" s="1"/>
  <c r="BX51" i="4"/>
  <c r="AA27" i="4"/>
  <c r="AA28" i="4"/>
  <c r="BX174" i="4"/>
  <c r="I35" i="4"/>
  <c r="J35" i="4" s="1"/>
  <c r="I36" i="4"/>
  <c r="J36" i="4" s="1"/>
  <c r="J34" i="4"/>
  <c r="BT161" i="4" s="1"/>
  <c r="J30" i="4"/>
  <c r="BT155" i="4" s="1"/>
  <c r="BX173" i="4"/>
  <c r="I32" i="4"/>
  <c r="J32" i="4" s="1"/>
  <c r="I31" i="4"/>
  <c r="J31" i="4" s="1"/>
  <c r="AS34" i="4"/>
  <c r="AS35" i="4" s="1"/>
  <c r="Z27" i="4"/>
  <c r="Z28" i="4"/>
  <c r="AA50" i="4"/>
  <c r="AA12" i="4"/>
  <c r="AA11" i="4"/>
  <c r="BZ171" i="4"/>
  <c r="M50" i="4"/>
  <c r="N10" i="4" s="1"/>
  <c r="CF141" i="4" s="1"/>
  <c r="M11" i="4"/>
  <c r="M12" i="4"/>
  <c r="N12" i="4" s="1"/>
  <c r="Q110" i="11"/>
  <c r="X27" i="4"/>
  <c r="X28" i="4"/>
  <c r="L34" i="4"/>
  <c r="BZ161" i="4" s="1"/>
  <c r="K36" i="4"/>
  <c r="L36" i="4" s="1"/>
  <c r="BY174" i="4"/>
  <c r="K35" i="4"/>
  <c r="L35" i="4" s="1"/>
  <c r="Z35" i="4"/>
  <c r="Z36" i="4"/>
  <c r="AS12" i="4"/>
  <c r="G16" i="4"/>
  <c r="G15" i="4"/>
  <c r="BX175" i="4"/>
  <c r="I47" i="4"/>
  <c r="J47" i="4" s="1"/>
  <c r="J46" i="4"/>
  <c r="BV154" i="4" s="1"/>
  <c r="I48" i="4"/>
  <c r="J48" i="4" s="1"/>
  <c r="Q19" i="4"/>
  <c r="Q20" i="4" s="1"/>
  <c r="BX117" i="4"/>
  <c r="G19" i="4"/>
  <c r="G20" i="4"/>
  <c r="Z47" i="4"/>
  <c r="Z48" i="4"/>
  <c r="E39" i="4"/>
  <c r="F39" i="4" s="1"/>
  <c r="E40" i="4"/>
  <c r="F40" i="4" s="1"/>
  <c r="F38" i="4"/>
  <c r="CB30" i="4" s="1"/>
  <c r="AA31" i="4"/>
  <c r="AA32" i="4"/>
  <c r="G35" i="4"/>
  <c r="G36" i="4"/>
  <c r="X35" i="4"/>
  <c r="X36" i="4"/>
  <c r="W35" i="4"/>
  <c r="W36" i="4"/>
  <c r="G50" i="4"/>
  <c r="H14" i="4" s="1"/>
  <c r="BZ90" i="4" s="1"/>
  <c r="G11" i="4"/>
  <c r="G12" i="4"/>
  <c r="H12" i="4" s="1"/>
  <c r="X50" i="4"/>
  <c r="X12" i="4"/>
  <c r="X11" i="4"/>
  <c r="AS16" i="4"/>
  <c r="AS17" i="4" s="1"/>
  <c r="AS18" i="4" s="1"/>
  <c r="AS19" i="4" s="1"/>
  <c r="G24" i="4"/>
  <c r="G23" i="4"/>
  <c r="H23" i="4" s="1"/>
  <c r="J26" i="4"/>
  <c r="BT149" i="4" s="1"/>
  <c r="BX172" i="4"/>
  <c r="I27" i="4"/>
  <c r="J27" i="4" s="1"/>
  <c r="I28" i="4"/>
  <c r="J28" i="4" s="1"/>
  <c r="C47" i="4"/>
  <c r="C48" i="4"/>
  <c r="Y12" i="4"/>
  <c r="Y50" i="4"/>
  <c r="Y11" i="4"/>
  <c r="G43" i="4"/>
  <c r="H43" i="4" s="1"/>
  <c r="G44" i="4"/>
  <c r="H44" i="4" s="1"/>
  <c r="H42" i="4"/>
  <c r="CF95" i="4" s="1"/>
  <c r="O12" i="4"/>
  <c r="O11" i="4"/>
  <c r="C50" i="4"/>
  <c r="D50" i="4" s="1"/>
  <c r="C11" i="4"/>
  <c r="C12" i="4"/>
  <c r="AS14" i="4"/>
  <c r="X47" i="4"/>
  <c r="X48" i="4"/>
  <c r="AS40" i="4"/>
  <c r="AS41" i="4" s="1"/>
  <c r="AS22" i="4"/>
  <c r="AS45" i="4"/>
  <c r="W47" i="4"/>
  <c r="W48" i="4"/>
  <c r="N11" i="4" l="1"/>
  <c r="D12" i="4"/>
  <c r="D11" i="4"/>
  <c r="D10" i="4"/>
  <c r="L12" i="4"/>
  <c r="D46" i="4"/>
  <c r="D47" i="4"/>
  <c r="AS48" i="4"/>
  <c r="D48" i="4"/>
  <c r="H22" i="4"/>
  <c r="BW100" i="4" s="1"/>
  <c r="H24" i="4"/>
  <c r="H11" i="4"/>
  <c r="H10" i="4"/>
  <c r="BW74" i="4" s="1"/>
  <c r="H36" i="4"/>
  <c r="H19" i="4"/>
  <c r="H15" i="4"/>
  <c r="N50" i="4"/>
  <c r="F18" i="4"/>
  <c r="BW29" i="4" s="1"/>
  <c r="F12" i="4"/>
  <c r="F10" i="4"/>
  <c r="BW10" i="4" s="1"/>
  <c r="F24" i="4"/>
  <c r="N35" i="4"/>
  <c r="F28" i="4"/>
  <c r="F26" i="4"/>
  <c r="BT36" i="4" s="1"/>
  <c r="F47" i="4"/>
  <c r="N48" i="4"/>
  <c r="N46" i="4"/>
  <c r="CH154" i="4" s="1"/>
  <c r="H47" i="4"/>
  <c r="H48" i="4"/>
  <c r="J11" i="4"/>
  <c r="F36" i="4"/>
  <c r="N32" i="4"/>
  <c r="N30" i="4"/>
  <c r="CF155" i="4" s="1"/>
  <c r="H27" i="4"/>
  <c r="C107" i="11"/>
  <c r="C110" i="11" s="1"/>
  <c r="D110" i="11"/>
  <c r="F44" i="4"/>
  <c r="N27" i="4"/>
  <c r="N26" i="4"/>
  <c r="CF149" i="4" s="1"/>
  <c r="F15" i="4"/>
  <c r="H39" i="4"/>
  <c r="H40" i="4"/>
  <c r="D20" i="4"/>
  <c r="L50" i="4"/>
  <c r="H50" i="4"/>
  <c r="H34" i="4"/>
  <c r="BT106" i="4" s="1"/>
  <c r="H35" i="4"/>
  <c r="H20" i="4"/>
  <c r="H18" i="4"/>
  <c r="BW93" i="4" s="1"/>
  <c r="H16" i="4"/>
  <c r="F50" i="4"/>
  <c r="F22" i="4"/>
  <c r="BW36" i="4" s="1"/>
  <c r="F23" i="4"/>
  <c r="N34" i="4"/>
  <c r="CF161" i="4" s="1"/>
  <c r="N36" i="4"/>
  <c r="F27" i="4"/>
  <c r="F46" i="4"/>
  <c r="CF30" i="4" s="1"/>
  <c r="F48" i="4"/>
  <c r="N47" i="4"/>
  <c r="H46" i="4"/>
  <c r="CD95" i="4" s="1"/>
  <c r="J50" i="4"/>
  <c r="F34" i="4"/>
  <c r="BT42" i="4" s="1"/>
  <c r="F35" i="4"/>
  <c r="N31" i="4"/>
  <c r="H28" i="4"/>
  <c r="H26" i="4"/>
  <c r="BT100" i="4" s="1"/>
  <c r="F43" i="4"/>
  <c r="N28" i="4"/>
  <c r="F16" i="4"/>
  <c r="F14" i="4"/>
  <c r="BZ26" i="4" s="1"/>
  <c r="H38" i="4"/>
  <c r="CB95" i="4" s="1"/>
  <c r="D19" i="4"/>
  <c r="D1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Matthias Hof</author>
  </authors>
  <commentList>
    <comment ref="D2" authorId="0" shapeId="0" xr:uid="{54BD6009-687F-4057-B86D-A4D59D6A8E66}">
      <text>
        <r>
          <rPr>
            <sz val="9"/>
            <color indexed="81"/>
            <rFont val="Tahoma"/>
            <family val="2"/>
          </rPr>
          <t>@RISK Correlation NewMatrix1
Updated: dinsdag 19 oktober 2021 14:48:15</t>
        </r>
      </text>
    </comment>
    <comment ref="D10" authorId="0" shapeId="0" xr:uid="{40272010-9048-4DCC-9DFF-3B2D60CF14C5}">
      <text>
        <r>
          <rPr>
            <sz val="9"/>
            <color indexed="81"/>
            <rFont val="Tahoma"/>
            <family val="2"/>
          </rPr>
          <t>@RISK Correlation NewMatrix2
Updated: dinsdag 19 oktober 2021 14:52:44</t>
        </r>
      </text>
    </comment>
    <comment ref="D15" authorId="0" shapeId="0" xr:uid="{C7EF72F6-53A2-4692-B2C8-E5E1CF1F2EBB}">
      <text>
        <r>
          <rPr>
            <sz val="9"/>
            <color indexed="81"/>
            <rFont val="Tahoma"/>
            <family val="2"/>
          </rPr>
          <t>@RISK Correlation NewMatrix3
Updated: woensdag 20 oktober 2021 09:36:53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  <comment ref="K77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4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0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20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2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8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7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8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8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5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4" authorId="0" shapeId="0" xr:uid="{00000000-0006-0000-0A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5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K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  <comment ref="H6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input parameters dynamic calculation, " sbTransientInput"</t>
        </r>
      </text>
    </comment>
    <comment ref="J12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  <comment ref="J62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<sst xmlns="http://schemas.openxmlformats.org/spreadsheetml/2006/main" count="10851" uniqueCount="2669">
  <si>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</si>
  <si>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</si>
  <si>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</si>
  <si>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</si>
  <si>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</si>
  <si>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</si>
  <si>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</si>
  <si>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</si>
  <si>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</si>
  <si>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</si>
  <si>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</si>
  <si>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</si>
  <si>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</si>
  <si>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</si>
  <si>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</si>
  <si>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</si>
  <si>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</si>
  <si>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</si>
  <si>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</si>
  <si>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</si>
  <si>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</si>
  <si>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</si>
  <si>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</si>
  <si>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</si>
  <si>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</si>
  <si>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</si>
  <si>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</si>
  <si>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</si>
  <si>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</si>
  <si>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</si>
  <si>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</si>
  <si>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</si>
  <si>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</si>
  <si>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</si>
  <si>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</si>
  <si>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</si>
  <si>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</si>
  <si>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</si>
  <si>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</si>
  <si>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</si>
  <si>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</si>
  <si>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</si>
  <si>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</si>
  <si>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</si>
  <si>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</si>
  <si>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</si>
  <si>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</si>
  <si>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</si>
  <si>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</si>
  <si>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</si>
  <si>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</si>
  <si>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</si>
  <si>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</si>
  <si>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</si>
  <si>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</si>
  <si>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</si>
  <si>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</si>
  <si>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</si>
  <si>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</si>
  <si>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</si>
  <si>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</si>
  <si>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</si>
  <si>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</si>
  <si>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</si>
  <si>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</si>
  <si>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</si>
  <si>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</si>
  <si>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</si>
  <si>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</si>
  <si>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</si>
  <si>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</si>
  <si>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</si>
  <si>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</si>
  <si>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</si>
  <si>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</si>
  <si>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</si>
  <si>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</si>
  <si>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</si>
  <si>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</si>
  <si>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</si>
  <si>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</si>
  <si>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</si>
  <si>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</si>
  <si>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</si>
  <si>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</si>
  <si>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</si>
  <si>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</si>
  <si>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</si>
  <si>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</si>
  <si>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</si>
  <si>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</si>
  <si>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</si>
  <si>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</si>
  <si>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</si>
  <si>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</si>
  <si>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</si>
  <si>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</si>
  <si>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</si>
  <si>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</si>
  <si>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</si>
  <si>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</si>
  <si>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</si>
  <si>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</si>
  <si>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</si>
  <si>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</si>
  <si>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</si>
  <si>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</si>
  <si>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</si>
  <si>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</si>
  <si>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</si>
  <si>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</si>
  <si>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</si>
  <si>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</si>
  <si>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</si>
  <si>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</si>
  <si>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</si>
  <si>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</si>
  <si>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</si>
  <si>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</si>
  <si>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</si>
  <si>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</si>
  <si>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</si>
  <si>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</si>
  <si>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</si>
  <si>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</si>
  <si>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</si>
  <si>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</si>
  <si>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</si>
  <si>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</si>
  <si>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</si>
  <si>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</si>
  <si>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</si>
  <si>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</si>
  <si>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</si>
  <si>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</si>
  <si>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</si>
  <si>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</si>
  <si>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</si>
  <si>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</si>
  <si>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</si>
  <si>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</si>
  <si>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</si>
  <si>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</si>
  <si>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</si>
  <si>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</si>
  <si>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</si>
  <si>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</si>
  <si>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</si>
  <si>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</si>
  <si>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</si>
  <si>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</si>
  <si>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</si>
  <si>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</si>
  <si>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</si>
  <si>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</si>
  <si>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</si>
  <si>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</si>
  <si>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</si>
  <si>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</si>
  <si>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</si>
  <si>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</si>
  <si>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</si>
  <si>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</si>
  <si>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</si>
  <si>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</si>
  <si>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</si>
  <si>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</si>
  <si>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</si>
  <si>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</si>
  <si>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</si>
  <si>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</si>
  <si>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</si>
  <si>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</si>
  <si>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</si>
  <si>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</si>
  <si>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</si>
  <si>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</si>
  <si>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</si>
  <si>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</si>
  <si>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</si>
  <si>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</si>
  <si>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</si>
  <si>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</si>
  <si>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</si>
  <si>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</si>
  <si>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</si>
  <si>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</si>
  <si>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</si>
  <si>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</si>
  <si>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</si>
  <si>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</si>
  <si>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</si>
  <si>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</si>
  <si>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</si>
  <si>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</si>
  <si>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</si>
  <si>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</si>
  <si>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</si>
  <si>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</si>
  <si>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</si>
  <si>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</si>
  <si>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</si>
  <si>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</si>
  <si>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</si>
  <si>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</si>
  <si>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</si>
  <si>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</si>
  <si>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</si>
  <si>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</si>
  <si>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</si>
  <si>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</si>
  <si>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</si>
  <si>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</si>
  <si>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</si>
  <si>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</si>
  <si>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</si>
  <si>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</si>
  <si>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</si>
  <si>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</si>
  <si>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</si>
  <si>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</si>
  <si>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</si>
  <si>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</si>
  <si>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</si>
  <si>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</si>
  <si>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</si>
  <si>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</si>
  <si>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</si>
  <si>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</si>
  <si>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</si>
  <si>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</si>
  <si>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</si>
  <si>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</si>
  <si>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</si>
  <si>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</si>
  <si>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</si>
  <si>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</si>
  <si>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</si>
  <si>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</si>
  <si>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</si>
  <si>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</si>
  <si>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</si>
  <si>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</si>
  <si>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</si>
  <si>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</si>
  <si>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</si>
  <si>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</si>
  <si>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</si>
  <si>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</si>
  <si>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</si>
  <si>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</si>
  <si>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</si>
  <si>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</si>
  <si>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</si>
  <si>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</si>
  <si>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</si>
  <si>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</si>
  <si>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</si>
  <si>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</si>
  <si>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</si>
  <si>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</si>
  <si>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</si>
  <si>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</si>
  <si>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</si>
  <si>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</si>
  <si>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</si>
  <si>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</si>
  <si>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</si>
  <si>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</si>
  <si>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</si>
  <si>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</si>
  <si>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</si>
  <si>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</si>
  <si>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</si>
  <si>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to w0R (s-1)</t>
  </si>
  <si>
    <t>to w0C (s-1)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</si>
  <si>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</si>
  <si>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</si>
  <si>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</si>
  <si>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</si>
  <si>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</si>
  <si>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</si>
  <si>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</si>
  <si>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</si>
  <si>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</si>
  <si>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</si>
  <si>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</si>
  <si>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</si>
  <si>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</si>
  <si>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</si>
  <si>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</si>
  <si>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</si>
  <si>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</si>
  <si>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</si>
  <si>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</si>
  <si>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</si>
  <si>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</si>
  <si>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</si>
  <si>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</si>
  <si>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</si>
  <si>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</si>
  <si>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</si>
  <si>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</si>
  <si>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</si>
  <si>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</si>
  <si>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</si>
  <si>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</si>
  <si>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</si>
  <si>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</si>
  <si>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</si>
  <si>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</si>
  <si>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</si>
  <si>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</si>
  <si>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</si>
  <si>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</si>
  <si>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</si>
  <si>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</si>
  <si>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</si>
  <si>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</si>
  <si>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</si>
  <si>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</si>
  <si>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</si>
  <si>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</si>
  <si>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</si>
  <si>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</si>
  <si>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</si>
  <si>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</si>
  <si>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</si>
  <si>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</si>
  <si>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</si>
  <si>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</si>
  <si>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</si>
  <si>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</si>
  <si>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</si>
  <si>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</si>
  <si>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</si>
  <si>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</si>
  <si>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</si>
  <si>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</si>
  <si>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</si>
  <si>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</si>
  <si>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</si>
  <si>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</si>
  <si>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</si>
  <si>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</si>
  <si>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</si>
  <si>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</si>
  <si>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</si>
  <si>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</si>
  <si>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to w0C</t>
  </si>
  <si>
    <t>to w0R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</si>
  <si>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</si>
  <si>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</si>
  <si>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</si>
  <si>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</si>
  <si>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</si>
  <si>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</si>
  <si>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</si>
  <si>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</si>
  <si>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</si>
  <si>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</si>
  <si>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</si>
  <si>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</si>
  <si>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</si>
  <si>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</si>
  <si>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</si>
  <si>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</si>
  <si>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</si>
  <si>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</si>
  <si>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</si>
  <si>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</si>
  <si>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</si>
  <si>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</si>
  <si>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</si>
  <si>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</si>
  <si>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</si>
  <si>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</si>
  <si>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</si>
  <si>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</si>
  <si>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</si>
  <si>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</si>
  <si>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</si>
  <si>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</si>
  <si>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</si>
  <si>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</si>
  <si>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</si>
  <si>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</si>
  <si>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</si>
  <si>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</si>
  <si>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</si>
  <si>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</si>
  <si>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</si>
  <si>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</si>
  <si>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</si>
  <si>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</si>
  <si>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</si>
  <si>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</si>
  <si>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</si>
  <si>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</si>
  <si>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</si>
  <si>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</si>
  <si>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</si>
  <si>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</si>
  <si>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</si>
  <si>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</si>
  <si>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</si>
  <si>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</si>
  <si>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</si>
  <si>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</si>
  <si>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</si>
  <si>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</si>
  <si>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</si>
  <si>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</si>
  <si>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</si>
  <si>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</si>
  <si>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</si>
  <si>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</si>
  <si>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</si>
  <si>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</si>
  <si>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</si>
  <si>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</si>
  <si>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</si>
  <si>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</si>
  <si>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</si>
  <si>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</si>
  <si>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</si>
  <si>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</si>
  <si>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</si>
  <si>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</si>
  <si>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</si>
  <si>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</si>
  <si>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</si>
  <si>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</si>
  <si>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</si>
  <si>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</si>
  <si>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Time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</si>
  <si>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</si>
  <si>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</si>
  <si>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</si>
  <si>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</si>
  <si>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</si>
  <si>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</si>
  <si>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</si>
  <si>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</si>
  <si>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</si>
  <si>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</si>
  <si>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</si>
  <si>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</si>
  <si>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</si>
  <si>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</si>
  <si>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</si>
  <si>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</si>
  <si>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</si>
  <si>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</si>
  <si>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</si>
  <si>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</si>
  <si>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</si>
  <si>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</si>
  <si>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</si>
  <si>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</si>
  <si>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</si>
  <si>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</si>
  <si>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</si>
  <si>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</si>
  <si>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</si>
  <si>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</si>
  <si>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</si>
  <si>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</si>
  <si>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</si>
  <si>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</si>
  <si>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</si>
  <si>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</si>
  <si>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</si>
  <si>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</si>
  <si>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</si>
  <si>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</si>
  <si>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</si>
  <si>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</si>
  <si>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</si>
  <si>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</si>
  <si>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</si>
  <si>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</si>
  <si>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</si>
  <si>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</si>
  <si>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</si>
  <si>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</si>
  <si>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</si>
  <si>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</si>
  <si>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</si>
  <si>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</si>
  <si>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</si>
  <si>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</si>
  <si>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</si>
  <si>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</si>
  <si>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</si>
  <si>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[yr]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</si>
  <si>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</si>
  <si>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</si>
  <si>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</si>
  <si>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</si>
  <si>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</si>
  <si>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</si>
  <si>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</si>
  <si>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</si>
  <si>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</si>
  <si>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</si>
  <si>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</si>
  <si>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</si>
  <si>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</si>
  <si>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</si>
  <si>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</si>
  <si>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</si>
  <si>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</si>
  <si>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</si>
  <si>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</si>
  <si>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</si>
  <si>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</si>
  <si>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</si>
  <si>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</si>
  <si>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</si>
  <si>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</si>
  <si>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</si>
  <si>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</si>
  <si>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</si>
  <si>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</si>
  <si>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</si>
  <si>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</si>
  <si>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</si>
  <si>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</si>
  <si>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</si>
  <si>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</si>
  <si>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</si>
  <si>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</si>
  <si>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</si>
  <si>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</si>
  <si>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</si>
  <si>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</si>
  <si>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</si>
  <si>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</si>
  <si>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</si>
  <si>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</si>
  <si>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</si>
  <si>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</si>
  <si>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</si>
  <si>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</si>
  <si>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</si>
  <si>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</si>
  <si>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</si>
  <si>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</si>
  <si>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</si>
  <si>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</si>
  <si>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</si>
  <si>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</si>
  <si>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</si>
  <si>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</si>
  <si>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</si>
  <si>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</si>
  <si>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</si>
  <si>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</si>
  <si>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</si>
  <si>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</si>
  <si>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</si>
  <si>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</si>
  <si>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</si>
  <si>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</si>
  <si>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</si>
  <si>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</si>
  <si>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</si>
  <si>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</si>
  <si>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</si>
  <si>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</si>
  <si>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</si>
  <si>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</si>
  <si>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</si>
  <si>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RESUSPENSION rate from fresh water sediment</t>
  </si>
  <si>
    <t>RESUSPENSION rate from marine sediment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</si>
  <si>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</si>
  <si>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</si>
  <si>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</si>
  <si>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</si>
  <si>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</si>
  <si>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</si>
  <si>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</si>
  <si>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</si>
  <si>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</si>
  <si>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</si>
  <si>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</si>
  <si>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</si>
  <si>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</si>
  <si>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</si>
  <si>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</si>
  <si>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</si>
  <si>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</si>
  <si>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</si>
  <si>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</si>
  <si>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</si>
  <si>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</si>
  <si>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</si>
  <si>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</si>
  <si>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</si>
  <si>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</si>
  <si>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</si>
  <si>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</si>
  <si>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</si>
  <si>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</si>
  <si>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</si>
  <si>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</si>
  <si>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</si>
  <si>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</si>
  <si>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</si>
  <si>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</si>
  <si>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</si>
  <si>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</si>
  <si>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</si>
  <si>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</si>
  <si>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</si>
  <si>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</si>
  <si>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</si>
  <si>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</si>
  <si>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</si>
  <si>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</si>
  <si>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</si>
  <si>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</si>
  <si>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</si>
  <si>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</si>
  <si>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</si>
  <si>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</si>
  <si>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</si>
  <si>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</si>
  <si>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</si>
  <si>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</si>
  <si>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</si>
  <si>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</si>
  <si>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</si>
  <si>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</si>
  <si>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</si>
  <si>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</si>
  <si>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</si>
  <si>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</si>
  <si>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</si>
  <si>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</si>
  <si>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</si>
  <si>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</si>
  <si>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</si>
  <si>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</si>
  <si>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</si>
  <si>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</si>
  <si>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</si>
  <si>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</si>
  <si>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</si>
  <si>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</si>
  <si>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</si>
  <si>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</si>
  <si>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</si>
  <si>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</si>
  <si>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</si>
  <si>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</si>
  <si>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</si>
  <si>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</si>
  <si>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</si>
  <si>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</si>
  <si>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</si>
  <si>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</si>
  <si>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</si>
  <si>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</si>
  <si>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</si>
  <si>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</si>
  <si>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</si>
  <si>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</si>
  <si>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</si>
  <si>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</si>
  <si>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</si>
  <si>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</si>
  <si>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</si>
  <si>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</si>
  <si>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</si>
  <si>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</si>
  <si>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</si>
  <si>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</si>
  <si>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</si>
  <si>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</si>
  <si>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</si>
  <si>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</si>
  <si>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</si>
  <si>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</si>
  <si>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</si>
  <si>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</si>
  <si>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</si>
  <si>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</si>
  <si>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</si>
  <si>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</si>
  <si>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</si>
  <si>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</si>
  <si>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</si>
  <si>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</si>
  <si>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</si>
  <si>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</si>
  <si>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</si>
  <si>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</si>
  <si>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</si>
  <si>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</si>
  <si>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</si>
  <si>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</si>
  <si>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</si>
  <si>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</si>
  <si>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</si>
  <si>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</si>
  <si>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</si>
  <si>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</si>
  <si>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</si>
  <si>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</si>
  <si>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</si>
  <si>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</si>
  <si>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</si>
  <si>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</si>
  <si>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</si>
  <si>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</si>
  <si>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</si>
  <si>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</si>
  <si>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</si>
  <si>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</si>
  <si>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</si>
  <si>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</si>
  <si>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</si>
  <si>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</si>
  <si>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</si>
  <si>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</si>
  <si>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</si>
  <si>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</si>
  <si>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</si>
  <si>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</si>
  <si>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</si>
  <si>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</si>
  <si>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</si>
  <si>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</si>
  <si>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</si>
  <si>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</si>
  <si>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</si>
  <si>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</si>
  <si>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</si>
  <si>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</si>
  <si>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</si>
  <si>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</si>
  <si>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</si>
  <si>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</si>
  <si>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</si>
  <si>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</si>
  <si>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</si>
  <si>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</si>
  <si>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</si>
  <si>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</si>
  <si>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</si>
  <si>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</si>
  <si>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</si>
  <si>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</si>
  <si>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</si>
  <si>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</si>
  <si>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</si>
  <si>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</si>
  <si>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</si>
  <si>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</si>
  <si>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</si>
  <si>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</si>
  <si>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</si>
  <si>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</si>
  <si>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</si>
  <si>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</si>
  <si>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</si>
  <si>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</si>
  <si>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</si>
  <si>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</si>
  <si>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</si>
  <si>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</si>
  <si>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</si>
  <si>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</si>
  <si>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</si>
  <si>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</si>
  <si>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</si>
  <si>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</si>
  <si>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</si>
  <si>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</si>
  <si>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</si>
  <si>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</si>
  <si>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</si>
  <si>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</si>
  <si>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</si>
  <si>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</si>
  <si>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</si>
  <si>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</si>
  <si>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</si>
  <si>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</si>
  <si>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</si>
  <si>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</si>
  <si>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</si>
  <si>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</si>
  <si>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</si>
  <si>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</si>
  <si>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</si>
  <si>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</si>
  <si>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</si>
  <si>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</si>
  <si>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</si>
  <si>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</si>
  <si>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</si>
  <si>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</si>
  <si>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</si>
  <si>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</si>
  <si>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</si>
  <si>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</si>
  <si>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</si>
  <si>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</si>
  <si>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</si>
  <si>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</si>
  <si>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</si>
  <si>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</si>
  <si>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</si>
  <si>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</si>
  <si>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</si>
  <si>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</si>
  <si>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</si>
  <si>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</si>
  <si>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</si>
  <si>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</si>
  <si>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</si>
  <si>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</si>
  <si>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</si>
  <si>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</si>
  <si>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</si>
  <si>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</si>
  <si>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</si>
  <si>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</si>
  <si>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</si>
  <si>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</si>
  <si>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</si>
  <si>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</si>
  <si>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</si>
  <si>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</si>
  <si>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</si>
  <si>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</si>
  <si>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</si>
  <si>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</si>
  <si>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</si>
  <si>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</si>
  <si>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AREAFRAC.s3C</t>
  </si>
  <si>
    <t>KDEG.w1R</t>
  </si>
  <si>
    <t>KDEG.w2R</t>
  </si>
  <si>
    <t>D. van de Meent. SimpleBox, a generic multimedia fate evaluation model.  RIVM report no. 672720 001 (1993)</t>
  </si>
  <si>
    <t>VOLUME FRACTION of precipitation on other soil running off to surface water</t>
  </si>
  <si>
    <t>Total AMOUNTS (mol) in compartments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</si>
  <si>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</si>
  <si>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</si>
  <si>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</si>
  <si>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</si>
  <si>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</si>
  <si>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</si>
  <si>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</si>
  <si>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</si>
  <si>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</si>
  <si>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</si>
  <si>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</si>
  <si>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</si>
  <si>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</si>
  <si>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</si>
  <si>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</si>
  <si>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</si>
  <si>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</si>
  <si>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</si>
  <si>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</si>
  <si>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</si>
  <si>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</si>
  <si>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</si>
  <si>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</si>
  <si>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</si>
  <si>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</si>
  <si>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</si>
  <si>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</si>
  <si>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</si>
  <si>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</si>
  <si>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</si>
  <si>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</si>
  <si>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</si>
  <si>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</si>
  <si>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</si>
  <si>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</si>
  <si>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</si>
  <si>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</si>
  <si>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</si>
  <si>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</si>
  <si>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</si>
  <si>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</si>
  <si>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</si>
  <si>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</si>
  <si>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</si>
  <si>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</si>
  <si>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</si>
  <si>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</si>
  <si>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</si>
  <si>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</si>
  <si>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</si>
  <si>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</si>
  <si>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</si>
  <si>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</si>
  <si>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</si>
  <si>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</si>
  <si>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</si>
  <si>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</si>
  <si>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</si>
  <si>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</si>
  <si>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</si>
  <si>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</si>
  <si>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</si>
  <si>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</si>
  <si>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</si>
  <si>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</si>
  <si>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</si>
  <si>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</si>
  <si>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</si>
  <si>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</si>
  <si>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</si>
  <si>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</si>
  <si>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</si>
  <si>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</si>
  <si>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</si>
  <si>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</si>
  <si>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</si>
  <si>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</si>
  <si>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</si>
  <si>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</si>
  <si>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</si>
  <si>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</si>
  <si>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</si>
  <si>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</si>
  <si>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</si>
  <si>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</si>
  <si>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</si>
  <si>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</si>
  <si>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</si>
  <si>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</si>
  <si>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</si>
  <si>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</si>
  <si>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</si>
  <si>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</si>
  <si>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</si>
  <si>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</si>
  <si>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</si>
  <si>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</si>
  <si>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</si>
  <si>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</si>
  <si>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</si>
  <si>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</si>
  <si>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</si>
  <si>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</si>
  <si>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</si>
  <si>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</si>
  <si>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</si>
  <si>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</si>
  <si>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</si>
  <si>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</si>
  <si>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</si>
  <si>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</si>
  <si>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</si>
  <si>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</si>
  <si>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</si>
  <si>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</si>
  <si>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</si>
  <si>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</si>
  <si>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</si>
  <si>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</si>
  <si>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</si>
  <si>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</si>
  <si>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</si>
  <si>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</si>
  <si>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</si>
  <si>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</si>
  <si>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</si>
  <si>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</si>
  <si>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</si>
  <si>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</si>
  <si>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</si>
  <si>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</si>
  <si>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</si>
  <si>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</si>
  <si>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</si>
  <si>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</si>
  <si>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</si>
  <si>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</si>
  <si>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</si>
  <si>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</si>
  <si>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</si>
  <si>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</si>
  <si>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</si>
  <si>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</si>
  <si>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</si>
  <si>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</si>
  <si>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</si>
  <si>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</si>
  <si>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</si>
  <si>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</si>
  <si>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</si>
  <si>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</si>
  <si>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</si>
  <si>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</si>
  <si>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</si>
  <si>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</si>
  <si>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</si>
  <si>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</si>
  <si>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</si>
  <si>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</si>
  <si>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</si>
  <si>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</si>
  <si>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</si>
  <si>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</si>
  <si>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</si>
  <si>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</si>
  <si>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</si>
  <si>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</si>
  <si>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</si>
  <si>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</si>
  <si>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AMOUNTS in compartments as FRACTION (%)of STYEADY STATE</t>
  </si>
  <si>
    <t>to aR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</si>
  <si>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</si>
  <si>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</si>
  <si>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</si>
  <si>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</si>
  <si>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</si>
  <si>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</si>
  <si>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</si>
  <si>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</si>
  <si>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</si>
  <si>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</si>
  <si>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</si>
  <si>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</si>
  <si>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</si>
  <si>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</si>
  <si>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</si>
  <si>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</si>
  <si>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</si>
  <si>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</si>
  <si>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</si>
  <si>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</si>
  <si>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</si>
  <si>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</si>
  <si>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</si>
  <si>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</si>
  <si>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</si>
  <si>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</si>
  <si>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</si>
  <si>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</si>
  <si>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</si>
  <si>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</si>
  <si>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</si>
  <si>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</si>
  <si>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</si>
  <si>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</si>
  <si>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</si>
  <si>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</si>
  <si>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</si>
  <si>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</si>
  <si>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</si>
  <si>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</si>
  <si>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</si>
  <si>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</si>
  <si>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</si>
  <si>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</si>
  <si>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</si>
  <si>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</si>
  <si>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</si>
  <si>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</si>
  <si>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</si>
  <si>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</si>
  <si>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</si>
  <si>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</si>
  <si>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</si>
  <si>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</si>
  <si>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</si>
  <si>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</si>
  <si>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</si>
  <si>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</si>
  <si>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</si>
  <si>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</si>
  <si>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</si>
  <si>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</si>
  <si>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</si>
  <si>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</si>
  <si>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</si>
  <si>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</si>
  <si>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</si>
  <si>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</si>
  <si>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</si>
  <si>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</si>
  <si>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</si>
  <si>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</si>
  <si>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</si>
  <si>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</si>
  <si>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</si>
  <si>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</si>
  <si>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</si>
  <si>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</si>
  <si>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</si>
  <si>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</si>
  <si>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</si>
  <si>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</si>
  <si>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</si>
  <si>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</si>
  <si>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</si>
  <si>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</si>
  <si>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</si>
  <si>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</si>
  <si>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</si>
  <si>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</si>
  <si>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</si>
  <si>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</si>
  <si>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</si>
  <si>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</si>
  <si>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</si>
  <si>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</si>
  <si>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</si>
  <si>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</si>
  <si>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</si>
  <si>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</si>
  <si>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</si>
  <si>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</si>
  <si>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</si>
  <si>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</si>
  <si>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</si>
  <si>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</si>
  <si>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</si>
  <si>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</si>
  <si>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</si>
  <si>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</si>
  <si>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</si>
  <si>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</si>
  <si>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</si>
  <si>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</si>
  <si>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</si>
  <si>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</si>
  <si>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</si>
  <si>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</si>
  <si>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</si>
  <si>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</si>
  <si>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</si>
  <si>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</si>
  <si>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</si>
  <si>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</si>
  <si>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</si>
  <si>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</si>
  <si>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</si>
  <si>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</si>
  <si>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</si>
  <si>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</si>
  <si>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</si>
  <si>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</si>
  <si>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</si>
  <si>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</si>
  <si>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</si>
  <si>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</si>
  <si>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</si>
  <si>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</si>
  <si>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</si>
  <si>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</si>
  <si>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</si>
  <si>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</si>
  <si>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</si>
  <si>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</si>
  <si>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</si>
  <si>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</si>
  <si>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</si>
  <si>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</si>
  <si>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</si>
  <si>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</si>
  <si>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</si>
  <si>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</si>
  <si>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</si>
  <si>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</si>
  <si>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</si>
  <si>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</si>
  <si>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</si>
  <si>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</si>
  <si>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</si>
  <si>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</si>
  <si>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</si>
  <si>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</si>
  <si>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</si>
  <si>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</si>
  <si>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</si>
  <si>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</si>
  <si>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</si>
  <si>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</si>
  <si>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</si>
  <si>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</si>
  <si>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</si>
  <si>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</si>
  <si>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</si>
  <si>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</si>
  <si>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</si>
  <si>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</si>
  <si>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</si>
  <si>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</si>
  <si>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</si>
  <si>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</si>
  <si>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</si>
  <si>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</si>
  <si>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Default SimpleBox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</si>
  <si>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</si>
  <si>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</si>
  <si>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</si>
  <si>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</si>
  <si>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</si>
  <si>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</si>
  <si>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SimpleBox version 3.31</t>
  </si>
  <si>
    <t>ARCHIVE of PREVIOUSLY STUDIED CASES</t>
  </si>
  <si>
    <t>BURIALflow.sd1C</t>
  </si>
  <si>
    <t>BURIALflow.sd2C</t>
  </si>
  <si>
    <t>Residence time mixed layer</t>
  </si>
  <si>
    <t>MASS FLOWS (mol.s-1)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</si>
  <si>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</si>
  <si>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</si>
  <si>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</si>
  <si>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</si>
  <si>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</si>
  <si>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</si>
  <si>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</si>
  <si>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</si>
  <si>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</si>
  <si>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</si>
  <si>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</si>
  <si>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</si>
  <si>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</si>
  <si>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</si>
  <si>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</si>
  <si>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</si>
  <si>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Degradation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</si>
  <si>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</si>
  <si>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</si>
  <si>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</si>
  <si>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</si>
  <si>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</si>
  <si>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</si>
  <si>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</si>
  <si>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</si>
  <si>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</si>
  <si>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</si>
  <si>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</si>
  <si>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</si>
  <si>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</si>
  <si>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</si>
  <si>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</si>
  <si>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</si>
  <si>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</si>
  <si>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</si>
  <si>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</si>
  <si>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</si>
  <si>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</si>
  <si>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</si>
  <si>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</si>
  <si>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</si>
  <si>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</si>
  <si>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</si>
  <si>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</si>
  <si>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</si>
  <si>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</si>
  <si>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</si>
  <si>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</si>
  <si>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</si>
  <si>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</si>
  <si>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</si>
  <si>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</si>
  <si>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</si>
  <si>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</si>
  <si>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</si>
  <si>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</si>
  <si>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</si>
  <si>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</si>
  <si>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</si>
  <si>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</si>
  <si>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</si>
  <si>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</si>
  <si>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</si>
  <si>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</si>
  <si>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</si>
  <si>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</si>
  <si>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</si>
  <si>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</si>
  <si>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</si>
  <si>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</si>
  <si>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</si>
  <si>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</si>
  <si>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</si>
  <si>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</si>
  <si>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</si>
  <si>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</si>
  <si>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</si>
  <si>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</si>
  <si>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</si>
  <si>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</si>
  <si>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</si>
  <si>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</si>
  <si>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</si>
  <si>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</si>
  <si>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</si>
  <si>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</si>
  <si>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</si>
  <si>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</si>
  <si>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</si>
  <si>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</si>
  <si>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</si>
  <si>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</si>
  <si>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</si>
  <si>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</si>
  <si>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</si>
  <si>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</si>
  <si>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</si>
  <si>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</si>
  <si>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</si>
  <si>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</si>
  <si>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</si>
  <si>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</si>
  <si>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</si>
  <si>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</si>
  <si>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</si>
  <si>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</si>
  <si>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</si>
  <si>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</si>
  <si>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</si>
  <si>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</si>
  <si>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</si>
  <si>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</si>
  <si>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</si>
  <si>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</si>
  <si>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</si>
  <si>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</si>
  <si>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</si>
  <si>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</si>
  <si>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</si>
  <si>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</si>
  <si>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</si>
  <si>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</si>
  <si>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</si>
  <si>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</si>
  <si>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</si>
  <si>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</si>
  <si>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</si>
  <si>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</si>
  <si>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</si>
  <si>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</si>
  <si>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</si>
  <si>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</si>
  <si>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</si>
  <si>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</si>
  <si>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</si>
  <si>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</si>
  <si>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</si>
  <si>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</si>
  <si>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</si>
  <si>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</si>
  <si>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</si>
  <si>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</si>
  <si>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</si>
  <si>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</si>
  <si>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</si>
  <si>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</si>
  <si>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</si>
  <si>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</si>
  <si>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</si>
  <si>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</si>
  <si>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</si>
  <si>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</si>
  <si>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</si>
  <si>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</si>
  <si>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</si>
  <si>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</si>
  <si>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</si>
  <si>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</si>
  <si>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</si>
  <si>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</si>
  <si>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</si>
  <si>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</si>
  <si>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</si>
  <si>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</si>
  <si>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</si>
  <si>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</si>
  <si>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</si>
  <si>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</si>
  <si>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</si>
  <si>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</si>
  <si>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</si>
  <si>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</si>
  <si>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</si>
  <si>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</si>
  <si>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</si>
  <si>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</si>
  <si>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</si>
  <si>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</si>
  <si>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</si>
  <si>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</si>
  <si>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</si>
  <si>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</si>
  <si>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</si>
  <si>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</si>
  <si>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</si>
  <si>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</si>
  <si>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</si>
  <si>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</si>
  <si>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</si>
  <si>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</si>
  <si>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</si>
  <si>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</si>
  <si>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</si>
  <si>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</si>
  <si>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</si>
  <si>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</si>
  <si>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</si>
  <si>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</si>
  <si>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</si>
  <si>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</si>
  <si>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</si>
  <si>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</si>
  <si>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</si>
  <si>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</si>
  <si>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</si>
  <si>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</si>
  <si>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</si>
  <si>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</si>
  <si>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</si>
  <si>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</si>
  <si>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</si>
  <si>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</si>
  <si>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</si>
  <si>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</si>
  <si>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</si>
  <si>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</si>
  <si>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</si>
  <si>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</si>
  <si>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</si>
  <si>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</si>
  <si>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</si>
  <si>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</si>
  <si>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</si>
  <si>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</si>
  <si>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</si>
  <si>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</si>
  <si>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</si>
  <si>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</si>
  <si>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</si>
  <si>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</si>
  <si>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</si>
  <si>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</si>
  <si>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</si>
  <si>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</si>
  <si>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</si>
  <si>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</si>
  <si>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</si>
  <si>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</si>
  <si>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</si>
  <si>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</si>
  <si>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</si>
  <si>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</si>
  <si>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to aR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</si>
  <si>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</si>
  <si>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</si>
  <si>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</si>
  <si>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</si>
  <si>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</si>
  <si>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</si>
  <si>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</si>
  <si>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</si>
  <si>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</si>
  <si>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</si>
  <si>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</si>
  <si>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</si>
  <si>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</si>
  <si>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</si>
  <si>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</si>
  <si>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</si>
  <si>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</si>
  <si>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</si>
  <si>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</si>
  <si>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</si>
  <si>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</si>
  <si>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</si>
  <si>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</si>
  <si>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</si>
  <si>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</si>
  <si>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</si>
  <si>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</si>
  <si>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</si>
  <si>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</si>
  <si>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</si>
  <si>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MODEL MATRIX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</si>
  <si>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</si>
  <si>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</si>
  <si>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</si>
  <si>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</si>
  <si>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</si>
  <si>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</si>
  <si>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</si>
  <si>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</si>
  <si>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</si>
  <si>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</si>
  <si>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</si>
  <si>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</si>
  <si>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</si>
  <si>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</si>
  <si>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</si>
  <si>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</si>
  <si>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</si>
  <si>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</si>
  <si>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</si>
  <si>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</si>
  <si>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</si>
  <si>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</si>
  <si>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</si>
  <si>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</si>
  <si>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</si>
  <si>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</si>
  <si>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</si>
  <si>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</si>
  <si>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</si>
  <si>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</si>
  <si>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</si>
  <si>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</si>
  <si>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</si>
  <si>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</si>
  <si>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</si>
  <si>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</si>
  <si>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</si>
  <si>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</si>
  <si>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</si>
  <si>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</si>
  <si>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</si>
  <si>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</si>
  <si>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</si>
  <si>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</si>
  <si>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</si>
  <si>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</si>
  <si>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</si>
  <si>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</si>
  <si>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</si>
  <si>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</si>
  <si>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</si>
  <si>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</si>
  <si>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</si>
  <si>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</si>
  <si>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</si>
  <si>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</si>
  <si>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</si>
  <si>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</si>
  <si>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</si>
  <si>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</si>
  <si>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</si>
  <si>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</si>
  <si>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</si>
  <si>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</si>
  <si>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</si>
  <si>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</si>
  <si>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</si>
  <si>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</si>
  <si>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</si>
  <si>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</si>
  <si>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EROSION.s3C</t>
  </si>
  <si>
    <t>Ksw</t>
  </si>
  <si>
    <t>RHOaers</t>
  </si>
  <si>
    <t>Dry density of aerosol solids</t>
  </si>
  <si>
    <t>CORGaers</t>
  </si>
  <si>
    <t>Sum</t>
  </si>
  <si>
    <t>Net export</t>
  </si>
  <si>
    <t>Leaching</t>
  </si>
  <si>
    <t>Burial</t>
  </si>
  <si>
    <t>Wet and dry deposition</t>
  </si>
  <si>
    <t>Net gas absorption</t>
  </si>
  <si>
    <t>Run off</t>
  </si>
  <si>
    <t>Sedimentation</t>
  </si>
  <si>
    <t>Adsorption</t>
  </si>
  <si>
    <t>plant death &amp; litter fall</t>
  </si>
  <si>
    <t>transpiration flux</t>
  </si>
  <si>
    <t>median substance</t>
  </si>
  <si>
    <t>SimpleBox version 3.9</t>
  </si>
  <si>
    <t>Table 2: Steady-state mass flows (ton.yr-1)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</si>
  <si>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</si>
  <si>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</si>
  <si>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</si>
  <si>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</si>
  <si>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</si>
  <si>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</si>
  <si>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</si>
  <si>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</si>
  <si>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</si>
  <si>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</si>
  <si>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</si>
  <si>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</si>
  <si>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</si>
  <si>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</si>
  <si>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</si>
  <si>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</si>
  <si>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</si>
  <si>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</si>
  <si>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</si>
  <si>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</si>
  <si>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</si>
  <si>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</si>
  <si>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</si>
  <si>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</si>
  <si>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</si>
  <si>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</si>
  <si>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</si>
  <si>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</si>
  <si>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</si>
  <si>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</si>
  <si>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</si>
  <si>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</si>
  <si>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</si>
  <si>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</si>
  <si>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</si>
  <si>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</si>
  <si>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</si>
  <si>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</si>
  <si>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t>[mol]</t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</si>
  <si>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</si>
  <si>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</si>
  <si>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</si>
  <si>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</si>
  <si>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</si>
  <si>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</si>
  <si>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</si>
  <si>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</si>
  <si>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</si>
  <si>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</si>
  <si>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</si>
  <si>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</si>
  <si>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</si>
  <si>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</si>
  <si>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</si>
  <si>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</si>
  <si>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</si>
  <si>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</si>
  <si>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</si>
  <si>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</si>
  <si>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</si>
  <si>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</si>
  <si>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</si>
  <si>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</si>
  <si>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</si>
  <si>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</si>
  <si>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</si>
  <si>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</si>
  <si>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</si>
  <si>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</si>
  <si>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</si>
  <si>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</si>
  <si>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</si>
  <si>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</si>
  <si>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</si>
  <si>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</si>
  <si>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</si>
  <si>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</si>
  <si>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</si>
  <si>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</si>
  <si>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</si>
  <si>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</si>
  <si>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</si>
  <si>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</si>
  <si>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</si>
  <si>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</si>
  <si>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</si>
  <si>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</si>
  <si>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</si>
  <si>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</si>
  <si>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</si>
  <si>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</si>
  <si>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</si>
  <si>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</si>
  <si>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</si>
  <si>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</si>
  <si>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</si>
  <si>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</si>
  <si>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</si>
  <si>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</si>
  <si>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</si>
  <si>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</si>
  <si>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</si>
  <si>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</si>
  <si>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</si>
  <si>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</si>
  <si>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</si>
  <si>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</si>
  <si>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</si>
  <si>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</si>
  <si>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</si>
  <si>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</si>
  <si>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</si>
  <si>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</si>
  <si>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</si>
  <si>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</si>
  <si>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mol.s-2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</si>
  <si>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</si>
  <si>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</si>
  <si>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</si>
  <si>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</si>
  <si>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</si>
  <si>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</si>
  <si>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</si>
  <si>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</si>
  <si>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</si>
  <si>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</si>
  <si>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</si>
  <si>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</si>
  <si>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</si>
  <si>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</si>
  <si>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</si>
  <si>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</si>
  <si>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</si>
  <si>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</si>
  <si>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L.J. Brandes et al. SimpleBox 2.0: a nested multimedia fate model for evaluating the environmental fate of chemicals.  RIVM report 719101 029 (1996)</t>
  </si>
  <si>
    <t>External release 4.0, as described by Hollander et al. (2014)</t>
  </si>
  <si>
    <t>ScaleFactor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</si>
  <si>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</si>
  <si>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</si>
  <si>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</si>
  <si>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</si>
  <si>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</si>
  <si>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</si>
  <si>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</si>
  <si>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</si>
  <si>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</si>
  <si>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</si>
  <si>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</si>
  <si>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</si>
  <si>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</si>
  <si>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</si>
  <si>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</si>
  <si>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</si>
  <si>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</si>
  <si>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</si>
  <si>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</si>
  <si>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</si>
  <si>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</si>
  <si>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</si>
  <si>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</si>
  <si>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</si>
  <si>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</si>
  <si>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</si>
  <si>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</si>
  <si>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</si>
  <si>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</si>
  <si>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</si>
  <si>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</si>
  <si>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</si>
  <si>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</si>
  <si>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</si>
  <si>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</si>
  <si>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</si>
  <si>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</si>
  <si>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</si>
  <si>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</si>
  <si>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</si>
  <si>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</si>
  <si>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</si>
  <si>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</si>
  <si>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</si>
  <si>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</si>
  <si>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</si>
  <si>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</si>
  <si>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</si>
  <si>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</si>
  <si>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</si>
  <si>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</si>
  <si>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</si>
  <si>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</si>
  <si>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</si>
  <si>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</si>
  <si>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A. Hollander et al. SimpleBox 4.0: improving the model while keeping it simple. Environmental Modeling &amp; Software (2014)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</si>
  <si>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</si>
  <si>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</si>
  <si>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</si>
  <si>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</si>
  <si>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</si>
  <si>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</si>
  <si>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</si>
  <si>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</si>
  <si>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</si>
  <si>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</si>
  <si>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</si>
  <si>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</si>
  <si>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</si>
  <si>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</si>
  <si>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</si>
  <si>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</si>
  <si>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</si>
  <si>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 xml:space="preserve">  SimpleBox 3.32</t>
  </si>
  <si>
    <t>SimpleBox 3.32</t>
  </si>
  <si>
    <t xml:space="preserve">  SimpleBox 4.01 case 3.32</t>
  </si>
  <si>
    <t xml:space="preserve">  case 3.32 + lake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</si>
  <si>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</si>
  <si>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</si>
  <si>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</si>
  <si>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</si>
  <si>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</si>
  <si>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</si>
  <si>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 xml:space="preserve">  case 3.32 + deep ocean</t>
  </si>
  <si>
    <t xml:space="preserve">  case 3.32 + H0vap</t>
  </si>
  <si>
    <t xml:space="preserve">  case 3.32 + soil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</si>
  <si>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</si>
  <si>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</si>
  <si>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</si>
  <si>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</si>
  <si>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</si>
  <si>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</si>
  <si>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</si>
  <si>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</si>
  <si>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</si>
  <si>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</si>
  <si>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</si>
  <si>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</si>
  <si>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</si>
  <si>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</si>
  <si>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</si>
  <si>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</si>
  <si>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</t>
    </r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</si>
  <si>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</si>
  <si>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</si>
  <si>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</si>
  <si>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</si>
  <si>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</si>
  <si>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</si>
  <si>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</si>
  <si>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</si>
  <si>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</si>
  <si>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</si>
  <si>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</si>
  <si>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</si>
  <si>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</si>
  <si>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</si>
  <si>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</si>
  <si>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</si>
  <si>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</si>
  <si>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</si>
  <si>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</si>
  <si>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</si>
  <si>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</si>
  <si>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</si>
  <si>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</si>
  <si>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</si>
  <si>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</si>
  <si>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</si>
  <si>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</si>
  <si>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 xml:space="preserve">  SimpleBox 4.0a defaults only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</si>
  <si>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</si>
  <si>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</si>
  <si>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</si>
  <si>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</si>
  <si>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</si>
  <si>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</si>
  <si>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</si>
  <si>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</si>
  <si>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</si>
  <si>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</si>
  <si>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</si>
  <si>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</si>
  <si>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</si>
  <si>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</si>
  <si>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</si>
  <si>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</si>
  <si>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</si>
  <si>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</si>
  <si>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</si>
  <si>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</si>
  <si>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</si>
  <si>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</si>
  <si>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</si>
  <si>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</si>
  <si>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</si>
  <si>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</si>
  <si>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</si>
  <si>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</si>
  <si>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</si>
  <si>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</si>
  <si>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</si>
  <si>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</si>
  <si>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</si>
  <si>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</si>
  <si>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</si>
  <si>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</si>
  <si>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</si>
  <si>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</si>
  <si>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</si>
  <si>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</si>
  <si>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</si>
  <si>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</si>
  <si>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</si>
  <si>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</si>
  <si>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</si>
  <si>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</si>
  <si>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</si>
  <si>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</si>
  <si>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</si>
  <si>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</si>
  <si>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</si>
  <si>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</si>
  <si>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</si>
  <si>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</si>
  <si>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</si>
  <si>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</si>
  <si>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</si>
  <si>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</si>
  <si>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</si>
  <si>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</si>
  <si>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</si>
  <si>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</si>
  <si>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</si>
  <si>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</si>
  <si>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</si>
  <si>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</si>
  <si>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</si>
  <si>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</si>
  <si>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</si>
  <si>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</si>
  <si>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</si>
  <si>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</si>
  <si>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</si>
  <si>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</si>
  <si>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</si>
  <si>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</si>
  <si>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</si>
  <si>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</si>
  <si>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</si>
  <si>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</si>
  <si>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</si>
  <si>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</si>
  <si>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</si>
  <si>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</si>
  <si>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</si>
  <si>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</si>
  <si>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</si>
  <si>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</si>
  <si>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</si>
  <si>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</si>
  <si>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</si>
  <si>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</si>
  <si>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</si>
  <si>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</si>
  <si>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</si>
  <si>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</si>
  <si>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</si>
  <si>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</si>
  <si>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</si>
  <si>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</si>
  <si>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</si>
  <si>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</si>
  <si>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</si>
  <si>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</si>
  <si>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</si>
  <si>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</si>
  <si>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</si>
  <si>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</si>
  <si>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</si>
  <si>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</si>
  <si>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</si>
  <si>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</si>
  <si>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</si>
  <si>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</si>
  <si>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</si>
  <si>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</si>
  <si>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</si>
  <si>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</si>
  <si>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</si>
  <si>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</si>
  <si>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</si>
  <si>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</si>
  <si>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</si>
  <si>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</si>
  <si>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</si>
  <si>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</si>
  <si>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</si>
  <si>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</si>
  <si>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</si>
  <si>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</si>
  <si>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</si>
  <si>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</si>
  <si>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</si>
  <si>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</si>
  <si>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</si>
  <si>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</si>
  <si>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</si>
  <si>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</si>
  <si>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</si>
  <si>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</si>
  <si>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</si>
  <si>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</si>
  <si>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</si>
  <si>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</si>
  <si>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</si>
  <si>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</si>
  <si>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</si>
  <si>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</si>
  <si>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</si>
  <si>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</si>
  <si>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</si>
  <si>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</si>
  <si>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</si>
  <si>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</si>
  <si>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</si>
  <si>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</si>
  <si>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</si>
  <si>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</si>
  <si>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</si>
  <si>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</si>
  <si>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</si>
  <si>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</si>
  <si>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</si>
  <si>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</si>
  <si>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</si>
  <si>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</si>
  <si>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</si>
  <si>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</si>
  <si>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</si>
  <si>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</si>
  <si>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</si>
  <si>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</si>
  <si>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 xml:space="preserve">  old (mol)</t>
  </si>
  <si>
    <t xml:space="preserve">  log(new/old)</t>
  </si>
  <si>
    <t xml:space="preserve">  case 3.32 + intercomp</t>
  </si>
  <si>
    <t>yr</t>
  </si>
  <si>
    <t>Pov</t>
  </si>
  <si>
    <t>vs 4.0</t>
  </si>
  <si>
    <t>LOCAL SCALE MODEL DEFINITION - imported from SimpleBox 3.31R, with simplebox 4 adjustments</t>
  </si>
  <si>
    <t>VOLUME.aL</t>
  </si>
  <si>
    <r>
      <t>m</t>
    </r>
    <r>
      <rPr>
        <vertAlign val="superscript"/>
        <sz val="10"/>
        <rFont val="Calibri"/>
        <family val="2"/>
        <scheme val="minor"/>
      </rPr>
      <t>3</t>
    </r>
  </si>
  <si>
    <t>VOLUME local water compartment</t>
  </si>
  <si>
    <t>VOLUME.wL</t>
  </si>
  <si>
    <t>VOLUME local soil compartment</t>
  </si>
  <si>
    <t>VOLUME.sL</t>
  </si>
  <si>
    <t>AREA local system</t>
  </si>
  <si>
    <t>SYSTEMAREA.L</t>
  </si>
  <si>
    <r>
      <t>m</t>
    </r>
    <r>
      <rPr>
        <vertAlign val="superscript"/>
        <sz val="10"/>
        <rFont val="Calibri"/>
        <family val="2"/>
        <scheme val="minor"/>
      </rPr>
      <t>2</t>
    </r>
  </si>
  <si>
    <t>Number of INHabitants local system</t>
  </si>
  <si>
    <t>INH.L</t>
  </si>
  <si>
    <t>AREA FRACTION local water</t>
  </si>
  <si>
    <t>AREAFRAC.wL</t>
  </si>
  <si>
    <t>AREA FRACTION local soil</t>
  </si>
  <si>
    <t>AREAFRAC.sL</t>
  </si>
  <si>
    <t>HEIGHT.aL</t>
  </si>
  <si>
    <t>Mixed DEPTH water compartment</t>
  </si>
  <si>
    <t>DEPTH.wL</t>
  </si>
  <si>
    <t>Effective DEPTH soil compartment</t>
  </si>
  <si>
    <t>DEPTH.sL</t>
  </si>
  <si>
    <t>FRACaers.aL</t>
  </si>
  <si>
    <t>FRACaerw.aL</t>
  </si>
  <si>
    <t>VOLUME FRACTION air local soil</t>
  </si>
  <si>
    <t>FRACa.sL</t>
  </si>
  <si>
    <t>VOLUME FRACTION water local soil</t>
  </si>
  <si>
    <t>FRACw.sL</t>
  </si>
  <si>
    <t>VOLUME FRACTION solids local soil</t>
  </si>
  <si>
    <t>FRACs.sL</t>
  </si>
  <si>
    <t>TRANSFER rate local air - regional air</t>
  </si>
  <si>
    <t>k.aL.aR</t>
  </si>
  <si>
    <t>FLOW of air from local to region</t>
  </si>
  <si>
    <t>AIRflow.aL.aR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</si>
  <si>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</si>
  <si>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RESIDENCE TIME of air over local scale</t>
  </si>
  <si>
    <t>TAU.aL</t>
  </si>
  <si>
    <t>WINDspeed.L</t>
  </si>
  <si>
    <r>
      <t>m.s</t>
    </r>
    <r>
      <rPr>
        <vertAlign val="superscript"/>
        <sz val="10"/>
        <rFont val="Calibri"/>
        <family val="2"/>
        <scheme val="minor"/>
      </rPr>
      <t>-1</t>
    </r>
  </si>
  <si>
    <t>TRANSFER rate local water - regional fresh water</t>
  </si>
  <si>
    <t>k.wL.w1R</t>
  </si>
  <si>
    <t>TRANSFER rate local water - regional seawater</t>
  </si>
  <si>
    <t>k.wL.w2R</t>
  </si>
  <si>
    <t>FLOW of local water to regional fresh water</t>
  </si>
  <si>
    <t>WATERflow.wL.w1R</t>
  </si>
  <si>
    <t>FLOW of local water to regional sea water</t>
  </si>
  <si>
    <t>WATERflow.wL.w2R</t>
  </si>
  <si>
    <t>FLOW of REGIONAL fresh water to local water</t>
  </si>
  <si>
    <t>WATERflow.w1R.wL</t>
  </si>
  <si>
    <t>RAIN input into local water</t>
  </si>
  <si>
    <t>RAINflow.aL.wL</t>
  </si>
  <si>
    <t>Water run off from local soil</t>
  </si>
  <si>
    <t>WATERrun.sL</t>
  </si>
  <si>
    <t>VOLUME FRACTION of local water running to regional fresh water</t>
  </si>
  <si>
    <t>FRAC.wL.w1R</t>
  </si>
  <si>
    <t>FRgas.aL</t>
  </si>
  <si>
    <t>FRaerw.aL</t>
  </si>
  <si>
    <t>FRaers.aL</t>
  </si>
  <si>
    <t>Kaw.L</t>
  </si>
  <si>
    <t>Liquid phase vapor pressure at local temperature</t>
  </si>
  <si>
    <t>PLT.L</t>
  </si>
  <si>
    <t>Specific aerosol SURFACE</t>
  </si>
  <si>
    <t>SURFaerosol.L</t>
  </si>
  <si>
    <t>[m2.m-3]</t>
  </si>
  <si>
    <r>
      <t>m</t>
    </r>
    <r>
      <rPr>
        <vertAlign val="superscript"/>
        <sz val="10"/>
        <color theme="0" tint="-0.34998626667073579"/>
        <rFont val="Calibri"/>
        <family val="2"/>
        <scheme val="minor"/>
      </rPr>
      <t>2.</t>
    </r>
    <r>
      <rPr>
        <sz val="10"/>
        <color theme="0" tint="-0.34998626667073579"/>
        <rFont val="Calibri"/>
        <family val="2"/>
        <scheme val="minor"/>
      </rPr>
      <t>m</t>
    </r>
    <r>
      <rPr>
        <vertAlign val="superscript"/>
        <sz val="10"/>
        <color theme="0" tint="-0.34998626667073579"/>
        <rFont val="Calibri"/>
        <family val="2"/>
        <scheme val="minor"/>
      </rPr>
      <t>-3</t>
    </r>
  </si>
  <si>
    <t>Kaerw.aL</t>
  </si>
  <si>
    <t>Kaers.aL</t>
  </si>
  <si>
    <t>FRACTION of chemical in water phase local water</t>
  </si>
  <si>
    <t>FRw.wL</t>
  </si>
  <si>
    <t>Kp.suspL</t>
  </si>
  <si>
    <r>
      <t>L.kg</t>
    </r>
    <r>
      <rPr>
        <vertAlign val="superscript"/>
        <sz val="10"/>
        <rFont val="Calibri"/>
        <family val="2"/>
        <scheme val="minor"/>
      </rPr>
      <t>-1</t>
    </r>
  </si>
  <si>
    <t>CORGsusp.L</t>
  </si>
  <si>
    <t>CONCENTRATION suspended matter in local water</t>
  </si>
  <si>
    <t>SUSP.wL</t>
  </si>
  <si>
    <r>
      <t>kg.m</t>
    </r>
    <r>
      <rPr>
        <vertAlign val="superscript"/>
        <sz val="10"/>
        <rFont val="Calibri"/>
        <family val="2"/>
        <scheme val="minor"/>
      </rPr>
      <t>-3</t>
    </r>
  </si>
  <si>
    <t>Kp.colL</t>
  </si>
  <si>
    <t>COL.wL</t>
  </si>
  <si>
    <t>Dimensionless soil/water PARTITION COEFFICIENT local soil</t>
  </si>
  <si>
    <t>Ksw.L</t>
  </si>
  <si>
    <t>FRACTION of chemical in water phase local soil</t>
  </si>
  <si>
    <t>FRw.sL</t>
  </si>
  <si>
    <t>FRACTION of chemical in solid phase local soil</t>
  </si>
  <si>
    <t>FRs.sL</t>
  </si>
  <si>
    <t>Soil/water PARTITION COEFFICIENT local soil</t>
  </si>
  <si>
    <t>Kp.sL</t>
  </si>
  <si>
    <t>Mass FRACTION organic carbon local soil</t>
  </si>
  <si>
    <t>CORG.sL</t>
  </si>
  <si>
    <t>TRANSFER rate air - local water</t>
  </si>
  <si>
    <t>k.aL.wL</t>
  </si>
  <si>
    <t>TRANSFER rate air - local soil</t>
  </si>
  <si>
    <t>k.aL.sL</t>
  </si>
  <si>
    <t>TRANSFER rate local water - air</t>
  </si>
  <si>
    <t>k.wL.aL</t>
  </si>
  <si>
    <t>TRANSFER rate local soil - air</t>
  </si>
  <si>
    <t>k.sL.aL</t>
  </si>
  <si>
    <t>DEPOSITION flow to local water</t>
  </si>
  <si>
    <t>DEPflow.aL.wL</t>
  </si>
  <si>
    <t>DEPOSITION flow to local soil</t>
  </si>
  <si>
    <t>DEPflow.aL.sL</t>
  </si>
  <si>
    <t>KDEPmean.L</t>
  </si>
  <si>
    <t>kdep.L</t>
  </si>
  <si>
    <t>Total removal rate constant from atmosphere during dry episodes</t>
  </si>
  <si>
    <t>kdry.L</t>
  </si>
  <si>
    <t>Total removal rate constant from atmosphere during wet episodes</t>
  </si>
  <si>
    <t>kwet.L</t>
  </si>
  <si>
    <t>Typical duration dry episode</t>
  </si>
  <si>
    <t>tdry.L</t>
  </si>
  <si>
    <t>Typical duration wet episode</t>
  </si>
  <si>
    <t>twet.L</t>
  </si>
  <si>
    <t>DRYDEPaerosol.L</t>
  </si>
  <si>
    <t>AerosolWashout.L</t>
  </si>
  <si>
    <t>GasWashout.L</t>
  </si>
  <si>
    <t>AEROSOLdeprate.L</t>
  </si>
  <si>
    <t>RAINrate.L</t>
  </si>
  <si>
    <t>COLLECTeff.L</t>
  </si>
  <si>
    <t>GAS ABSORPTION flow to local water</t>
  </si>
  <si>
    <t>GASABSflow.aL.wL</t>
  </si>
  <si>
    <t>VOLATILIZATION flow from local water</t>
  </si>
  <si>
    <t>VOLATflow.wL.aL</t>
  </si>
  <si>
    <t>kaw.air.aL</t>
  </si>
  <si>
    <t>kaw.water.wL</t>
  </si>
  <si>
    <t>GAS ABSORPTION flow to local soil</t>
  </si>
  <si>
    <t>GASABSflow.aL.sL</t>
  </si>
  <si>
    <t>VOLATILIZATION flow from local soil</t>
  </si>
  <si>
    <t>VOLATflow.sL.aL</t>
  </si>
  <si>
    <t>CORRvolat.sL</t>
  </si>
  <si>
    <t>kas.air.aL</t>
  </si>
  <si>
    <t>kas.soil.sL</t>
  </si>
  <si>
    <t>PENETRATION DEPTH local soil</t>
  </si>
  <si>
    <t>PENdepth.sL</t>
  </si>
  <si>
    <t>Effective ADVECTIVE TRANSPORT in local soil</t>
  </si>
  <si>
    <t>Veff.sL</t>
  </si>
  <si>
    <t>Effective DIFFUSION coefficient in local soil</t>
  </si>
  <si>
    <t>Deff.sL</t>
  </si>
  <si>
    <r>
      <t>m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</si>
  <si>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SOLID phase advection velocity local soil</t>
  </si>
  <si>
    <t>SOLIDadv.sL</t>
  </si>
  <si>
    <t>SOLID phase turbation coefficient local soil</t>
  </si>
  <si>
    <t>SOLIDdiff.sL</t>
  </si>
  <si>
    <t>k.sL.wL</t>
  </si>
  <si>
    <t>RUN OFF flow from agricultural soil</t>
  </si>
  <si>
    <t>RUNOFFflow.sL.wL</t>
  </si>
  <si>
    <t>CORRrunoff.sL</t>
  </si>
  <si>
    <t>EROSION.sL</t>
  </si>
  <si>
    <t>VOLUME FRACTION of precipitation on local soil running off to water</t>
  </si>
  <si>
    <t>FRACrun.sL</t>
  </si>
  <si>
    <t>DEPTH of drainage flow local soil</t>
  </si>
  <si>
    <t>DEPTHdrain.sL</t>
  </si>
  <si>
    <t>k.aL</t>
  </si>
  <si>
    <t>k.wL</t>
  </si>
  <si>
    <t>k.sL</t>
  </si>
  <si>
    <t>kesc.aL</t>
  </si>
  <si>
    <r>
      <t>s</t>
    </r>
    <r>
      <rPr>
        <vertAlign val="superscript"/>
        <sz val="10"/>
        <rFont val="Calibri"/>
        <family val="2"/>
        <scheme val="minor"/>
      </rPr>
      <t>-1</t>
    </r>
  </si>
  <si>
    <t>KDEG.aL</t>
  </si>
  <si>
    <t>Local OH-radical concentration</t>
  </si>
  <si>
    <t>C.OHrad.aL</t>
  </si>
  <si>
    <r>
      <t>cm</t>
    </r>
    <r>
      <rPr>
        <vertAlign val="superscript"/>
        <sz val="10"/>
        <rFont val="Calibri"/>
        <family val="2"/>
        <scheme val="minor"/>
      </rPr>
      <t>-3</t>
    </r>
  </si>
  <si>
    <t>Tempfactor.aL</t>
  </si>
  <si>
    <t>KDEG.wL</t>
  </si>
  <si>
    <t>BACT.wL</t>
  </si>
  <si>
    <r>
      <t>CFU.mL</t>
    </r>
    <r>
      <rPr>
        <vertAlign val="superscript"/>
        <sz val="10"/>
        <rFont val="Calibri"/>
        <family val="2"/>
        <scheme val="minor"/>
      </rPr>
      <t>-1</t>
    </r>
  </si>
  <si>
    <t>Tempfactor.wsdsL</t>
  </si>
  <si>
    <t>KDEG.sL</t>
  </si>
  <si>
    <t>LEACHING flow from agricultural soil</t>
  </si>
  <si>
    <t>LEACHflow.sL</t>
  </si>
  <si>
    <t>CORRleach.sl</t>
  </si>
  <si>
    <t>FRACinf.sL</t>
  </si>
  <si>
    <t>vs 4Solutions</t>
  </si>
  <si>
    <t>SOLw25</t>
  </si>
  <si>
    <t>tpa</t>
  </si>
  <si>
    <t>EUtonnage</t>
  </si>
  <si>
    <t>FRACTION released to air from prod-use category 1</t>
  </si>
  <si>
    <t>FRACTION released to surface water from prod-use category 1</t>
  </si>
  <si>
    <t>FRACTION released to soil from prod-use category 1</t>
  </si>
  <si>
    <t>FRACTION released to air from prod-use category 2</t>
  </si>
  <si>
    <t>FRACTION released to surface water from prod-use category 2</t>
  </si>
  <si>
    <t>FRACTION released to soil from prod-use category 2</t>
  </si>
  <si>
    <t>FRACTION released to air from prod-use category 3</t>
  </si>
  <si>
    <t>FRACTION released to surface water from prod-use category 3</t>
  </si>
  <si>
    <t>FRACTION released to soil from prod-use category 3</t>
  </si>
  <si>
    <t>ProdUse1</t>
  </si>
  <si>
    <t>ProdUse2</t>
  </si>
  <si>
    <t>EUexp</t>
  </si>
  <si>
    <t>EUimp</t>
  </si>
  <si>
    <t>TONNAGE applied in prod-use category 1: manufacturing</t>
  </si>
  <si>
    <t>TONNAGE applied in prod-use category 2: import/export</t>
  </si>
  <si>
    <t>TONNAGE registered EU</t>
  </si>
  <si>
    <t>TONNAGE manufactured in EU</t>
  </si>
  <si>
    <t>TONNAGE imported in EU</t>
  </si>
  <si>
    <t>TONNAGE exported from EU</t>
  </si>
  <si>
    <t>EUmanuf</t>
  </si>
  <si>
    <t>LOSS to air from Life Cycle stage I</t>
  </si>
  <si>
    <t>LOSS to water from Life Cycle stage I</t>
  </si>
  <si>
    <t>LOSS to soil from Life Cycle stage I</t>
  </si>
  <si>
    <t>Other LOSSes from Life Cycle stage I</t>
  </si>
  <si>
    <t>FRACTION lost otherwise from prod-use category 1</t>
  </si>
  <si>
    <t>LOSS to air from Life Cycle stage II</t>
  </si>
  <si>
    <t>LOSS to water from Life Cycle stage II</t>
  </si>
  <si>
    <t>LOSS to soil from Life Cycle stage II</t>
  </si>
  <si>
    <t>Other LOSSes from Life Cycle stage II</t>
  </si>
  <si>
    <t>FRACTION lost otherwise from prod-use category 2</t>
  </si>
  <si>
    <t>TONNAGE applied in prod-use category 3: formulation and distribution</t>
  </si>
  <si>
    <t>ProdUse3</t>
  </si>
  <si>
    <t>FRACTION lost otherwise from prod-use category 3</t>
  </si>
  <si>
    <t>LOSS to air from Life Cycle stage III</t>
  </si>
  <si>
    <t>LOSS to water from Life Cycle stage III</t>
  </si>
  <si>
    <t>LOSS to soil from Life Cycle stage III</t>
  </si>
  <si>
    <t>Other LOSSes from Life Cycle stage III</t>
  </si>
  <si>
    <t>TONNAGE in Life Cycle stage I</t>
  </si>
  <si>
    <t>TONNAGE in Life Cycle stage II</t>
  </si>
  <si>
    <t>TONNAGE applied in prod-use category 4 (agriculture)</t>
  </si>
  <si>
    <t>FRACTION released to air from prod-use category 4</t>
  </si>
  <si>
    <t>FRACTION released to surface water from prod-use category 4</t>
  </si>
  <si>
    <t>FRACTION released to soil from prod-use category 4</t>
  </si>
  <si>
    <t>FRACTION lost otherwise from prod-use category 4</t>
  </si>
  <si>
    <t>TONNAGE applied in prod-use category 5 (households)</t>
  </si>
  <si>
    <t>FRACTION released to air from prod-use category 5</t>
  </si>
  <si>
    <t>FRACTION released to surface water from prod-use category 5</t>
  </si>
  <si>
    <t>FRACTION released to soil from prod-use category 5</t>
  </si>
  <si>
    <t>FRACTION lost otherwise from prod-use category 5</t>
  </si>
  <si>
    <t>FRACTION released to air from prod-use category 6</t>
  </si>
  <si>
    <t>FRACTION released to surface water from prod-use category 6</t>
  </si>
  <si>
    <t>FRACTION released to soil from prod-use category 6</t>
  </si>
  <si>
    <t>FRACTION lost otherwise from prod-use category 6</t>
  </si>
  <si>
    <t>FRACTION released to air from prod-use category 7</t>
  </si>
  <si>
    <t>FRACTION released to surface water from prod-use category 7</t>
  </si>
  <si>
    <t>FRACTION released to soil from prod-use category 7</t>
  </si>
  <si>
    <t>FRACTION lost otherwise from prod-use category 7</t>
  </si>
  <si>
    <t>FRACTION released to air from prod-use category 8</t>
  </si>
  <si>
    <t>FRACTION released to surface water from prod-use category 8</t>
  </si>
  <si>
    <t>FRACTION released to soil from prod-use category 8</t>
  </si>
  <si>
    <t>FRACTION lost otherwise from prod-use category 8</t>
  </si>
  <si>
    <t>ProdUse4</t>
  </si>
  <si>
    <t>ProdUse5</t>
  </si>
  <si>
    <t>ProdUse6</t>
  </si>
  <si>
    <t>ProdUse7</t>
  </si>
  <si>
    <t>ProdUse8</t>
  </si>
  <si>
    <t>FRACTION released to air from prod-use category 9</t>
  </si>
  <si>
    <t>FRACTION released to surface water from prod-use category 9</t>
  </si>
  <si>
    <t>FRACTION released to soil from prod-use category 9</t>
  </si>
  <si>
    <t>FRACTION lost otherwise from prod-use category 9</t>
  </si>
  <si>
    <t>FRACTION released to air from prod-use category 10</t>
  </si>
  <si>
    <t>FRACTION released to soil from prod-use category 10</t>
  </si>
  <si>
    <t>FRACTION lost otherwise from prod-use category 10</t>
  </si>
  <si>
    <t>FRACTION released to air from prod-use category 11</t>
  </si>
  <si>
    <t>FRACTION released to surface water from prod-use category 11</t>
  </si>
  <si>
    <t>FRACTION released to waste water from prod-use category 11</t>
  </si>
  <si>
    <t>FRACTION released to soil from prod-use category 11</t>
  </si>
  <si>
    <t>FRACTION lost otherwise from prod-use category 11</t>
  </si>
  <si>
    <t>FRACTION released to air from prod-use category 12</t>
  </si>
  <si>
    <t>FRACTION released to surface water from prod-use category 12</t>
  </si>
  <si>
    <t>FRACTION released to waste water from prod-use category 12</t>
  </si>
  <si>
    <t>FRACTION released to soil from prod-use category 12</t>
  </si>
  <si>
    <t>FRACTION lost otherwise from prod-use category 12</t>
  </si>
  <si>
    <t>TONNAGE applied in prod-use category 6 (short-lived products)</t>
  </si>
  <si>
    <t>TONNAGE applied in prod-use category 7 (infrastructure)</t>
  </si>
  <si>
    <t>ProdUse9</t>
  </si>
  <si>
    <t>ProdUse10</t>
  </si>
  <si>
    <t>ProdUse12</t>
  </si>
  <si>
    <t>TONNAGE applied in prod-use category 8 (traffic)</t>
  </si>
  <si>
    <t>TONNAGE applied in prod-use category 9 (other local uses)</t>
  </si>
  <si>
    <t>TONNAGE applied in prod-use category 10 (other wide-dispersive uses)</t>
  </si>
  <si>
    <t>TONNAGE in Life Cycle stage III</t>
  </si>
  <si>
    <t>TONNAGE applied in prod-use category 11 (controlled recycling)</t>
  </si>
  <si>
    <t>ProdUse11</t>
  </si>
  <si>
    <t>TONNAGE applied in prod-use category 12 (waste dump)</t>
  </si>
  <si>
    <t>FRACTION released to surface water from prod-use category 10</t>
  </si>
  <si>
    <t>FRACTION emitted with STP effluent to water</t>
  </si>
  <si>
    <t>FRACTION volatilized from to air from STP</t>
  </si>
  <si>
    <t>FRACTION emitted with sludge from STP to soil</t>
  </si>
  <si>
    <t>FRACTION degraded during sewage treatment</t>
  </si>
  <si>
    <t>FrSTPair</t>
  </si>
  <si>
    <t>FrSTPwater</t>
  </si>
  <si>
    <t>FrSTPsludge</t>
  </si>
  <si>
    <t>FrSTPdeg</t>
  </si>
  <si>
    <t>LOSSair.I</t>
  </si>
  <si>
    <t>LOSSwater.I</t>
  </si>
  <si>
    <t>LOSSsoil.I</t>
  </si>
  <si>
    <t>LOSSother.I</t>
  </si>
  <si>
    <t>Tonnage.I</t>
  </si>
  <si>
    <t>FRair.1</t>
  </si>
  <si>
    <t>FRwater.1</t>
  </si>
  <si>
    <t>FRACTION to waste treatment from prod-use category 1</t>
  </si>
  <si>
    <t>FRwaste.1</t>
  </si>
  <si>
    <t>FRsoil.1</t>
  </si>
  <si>
    <t>FRother.1</t>
  </si>
  <si>
    <t>FRACTION to waste treatment from prod-use category 2</t>
  </si>
  <si>
    <t>FRACTION to waste treatment from prod-use category 3</t>
  </si>
  <si>
    <t>FRair.2</t>
  </si>
  <si>
    <t>FRwater.2</t>
  </si>
  <si>
    <t>FRsoil.2</t>
  </si>
  <si>
    <t>FRwaste.2</t>
  </si>
  <si>
    <t>FRother.2</t>
  </si>
  <si>
    <t>FRair.3</t>
  </si>
  <si>
    <t>FRwater.3</t>
  </si>
  <si>
    <t>FRsoil.3</t>
  </si>
  <si>
    <t>FRwaste.3</t>
  </si>
  <si>
    <t>FRother.3</t>
  </si>
  <si>
    <t>LOSSair.II</t>
  </si>
  <si>
    <t>LOSSwater.II</t>
  </si>
  <si>
    <t>LOSSsoil.II</t>
  </si>
  <si>
    <t>LOSSother.II</t>
  </si>
  <si>
    <t>Tonnage.II</t>
  </si>
  <si>
    <t>FRACTION to waste treatment from prod-use category 5</t>
  </si>
  <si>
    <t>FRACTION to waste treatment from prod-use category 4</t>
  </si>
  <si>
    <t>FRACTION to waste treatment from prod-use category 6</t>
  </si>
  <si>
    <t>FRACTION to waste treatment from prod-use category 7</t>
  </si>
  <si>
    <t>FRACTION to waste treatment from prod-use category 8</t>
  </si>
  <si>
    <t>FRACTION to waste treatment from prod-use category 9</t>
  </si>
  <si>
    <t>FRACTION to waste treatment from prod-use category 10</t>
  </si>
  <si>
    <t>FRair.4</t>
  </si>
  <si>
    <t>FRwater.4</t>
  </si>
  <si>
    <t>FRsoil.4</t>
  </si>
  <si>
    <t>FRwaste.4</t>
  </si>
  <si>
    <t>FRother.4</t>
  </si>
  <si>
    <t>FRair.5</t>
  </si>
  <si>
    <t>FRwater.5</t>
  </si>
  <si>
    <t>FRsoil.5</t>
  </si>
  <si>
    <t>FRwaste.5</t>
  </si>
  <si>
    <t>FRother.5</t>
  </si>
  <si>
    <t>FRair.6</t>
  </si>
  <si>
    <t>FRwater.6</t>
  </si>
  <si>
    <t>FRsoil.6</t>
  </si>
  <si>
    <t>FRwaste.6</t>
  </si>
  <si>
    <t>FRother.6</t>
  </si>
  <si>
    <t>FRair.7</t>
  </si>
  <si>
    <t>FRwater.7</t>
  </si>
  <si>
    <t>FRsoil.7</t>
  </si>
  <si>
    <t>FRwaste.7</t>
  </si>
  <si>
    <t>FRother.7</t>
  </si>
  <si>
    <t>FRair.8</t>
  </si>
  <si>
    <t>FRwater.8</t>
  </si>
  <si>
    <t>FRsoil.8</t>
  </si>
  <si>
    <t>FRwaste.8</t>
  </si>
  <si>
    <t>FRother.8</t>
  </si>
  <si>
    <t>FRair.9</t>
  </si>
  <si>
    <t>FRwater.9</t>
  </si>
  <si>
    <t>FRsoil.9</t>
  </si>
  <si>
    <t>FRwaste.9</t>
  </si>
  <si>
    <t>FRother.9</t>
  </si>
  <si>
    <t>FRair.10</t>
  </si>
  <si>
    <t>FRwater.10</t>
  </si>
  <si>
    <t>FRsoil.10</t>
  </si>
  <si>
    <t>FRwaste.10</t>
  </si>
  <si>
    <t>FRother.10</t>
  </si>
  <si>
    <t>FRair.11</t>
  </si>
  <si>
    <t>FRwater.11</t>
  </si>
  <si>
    <t>FRsoil.11</t>
  </si>
  <si>
    <t>FRwaste.11</t>
  </si>
  <si>
    <t>FRother.11</t>
  </si>
  <si>
    <t>FRair.12</t>
  </si>
  <si>
    <t>FRwater.12</t>
  </si>
  <si>
    <t>FRsoil.12</t>
  </si>
  <si>
    <t>FRwaste.12</t>
  </si>
  <si>
    <t>FRother.12</t>
  </si>
  <si>
    <t>Tonnage.III</t>
  </si>
  <si>
    <t>LOSSair.III</t>
  </si>
  <si>
    <t>LOSSwater.III</t>
  </si>
  <si>
    <t>LOSSsoil.III</t>
  </si>
  <si>
    <t>LOSSother.III</t>
  </si>
  <si>
    <t>UF.emis</t>
  </si>
  <si>
    <t>GROSS REGIONAL PRODUCT, relative to EU</t>
  </si>
  <si>
    <t>General UNCERTAINTY factor for emission estimates</t>
  </si>
  <si>
    <t>STPconnect</t>
  </si>
  <si>
    <t>FRACTION connected to sewage treatment facilities</t>
  </si>
  <si>
    <t>min</t>
  </si>
  <si>
    <t>max</t>
  </si>
  <si>
    <t>REGIONAL AREA, relative to EU</t>
  </si>
  <si>
    <t>REGIONAL ARABLE land, relative to EU</t>
  </si>
  <si>
    <t>REGIONAL POPULATION, relative to EU</t>
  </si>
  <si>
    <t>REGIONAL TRAFFIC use, relative to EU</t>
  </si>
  <si>
    <r>
      <t>[km</t>
    </r>
    <r>
      <rPr>
        <vertAlign val="superscript"/>
        <sz val="10"/>
        <color rgb="FF008000"/>
        <rFont val="Calibri"/>
        <family val="2"/>
      </rPr>
      <t>2</t>
    </r>
    <r>
      <rPr>
        <sz val="10"/>
        <color rgb="FF008000"/>
        <rFont val="Calibri"/>
        <family val="2"/>
      </rPr>
      <t>]</t>
    </r>
  </si>
  <si>
    <t>URBAN POPULATION, relative to EU</t>
  </si>
  <si>
    <t>GROSS URBAN PRODUCT, relative to EU</t>
  </si>
  <si>
    <t>URBAN TRAFFIC use, relative to EU</t>
  </si>
  <si>
    <t>RelAREA.R</t>
  </si>
  <si>
    <t>RelARABLE.R</t>
  </si>
  <si>
    <t>RelPOP.R</t>
  </si>
  <si>
    <t>RelGNP.R</t>
  </si>
  <si>
    <t>RelTRAFFIC.R</t>
  </si>
  <si>
    <r>
      <t>EMISSION</t>
    </r>
    <r>
      <rPr>
        <sz val="10"/>
        <color rgb="FF008000"/>
        <rFont val="Calibri"/>
        <family val="2"/>
      </rPr>
      <t xml:space="preserve"> ESTIMATION</t>
    </r>
  </si>
  <si>
    <t>EMISSION to fresh water</t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</si>
  <si>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REGIONAL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</si>
  <si>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CONTINENTAL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</si>
  <si>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MODERATE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</si>
  <si>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ARCTIC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</si>
  <si>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TROPICAL ZONE</t>
    </r>
  </si>
  <si>
    <t>Fraction water</t>
  </si>
  <si>
    <t>Depth water</t>
  </si>
  <si>
    <t>[tpa]</t>
  </si>
  <si>
    <t>rand</t>
  </si>
  <si>
    <t>TONNAGES and LOSSES</t>
  </si>
  <si>
    <t>LOCAL SCALE MODEL DEFINITION</t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</si>
  <si>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]</t>
    </r>
  </si>
  <si>
    <r>
      <t>[km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</si>
  <si>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</si>
  <si>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</si>
  <si>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</si>
  <si>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sz val="10"/>
        <color rgb="FF008000"/>
        <rFont val="Calibri"/>
        <family val="2"/>
      </rPr>
      <t>.s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</si>
  <si>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aerw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</si>
  <si>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aers</t>
    </r>
    <r>
      <rPr>
        <sz val="10"/>
        <color rgb="FF008000"/>
        <rFont val="Calibri"/>
        <family val="2"/>
      </rPr>
      <t>]</t>
    </r>
  </si>
  <si>
    <r>
      <t>[mm.yr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</si>
  <si>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</si>
  <si>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</si>
  <si>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[cm</t>
    </r>
    <r>
      <rPr>
        <vertAlign val="superscript"/>
        <sz val="10"/>
        <color rgb="FF008000"/>
        <rFont val="Calibri"/>
        <family val="2"/>
        <scheme val="minor"/>
      </rPr>
      <t>-3</t>
    </r>
    <r>
      <rPr>
        <sz val="10"/>
        <color rgb="FF008000"/>
        <rFont val="Calibri"/>
        <family val="2"/>
        <scheme val="minor"/>
      </rPr>
      <t>]</t>
    </r>
  </si>
  <si>
    <t>EMISSIONS to LOCAL SCALE</t>
  </si>
  <si>
    <t>E.aL</t>
  </si>
  <si>
    <t>E.wL</t>
  </si>
  <si>
    <t>E.sL</t>
  </si>
  <si>
    <t>RelPOP.L</t>
  </si>
  <si>
    <t>RelGNP.L</t>
  </si>
  <si>
    <t>RelTRAFFIC.L</t>
  </si>
  <si>
    <t>LOCAL SCALE</t>
  </si>
  <si>
    <t>AREAland.L</t>
  </si>
  <si>
    <t>FRACwater.L</t>
  </si>
  <si>
    <t>FRACsoil.L</t>
  </si>
  <si>
    <t>DEPTHwater.L</t>
  </si>
  <si>
    <t>FRACrun.L</t>
  </si>
  <si>
    <t>aL</t>
  </si>
  <si>
    <t>wL</t>
  </si>
  <si>
    <t>sL</t>
  </si>
  <si>
    <t>from aL</t>
  </si>
  <si>
    <t>from wL</t>
  </si>
  <si>
    <t>from sL</t>
  </si>
  <si>
    <t>to aL (s-1)</t>
  </si>
  <si>
    <t>to wL (s-1)</t>
  </si>
  <si>
    <t>to sL (s-1)</t>
  </si>
  <si>
    <t>to aL</t>
  </si>
  <si>
    <t>to wL</t>
  </si>
  <si>
    <t>to sL</t>
  </si>
  <si>
    <t xml:space="preserve">   Loc</t>
  </si>
  <si>
    <t xml:space="preserve"> Loc</t>
  </si>
  <si>
    <t>H.A. den Hollander et al. SimpleBox 3.0: multimedia mass balance model for evaluating the fate of chemicals in the environment. Draft RIVM report 601200003 (2004)</t>
  </si>
  <si>
    <t>50p</t>
  </si>
  <si>
    <t>Fraction agr/urb/ind soil</t>
  </si>
  <si>
    <t>RUN OFF flow from soil</t>
  </si>
  <si>
    <t>lake</t>
  </si>
  <si>
    <t>river</t>
  </si>
  <si>
    <t>forest</t>
  </si>
  <si>
    <t>agric+pasture</t>
  </si>
  <si>
    <t>urb+other</t>
  </si>
  <si>
    <t>land</t>
  </si>
  <si>
    <t>sea</t>
  </si>
  <si>
    <t>outflow/area/rain</t>
  </si>
  <si>
    <t>average rivers+streams</t>
  </si>
  <si>
    <t>average subcatchment</t>
  </si>
  <si>
    <t>agric+pasture+urb+other</t>
  </si>
  <si>
    <t>99p</t>
  </si>
  <si>
    <t>SimpleBoxTreat</t>
  </si>
  <si>
    <t>CAS</t>
  </si>
  <si>
    <t>Prohexadione</t>
  </si>
  <si>
    <t>7440-50-8</t>
  </si>
  <si>
    <t>MLoS code</t>
  </si>
  <si>
    <t>MLoS nr</t>
  </si>
  <si>
    <r>
      <t>"pK</t>
    </r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" concept</t>
    </r>
  </si>
  <si>
    <r>
      <t>pK</t>
    </r>
    <r>
      <rPr>
        <sz val="10"/>
        <color rgb="FFFF0000"/>
        <rFont val="Symbol"/>
        <family val="1"/>
        <charset val="2"/>
      </rPr>
      <t>a</t>
    </r>
  </si>
  <si>
    <t>SBT nr</t>
  </si>
  <si>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cid</t>
    </r>
  </si>
  <si>
    <t>Default substance</t>
  </si>
  <si>
    <t>N</t>
  </si>
  <si>
    <t>CHEMICAL SUBSTANCES DATABASE - 6409 currently used substances, studied in the SOLUTIONS project</t>
  </si>
  <si>
    <t>4REACH settings</t>
  </si>
  <si>
    <t>2.5p</t>
  </si>
  <si>
    <t>version used for final calculations emissions paper with revised tox data</t>
  </si>
  <si>
    <t>D van de Meent et al. SimpleBoxTreat4Solutions: predicting toxic pressures from uncertain emissions. Environmental Modeling &amp; Software (to be submitted)</t>
  </si>
  <si>
    <t>D van de Meent et al. Toxic pressures of currently used chemicals from screening-level estimates of environmental release rates. Environmental Toxicology and Chemistry (submitted)</t>
  </si>
  <si>
    <t>Struijs J et al. Adapting SimpleTreat for simulating behaviour of chemical substances during industrial sewage treatment. Chemosphere 159:619-627.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</si>
  <si>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</si>
  <si>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</si>
  <si>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</si>
  <si>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</si>
  <si>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</si>
  <si>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</si>
  <si>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</si>
  <si>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</si>
  <si>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</si>
  <si>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</si>
  <si>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</si>
  <si>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</si>
  <si>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</si>
  <si>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</si>
  <si>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</si>
  <si>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</si>
  <si>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</si>
  <si>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</si>
  <si>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</si>
  <si>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</si>
  <si>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</si>
  <si>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</si>
  <si>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</si>
  <si>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</si>
  <si>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</si>
  <si>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</si>
  <si>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</si>
  <si>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</si>
  <si>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</si>
  <si>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</si>
  <si>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</si>
  <si>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</si>
  <si>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</si>
  <si>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</si>
  <si>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</si>
  <si>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</si>
  <si>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</si>
  <si>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</si>
  <si>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</si>
  <si>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</si>
  <si>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</si>
  <si>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</si>
  <si>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</si>
  <si>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</si>
  <si>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</si>
  <si>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</si>
  <si>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</si>
  <si>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</si>
  <si>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</si>
  <si>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7440-66-6</t>
  </si>
  <si>
    <t>from sdL</t>
  </si>
  <si>
    <t>to sdL (s-1)</t>
  </si>
  <si>
    <t>sdL</t>
  </si>
  <si>
    <t>to sdL</t>
  </si>
  <si>
    <t>SEDIMENTATION flux to sediment</t>
  </si>
  <si>
    <t>RESUSPENSION flux from sediment</t>
  </si>
  <si>
    <t>GROSS SEDIMENTATION rate from water</t>
  </si>
  <si>
    <t>RESUSPENSION rate from sediment</t>
  </si>
  <si>
    <t xml:space="preserve">Net SEDIMENT ACCUMULATION rate </t>
  </si>
  <si>
    <t>Autochtonous PRODUCTION of suspended matter in water</t>
  </si>
  <si>
    <t>ADSORPTION flux to sediment</t>
  </si>
  <si>
    <t>DESORPTION flux from sediment</t>
  </si>
  <si>
    <t>k.wL.sdL</t>
  </si>
  <si>
    <t>k.sdL.wL</t>
  </si>
  <si>
    <t>SED.wL.sdL</t>
  </si>
  <si>
    <t>RESUSP.sdL.wL</t>
  </si>
  <si>
    <t>GROSSSEDrate.wL</t>
  </si>
  <si>
    <t>RESUSPrate.sdL</t>
  </si>
  <si>
    <t>SETTLvelocity.L</t>
  </si>
  <si>
    <t>ADSORB.wL.sdL</t>
  </si>
  <si>
    <t>DESORB.sdL.wL</t>
  </si>
  <si>
    <t>kwsd.water.wL</t>
  </si>
  <si>
    <t>kwsd.sed.sdL</t>
  </si>
  <si>
    <r>
      <t>m.s</t>
    </r>
    <r>
      <rPr>
        <vertAlign val="superscript"/>
        <sz val="10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/>
    </r>
  </si>
  <si>
    <t>Fraction soil</t>
  </si>
  <si>
    <t>Mixed depth sediment compartment</t>
  </si>
  <si>
    <t>DEPTH.sdL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</si>
  <si>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</si>
  <si>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k.sdL</t>
  </si>
  <si>
    <t>VOLUME.sdL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</si>
  <si>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</si>
  <si>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7440-55-3</t>
  </si>
  <si>
    <t>Ga(III)</t>
  </si>
  <si>
    <t>In(III)</t>
  </si>
  <si>
    <t>7440-74-6</t>
  </si>
  <si>
    <t>J. Quik</t>
  </si>
  <si>
    <t>National Institute of Public Health and the Environment (RIVM)</t>
  </si>
  <si>
    <t>Post Box 1, 3720BA Bilthoven, The Netherlands</t>
  </si>
  <si>
    <t>joris.quik@rivm.nl</t>
  </si>
  <si>
    <t>vs 4DIRECT</t>
  </si>
  <si>
    <t>NETsedrate.wL</t>
  </si>
  <si>
    <t>PRODsusp.wL</t>
  </si>
  <si>
    <t>Added sediment compartment to local scale</t>
  </si>
  <si>
    <t>Written By Version</t>
  </si>
  <si>
    <t>Serialization Major Version</t>
  </si>
  <si>
    <t>Serialization Minor Version</t>
  </si>
  <si>
    <t>version used for calculations risk assessment photovoltaics DIRECT: added sediment compartment to local scale. Removed Treat sheet, Life Cycle Emission sheet, and confidential information previous version</t>
  </si>
  <si>
    <t>AMEU4DIRECT</t>
  </si>
  <si>
    <t/>
  </si>
  <si>
    <t>L.kg-1</t>
  </si>
  <si>
    <t>Ksdw.L</t>
  </si>
  <si>
    <t>Kp.sdL</t>
  </si>
  <si>
    <t>CORG.sdL</t>
  </si>
  <si>
    <t>FRACw.sdL</t>
  </si>
  <si>
    <t>FRACs.sdL</t>
  </si>
  <si>
    <t xml:space="preserve">14/10/2021 Added Dimensionless sed/water partition coefficient and precendent parameters in local scale. </t>
  </si>
  <si>
    <t>Added 14/10/2021</t>
  </si>
  <si>
    <t>Distribution</t>
  </si>
  <si>
    <t>TEMP.L</t>
  </si>
  <si>
    <t>@RISK Correlations</t>
  </si>
  <si>
    <t>15/10/2021 Replaced TEMP.R with TEMP.L. Changed default from =KH*EXP((H0vap/8,314)*(1/298-1/TEMP.R))*EXP(-(H0sol/8,314)*(1/298-1/TEMP.R))*(298/TEMP.R) to =Kaw*EXP((H0vap/8,314)*(1/298-1/TEMP.R))*EXP(-(H0sol/8,314)*(1/298-1/TEMP.R))*(298/TEMP.R) (same formula as regional Kaw)</t>
  </si>
  <si>
    <t>15/10/2021 Replaced TEMP.R with TEMP.L</t>
  </si>
  <si>
    <t>Sum area fractions:</t>
  </si>
  <si>
    <t>20/10/2021 FRACs.sdR changed to FRACs.sdL</t>
  </si>
  <si>
    <t>@RISK Simulation seed, generated random number: 1217100632</t>
  </si>
  <si>
    <t>Browse Record</t>
  </si>
  <si>
    <t>Display Mode</t>
  </si>
  <si>
    <t>Sens Graph Type</t>
  </si>
  <si>
    <t>Cond Sens Settings</t>
  </si>
  <si>
    <t>Scenario Settings</t>
  </si>
  <si>
    <t>Selected Scenario</t>
  </si>
  <si>
    <t>Distribution Options</t>
  </si>
  <si>
    <t>Distribution GS</t>
  </si>
  <si>
    <t>Distribution Curves</t>
  </si>
  <si>
    <t>Sens Tornado Options</t>
  </si>
  <si>
    <t>Sens Tornado GS</t>
  </si>
  <si>
    <t>Sens Tornado Curves</t>
  </si>
  <si>
    <t>Scen Tornado Options</t>
  </si>
  <si>
    <t>Scen Tornado GS</t>
  </si>
  <si>
    <t>Scen Tornado Curves</t>
  </si>
  <si>
    <t>Sens Spider Option</t>
  </si>
  <si>
    <t>Sens Spider GS</t>
  </si>
  <si>
    <t>Sens Spider Curves</t>
  </si>
  <si>
    <t>GF1_rK0qDwEAEwAKAQwjACcAPgBwAIQAhQCTAKEA5AAGAQABKwD//wAAAAAAAAEEAAAAAAkwLjBFKzAwXykAAAABDERFUFRId2F0ZXIuTAEgQ29tcGFyaXNvbiB3aXRoIFJpc2tQZXJ0KDE7MzsxNSkBARAAAgABClN0YXRpc3RpY3MDAQEA/wEBAQEBAAEBAQAEAAAAAQEBAQEAAQEBAAQAAAACqAACxQAAGQAMREVQVEh3YXRlci5MAAAA/wAA/wEAAAIAAgAdABBSaXNrUGVydCgxOzM7MTUpAAEA/wAAAAEAAAIA7AD2AAEBAwGamZmZmZmpPwAAZmZmZmZm7j8AAAUAAQEBAAEBAQA=</t>
  </si>
  <si>
    <t>GF1_rK0qDwEAEwASAQwjACcAPgB0AIgAiQCXAKUA7AAOAQgBKwD//wAAAAAAAAEEAAAAAAkwLjBFKzAwXykAAAABEURFUFRIZnJlc2h3YXRlci5SAR9Db21wYXJpc29uIHdpdGggUmlza1BlcnQoMTszOzUpAQEQAAIAAQpTdGF0aXN0aWNzAwEBAP8BAQEBAQABAQEABAAAAAEBAQEBAAEBAQAEAAAAAqwAAs4AAB4AEURFUFRIZnJlc2h3YXRlci5SAAAA/wAA/wEAAAIAAgAcAA9SaXNrUGVydCgxOzM7NSkAAQD/AAAAAQAAAgD0AP4AAQEDAZqZmZmZmak/AABmZmZmZmbuPwAABQABAQEAAQEBAA==</t>
  </si>
  <si>
    <t>Distribution Record</t>
  </si>
  <si>
    <t>Reserved</t>
  </si>
  <si>
    <t>Record Count</t>
  </si>
  <si>
    <t>Inputs</t>
  </si>
  <si>
    <t>1_x0001_99_x0001_0_x0001_RiskResample(1;'Presampled distributions'!C2:C1001;RiskName("Ksw.Pb");RiskStatic(3741364,24325364))</t>
  </si>
  <si>
    <t>GF1_rK0qDwEAEwC6AAwjACcAPABIAFwAXQBrAHkAlAC2ALAAKwD//wAAAAAAAAEEAAAAAAcwLjBFKzAwAAAAAQZLc3cuUGIBAAEBEAACAAEKU3RhdGlzdGljcwMBAQD/AQEBAQEAAQEBAAQAAAABAQEBAQABAQEABAAAAAF9AAAVAAhSZXNhbXBsZQAAAP8AAP8BAAACAJwApgABAQMBmpmZmZmZqT8AAGZmZmZmZu4/AAAFAAEBAQABAQEA</t>
  </si>
  <si>
    <t>1_x0001_99_x0001_0_x0001_RiskResample(1;'Presampled distributions'!B2:B1001;RiskName("Ksw.Cu");RiskStatic(1317669,20615795))</t>
  </si>
  <si>
    <t>GF1_rK0qDwEAEwC6AAwjACcAPABIAFwAXQBrAHkAlAC2ALAAKwD//wAAAAAAAAEEAAAAAAcwLjBFKzAwAAAAAQZLc3cuQ3UBAAEBEAACAAEKU3RhdGlzdGljcwMBAQD/AQEBAQEAAQEBAAQAAAABAQEBAQABAQEABAAAAAF9AAAVAAhSZXNhbXBsZQAAAP8AAP8BAAACAJwApgABAQMBmpmZmZmZqT8AAGZmZmZmZu4/AAAFAAEBAQABAQEA</t>
  </si>
  <si>
    <t>1_x0001_88_x0001_0_x0001_RiskResample(1;'Presampled distributions'!A2:A1001;RiskName("Ksw.Ag");RiskStatic(47500))</t>
  </si>
  <si>
    <t>GF1_rK0qDwEAEwC6AAwjACcAPABIAFwAXQBrAHkAlAC2ALAAKwD//wAAAAAAAAEEAAAAAAcwLjBFKzAwAAAAAQZLc3cuQWcBAAEBEAACAAEKU3RhdGlzdGljcwMBAQD/AQEBAQEAAQEBAAQAAAABAQEBAQABAQEABAAAAAF9AAAVAAhSZXNhbXBsZQAAAP8AAP8BAAACAJwApgABAQMBmpmZmZmZqT8AAGZmZmZmZu4/AAAFAAEBAQABAQEA</t>
  </si>
  <si>
    <t>Kpsoil.silver</t>
  </si>
  <si>
    <t>Kpsoil.copper</t>
  </si>
  <si>
    <t>Kpsoil.lead</t>
  </si>
  <si>
    <t>Kpsoil.In</t>
  </si>
  <si>
    <t>Kpsoil.Ga</t>
  </si>
  <si>
    <t>Kpsoil.As</t>
  </si>
  <si>
    <t>3 - 14 - 23</t>
  </si>
  <si>
    <t>Arsenic</t>
  </si>
  <si>
    <t>Gallium</t>
  </si>
  <si>
    <t>Indium</t>
  </si>
  <si>
    <t>Run</t>
  </si>
  <si>
    <t>Kw</t>
  </si>
  <si>
    <t>Kds</t>
  </si>
  <si>
    <t>Formulas</t>
  </si>
  <si>
    <t>log kdw = 0.7 log kds + 0.3</t>
  </si>
  <si>
    <t>From EPA</t>
  </si>
  <si>
    <t>0.7 log kds = log kdw - 0.3</t>
  </si>
  <si>
    <t>log kds = (log kdw - 0.3) * (1/0.7)</t>
  </si>
  <si>
    <t>Identity:</t>
  </si>
  <si>
    <t>kds = 10 ^ ((log kdw - 0.3 )*(1/0.7))</t>
  </si>
  <si>
    <t>bˆ(pq) = (bˆp)ˆq</t>
  </si>
  <si>
    <t>kds = (10 ^ (log kdw - 0.3 ))ˆ(1/0.7)</t>
  </si>
  <si>
    <t>kds = kd, soil</t>
  </si>
  <si>
    <t>kdw = kd, waste</t>
  </si>
  <si>
    <t>5 - 17 - 19</t>
  </si>
  <si>
    <t>28-4-2022 Added if statement in user input avoiding negative values for Frgas.aL</t>
  </si>
  <si>
    <t>28-4-2022 Formula for default still referenced Kaw.R -&gt; corrected to Kaw.L</t>
  </si>
  <si>
    <t>28-4-2022 Changed IF statement in user input avoiding negative values to set to 0 if TRUE instead of 0,999</t>
  </si>
  <si>
    <t>Small fixes: 1. corrected formula for Kaerw.aL: Replaced Kaw.R with Kaw.L 2. Added a workaround for cases when FRgas.aL/R/C is &lt; 0, set to 0</t>
  </si>
  <si>
    <t>28-4-2022</t>
  </si>
  <si>
    <t>7-10-2021</t>
  </si>
  <si>
    <t>21-6-2022</t>
  </si>
  <si>
    <t>Only relevant for @RISK version:  Removed CORG from formula in substances sheet calculating ksw from presampled kpsoil. Changed input values for AREAland.C and AREAsea.C to represent continental Europe instead of European Union</t>
  </si>
  <si>
    <t>8.3.2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</si>
</sst>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General_)"/>
    <numFmt numFmtId="165" formatCode="0.00E+00_)"/>
    <numFmt numFmtId="166" formatCode="0.0E+00_)"/>
    <numFmt numFmtId="167" formatCode="0.0%"/>
    <numFmt numFmtId="168" formatCode="0.0E+00"/>
    <numFmt numFmtId="169" formatCode="0.000E+00"/>
    <numFmt numFmtId="170" formatCode="@_)"/>
    <numFmt numFmtId="171" formatCode="0.000"/>
    <numFmt numFmtId="172" formatCode="0.0"/>
    <numFmt numFmtId="173" formatCode="0.0%_)"/>
    <numFmt numFmtId="174" formatCode="0_)"/>
    <numFmt numFmtId="175" formatCode="0.000%"/>
  </numFmts>
  <fonts count="85" x14ac:knownFonts="1">
    <font>
      <sz val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008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0000DC"/>
      <name val="Calibri"/>
      <family val="2"/>
    </font>
    <font>
      <b/>
      <i/>
      <sz val="10"/>
      <color rgb="FFCC00CC"/>
      <name val="Calibri"/>
      <family val="2"/>
    </font>
    <font>
      <b/>
      <i/>
      <sz val="11"/>
      <color rgb="FF008C00"/>
      <name val="Calibri"/>
      <family val="2"/>
    </font>
    <font>
      <b/>
      <i/>
      <sz val="11"/>
      <color rgb="FF0000DC"/>
      <name val="Calibri"/>
      <family val="2"/>
    </font>
    <font>
      <sz val="10"/>
      <color rgb="FFC00000"/>
      <name val="Calibri"/>
      <family val="2"/>
    </font>
    <font>
      <sz val="10"/>
      <color rgb="FFFF000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vertAlign val="superscript"/>
      <sz val="10"/>
      <color theme="0" tint="-0.34998626667073579"/>
      <name val="Calibri"/>
      <family val="2"/>
      <scheme val="minor"/>
    </font>
    <font>
      <i/>
      <sz val="10"/>
      <color rgb="FF008000"/>
      <name val="Calibri"/>
      <family val="2"/>
      <scheme val="minor"/>
    </font>
    <font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</font>
    <font>
      <i/>
      <sz val="10"/>
      <color rgb="FF008000"/>
      <name val="Calibri"/>
      <family val="2"/>
    </font>
    <font>
      <b/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  <scheme val="minor"/>
    </font>
    <font>
      <vertAlign val="subscript"/>
      <sz val="10"/>
      <color rgb="FF008000"/>
      <name val="Calibri"/>
      <family val="2"/>
    </font>
    <font>
      <b/>
      <sz val="10"/>
      <color rgb="FF008000"/>
      <name val="Calibri"/>
      <family val="2"/>
    </font>
    <font>
      <sz val="10"/>
      <color rgb="FFFF0000"/>
      <name val="Symbol"/>
      <family val="1"/>
      <charset val="2"/>
    </font>
    <font>
      <b/>
      <i/>
      <sz val="10"/>
      <color rgb="FF008000"/>
      <name val="Calibri"/>
      <family val="2"/>
      <scheme val="minor"/>
    </font>
    <font>
      <b/>
      <i/>
      <sz val="10"/>
      <color rgb="FF008C00"/>
      <name val="Calibri"/>
      <family val="2"/>
    </font>
    <font>
      <i/>
      <sz val="10"/>
      <color rgb="FFFF0000"/>
      <name val="Calibri"/>
      <family val="2"/>
    </font>
    <font>
      <sz val="10"/>
      <color theme="4" tint="-0.499984740745262"/>
      <name val="Calibri"/>
      <family val="2"/>
    </font>
    <font>
      <b/>
      <i/>
      <sz val="12"/>
      <color rgb="FF0000DC"/>
      <name val="Calibri"/>
      <family val="2"/>
    </font>
    <font>
      <sz val="12"/>
      <name val="Times New Roman"/>
      <family val="1"/>
    </font>
    <font>
      <sz val="8"/>
      <name val="Calibri"/>
      <family val="2"/>
    </font>
    <font>
      <sz val="9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 style="thin">
        <color theme="0" tint="-0.249977111117893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/>
      <top style="thin">
        <color theme="0" tint="-0.249977111117893"/>
      </top>
      <bottom style="thin">
        <color theme="1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 tint="-0.34998626667073579"/>
      </bottom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0" tint="-0.249977111117893"/>
      </top>
      <bottom style="thin">
        <color theme="1" tint="-0.34998626667073579"/>
      </bottom>
      <diagonal/>
    </border>
  </borders>
  <cellStyleXfs count="23">
    <xf numFmtId="164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26" fillId="0" borderId="0"/>
    <xf numFmtId="164" fontId="11" fillId="0" borderId="0"/>
    <xf numFmtId="0" fontId="28" fillId="0" borderId="0"/>
    <xf numFmtId="0" fontId="28" fillId="0" borderId="0"/>
    <xf numFmtId="0" fontId="2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6" fillId="0" borderId="0" applyFont="0" applyFill="0" applyBorder="0" applyAlignment="0" applyProtection="0"/>
    <xf numFmtId="164" fontId="11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6" fillId="0" borderId="0"/>
    <xf numFmtId="0" fontId="2" fillId="0" borderId="0"/>
    <xf numFmtId="164" fontId="11" fillId="0" borderId="0"/>
    <xf numFmtId="0" fontId="78" fillId="0" borderId="0"/>
  </cellStyleXfs>
  <cellXfs count="755">
    <xf numFmtId="164" fontId="0" fillId="0" borderId="0" xfId="0"/>
    <xf numFmtId="164" fontId="10" fillId="2" borderId="0" xfId="0" applyFont="1" applyFill="1"/>
    <xf numFmtId="164" fontId="11" fillId="2" borderId="0" xfId="0" applyFont="1" applyFill="1"/>
    <xf numFmtId="164" fontId="13" fillId="2" borderId="0" xfId="0" applyFont="1" applyFill="1"/>
    <xf numFmtId="164" fontId="14" fillId="2" borderId="0" xfId="0" applyFont="1" applyFill="1"/>
    <xf numFmtId="164" fontId="11" fillId="2" borderId="0" xfId="0" quotePrefix="1" applyFont="1" applyFill="1"/>
    <xf numFmtId="164" fontId="11" fillId="0" borderId="0" xfId="0" applyFont="1"/>
    <xf numFmtId="168" fontId="11" fillId="0" borderId="0" xfId="0" applyNumberFormat="1" applyFont="1" applyAlignment="1">
      <alignment horizontal="center"/>
    </xf>
    <xf numFmtId="11" fontId="11" fillId="0" borderId="0" xfId="0" applyNumberFormat="1" applyFont="1"/>
    <xf numFmtId="164" fontId="11" fillId="0" borderId="0" xfId="0" applyFont="1" applyAlignment="1">
      <alignment horizontal="left"/>
    </xf>
    <xf numFmtId="164" fontId="11" fillId="0" borderId="0" xfId="0" applyFont="1" applyAlignment="1">
      <alignment horizontal="right"/>
    </xf>
    <xf numFmtId="11" fontId="11" fillId="0" borderId="1" xfId="0" quotePrefix="1" applyNumberFormat="1" applyFont="1" applyBorder="1" applyAlignment="1">
      <alignment horizontal="left"/>
    </xf>
    <xf numFmtId="11" fontId="11" fillId="0" borderId="1" xfId="0" applyNumberFormat="1" applyFont="1" applyBorder="1"/>
    <xf numFmtId="164" fontId="11" fillId="0" borderId="1" xfId="0" quotePrefix="1" applyFont="1" applyBorder="1" applyAlignment="1">
      <alignment horizontal="left"/>
    </xf>
    <xf numFmtId="164" fontId="13" fillId="0" borderId="2" xfId="0" applyFont="1" applyBorder="1" applyAlignment="1">
      <alignment horizontal="left"/>
    </xf>
    <xf numFmtId="11" fontId="13" fillId="0" borderId="2" xfId="0" applyNumberFormat="1" applyFont="1" applyBorder="1" applyAlignment="1">
      <alignment horizontal="left"/>
    </xf>
    <xf numFmtId="168" fontId="13" fillId="0" borderId="2" xfId="0" applyNumberFormat="1" applyFont="1" applyBorder="1" applyAlignment="1">
      <alignment horizontal="left"/>
    </xf>
    <xf numFmtId="168" fontId="11" fillId="0" borderId="2" xfId="0" applyNumberFormat="1" applyFont="1" applyBorder="1" applyAlignment="1">
      <alignment horizontal="left"/>
    </xf>
    <xf numFmtId="164" fontId="12" fillId="0" borderId="0" xfId="0" applyFont="1" applyAlignment="1">
      <alignment horizontal="left"/>
    </xf>
    <xf numFmtId="11" fontId="14" fillId="0" borderId="0" xfId="0" applyNumberFormat="1" applyFont="1"/>
    <xf numFmtId="168" fontId="11" fillId="3" borderId="0" xfId="0" applyNumberFormat="1" applyFont="1" applyFill="1" applyAlignment="1">
      <alignment horizontal="left"/>
    </xf>
    <xf numFmtId="164" fontId="13" fillId="0" borderId="0" xfId="0" applyFont="1" applyAlignment="1">
      <alignment horizontal="right"/>
    </xf>
    <xf numFmtId="168" fontId="11" fillId="4" borderId="0" xfId="0" applyNumberFormat="1" applyFont="1" applyFill="1" applyAlignment="1" applyProtection="1">
      <alignment horizontal="left"/>
      <protection locked="0"/>
    </xf>
    <xf numFmtId="169" fontId="13" fillId="0" borderId="0" xfId="0" applyNumberFormat="1" applyFont="1" applyAlignment="1">
      <alignment horizontal="right"/>
    </xf>
    <xf numFmtId="168" fontId="11" fillId="0" borderId="3" xfId="0" applyNumberFormat="1" applyFont="1" applyBorder="1" applyAlignment="1">
      <alignment horizontal="left"/>
    </xf>
    <xf numFmtId="168" fontId="11" fillId="0" borderId="0" xfId="0" applyNumberFormat="1" applyFont="1" applyAlignment="1">
      <alignment horizontal="left"/>
    </xf>
    <xf numFmtId="168" fontId="11" fillId="0" borderId="4" xfId="0" applyNumberFormat="1" applyFont="1" applyBorder="1" applyAlignment="1">
      <alignment horizontal="left"/>
    </xf>
    <xf numFmtId="168" fontId="11" fillId="0" borderId="4" xfId="0" quotePrefix="1" applyNumberFormat="1" applyFont="1" applyBorder="1" applyAlignment="1">
      <alignment horizontal="left"/>
    </xf>
    <xf numFmtId="11" fontId="11" fillId="0" borderId="3" xfId="0" applyNumberFormat="1" applyFont="1" applyBorder="1" applyAlignment="1">
      <alignment horizontal="left"/>
    </xf>
    <xf numFmtId="164" fontId="23" fillId="2" borderId="0" xfId="0" applyFont="1" applyFill="1"/>
    <xf numFmtId="164" fontId="11" fillId="0" borderId="0" xfId="0" applyFont="1" applyAlignment="1">
      <alignment horizontal="center"/>
    </xf>
    <xf numFmtId="164" fontId="25" fillId="0" borderId="0" xfId="0" applyFont="1" applyAlignment="1">
      <alignment horizontal="center"/>
    </xf>
    <xf numFmtId="164" fontId="14" fillId="2" borderId="0" xfId="0" applyFont="1" applyFill="1" applyAlignment="1">
      <alignment horizontal="left"/>
    </xf>
    <xf numFmtId="164" fontId="25" fillId="0" borderId="0" xfId="0" applyFont="1" applyAlignment="1">
      <alignment horizontal="center" vertical="center"/>
    </xf>
    <xf numFmtId="167" fontId="11" fillId="0" borderId="0" xfId="8" applyNumberFormat="1" applyFont="1" applyFill="1" applyAlignment="1" applyProtection="1">
      <alignment horizontal="left"/>
    </xf>
    <xf numFmtId="164" fontId="6" fillId="2" borderId="0" xfId="1" applyNumberFormat="1" applyFill="1" applyAlignment="1" applyProtection="1">
      <alignment horizontal="left"/>
    </xf>
    <xf numFmtId="164" fontId="25" fillId="0" borderId="0" xfId="0" applyFont="1"/>
    <xf numFmtId="164" fontId="27" fillId="0" borderId="0" xfId="0" applyFont="1"/>
    <xf numFmtId="164" fontId="0" fillId="2" borderId="0" xfId="0" applyFill="1"/>
    <xf numFmtId="164" fontId="0" fillId="2" borderId="0" xfId="0" quotePrefix="1" applyFill="1"/>
    <xf numFmtId="168" fontId="0" fillId="0" borderId="4" xfId="0" quotePrefix="1" applyNumberFormat="1" applyBorder="1" applyAlignment="1">
      <alignment horizontal="left"/>
    </xf>
    <xf numFmtId="168" fontId="0" fillId="0" borderId="3" xfId="0" applyNumberFormat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9" fontId="11" fillId="0" borderId="0" xfId="8" applyFont="1"/>
    <xf numFmtId="11" fontId="13" fillId="0" borderId="0" xfId="0" applyNumberFormat="1" applyFont="1" applyAlignment="1">
      <alignment horizontal="left"/>
    </xf>
    <xf numFmtId="168" fontId="13" fillId="0" borderId="0" xfId="0" applyNumberFormat="1" applyFont="1" applyAlignment="1">
      <alignment horizontal="left"/>
    </xf>
    <xf numFmtId="164" fontId="26" fillId="2" borderId="8" xfId="0" applyFont="1" applyFill="1" applyBorder="1" applyAlignment="1">
      <alignment horizontal="left"/>
    </xf>
    <xf numFmtId="164" fontId="26" fillId="2" borderId="8" xfId="0" applyFont="1" applyFill="1" applyBorder="1"/>
    <xf numFmtId="164" fontId="14" fillId="2" borderId="0" xfId="0" quotePrefix="1" applyFont="1" applyFill="1" applyAlignment="1">
      <alignment horizontal="left"/>
    </xf>
    <xf numFmtId="164" fontId="13" fillId="2" borderId="0" xfId="0" applyFont="1" applyFill="1" applyAlignment="1">
      <alignment horizontal="left"/>
    </xf>
    <xf numFmtId="164" fontId="14" fillId="0" borderId="0" xfId="0" quotePrefix="1" applyFont="1" applyAlignment="1">
      <alignment horizontal="left"/>
    </xf>
    <xf numFmtId="164" fontId="12" fillId="2" borderId="0" xfId="0" quotePrefix="1" applyFont="1" applyFill="1" applyAlignment="1">
      <alignment horizontal="left"/>
    </xf>
    <xf numFmtId="164" fontId="26" fillId="2" borderId="3" xfId="0" applyFont="1" applyFill="1" applyBorder="1" applyAlignment="1">
      <alignment horizontal="left"/>
    </xf>
    <xf numFmtId="164" fontId="26" fillId="2" borderId="3" xfId="0" applyFont="1" applyFill="1" applyBorder="1"/>
    <xf numFmtId="11" fontId="13" fillId="0" borderId="4" xfId="0" applyNumberFormat="1" applyFont="1" applyBorder="1" applyAlignment="1">
      <alignment horizontal="right"/>
    </xf>
    <xf numFmtId="164" fontId="13" fillId="0" borderId="3" xfId="0" applyFont="1" applyBorder="1" applyAlignment="1">
      <alignment horizontal="right"/>
    </xf>
    <xf numFmtId="164" fontId="13" fillId="6" borderId="2" xfId="0" applyFont="1" applyFill="1" applyBorder="1" applyAlignment="1">
      <alignment horizontal="right"/>
    </xf>
    <xf numFmtId="164" fontId="0" fillId="0" borderId="0" xfId="0" applyAlignment="1">
      <alignment horizontal="left"/>
    </xf>
    <xf numFmtId="11" fontId="34" fillId="2" borderId="0" xfId="0" applyNumberFormat="1" applyFont="1" applyFill="1" applyAlignment="1">
      <alignment horizontal="center"/>
    </xf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64" fontId="0" fillId="2" borderId="3" xfId="0" applyFill="1" applyBorder="1" applyAlignment="1">
      <alignment horizontal="left"/>
    </xf>
    <xf numFmtId="164" fontId="0" fillId="2" borderId="15" xfId="0" applyFill="1" applyBorder="1"/>
    <xf numFmtId="164" fontId="0" fillId="2" borderId="10" xfId="0" applyFill="1" applyBorder="1" applyAlignment="1">
      <alignment vertical="center"/>
    </xf>
    <xf numFmtId="165" fontId="0" fillId="2" borderId="10" xfId="0" applyNumberFormat="1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4" fontId="0" fillId="2" borderId="8" xfId="0" applyFill="1" applyBorder="1" applyAlignment="1">
      <alignment horizontal="left"/>
    </xf>
    <xf numFmtId="164" fontId="34" fillId="2" borderId="0" xfId="0" applyFont="1" applyFill="1"/>
    <xf numFmtId="164" fontId="0" fillId="0" borderId="0" xfId="0" applyAlignment="1">
      <alignment horizontal="center"/>
    </xf>
    <xf numFmtId="164" fontId="0" fillId="6" borderId="28" xfId="0" applyFill="1" applyBorder="1"/>
    <xf numFmtId="164" fontId="0" fillId="6" borderId="4" xfId="0" applyFill="1" applyBorder="1"/>
    <xf numFmtId="11" fontId="0" fillId="0" borderId="28" xfId="0" applyNumberFormat="1" applyBorder="1"/>
    <xf numFmtId="164" fontId="0" fillId="0" borderId="26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6" borderId="29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6" xfId="0" quotePrefix="1" applyBorder="1" applyAlignment="1">
      <alignment horizontal="left"/>
    </xf>
    <xf numFmtId="164" fontId="0" fillId="6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9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11" fillId="7" borderId="0" xfId="0" applyFont="1" applyFill="1"/>
    <xf numFmtId="164" fontId="0" fillId="7" borderId="0" xfId="0" applyFill="1" applyAlignment="1">
      <alignment horizontal="left"/>
    </xf>
    <xf numFmtId="11" fontId="12" fillId="7" borderId="0" xfId="0" applyNumberFormat="1" applyFont="1" applyFill="1" applyAlignment="1">
      <alignment horizontal="center"/>
    </xf>
    <xf numFmtId="9" fontId="11" fillId="7" borderId="0" xfId="8" applyFont="1" applyFill="1" applyBorder="1" applyAlignment="1">
      <alignment horizontal="center"/>
    </xf>
    <xf numFmtId="11" fontId="0" fillId="2" borderId="0" xfId="0" applyNumberFormat="1" applyFill="1"/>
    <xf numFmtId="164" fontId="0" fillId="7" borderId="0" xfId="0" applyFill="1" applyAlignment="1">
      <alignment horizontal="center"/>
    </xf>
    <xf numFmtId="168" fontId="0" fillId="7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11" fillId="7" borderId="0" xfId="0" applyNumberFormat="1" applyFont="1" applyFill="1"/>
    <xf numFmtId="1" fontId="11" fillId="7" borderId="0" xfId="0" applyNumberFormat="1" applyFont="1" applyFill="1" applyAlignment="1">
      <alignment horizontal="center"/>
    </xf>
    <xf numFmtId="164" fontId="11" fillId="7" borderId="0" xfId="0" applyFont="1" applyFill="1" applyAlignment="1">
      <alignment horizontal="center"/>
    </xf>
    <xf numFmtId="164" fontId="11" fillId="7" borderId="0" xfId="0" applyFont="1" applyFill="1" applyAlignment="1">
      <alignment horizontal="left"/>
    </xf>
    <xf numFmtId="168" fontId="11" fillId="9" borderId="0" xfId="0" applyNumberFormat="1" applyFont="1" applyFill="1" applyAlignment="1">
      <alignment horizontal="left"/>
    </xf>
    <xf numFmtId="164" fontId="0" fillId="7" borderId="0" xfId="0" applyFill="1"/>
    <xf numFmtId="14" fontId="6" fillId="2" borderId="0" xfId="1" applyNumberFormat="1" applyFill="1" applyAlignment="1" applyProtection="1">
      <alignment horizontal="left"/>
    </xf>
    <xf numFmtId="164" fontId="11" fillId="7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64" fontId="0" fillId="0" borderId="0" xfId="0" applyAlignment="1">
      <alignment vertical="center"/>
    </xf>
    <xf numFmtId="164" fontId="0" fillId="10" borderId="17" xfId="0" applyFill="1" applyBorder="1" applyAlignment="1">
      <alignment vertical="center"/>
    </xf>
    <xf numFmtId="165" fontId="0" fillId="10" borderId="17" xfId="0" applyNumberFormat="1" applyFill="1" applyBorder="1" applyAlignment="1">
      <alignment horizontal="left" vertical="center"/>
    </xf>
    <xf numFmtId="165" fontId="0" fillId="10" borderId="17" xfId="0" applyNumberFormat="1" applyFill="1" applyBorder="1" applyAlignment="1">
      <alignment horizontal="right" vertical="center"/>
    </xf>
    <xf numFmtId="164" fontId="0" fillId="10" borderId="17" xfId="0" applyFill="1" applyBorder="1" applyAlignment="1">
      <alignment horizontal="left" vertical="center"/>
    </xf>
    <xf numFmtId="165" fontId="0" fillId="10" borderId="17" xfId="0" quotePrefix="1" applyNumberFormat="1" applyFill="1" applyBorder="1" applyAlignment="1">
      <alignment horizontal="left" vertical="center"/>
    </xf>
    <xf numFmtId="164" fontId="0" fillId="10" borderId="17" xfId="0" quotePrefix="1" applyFill="1" applyBorder="1" applyAlignment="1">
      <alignment vertical="center"/>
    </xf>
    <xf numFmtId="164" fontId="0" fillId="10" borderId="17" xfId="0" quotePrefix="1" applyFill="1" applyBorder="1" applyAlignment="1">
      <alignment horizontal="left" vertical="center"/>
    </xf>
    <xf numFmtId="165" fontId="0" fillId="10" borderId="17" xfId="0" applyNumberFormat="1" applyFill="1" applyBorder="1" applyAlignment="1">
      <alignment vertical="center"/>
    </xf>
    <xf numFmtId="170" fontId="0" fillId="10" borderId="17" xfId="0" applyNumberFormat="1" applyFill="1" applyBorder="1" applyAlignment="1">
      <alignment horizontal="right" vertical="center"/>
    </xf>
    <xf numFmtId="165" fontId="11" fillId="10" borderId="17" xfId="8" applyNumberFormat="1" applyFont="1" applyFill="1" applyBorder="1" applyAlignment="1" applyProtection="1">
      <alignment horizontal="right" vertical="center"/>
    </xf>
    <xf numFmtId="165" fontId="0" fillId="10" borderId="17" xfId="0" quotePrefix="1" applyNumberFormat="1" applyFill="1" applyBorder="1" applyAlignment="1">
      <alignment horizontal="left" vertical="center" wrapText="1"/>
    </xf>
    <xf numFmtId="0" fontId="0" fillId="10" borderId="17" xfId="0" applyNumberFormat="1" applyFill="1" applyBorder="1" applyAlignment="1">
      <alignment horizontal="right" vertical="center"/>
    </xf>
    <xf numFmtId="11" fontId="0" fillId="0" borderId="0" xfId="0" applyNumberFormat="1"/>
    <xf numFmtId="11" fontId="25" fillId="0" borderId="0" xfId="0" applyNumberFormat="1" applyFont="1"/>
    <xf numFmtId="11" fontId="25" fillId="0" borderId="0" xfId="0" applyNumberFormat="1" applyFont="1" applyAlignment="1">
      <alignment horizontal="center"/>
    </xf>
    <xf numFmtId="11" fontId="0" fillId="10" borderId="17" xfId="0" applyNumberFormat="1" applyFill="1" applyBorder="1" applyAlignment="1">
      <alignment horizontal="right" vertical="center"/>
    </xf>
    <xf numFmtId="11" fontId="0" fillId="10" borderId="17" xfId="0" applyNumberFormat="1" applyFill="1" applyBorder="1" applyAlignment="1">
      <alignment vertical="center"/>
    </xf>
    <xf numFmtId="164" fontId="0" fillId="0" borderId="17" xfId="0" applyBorder="1" applyAlignment="1">
      <alignment vertical="center"/>
    </xf>
    <xf numFmtId="164" fontId="10" fillId="10" borderId="17" xfId="0" applyFont="1" applyFill="1" applyBorder="1" applyAlignment="1">
      <alignment vertical="center"/>
    </xf>
    <xf numFmtId="164" fontId="10" fillId="0" borderId="0" xfId="0" applyFont="1" applyAlignment="1">
      <alignment vertical="center"/>
    </xf>
    <xf numFmtId="164" fontId="12" fillId="7" borderId="0" xfId="0" applyFont="1" applyFill="1" applyAlignment="1">
      <alignment horizontal="right"/>
    </xf>
    <xf numFmtId="164" fontId="0" fillId="0" borderId="28" xfId="0" applyBorder="1" applyAlignment="1">
      <alignment horizontal="left"/>
    </xf>
    <xf numFmtId="164" fontId="32" fillId="2" borderId="0" xfId="0" applyFont="1" applyFill="1" applyAlignment="1">
      <alignment horizontal="left"/>
    </xf>
    <xf numFmtId="166" fontId="32" fillId="2" borderId="0" xfId="0" applyNumberFormat="1" applyFont="1" applyFill="1"/>
    <xf numFmtId="164" fontId="32" fillId="2" borderId="31" xfId="0" applyFont="1" applyFill="1" applyBorder="1" applyAlignment="1">
      <alignment horizontal="left"/>
    </xf>
    <xf numFmtId="166" fontId="32" fillId="2" borderId="31" xfId="0" applyNumberFormat="1" applyFont="1" applyFill="1" applyBorder="1"/>
    <xf numFmtId="164" fontId="38" fillId="2" borderId="31" xfId="0" applyFont="1" applyFill="1" applyBorder="1"/>
    <xf numFmtId="164" fontId="32" fillId="2" borderId="31" xfId="0" applyFont="1" applyFill="1" applyBorder="1"/>
    <xf numFmtId="164" fontId="32" fillId="2" borderId="31" xfId="0" applyFont="1" applyFill="1" applyBorder="1" applyAlignment="1">
      <alignment horizontal="right"/>
    </xf>
    <xf numFmtId="164" fontId="0" fillId="6" borderId="28" xfId="0" applyFill="1" applyBorder="1" applyAlignment="1">
      <alignment horizontal="left"/>
    </xf>
    <xf numFmtId="9" fontId="13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13" fillId="0" borderId="3" xfId="0" applyFont="1" applyBorder="1" applyAlignment="1">
      <alignment horizontal="left"/>
    </xf>
    <xf numFmtId="11" fontId="32" fillId="0" borderId="5" xfId="0" applyNumberFormat="1" applyFont="1" applyBorder="1" applyAlignment="1">
      <alignment horizontal="left"/>
    </xf>
    <xf numFmtId="164" fontId="32" fillId="0" borderId="5" xfId="0" applyFont="1" applyBorder="1" applyAlignment="1">
      <alignment horizontal="left"/>
    </xf>
    <xf numFmtId="168" fontId="34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left"/>
    </xf>
    <xf numFmtId="168" fontId="0" fillId="2" borderId="0" xfId="0" applyNumberFormat="1" applyFill="1" applyAlignment="1">
      <alignment horizontal="left"/>
    </xf>
    <xf numFmtId="166" fontId="15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4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6" borderId="0" xfId="0" applyNumberFormat="1" applyFill="1" applyAlignment="1">
      <alignment horizontal="right" vertical="center" wrapText="1"/>
    </xf>
    <xf numFmtId="166" fontId="0" fillId="2" borderId="15" xfId="0" applyNumberFormat="1" applyFill="1" applyBorder="1"/>
    <xf numFmtId="166" fontId="0" fillId="6" borderId="5" xfId="0" applyNumberFormat="1" applyFill="1" applyBorder="1"/>
    <xf numFmtId="166" fontId="0" fillId="7" borderId="0" xfId="0" applyNumberFormat="1" applyFill="1" applyAlignment="1">
      <alignment horizontal="left"/>
    </xf>
    <xf numFmtId="166" fontId="34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6" borderId="5" xfId="0" applyNumberFormat="1" applyFill="1" applyBorder="1" applyAlignment="1">
      <alignment horizontal="right"/>
    </xf>
    <xf numFmtId="166" fontId="0" fillId="2" borderId="15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32" fillId="2" borderId="31" xfId="0" applyNumberFormat="1" applyFont="1" applyFill="1" applyBorder="1" applyAlignment="1">
      <alignment horizontal="right"/>
    </xf>
    <xf numFmtId="166" fontId="34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0" fillId="0" borderId="0" xfId="0" applyNumberFormat="1" applyAlignment="1">
      <alignment horizontal="right"/>
    </xf>
    <xf numFmtId="166" fontId="15" fillId="0" borderId="0" xfId="0" applyNumberFormat="1" applyFont="1" applyAlignment="1">
      <alignment horizontal="right"/>
    </xf>
    <xf numFmtId="168" fontId="0" fillId="2" borderId="0" xfId="0" applyNumberFormat="1" applyFill="1" applyAlignment="1">
      <alignment horizontal="center"/>
    </xf>
    <xf numFmtId="168" fontId="0" fillId="2" borderId="10" xfId="0" applyNumberFormat="1" applyFill="1" applyBorder="1" applyAlignment="1">
      <alignment horizontal="left" vertical="center" wrapText="1"/>
    </xf>
    <xf numFmtId="168" fontId="0" fillId="2" borderId="8" xfId="0" applyNumberFormat="1" applyFill="1" applyBorder="1" applyAlignment="1">
      <alignment horizontal="center"/>
    </xf>
    <xf numFmtId="168" fontId="37" fillId="2" borderId="0" xfId="0" applyNumberFormat="1" applyFont="1" applyFill="1" applyAlignment="1">
      <alignment horizontal="center"/>
    </xf>
    <xf numFmtId="168" fontId="0" fillId="2" borderId="0" xfId="0" applyNumberFormat="1" applyFill="1"/>
    <xf numFmtId="168" fontId="0" fillId="2" borderId="0" xfId="0" applyNumberFormat="1" applyFill="1" applyAlignment="1">
      <alignment horizontal="right"/>
    </xf>
    <xf numFmtId="166" fontId="43" fillId="2" borderId="0" xfId="0" applyNumberFormat="1" applyFont="1" applyFill="1"/>
    <xf numFmtId="166" fontId="0" fillId="2" borderId="2" xfId="0" applyNumberFormat="1" applyFill="1" applyBorder="1"/>
    <xf numFmtId="166" fontId="43" fillId="2" borderId="2" xfId="0" applyNumberFormat="1" applyFont="1" applyFill="1" applyBorder="1" applyAlignment="1">
      <alignment horizontal="center"/>
    </xf>
    <xf numFmtId="166" fontId="34" fillId="2" borderId="0" xfId="0" applyNumberFormat="1" applyFont="1" applyFill="1"/>
    <xf numFmtId="166" fontId="37" fillId="7" borderId="0" xfId="0" applyNumberFormat="1" applyFont="1" applyFill="1" applyAlignment="1" applyProtection="1">
      <alignment horizontal="right"/>
      <protection locked="0"/>
    </xf>
    <xf numFmtId="166" fontId="0" fillId="11" borderId="0" xfId="0" applyNumberFormat="1" applyFill="1" applyAlignment="1">
      <alignment horizontal="right"/>
    </xf>
    <xf numFmtId="166" fontId="0" fillId="7" borderId="2" xfId="0" applyNumberFormat="1" applyFill="1" applyBorder="1" applyAlignment="1" applyProtection="1">
      <alignment horizontal="center"/>
      <protection locked="0"/>
    </xf>
    <xf numFmtId="166" fontId="0" fillId="2" borderId="15" xfId="8" applyNumberFormat="1" applyFont="1" applyFill="1" applyBorder="1" applyAlignment="1" applyProtection="1">
      <alignment horizontal="right"/>
    </xf>
    <xf numFmtId="166" fontId="0" fillId="7" borderId="15" xfId="0" applyNumberFormat="1" applyFill="1" applyBorder="1" applyAlignment="1">
      <alignment horizontal="right"/>
    </xf>
    <xf numFmtId="166" fontId="34" fillId="2" borderId="3" xfId="0" applyNumberFormat="1" applyFont="1" applyFill="1" applyBorder="1"/>
    <xf numFmtId="166" fontId="43" fillId="2" borderId="3" xfId="0" applyNumberFormat="1" applyFont="1" applyFill="1" applyBorder="1"/>
    <xf numFmtId="166" fontId="0" fillId="2" borderId="3" xfId="0" applyNumberFormat="1" applyFill="1" applyBorder="1" applyAlignment="1">
      <alignment horizontal="right"/>
    </xf>
    <xf numFmtId="166" fontId="15" fillId="7" borderId="0" xfId="0" applyNumberFormat="1" applyFont="1" applyFill="1" applyAlignment="1">
      <alignment horizontal="right"/>
    </xf>
    <xf numFmtId="166" fontId="24" fillId="0" borderId="0" xfId="0" applyNumberFormat="1" applyFont="1" applyAlignment="1">
      <alignment horizontal="right"/>
    </xf>
    <xf numFmtId="166" fontId="0" fillId="7" borderId="0" xfId="0" applyNumberFormat="1" applyFill="1" applyAlignment="1">
      <alignment horizontal="right"/>
    </xf>
    <xf numFmtId="166" fontId="11" fillId="7" borderId="0" xfId="0" applyNumberFormat="1" applyFont="1" applyFill="1"/>
    <xf numFmtId="166" fontId="0" fillId="2" borderId="0" xfId="0" quotePrefix="1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15" fillId="2" borderId="3" xfId="0" applyNumberFormat="1" applyFont="1" applyFill="1" applyBorder="1" applyAlignment="1">
      <alignment horizontal="right"/>
    </xf>
    <xf numFmtId="166" fontId="0" fillId="6" borderId="0" xfId="0" applyNumberFormat="1" applyFill="1"/>
    <xf numFmtId="166" fontId="15" fillId="2" borderId="0" xfId="0" applyNumberFormat="1" applyFont="1" applyFill="1" applyAlignment="1" applyProtection="1">
      <alignment horizontal="right"/>
      <protection locked="0"/>
    </xf>
    <xf numFmtId="168" fontId="0" fillId="6" borderId="4" xfId="0" applyNumberFormat="1" applyFill="1" applyBorder="1" applyAlignment="1">
      <alignment horizontal="center"/>
    </xf>
    <xf numFmtId="168" fontId="0" fillId="6" borderId="27" xfId="0" applyNumberFormat="1" applyFill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quotePrefix="1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0" xfId="0" applyNumberFormat="1"/>
    <xf numFmtId="168" fontId="0" fillId="0" borderId="0" xfId="0" quotePrefix="1" applyNumberFormat="1" applyAlignment="1">
      <alignment horizontal="center"/>
    </xf>
    <xf numFmtId="168" fontId="0" fillId="6" borderId="2" xfId="0" applyNumberFormat="1" applyFill="1" applyBorder="1" applyAlignment="1">
      <alignment horizontal="center"/>
    </xf>
    <xf numFmtId="168" fontId="0" fillId="6" borderId="30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0" borderId="6" xfId="0" quotePrefix="1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2" borderId="9" xfId="0" quotePrefix="1" applyNumberFormat="1" applyFill="1" applyBorder="1" applyAlignment="1">
      <alignment horizontal="center"/>
    </xf>
    <xf numFmtId="168" fontId="25" fillId="0" borderId="0" xfId="0" applyNumberFormat="1" applyFont="1"/>
    <xf numFmtId="168" fontId="32" fillId="0" borderId="0" xfId="8" applyNumberFormat="1" applyFont="1" applyFill="1" applyBorder="1" applyAlignment="1" applyProtection="1">
      <alignment horizontal="center"/>
    </xf>
    <xf numFmtId="168" fontId="32" fillId="0" borderId="0" xfId="0" applyNumberFormat="1" applyFont="1" applyAlignment="1">
      <alignment horizontal="center"/>
    </xf>
    <xf numFmtId="168" fontId="32" fillId="0" borderId="6" xfId="0" applyNumberFormat="1" applyFont="1" applyBorder="1" applyAlignment="1">
      <alignment horizontal="center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9" xfId="0" applyNumberFormat="1" applyBorder="1" applyAlignment="1" applyProtection="1">
      <alignment horizontal="center"/>
      <protection locked="0"/>
    </xf>
    <xf numFmtId="168" fontId="25" fillId="0" borderId="0" xfId="0" applyNumberFormat="1" applyFont="1" applyAlignment="1">
      <alignment horizontal="center"/>
    </xf>
    <xf numFmtId="168" fontId="34" fillId="10" borderId="0" xfId="0" quotePrefix="1" applyNumberFormat="1" applyFont="1" applyFill="1" applyAlignment="1">
      <alignment horizontal="center"/>
    </xf>
    <xf numFmtId="168" fontId="0" fillId="10" borderId="0" xfId="0" quotePrefix="1" applyNumberFormat="1" applyFill="1" applyAlignment="1">
      <alignment horizontal="center"/>
    </xf>
    <xf numFmtId="168" fontId="13" fillId="0" borderId="4" xfId="0" applyNumberFormat="1" applyFont="1" applyBorder="1" applyAlignment="1">
      <alignment horizontal="center"/>
    </xf>
    <xf numFmtId="168" fontId="38" fillId="0" borderId="0" xfId="8" applyNumberFormat="1" applyFont="1" applyFill="1" applyBorder="1" applyAlignment="1" applyProtection="1">
      <alignment horizontal="center"/>
    </xf>
    <xf numFmtId="164" fontId="32" fillId="10" borderId="17" xfId="0" applyFont="1" applyFill="1" applyBorder="1" applyAlignment="1">
      <alignment horizontal="left" vertical="center"/>
    </xf>
    <xf numFmtId="165" fontId="32" fillId="10" borderId="17" xfId="0" applyNumberFormat="1" applyFont="1" applyFill="1" applyBorder="1" applyAlignment="1">
      <alignment horizontal="right" vertical="center"/>
    </xf>
    <xf numFmtId="165" fontId="34" fillId="10" borderId="17" xfId="8" quotePrefix="1" applyNumberFormat="1" applyFont="1" applyFill="1" applyBorder="1" applyAlignment="1" applyProtection="1">
      <alignment horizontal="left" vertical="center" wrapText="1"/>
    </xf>
    <xf numFmtId="165" fontId="34" fillId="10" borderId="17" xfId="8" applyNumberFormat="1" applyFont="1" applyFill="1" applyBorder="1" applyAlignment="1" applyProtection="1">
      <alignment horizontal="right" vertical="center"/>
    </xf>
    <xf numFmtId="165" fontId="34" fillId="10" borderId="17" xfId="0" applyNumberFormat="1" applyFont="1" applyFill="1" applyBorder="1" applyAlignment="1">
      <alignment horizontal="right" vertical="center"/>
    </xf>
    <xf numFmtId="164" fontId="25" fillId="2" borderId="0" xfId="0" applyFont="1" applyFill="1" applyAlignment="1">
      <alignment horizontal="left"/>
    </xf>
    <xf numFmtId="166" fontId="46" fillId="2" borderId="6" xfId="0" applyNumberFormat="1" applyFont="1" applyFill="1" applyBorder="1" applyAlignment="1">
      <alignment horizontal="center" vertical="center" wrapText="1"/>
    </xf>
    <xf numFmtId="166" fontId="46" fillId="2" borderId="2" xfId="0" applyNumberFormat="1" applyFont="1" applyFill="1" applyBorder="1" applyAlignment="1">
      <alignment horizontal="center"/>
    </xf>
    <xf numFmtId="166" fontId="46" fillId="2" borderId="0" xfId="0" applyNumberFormat="1" applyFont="1" applyFill="1"/>
    <xf numFmtId="166" fontId="46" fillId="2" borderId="6" xfId="0" applyNumberFormat="1" applyFont="1" applyFill="1" applyBorder="1" applyAlignment="1">
      <alignment horizontal="right"/>
    </xf>
    <xf numFmtId="166" fontId="46" fillId="0" borderId="0" xfId="0" applyNumberFormat="1" applyFont="1"/>
    <xf numFmtId="166" fontId="0" fillId="2" borderId="0" xfId="0" applyNumberFormat="1" applyFill="1" applyAlignment="1">
      <alignment vertical="center"/>
    </xf>
    <xf numFmtId="168" fontId="0" fillId="8" borderId="10" xfId="0" applyNumberFormat="1" applyFill="1" applyBorder="1" applyAlignment="1">
      <alignment horizontal="center" wrapText="1"/>
    </xf>
    <xf numFmtId="168" fontId="0" fillId="8" borderId="0" xfId="0" applyNumberFormat="1" applyFill="1" applyAlignment="1">
      <alignment horizontal="center"/>
    </xf>
    <xf numFmtId="164" fontId="46" fillId="2" borderId="6" xfId="0" applyFont="1" applyFill="1" applyBorder="1" applyAlignment="1">
      <alignment horizontal="right"/>
    </xf>
    <xf numFmtId="164" fontId="47" fillId="8" borderId="6" xfId="0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 vertical="center"/>
    </xf>
    <xf numFmtId="166" fontId="47" fillId="8" borderId="6" xfId="0" applyNumberFormat="1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/>
    </xf>
    <xf numFmtId="166" fontId="47" fillId="8" borderId="6" xfId="0" applyNumberFormat="1" applyFont="1" applyFill="1" applyBorder="1"/>
    <xf numFmtId="166" fontId="47" fillId="8" borderId="6" xfId="0" applyNumberFormat="1" applyFont="1" applyFill="1" applyBorder="1" applyProtection="1">
      <protection locked="0"/>
    </xf>
    <xf numFmtId="166" fontId="48" fillId="8" borderId="6" xfId="0" applyNumberFormat="1" applyFont="1" applyFill="1" applyBorder="1" applyProtection="1">
      <protection locked="0"/>
    </xf>
    <xf numFmtId="164" fontId="47" fillId="2" borderId="0" xfId="0" applyFont="1" applyFill="1"/>
    <xf numFmtId="164" fontId="49" fillId="2" borderId="0" xfId="1" applyNumberFormat="1" applyFont="1" applyFill="1" applyAlignment="1" applyProtection="1">
      <alignment horizontal="left"/>
    </xf>
    <xf numFmtId="168" fontId="50" fillId="2" borderId="0" xfId="0" applyNumberFormat="1" applyFont="1" applyFill="1" applyAlignment="1">
      <alignment horizontal="center"/>
    </xf>
    <xf numFmtId="168" fontId="50" fillId="7" borderId="0" xfId="0" applyNumberFormat="1" applyFont="1" applyFill="1" applyAlignment="1">
      <alignment horizontal="center"/>
    </xf>
    <xf numFmtId="11" fontId="50" fillId="2" borderId="0" xfId="0" applyNumberFormat="1" applyFont="1" applyFill="1" applyAlignment="1">
      <alignment horizontal="center"/>
    </xf>
    <xf numFmtId="168" fontId="50" fillId="2" borderId="0" xfId="0" quotePrefix="1" applyNumberFormat="1" applyFont="1" applyFill="1" applyAlignment="1">
      <alignment horizontal="center"/>
    </xf>
    <xf numFmtId="11" fontId="50" fillId="2" borderId="0" xfId="0" quotePrefix="1" applyNumberFormat="1" applyFont="1" applyFill="1" applyAlignment="1">
      <alignment horizontal="center"/>
    </xf>
    <xf numFmtId="168" fontId="50" fillId="2" borderId="8" xfId="0" applyNumberFormat="1" applyFont="1" applyFill="1" applyBorder="1" applyAlignment="1">
      <alignment horizontal="center"/>
    </xf>
    <xf numFmtId="168" fontId="50" fillId="2" borderId="8" xfId="0" quotePrefix="1" applyNumberFormat="1" applyFont="1" applyFill="1" applyBorder="1" applyAlignment="1">
      <alignment horizontal="center"/>
    </xf>
    <xf numFmtId="11" fontId="50" fillId="2" borderId="8" xfId="0" applyNumberFormat="1" applyFont="1" applyFill="1" applyBorder="1" applyAlignment="1">
      <alignment horizontal="center"/>
    </xf>
    <xf numFmtId="164" fontId="52" fillId="2" borderId="0" xfId="0" applyFont="1" applyFill="1" applyAlignment="1">
      <alignment horizontal="left"/>
    </xf>
    <xf numFmtId="164" fontId="53" fillId="2" borderId="0" xfId="0" applyFont="1" applyFill="1" applyAlignment="1">
      <alignment horizontal="left"/>
    </xf>
    <xf numFmtId="164" fontId="29" fillId="2" borderId="0" xfId="0" applyFont="1" applyFill="1" applyAlignment="1">
      <alignment horizontal="left"/>
    </xf>
    <xf numFmtId="164" fontId="12" fillId="0" borderId="0" xfId="0" quotePrefix="1" applyFont="1" applyAlignment="1">
      <alignment horizontal="left"/>
    </xf>
    <xf numFmtId="168" fontId="32" fillId="0" borderId="6" xfId="8" applyNumberFormat="1" applyFont="1" applyFill="1" applyBorder="1" applyAlignment="1" applyProtection="1">
      <alignment horizontal="center"/>
    </xf>
    <xf numFmtId="166" fontId="32" fillId="8" borderId="6" xfId="0" applyNumberFormat="1" applyFont="1" applyFill="1" applyBorder="1" applyAlignment="1">
      <alignment horizontal="right"/>
    </xf>
    <xf numFmtId="168" fontId="0" fillId="2" borderId="8" xfId="0" applyNumberFormat="1" applyFill="1" applyBorder="1" applyAlignment="1">
      <alignment horizontal="center" vertical="center" wrapText="1"/>
    </xf>
    <xf numFmtId="168" fontId="0" fillId="2" borderId="0" xfId="0" applyNumberFormat="1" applyFill="1" applyAlignment="1">
      <alignment horizontal="right" vertical="center" wrapText="1"/>
    </xf>
    <xf numFmtId="168" fontId="37" fillId="2" borderId="15" xfId="0" applyNumberFormat="1" applyFont="1" applyFill="1" applyBorder="1" applyAlignment="1">
      <alignment horizontal="center" vertical="center" wrapText="1"/>
    </xf>
    <xf numFmtId="168" fontId="37" fillId="2" borderId="15" xfId="0" applyNumberFormat="1" applyFont="1" applyFill="1" applyBorder="1" applyAlignment="1">
      <alignment horizontal="center"/>
    </xf>
    <xf numFmtId="168" fontId="37" fillId="2" borderId="15" xfId="0" applyNumberFormat="1" applyFont="1" applyFill="1" applyBorder="1" applyAlignment="1">
      <alignment horizontal="right" vertical="center" wrapText="1"/>
    </xf>
    <xf numFmtId="168" fontId="37" fillId="2" borderId="3" xfId="0" applyNumberFormat="1" applyFont="1" applyFill="1" applyBorder="1" applyAlignment="1">
      <alignment horizontal="center" vertical="center" wrapText="1"/>
    </xf>
    <xf numFmtId="168" fontId="37" fillId="2" borderId="3" xfId="0" applyNumberFormat="1" applyFont="1" applyFill="1" applyBorder="1" applyAlignment="1">
      <alignment horizontal="center"/>
    </xf>
    <xf numFmtId="168" fontId="37" fillId="2" borderId="0" xfId="0" applyNumberFormat="1" applyFont="1" applyFill="1" applyAlignment="1">
      <alignment horizontal="right" vertical="center"/>
    </xf>
    <xf numFmtId="168" fontId="37" fillId="2" borderId="2" xfId="0" applyNumberFormat="1" applyFont="1" applyFill="1" applyBorder="1"/>
    <xf numFmtId="168" fontId="37" fillId="2" borderId="30" xfId="0" applyNumberFormat="1" applyFont="1" applyFill="1" applyBorder="1"/>
    <xf numFmtId="168" fontId="37" fillId="2" borderId="0" xfId="0" applyNumberFormat="1" applyFont="1" applyFill="1" applyAlignment="1">
      <alignment horizontal="left"/>
    </xf>
    <xf numFmtId="168" fontId="37" fillId="2" borderId="0" xfId="0" applyNumberFormat="1" applyFont="1" applyFill="1" applyAlignment="1">
      <alignment horizontal="right"/>
    </xf>
    <xf numFmtId="168" fontId="37" fillId="2" borderId="0" xfId="0" applyNumberFormat="1" applyFont="1" applyFill="1"/>
    <xf numFmtId="168" fontId="37" fillId="2" borderId="3" xfId="0" applyNumberFormat="1" applyFont="1" applyFill="1" applyBorder="1" applyAlignment="1">
      <alignment horizontal="left"/>
    </xf>
    <xf numFmtId="168" fontId="37" fillId="2" borderId="2" xfId="0" applyNumberFormat="1" applyFont="1" applyFill="1" applyBorder="1" applyAlignment="1">
      <alignment horizontal="left"/>
    </xf>
    <xf numFmtId="168" fontId="37" fillId="2" borderId="0" xfId="0" applyNumberFormat="1" applyFont="1" applyFill="1" applyAlignment="1">
      <alignment horizontal="left" vertical="center"/>
    </xf>
    <xf numFmtId="168" fontId="37" fillId="7" borderId="15" xfId="0" applyNumberFormat="1" applyFont="1" applyFill="1" applyBorder="1" applyAlignment="1">
      <alignment horizontal="center"/>
    </xf>
    <xf numFmtId="168" fontId="37" fillId="2" borderId="3" xfId="0" applyNumberFormat="1" applyFont="1" applyFill="1" applyBorder="1"/>
    <xf numFmtId="168" fontId="37" fillId="2" borderId="4" xfId="0" applyNumberFormat="1" applyFont="1" applyFill="1" applyBorder="1" applyAlignment="1">
      <alignment horizontal="left"/>
    </xf>
    <xf numFmtId="168" fontId="37" fillId="2" borderId="0" xfId="0" applyNumberFormat="1" applyFont="1" applyFill="1" applyAlignment="1">
      <alignment vertical="center"/>
    </xf>
    <xf numFmtId="168" fontId="37" fillId="2" borderId="8" xfId="0" applyNumberFormat="1" applyFont="1" applyFill="1" applyBorder="1" applyAlignment="1">
      <alignment horizontal="center"/>
    </xf>
    <xf numFmtId="166" fontId="37" fillId="2" borderId="0" xfId="0" applyNumberFormat="1" applyFont="1" applyFill="1" applyAlignment="1">
      <alignment horizontal="center"/>
    </xf>
    <xf numFmtId="0" fontId="37" fillId="2" borderId="15" xfId="0" applyNumberFormat="1" applyFont="1" applyFill="1" applyBorder="1" applyAlignment="1">
      <alignment horizontal="center"/>
    </xf>
    <xf numFmtId="166" fontId="0" fillId="7" borderId="0" xfId="0" applyNumberFormat="1" applyFill="1" applyAlignment="1" applyProtection="1">
      <alignment horizontal="right"/>
      <protection locked="0"/>
    </xf>
    <xf numFmtId="168" fontId="0" fillId="11" borderId="0" xfId="0" applyNumberFormat="1" applyFill="1" applyAlignment="1">
      <alignment horizontal="right"/>
    </xf>
    <xf numFmtId="168" fontId="0" fillId="2" borderId="10" xfId="0" quotePrefix="1" applyNumberFormat="1" applyFill="1" applyBorder="1" applyAlignment="1">
      <alignment horizontal="center" vertical="center" wrapText="1"/>
    </xf>
    <xf numFmtId="0" fontId="25" fillId="0" borderId="0" xfId="0" applyNumberFormat="1" applyFont="1"/>
    <xf numFmtId="166" fontId="0" fillId="7" borderId="3" xfId="0" applyNumberFormat="1" applyFill="1" applyBorder="1" applyAlignment="1" applyProtection="1">
      <alignment horizontal="right"/>
      <protection locked="0"/>
    </xf>
    <xf numFmtId="166" fontId="34" fillId="2" borderId="15" xfId="0" applyNumberFormat="1" applyFont="1" applyFill="1" applyBorder="1"/>
    <xf numFmtId="166" fontId="0" fillId="7" borderId="15" xfId="8" applyNumberFormat="1" applyFont="1" applyFill="1" applyBorder="1" applyAlignment="1" applyProtection="1">
      <alignment horizontal="right"/>
    </xf>
    <xf numFmtId="166" fontId="34" fillId="2" borderId="15" xfId="0" applyNumberFormat="1" applyFont="1" applyFill="1" applyBorder="1" applyAlignment="1">
      <alignment horizontal="right"/>
    </xf>
    <xf numFmtId="166" fontId="34" fillId="7" borderId="15" xfId="0" applyNumberFormat="1" applyFont="1" applyFill="1" applyBorder="1" applyAlignment="1">
      <alignment horizontal="right"/>
    </xf>
    <xf numFmtId="164" fontId="34" fillId="2" borderId="0" xfId="0" applyFont="1" applyFill="1" applyAlignment="1">
      <alignment horizontal="left"/>
    </xf>
    <xf numFmtId="164" fontId="36" fillId="2" borderId="0" xfId="0" applyFont="1" applyFill="1" applyAlignment="1">
      <alignment horizontal="left"/>
    </xf>
    <xf numFmtId="169" fontId="25" fillId="0" borderId="0" xfId="0" applyNumberFormat="1" applyFont="1"/>
    <xf numFmtId="169" fontId="0" fillId="0" borderId="0" xfId="0" applyNumberFormat="1"/>
    <xf numFmtId="166" fontId="15" fillId="7" borderId="0" xfId="0" applyNumberFormat="1" applyFont="1" applyFill="1" applyAlignment="1" applyProtection="1">
      <alignment horizontal="right"/>
      <protection locked="0"/>
    </xf>
    <xf numFmtId="166" fontId="0" fillId="8" borderId="6" xfId="0" applyNumberFormat="1" applyFill="1" applyBorder="1" applyProtection="1">
      <protection locked="0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/>
    </xf>
    <xf numFmtId="166" fontId="37" fillId="2" borderId="3" xfId="0" applyNumberFormat="1" applyFont="1" applyFill="1" applyBorder="1" applyAlignment="1">
      <alignment horizontal="center" vertical="center" wrapText="1"/>
    </xf>
    <xf numFmtId="166" fontId="37" fillId="2" borderId="3" xfId="0" applyNumberFormat="1" applyFont="1" applyFill="1" applyBorder="1" applyAlignment="1">
      <alignment horizontal="center"/>
    </xf>
    <xf numFmtId="166" fontId="37" fillId="2" borderId="0" xfId="0" applyNumberFormat="1" applyFont="1" applyFill="1" applyAlignment="1">
      <alignment horizontal="right" vertical="center"/>
    </xf>
    <xf numFmtId="166" fontId="37" fillId="2" borderId="2" xfId="0" applyNumberFormat="1" applyFont="1" applyFill="1" applyBorder="1"/>
    <xf numFmtId="166" fontId="37" fillId="2" borderId="0" xfId="0" applyNumberFormat="1" applyFont="1" applyFill="1" applyAlignment="1">
      <alignment horizontal="left"/>
    </xf>
    <xf numFmtId="166" fontId="37" fillId="2" borderId="0" xfId="0" applyNumberFormat="1" applyFont="1" applyFill="1" applyAlignment="1">
      <alignment horizontal="right"/>
    </xf>
    <xf numFmtId="166" fontId="37" fillId="2" borderId="0" xfId="0" applyNumberFormat="1" applyFont="1" applyFill="1"/>
    <xf numFmtId="166" fontId="37" fillId="2" borderId="3" xfId="0" applyNumberFormat="1" applyFont="1" applyFill="1" applyBorder="1" applyAlignment="1">
      <alignment horizontal="left"/>
    </xf>
    <xf numFmtId="166" fontId="37" fillId="2" borderId="2" xfId="0" applyNumberFormat="1" applyFont="1" applyFill="1" applyBorder="1" applyAlignment="1">
      <alignment horizontal="left"/>
    </xf>
    <xf numFmtId="166" fontId="37" fillId="2" borderId="0" xfId="0" applyNumberFormat="1" applyFont="1" applyFill="1" applyAlignment="1">
      <alignment horizontal="left" vertical="center"/>
    </xf>
    <xf numFmtId="166" fontId="37" fillId="2" borderId="3" xfId="0" applyNumberFormat="1" applyFont="1" applyFill="1" applyBorder="1"/>
    <xf numFmtId="166" fontId="37" fillId="2" borderId="4" xfId="0" applyNumberFormat="1" applyFont="1" applyFill="1" applyBorder="1" applyAlignment="1">
      <alignment horizontal="left"/>
    </xf>
    <xf numFmtId="166" fontId="37" fillId="2" borderId="0" xfId="0" applyNumberFormat="1" applyFont="1" applyFill="1" applyAlignment="1">
      <alignment vertical="center"/>
    </xf>
    <xf numFmtId="166" fontId="37" fillId="2" borderId="8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4" fontId="43" fillId="2" borderId="0" xfId="0" applyFont="1" applyFill="1"/>
    <xf numFmtId="164" fontId="43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37" fillId="2" borderId="15" xfId="0" applyNumberFormat="1" applyFont="1" applyFill="1" applyBorder="1" applyAlignment="1">
      <alignment horizontal="right" vertical="center" wrapText="1"/>
    </xf>
    <xf numFmtId="166" fontId="37" fillId="2" borderId="30" xfId="0" applyNumberFormat="1" applyFont="1" applyFill="1" applyBorder="1"/>
    <xf numFmtId="168" fontId="37" fillId="2" borderId="6" xfId="0" applyNumberFormat="1" applyFont="1" applyFill="1" applyBorder="1" applyAlignment="1">
      <alignment horizontal="center"/>
    </xf>
    <xf numFmtId="166" fontId="55" fillId="2" borderId="0" xfId="0" applyNumberFormat="1" applyFont="1" applyFill="1"/>
    <xf numFmtId="166" fontId="50" fillId="2" borderId="6" xfId="0" applyNumberFormat="1" applyFont="1" applyFill="1" applyBorder="1" applyAlignment="1">
      <alignment horizontal="right"/>
    </xf>
    <xf numFmtId="166" fontId="0" fillId="8" borderId="10" xfId="0" applyNumberFormat="1" applyFill="1" applyBorder="1" applyAlignment="1">
      <alignment vertical="center" wrapText="1"/>
    </xf>
    <xf numFmtId="166" fontId="55" fillId="8" borderId="6" xfId="0" applyNumberFormat="1" applyFont="1" applyFill="1" applyBorder="1" applyProtection="1">
      <protection locked="0"/>
    </xf>
    <xf numFmtId="166" fontId="55" fillId="2" borderId="0" xfId="0" quotePrefix="1" applyNumberFormat="1" applyFont="1" applyFill="1"/>
    <xf numFmtId="166" fontId="55" fillId="2" borderId="3" xfId="0" applyNumberFormat="1" applyFont="1" applyFill="1" applyBorder="1"/>
    <xf numFmtId="166" fontId="55" fillId="2" borderId="0" xfId="0" applyNumberFormat="1" applyFont="1" applyFill="1" applyAlignment="1">
      <alignment vertical="center"/>
    </xf>
    <xf numFmtId="166" fontId="0" fillId="2" borderId="8" xfId="0" applyNumberFormat="1" applyFill="1" applyBorder="1"/>
    <xf numFmtId="166" fontId="37" fillId="0" borderId="0" xfId="0" applyNumberFormat="1" applyFont="1"/>
    <xf numFmtId="171" fontId="32" fillId="0" borderId="0" xfId="8" applyNumberFormat="1" applyFont="1" applyFill="1" applyBorder="1" applyAlignment="1" applyProtection="1">
      <alignment horizontal="center"/>
    </xf>
    <xf numFmtId="171" fontId="32" fillId="0" borderId="6" xfId="8" applyNumberFormat="1" applyFont="1" applyFill="1" applyBorder="1" applyAlignment="1" applyProtection="1">
      <alignment horizontal="center"/>
    </xf>
    <xf numFmtId="172" fontId="13" fillId="0" borderId="0" xfId="0" applyNumberFormat="1" applyFont="1" applyAlignment="1">
      <alignment horizontal="left"/>
    </xf>
    <xf numFmtId="11" fontId="0" fillId="0" borderId="0" xfId="0" applyNumberFormat="1" applyAlignment="1">
      <alignment horizontal="right"/>
    </xf>
    <xf numFmtId="2" fontId="11" fillId="0" borderId="0" xfId="0" applyNumberFormat="1" applyFont="1" applyAlignment="1">
      <alignment horizontal="center"/>
    </xf>
    <xf numFmtId="164" fontId="0" fillId="12" borderId="0" xfId="0" applyFill="1"/>
    <xf numFmtId="164" fontId="43" fillId="2" borderId="0" xfId="0" applyFont="1" applyFill="1" applyAlignment="1">
      <alignment horizontal="left"/>
    </xf>
    <xf numFmtId="168" fontId="43" fillId="2" borderId="0" xfId="0" applyNumberFormat="1" applyFont="1" applyFill="1" applyAlignment="1">
      <alignment horizontal="right"/>
    </xf>
    <xf numFmtId="168" fontId="43" fillId="2" borderId="0" xfId="0" applyNumberFormat="1" applyFont="1" applyFill="1"/>
    <xf numFmtId="165" fontId="43" fillId="2" borderId="0" xfId="0" applyNumberFormat="1" applyFont="1" applyFill="1" applyAlignment="1">
      <alignment horizontal="right"/>
    </xf>
    <xf numFmtId="164" fontId="43" fillId="2" borderId="2" xfId="0" applyFont="1" applyFill="1" applyBorder="1"/>
    <xf numFmtId="164" fontId="43" fillId="2" borderId="2" xfId="0" applyFont="1" applyFill="1" applyBorder="1" applyAlignment="1">
      <alignment horizontal="left"/>
    </xf>
    <xf numFmtId="168" fontId="43" fillId="2" borderId="2" xfId="0" applyNumberFormat="1" applyFont="1" applyFill="1" applyBorder="1"/>
    <xf numFmtId="168" fontId="43" fillId="2" borderId="2" xfId="0" applyNumberFormat="1" applyFont="1" applyFill="1" applyBorder="1" applyAlignment="1">
      <alignment horizontal="center"/>
    </xf>
    <xf numFmtId="165" fontId="43" fillId="2" borderId="0" xfId="0" applyNumberFormat="1" applyFont="1" applyFill="1" applyAlignment="1">
      <alignment horizontal="left"/>
    </xf>
    <xf numFmtId="164" fontId="58" fillId="2" borderId="0" xfId="0" applyFont="1" applyFill="1"/>
    <xf numFmtId="164" fontId="59" fillId="2" borderId="0" xfId="0" applyFont="1" applyFill="1" applyAlignment="1">
      <alignment horizontal="left"/>
    </xf>
    <xf numFmtId="166" fontId="59" fillId="2" borderId="15" xfId="0" applyNumberFormat="1" applyFont="1" applyFill="1" applyBorder="1" applyAlignment="1">
      <alignment horizontal="right"/>
    </xf>
    <xf numFmtId="166" fontId="32" fillId="11" borderId="0" xfId="0" applyNumberFormat="1" applyFont="1" applyFill="1" applyAlignment="1">
      <alignment horizontal="right"/>
    </xf>
    <xf numFmtId="164" fontId="59" fillId="2" borderId="0" xfId="0" applyFont="1" applyFill="1"/>
    <xf numFmtId="164" fontId="59" fillId="2" borderId="0" xfId="0" quotePrefix="1" applyFont="1" applyFill="1" applyAlignment="1">
      <alignment horizontal="left"/>
    </xf>
    <xf numFmtId="164" fontId="43" fillId="2" borderId="3" xfId="0" applyFont="1" applyFill="1" applyBorder="1"/>
    <xf numFmtId="164" fontId="43" fillId="2" borderId="3" xfId="0" applyFont="1" applyFill="1" applyBorder="1" applyAlignment="1">
      <alignment horizontal="left"/>
    </xf>
    <xf numFmtId="168" fontId="56" fillId="2" borderId="3" xfId="0" applyNumberFormat="1" applyFont="1" applyFill="1" applyBorder="1"/>
    <xf numFmtId="168" fontId="43" fillId="2" borderId="3" xfId="0" applyNumberFormat="1" applyFont="1" applyFill="1" applyBorder="1"/>
    <xf numFmtId="166" fontId="43" fillId="2" borderId="3" xfId="0" applyNumberFormat="1" applyFont="1" applyFill="1" applyBorder="1" applyAlignment="1">
      <alignment horizontal="right"/>
    </xf>
    <xf numFmtId="168" fontId="43" fillId="2" borderId="3" xfId="0" applyNumberFormat="1" applyFont="1" applyFill="1" applyBorder="1" applyAlignment="1">
      <alignment horizontal="right"/>
    </xf>
    <xf numFmtId="168" fontId="56" fillId="2" borderId="0" xfId="0" applyNumberFormat="1" applyFont="1" applyFill="1"/>
    <xf numFmtId="166" fontId="43" fillId="2" borderId="0" xfId="0" applyNumberFormat="1" applyFont="1" applyFill="1" applyAlignment="1">
      <alignment horizontal="right"/>
    </xf>
    <xf numFmtId="164" fontId="43" fillId="0" borderId="0" xfId="0" applyFont="1" applyAlignment="1">
      <alignment horizontal="left"/>
    </xf>
    <xf numFmtId="168" fontId="43" fillId="0" borderId="0" xfId="0" applyNumberFormat="1" applyFont="1" applyAlignment="1">
      <alignment horizontal="right"/>
    </xf>
    <xf numFmtId="165" fontId="43" fillId="0" borderId="0" xfId="0" applyNumberFormat="1" applyFont="1" applyAlignment="1">
      <alignment horizontal="right"/>
    </xf>
    <xf numFmtId="164" fontId="61" fillId="2" borderId="0" xfId="0" applyFont="1" applyFill="1"/>
    <xf numFmtId="164" fontId="62" fillId="2" borderId="0" xfId="0" applyFont="1" applyFill="1"/>
    <xf numFmtId="164" fontId="62" fillId="2" borderId="0" xfId="0" applyFont="1" applyFill="1" applyAlignment="1">
      <alignment horizontal="left"/>
    </xf>
    <xf numFmtId="165" fontId="62" fillId="2" borderId="0" xfId="0" applyNumberFormat="1" applyFont="1" applyFill="1" applyAlignment="1">
      <alignment horizontal="left"/>
    </xf>
    <xf numFmtId="165" fontId="62" fillId="2" borderId="0" xfId="0" quotePrefix="1" applyNumberFormat="1" applyFont="1" applyFill="1" applyAlignment="1">
      <alignment horizontal="left"/>
    </xf>
    <xf numFmtId="164" fontId="62" fillId="2" borderId="0" xfId="0" quotePrefix="1" applyFont="1" applyFill="1" applyAlignment="1">
      <alignment horizontal="left"/>
    </xf>
    <xf numFmtId="164" fontId="36" fillId="2" borderId="0" xfId="0" applyFont="1" applyFill="1"/>
    <xf numFmtId="166" fontId="62" fillId="2" borderId="15" xfId="0" applyNumberFormat="1" applyFont="1" applyFill="1" applyBorder="1" applyAlignment="1">
      <alignment horizontal="right"/>
    </xf>
    <xf numFmtId="166" fontId="36" fillId="11" borderId="0" xfId="0" applyNumberFormat="1" applyFont="1" applyFill="1" applyAlignment="1">
      <alignment horizontal="right"/>
    </xf>
    <xf numFmtId="166" fontId="36" fillId="2" borderId="0" xfId="0" applyNumberFormat="1" applyFont="1" applyFill="1" applyAlignment="1">
      <alignment horizontal="center"/>
    </xf>
    <xf numFmtId="166" fontId="36" fillId="2" borderId="0" xfId="0" applyNumberFormat="1" applyFont="1" applyFill="1"/>
    <xf numFmtId="173" fontId="55" fillId="8" borderId="6" xfId="8" applyNumberFormat="1" applyFont="1" applyFill="1" applyBorder="1" applyAlignment="1" applyProtection="1">
      <protection locked="0"/>
    </xf>
    <xf numFmtId="166" fontId="0" fillId="2" borderId="0" xfId="0" applyNumberFormat="1" applyFill="1" applyAlignment="1" applyProtection="1">
      <alignment horizontal="right" vertical="center" wrapText="1"/>
      <protection locked="0"/>
    </xf>
    <xf numFmtId="164" fontId="0" fillId="2" borderId="5" xfId="0" applyFill="1" applyBorder="1"/>
    <xf numFmtId="166" fontId="0" fillId="2" borderId="5" xfId="0" applyNumberFormat="1" applyFill="1" applyBorder="1" applyAlignment="1">
      <alignment horizontal="right" vertical="center"/>
    </xf>
    <xf numFmtId="166" fontId="0" fillId="2" borderId="5" xfId="0" applyNumberFormat="1" applyFill="1" applyBorder="1"/>
    <xf numFmtId="166" fontId="0" fillId="2" borderId="5" xfId="0" applyNumberFormat="1" applyFill="1" applyBorder="1" applyAlignment="1">
      <alignment horizontal="right"/>
    </xf>
    <xf numFmtId="166" fontId="62" fillId="2" borderId="0" xfId="0" applyNumberFormat="1" applyFont="1" applyFill="1" applyAlignment="1">
      <alignment horizontal="right"/>
    </xf>
    <xf numFmtId="166" fontId="0" fillId="2" borderId="0" xfId="0" applyNumberFormat="1" applyFill="1" applyAlignment="1">
      <alignment horizontal="right" vertical="center"/>
    </xf>
    <xf numFmtId="164" fontId="36" fillId="2" borderId="0" xfId="0" quotePrefix="1" applyFont="1" applyFill="1" applyAlignment="1">
      <alignment horizontal="left"/>
    </xf>
    <xf numFmtId="164" fontId="64" fillId="2" borderId="0" xfId="0" applyFont="1" applyFill="1" applyAlignment="1">
      <alignment horizontal="left"/>
    </xf>
    <xf numFmtId="165" fontId="36" fillId="2" borderId="0" xfId="0" applyNumberFormat="1" applyFont="1" applyFill="1" applyAlignment="1">
      <alignment horizontal="left"/>
    </xf>
    <xf numFmtId="164" fontId="64" fillId="2" borderId="0" xfId="0" applyFont="1" applyFill="1"/>
    <xf numFmtId="164" fontId="36" fillId="2" borderId="2" xfId="0" applyFont="1" applyFill="1" applyBorder="1" applyAlignment="1">
      <alignment horizontal="left"/>
    </xf>
    <xf numFmtId="164" fontId="36" fillId="2" borderId="2" xfId="0" applyFont="1" applyFill="1" applyBorder="1"/>
    <xf numFmtId="164" fontId="65" fillId="2" borderId="0" xfId="0" quotePrefix="1" applyFont="1" applyFill="1" applyAlignment="1">
      <alignment horizontal="left"/>
    </xf>
    <xf numFmtId="164" fontId="62" fillId="2" borderId="2" xfId="0" applyFont="1" applyFill="1" applyBorder="1"/>
    <xf numFmtId="164" fontId="62" fillId="2" borderId="2" xfId="0" applyFont="1" applyFill="1" applyBorder="1" applyAlignment="1">
      <alignment horizontal="left"/>
    </xf>
    <xf numFmtId="165" fontId="36" fillId="2" borderId="0" xfId="0" quotePrefix="1" applyNumberFormat="1" applyFont="1" applyFill="1" applyAlignment="1">
      <alignment horizontal="left"/>
    </xf>
    <xf numFmtId="164" fontId="65" fillId="2" borderId="0" xfId="0" applyFont="1" applyFill="1"/>
    <xf numFmtId="164" fontId="36" fillId="2" borderId="3" xfId="0" applyFont="1" applyFill="1" applyBorder="1"/>
    <xf numFmtId="166" fontId="36" fillId="8" borderId="6" xfId="0" applyNumberFormat="1" applyFont="1" applyFill="1" applyBorder="1" applyAlignment="1">
      <alignment horizontal="right"/>
    </xf>
    <xf numFmtId="166" fontId="62" fillId="2" borderId="15" xfId="0" applyNumberFormat="1" applyFont="1" applyFill="1" applyBorder="1"/>
    <xf numFmtId="166" fontId="36" fillId="8" borderId="6" xfId="0" applyNumberFormat="1" applyFont="1" applyFill="1" applyBorder="1" applyProtection="1">
      <protection locked="0"/>
    </xf>
    <xf numFmtId="166" fontId="36" fillId="7" borderId="0" xfId="0" applyNumberFormat="1" applyFont="1" applyFill="1" applyAlignment="1" applyProtection="1">
      <alignment horizontal="right"/>
      <protection locked="0"/>
    </xf>
    <xf numFmtId="166" fontId="36" fillId="2" borderId="15" xfId="0" applyNumberFormat="1" applyFont="1" applyFill="1" applyBorder="1" applyAlignment="1">
      <alignment horizontal="right"/>
    </xf>
    <xf numFmtId="168" fontId="36" fillId="2" borderId="0" xfId="0" applyNumberFormat="1" applyFont="1" applyFill="1"/>
    <xf numFmtId="166" fontId="62" fillId="2" borderId="0" xfId="0" applyNumberFormat="1" applyFont="1" applyFill="1"/>
    <xf numFmtId="166" fontId="36" fillId="2" borderId="0" xfId="0" applyNumberFormat="1" applyFont="1" applyFill="1" applyAlignment="1">
      <alignment horizontal="right"/>
    </xf>
    <xf numFmtId="166" fontId="36" fillId="8" borderId="6" xfId="0" applyNumberFormat="1" applyFont="1" applyFill="1" applyBorder="1"/>
    <xf numFmtId="168" fontId="62" fillId="2" borderId="0" xfId="0" applyNumberFormat="1" applyFont="1" applyFill="1" applyAlignment="1">
      <alignment horizontal="right"/>
    </xf>
    <xf numFmtId="165" fontId="62" fillId="2" borderId="0" xfId="0" applyNumberFormat="1" applyFont="1" applyFill="1" applyAlignment="1">
      <alignment horizontal="right"/>
    </xf>
    <xf numFmtId="168" fontId="62" fillId="2" borderId="0" xfId="0" applyNumberFormat="1" applyFont="1" applyFill="1"/>
    <xf numFmtId="2" fontId="36" fillId="2" borderId="0" xfId="0" applyNumberFormat="1" applyFont="1" applyFill="1"/>
    <xf numFmtId="166" fontId="68" fillId="8" borderId="6" xfId="0" applyNumberFormat="1" applyFont="1" applyFill="1" applyBorder="1" applyProtection="1">
      <protection locked="0"/>
    </xf>
    <xf numFmtId="166" fontId="36" fillId="7" borderId="15" xfId="8" applyNumberFormat="1" applyFont="1" applyFill="1" applyBorder="1" applyAlignment="1" applyProtection="1">
      <alignment horizontal="right"/>
    </xf>
    <xf numFmtId="166" fontId="36" fillId="2" borderId="15" xfId="8" applyNumberFormat="1" applyFont="1" applyFill="1" applyBorder="1" applyAlignment="1" applyProtection="1">
      <alignment horizontal="right"/>
    </xf>
    <xf numFmtId="166" fontId="36" fillId="7" borderId="15" xfId="0" applyNumberFormat="1" applyFont="1" applyFill="1" applyBorder="1" applyAlignment="1">
      <alignment horizontal="right"/>
    </xf>
    <xf numFmtId="166" fontId="62" fillId="2" borderId="15" xfId="8" applyNumberFormat="1" applyFont="1" applyFill="1" applyBorder="1" applyAlignment="1" applyProtection="1">
      <alignment horizontal="right"/>
    </xf>
    <xf numFmtId="168" fontId="36" fillId="6" borderId="4" xfId="0" applyNumberFormat="1" applyFont="1" applyFill="1" applyBorder="1" applyAlignment="1">
      <alignment horizontal="center"/>
    </xf>
    <xf numFmtId="164" fontId="36" fillId="6" borderId="2" xfId="0" applyFont="1" applyFill="1" applyBorder="1" applyAlignment="1">
      <alignment horizontal="center"/>
    </xf>
    <xf numFmtId="168" fontId="36" fillId="6" borderId="2" xfId="0" applyNumberFormat="1" applyFont="1" applyFill="1" applyBorder="1" applyAlignment="1">
      <alignment horizontal="center"/>
    </xf>
    <xf numFmtId="168" fontId="36" fillId="0" borderId="4" xfId="0" applyNumberFormat="1" applyFont="1" applyBorder="1" applyAlignment="1">
      <alignment horizontal="center"/>
    </xf>
    <xf numFmtId="168" fontId="36" fillId="0" borderId="3" xfId="0" applyNumberFormat="1" applyFont="1" applyBorder="1" applyAlignment="1">
      <alignment horizontal="center"/>
    </xf>
    <xf numFmtId="164" fontId="36" fillId="0" borderId="5" xfId="0" applyFont="1" applyBorder="1" applyAlignment="1">
      <alignment horizontal="left"/>
    </xf>
    <xf numFmtId="168" fontId="36" fillId="2" borderId="0" xfId="0" quotePrefix="1" applyNumberFormat="1" applyFont="1" applyFill="1" applyAlignment="1">
      <alignment horizontal="center"/>
    </xf>
    <xf numFmtId="168" fontId="34" fillId="7" borderId="0" xfId="0" applyNumberFormat="1" applyFont="1" applyFill="1" applyAlignment="1">
      <alignment horizontal="center"/>
    </xf>
    <xf numFmtId="164" fontId="64" fillId="0" borderId="0" xfId="0" applyFont="1" applyAlignment="1">
      <alignment horizontal="right"/>
    </xf>
    <xf numFmtId="168" fontId="36" fillId="0" borderId="0" xfId="0" applyNumberFormat="1" applyFont="1" applyAlignment="1">
      <alignment horizontal="center"/>
    </xf>
    <xf numFmtId="168" fontId="36" fillId="0" borderId="6" xfId="0" applyNumberFormat="1" applyFont="1" applyBorder="1" applyAlignment="1">
      <alignment horizontal="center"/>
    </xf>
    <xf numFmtId="168" fontId="64" fillId="0" borderId="0" xfId="8" applyNumberFormat="1" applyFont="1" applyFill="1" applyBorder="1" applyAlignment="1" applyProtection="1">
      <alignment horizontal="center"/>
    </xf>
    <xf numFmtId="168" fontId="36" fillId="0" borderId="0" xfId="8" applyNumberFormat="1" applyFont="1" applyFill="1" applyBorder="1" applyAlignment="1" applyProtection="1">
      <alignment horizontal="center"/>
    </xf>
    <xf numFmtId="171" fontId="36" fillId="0" borderId="0" xfId="8" applyNumberFormat="1" applyFont="1" applyFill="1" applyBorder="1" applyAlignment="1" applyProtection="1">
      <alignment horizontal="center"/>
    </xf>
    <xf numFmtId="9" fontId="36" fillId="0" borderId="0" xfId="8" applyFont="1" applyFill="1" applyBorder="1" applyAlignment="1" applyProtection="1">
      <alignment horizontal="center"/>
    </xf>
    <xf numFmtId="168" fontId="36" fillId="0" borderId="3" xfId="0" applyNumberFormat="1" applyFont="1" applyBorder="1" applyAlignment="1" applyProtection="1">
      <alignment horizontal="center"/>
      <protection locked="0"/>
    </xf>
    <xf numFmtId="165" fontId="36" fillId="0" borderId="0" xfId="0" applyNumberFormat="1" applyFont="1" applyAlignment="1">
      <alignment horizontal="center"/>
    </xf>
    <xf numFmtId="165" fontId="36" fillId="0" borderId="2" xfId="0" applyNumberFormat="1" applyFont="1" applyBorder="1" applyAlignment="1">
      <alignment horizontal="center"/>
    </xf>
    <xf numFmtId="164" fontId="0" fillId="6" borderId="0" xfId="0" applyFill="1"/>
    <xf numFmtId="164" fontId="0" fillId="2" borderId="6" xfId="0" applyFill="1" applyBorder="1"/>
    <xf numFmtId="168" fontId="51" fillId="8" borderId="0" xfId="0" applyNumberFormat="1" applyFont="1" applyFill="1" applyAlignment="1">
      <alignment horizontal="center"/>
    </xf>
    <xf numFmtId="1" fontId="47" fillId="8" borderId="6" xfId="0" applyNumberFormat="1" applyFont="1" applyFill="1" applyBorder="1" applyAlignment="1" applyProtection="1">
      <alignment horizontal="right"/>
      <protection locked="0"/>
    </xf>
    <xf numFmtId="174" fontId="46" fillId="2" borderId="6" xfId="0" applyNumberFormat="1" applyFont="1" applyFill="1" applyBorder="1" applyAlignment="1">
      <alignment horizontal="right"/>
    </xf>
    <xf numFmtId="174" fontId="0" fillId="2" borderId="15" xfId="0" applyNumberFormat="1" applyFill="1" applyBorder="1"/>
    <xf numFmtId="166" fontId="34" fillId="2" borderId="6" xfId="0" applyNumberFormat="1" applyFont="1" applyFill="1" applyBorder="1" applyAlignment="1">
      <alignment horizontal="right"/>
    </xf>
    <xf numFmtId="166" fontId="56" fillId="2" borderId="15" xfId="0" applyNumberFormat="1" applyFont="1" applyFill="1" applyBorder="1" applyAlignment="1">
      <alignment horizontal="right"/>
    </xf>
    <xf numFmtId="0" fontId="11" fillId="13" borderId="0" xfId="8" applyNumberFormat="1" applyFont="1" applyFill="1" applyBorder="1" applyAlignment="1">
      <alignment horizontal="left"/>
    </xf>
    <xf numFmtId="168" fontId="11" fillId="13" borderId="0" xfId="0" applyNumberFormat="1" applyFont="1" applyFill="1" applyAlignment="1">
      <alignment horizontal="center"/>
    </xf>
    <xf numFmtId="1" fontId="11" fillId="13" borderId="0" xfId="0" applyNumberFormat="1" applyFont="1" applyFill="1" applyAlignment="1">
      <alignment horizontal="center"/>
    </xf>
    <xf numFmtId="0" fontId="11" fillId="13" borderId="0" xfId="0" applyNumberFormat="1" applyFont="1" applyFill="1"/>
    <xf numFmtId="168" fontId="0" fillId="13" borderId="0" xfId="0" applyNumberFormat="1" applyFill="1" applyAlignment="1">
      <alignment horizontal="center"/>
    </xf>
    <xf numFmtId="168" fontId="36" fillId="2" borderId="10" xfId="0" applyNumberFormat="1" applyFont="1" applyFill="1" applyBorder="1" applyAlignment="1">
      <alignment horizontal="left" vertical="center" wrapText="1"/>
    </xf>
    <xf numFmtId="168" fontId="36" fillId="8" borderId="0" xfId="0" applyNumberFormat="1" applyFont="1" applyFill="1" applyAlignment="1">
      <alignment horizontal="center"/>
    </xf>
    <xf numFmtId="10" fontId="34" fillId="2" borderId="0" xfId="8" applyNumberFormat="1" applyFont="1" applyFill="1" applyBorder="1" applyAlignment="1">
      <alignment horizontal="center"/>
    </xf>
    <xf numFmtId="9" fontId="34" fillId="7" borderId="0" xfId="8" applyFont="1" applyFill="1" applyBorder="1" applyAlignment="1">
      <alignment horizontal="center"/>
    </xf>
    <xf numFmtId="10" fontId="34" fillId="7" borderId="0" xfId="8" applyNumberFormat="1" applyFont="1" applyFill="1" applyBorder="1" applyAlignment="1">
      <alignment horizontal="center"/>
    </xf>
    <xf numFmtId="11" fontId="34" fillId="2" borderId="0" xfId="8" applyNumberFormat="1" applyFont="1" applyFill="1" applyAlignment="1">
      <alignment horizontal="center"/>
    </xf>
    <xf numFmtId="11" fontId="34" fillId="2" borderId="0" xfId="0" applyNumberFormat="1" applyFont="1" applyFill="1" applyAlignment="1">
      <alignment horizontal="left"/>
    </xf>
    <xf numFmtId="11" fontId="34" fillId="2" borderId="0" xfId="8" applyNumberFormat="1" applyFont="1" applyFill="1" applyBorder="1" applyAlignment="1">
      <alignment horizontal="center"/>
    </xf>
    <xf numFmtId="11" fontId="34" fillId="7" borderId="0" xfId="8" applyNumberFormat="1" applyFont="1" applyFill="1" applyBorder="1" applyAlignment="1">
      <alignment horizontal="center"/>
    </xf>
    <xf numFmtId="167" fontId="34" fillId="7" borderId="0" xfId="8" applyNumberFormat="1" applyFont="1" applyFill="1" applyBorder="1" applyAlignment="1">
      <alignment horizontal="center"/>
    </xf>
    <xf numFmtId="11" fontId="50" fillId="2" borderId="0" xfId="0" applyNumberFormat="1" applyFont="1" applyFill="1" applyAlignment="1">
      <alignment horizontal="left"/>
    </xf>
    <xf numFmtId="172" fontId="34" fillId="7" borderId="0" xfId="0" applyNumberFormat="1" applyFont="1" applyFill="1" applyAlignment="1">
      <alignment horizontal="center"/>
    </xf>
    <xf numFmtId="2" fontId="34" fillId="7" borderId="0" xfId="0" applyNumberFormat="1" applyFont="1" applyFill="1" applyAlignment="1">
      <alignment horizontal="center"/>
    </xf>
    <xf numFmtId="2" fontId="0" fillId="2" borderId="0" xfId="0" applyNumberFormat="1" applyFill="1"/>
    <xf numFmtId="2" fontId="0" fillId="2" borderId="2" xfId="0" applyNumberFormat="1" applyFill="1" applyBorder="1" applyAlignment="1">
      <alignment horizontal="center"/>
    </xf>
    <xf numFmtId="2" fontId="36" fillId="2" borderId="0" xfId="0" applyNumberFormat="1" applyFont="1" applyFill="1" applyAlignment="1">
      <alignment horizontal="center"/>
    </xf>
    <xf numFmtId="2" fontId="36" fillId="2" borderId="0" xfId="0" applyNumberFormat="1" applyFont="1" applyFill="1" applyAlignment="1">
      <alignment horizontal="left"/>
    </xf>
    <xf numFmtId="2" fontId="62" fillId="2" borderId="0" xfId="0" applyNumberFormat="1" applyFont="1" applyFill="1" applyAlignment="1">
      <alignment horizontal="right"/>
    </xf>
    <xf numFmtId="168" fontId="34" fillId="13" borderId="0" xfId="0" applyNumberFormat="1" applyFont="1" applyFill="1" applyAlignment="1">
      <alignment horizontal="center"/>
    </xf>
    <xf numFmtId="168" fontId="11" fillId="13" borderId="21" xfId="0" applyNumberFormat="1" applyFont="1" applyFill="1" applyBorder="1" applyAlignment="1">
      <alignment horizontal="center"/>
    </xf>
    <xf numFmtId="168" fontId="0" fillId="13" borderId="21" xfId="0" applyNumberFormat="1" applyFill="1" applyBorder="1" applyAlignment="1">
      <alignment horizontal="center"/>
    </xf>
    <xf numFmtId="168" fontId="11" fillId="13" borderId="3" xfId="0" applyNumberFormat="1" applyFont="1" applyFill="1" applyBorder="1" applyAlignment="1">
      <alignment horizontal="center"/>
    </xf>
    <xf numFmtId="168" fontId="11" fillId="13" borderId="0" xfId="0" applyNumberFormat="1" applyFont="1" applyFill="1" applyAlignment="1">
      <alignment horizontal="left"/>
    </xf>
    <xf numFmtId="0" fontId="11" fillId="13" borderId="0" xfId="8" applyNumberFormat="1" applyFont="1" applyFill="1" applyBorder="1" applyAlignment="1">
      <alignment horizontal="center"/>
    </xf>
    <xf numFmtId="164" fontId="70" fillId="2" borderId="0" xfId="0" quotePrefix="1" applyFont="1" applyFill="1" applyAlignment="1">
      <alignment horizontal="left"/>
    </xf>
    <xf numFmtId="166" fontId="34" fillId="2" borderId="2" xfId="0" applyNumberFormat="1" applyFont="1" applyFill="1" applyBorder="1" applyAlignment="1">
      <alignment horizontal="center"/>
    </xf>
    <xf numFmtId="171" fontId="0" fillId="2" borderId="0" xfId="0" applyNumberFormat="1" applyFill="1" applyAlignment="1">
      <alignment horizontal="left"/>
    </xf>
    <xf numFmtId="170" fontId="0" fillId="2" borderId="15" xfId="0" applyNumberFormat="1" applyFill="1" applyBorder="1" applyAlignment="1">
      <alignment horizontal="right"/>
    </xf>
    <xf numFmtId="172" fontId="11" fillId="13" borderId="0" xfId="0" applyNumberFormat="1" applyFont="1" applyFill="1" applyAlignment="1">
      <alignment horizontal="center"/>
    </xf>
    <xf numFmtId="172" fontId="11" fillId="13" borderId="0" xfId="0" applyNumberFormat="1" applyFont="1" applyFill="1" applyAlignment="1">
      <alignment horizontal="left"/>
    </xf>
    <xf numFmtId="172" fontId="11" fillId="0" borderId="0" xfId="0" applyNumberFormat="1" applyFont="1" applyAlignment="1">
      <alignment horizontal="center"/>
    </xf>
    <xf numFmtId="175" fontId="71" fillId="2" borderId="0" xfId="8" applyNumberFormat="1" applyFont="1" applyFill="1" applyAlignment="1">
      <alignment horizontal="left"/>
    </xf>
    <xf numFmtId="172" fontId="11" fillId="13" borderId="26" xfId="0" applyNumberFormat="1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72" fontId="73" fillId="13" borderId="0" xfId="0" applyNumberFormat="1" applyFont="1" applyFill="1" applyAlignment="1">
      <alignment horizontal="center"/>
    </xf>
    <xf numFmtId="168" fontId="73" fillId="13" borderId="0" xfId="0" applyNumberFormat="1" applyFont="1" applyFill="1" applyAlignment="1">
      <alignment horizontal="center"/>
    </xf>
    <xf numFmtId="0" fontId="0" fillId="13" borderId="0" xfId="0" applyNumberFormat="1" applyFill="1" applyAlignment="1">
      <alignment horizontal="left"/>
    </xf>
    <xf numFmtId="0" fontId="0" fillId="13" borderId="21" xfId="0" applyNumberFormat="1" applyFill="1" applyBorder="1" applyAlignment="1">
      <alignment horizontal="left"/>
    </xf>
    <xf numFmtId="0" fontId="11" fillId="0" borderId="0" xfId="0" applyNumberFormat="1" applyFont="1" applyAlignment="1">
      <alignment horizontal="left"/>
    </xf>
    <xf numFmtId="172" fontId="34" fillId="13" borderId="25" xfId="0" quotePrefix="1" applyNumberFormat="1" applyFont="1" applyFill="1" applyBorder="1" applyAlignment="1">
      <alignment horizontal="center"/>
    </xf>
    <xf numFmtId="164" fontId="34" fillId="2" borderId="15" xfId="0" applyFont="1" applyFill="1" applyBorder="1" applyAlignment="1">
      <alignment horizontal="right" vertical="center"/>
    </xf>
    <xf numFmtId="164" fontId="0" fillId="6" borderId="5" xfId="0" applyFill="1" applyBorder="1" applyAlignment="1">
      <alignment horizontal="right"/>
    </xf>
    <xf numFmtId="0" fontId="0" fillId="0" borderId="0" xfId="0" applyNumberFormat="1"/>
    <xf numFmtId="0" fontId="11" fillId="13" borderId="0" xfId="0" applyNumberFormat="1" applyFont="1" applyFill="1" applyAlignment="1">
      <alignment horizontal="left"/>
    </xf>
    <xf numFmtId="172" fontId="51" fillId="8" borderId="0" xfId="0" applyNumberFormat="1" applyFont="1" applyFill="1" applyAlignment="1">
      <alignment horizontal="center"/>
    </xf>
    <xf numFmtId="0" fontId="11" fillId="13" borderId="0" xfId="0" applyNumberFormat="1" applyFont="1" applyFill="1" applyAlignment="1">
      <alignment horizontal="center"/>
    </xf>
    <xf numFmtId="0" fontId="0" fillId="13" borderId="0" xfId="0" applyNumberFormat="1" applyFill="1" applyAlignment="1">
      <alignment horizontal="center"/>
    </xf>
    <xf numFmtId="0" fontId="0" fillId="13" borderId="21" xfId="0" applyNumberFormat="1" applyFill="1" applyBorder="1" applyAlignment="1">
      <alignment horizontal="center"/>
    </xf>
    <xf numFmtId="0" fontId="11" fillId="13" borderId="3" xfId="0" applyNumberFormat="1" applyFont="1" applyFill="1" applyBorder="1" applyAlignment="1">
      <alignment horizontal="center"/>
    </xf>
    <xf numFmtId="0" fontId="0" fillId="13" borderId="3" xfId="0" applyNumberFormat="1" applyFill="1" applyBorder="1" applyAlignment="1">
      <alignment horizontal="center"/>
    </xf>
    <xf numFmtId="0" fontId="51" fillId="8" borderId="0" xfId="0" applyNumberFormat="1" applyFont="1" applyFill="1" applyAlignment="1">
      <alignment horizontal="center"/>
    </xf>
    <xf numFmtId="0" fontId="11" fillId="0" borderId="0" xfId="0" applyNumberFormat="1" applyFont="1" applyAlignment="1">
      <alignment horizontal="center"/>
    </xf>
    <xf numFmtId="172" fontId="34" fillId="13" borderId="0" xfId="0" applyNumberFormat="1" applyFont="1" applyFill="1" applyAlignment="1">
      <alignment horizontal="center"/>
    </xf>
    <xf numFmtId="0" fontId="29" fillId="2" borderId="0" xfId="0" applyNumberFormat="1" applyFont="1" applyFill="1"/>
    <xf numFmtId="0" fontId="19" fillId="2" borderId="0" xfId="0" applyNumberFormat="1" applyFont="1" applyFill="1"/>
    <xf numFmtId="0" fontId="0" fillId="2" borderId="0" xfId="0" applyNumberFormat="1" applyFill="1" applyAlignment="1">
      <alignment horizontal="left"/>
    </xf>
    <xf numFmtId="0" fontId="11" fillId="0" borderId="0" xfId="0" applyNumberFormat="1" applyFont="1"/>
    <xf numFmtId="0" fontId="11" fillId="2" borderId="0" xfId="0" applyNumberFormat="1" applyFont="1" applyFill="1"/>
    <xf numFmtId="0" fontId="11" fillId="5" borderId="0" xfId="0" applyNumberFormat="1" applyFont="1" applyFill="1"/>
    <xf numFmtId="0" fontId="14" fillId="2" borderId="0" xfId="0" applyNumberFormat="1" applyFont="1" applyFill="1"/>
    <xf numFmtId="0" fontId="12" fillId="2" borderId="0" xfId="0" applyNumberFormat="1" applyFont="1" applyFill="1"/>
    <xf numFmtId="0" fontId="14" fillId="2" borderId="0" xfId="0" applyNumberFormat="1" applyFont="1" applyFill="1" applyAlignment="1">
      <alignment horizontal="left"/>
    </xf>
    <xf numFmtId="0" fontId="0" fillId="2" borderId="0" xfId="0" quotePrefix="1" applyNumberFormat="1" applyFill="1" applyProtection="1">
      <protection locked="0"/>
    </xf>
    <xf numFmtId="0" fontId="0" fillId="2" borderId="0" xfId="0" applyNumberFormat="1" applyFill="1" applyProtection="1">
      <protection locked="0"/>
    </xf>
    <xf numFmtId="0" fontId="11" fillId="2" borderId="0" xfId="0" applyNumberFormat="1" applyFont="1" applyFill="1" applyAlignment="1">
      <alignment horizontal="left"/>
    </xf>
    <xf numFmtId="0" fontId="11" fillId="2" borderId="0" xfId="0" quotePrefix="1" applyNumberFormat="1" applyFont="1" applyFill="1" applyProtection="1">
      <protection locked="0"/>
    </xf>
    <xf numFmtId="0" fontId="11" fillId="2" borderId="0" xfId="0" applyNumberFormat="1" applyFont="1" applyFill="1" applyProtection="1">
      <protection locked="0"/>
    </xf>
    <xf numFmtId="0" fontId="12" fillId="13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39" fillId="2" borderId="0" xfId="0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center"/>
    </xf>
    <xf numFmtId="0" fontId="0" fillId="2" borderId="24" xfId="0" applyNumberFormat="1" applyFill="1" applyBorder="1"/>
    <xf numFmtId="0" fontId="12" fillId="2" borderId="21" xfId="0" applyNumberFormat="1" applyFont="1" applyFill="1" applyBorder="1" applyAlignment="1">
      <alignment horizontal="left"/>
    </xf>
    <xf numFmtId="0" fontId="14" fillId="2" borderId="21" xfId="0" applyNumberFormat="1" applyFont="1" applyFill="1" applyBorder="1" applyAlignment="1">
      <alignment horizontal="left"/>
    </xf>
    <xf numFmtId="0" fontId="14" fillId="2" borderId="22" xfId="0" applyNumberFormat="1" applyFont="1" applyFill="1" applyBorder="1" applyAlignment="1">
      <alignment horizontal="left"/>
    </xf>
    <xf numFmtId="0" fontId="0" fillId="2" borderId="25" xfId="0" applyNumberFormat="1" applyFill="1" applyBorder="1" applyAlignment="1">
      <alignment horizontal="left"/>
    </xf>
    <xf numFmtId="0" fontId="0" fillId="2" borderId="22" xfId="0" applyNumberFormat="1" applyFill="1" applyBorder="1" applyAlignment="1">
      <alignment horizontal="center"/>
    </xf>
    <xf numFmtId="0" fontId="0" fillId="2" borderId="24" xfId="0" applyNumberFormat="1" applyFill="1" applyBorder="1" applyAlignment="1">
      <alignment horizontal="left"/>
    </xf>
    <xf numFmtId="0" fontId="0" fillId="2" borderId="21" xfId="0" applyNumberFormat="1" applyFill="1" applyBorder="1" applyAlignment="1">
      <alignment horizontal="left"/>
    </xf>
    <xf numFmtId="0" fontId="0" fillId="2" borderId="22" xfId="0" applyNumberFormat="1" applyFill="1" applyBorder="1" applyAlignment="1">
      <alignment horizontal="left"/>
    </xf>
    <xf numFmtId="0" fontId="11" fillId="2" borderId="14" xfId="0" applyNumberFormat="1" applyFont="1" applyFill="1" applyBorder="1"/>
    <xf numFmtId="0" fontId="14" fillId="2" borderId="10" xfId="0" applyNumberFormat="1" applyFont="1" applyFill="1" applyBorder="1" applyAlignment="1">
      <alignment horizontal="center"/>
    </xf>
    <xf numFmtId="0" fontId="14" fillId="2" borderId="12" xfId="0" applyNumberFormat="1" applyFont="1" applyFill="1" applyBorder="1" applyAlignment="1">
      <alignment horizontal="center"/>
    </xf>
    <xf numFmtId="0" fontId="14" fillId="2" borderId="11" xfId="0" applyNumberFormat="1" applyFont="1" applyFill="1" applyBorder="1" applyAlignment="1">
      <alignment horizontal="center"/>
    </xf>
    <xf numFmtId="0" fontId="33" fillId="2" borderId="0" xfId="0" applyNumberFormat="1" applyFont="1" applyFill="1" applyAlignment="1">
      <alignment horizontal="right" vertical="center"/>
    </xf>
    <xf numFmtId="0" fontId="33" fillId="2" borderId="0" xfId="0" applyNumberFormat="1" applyFont="1" applyFill="1"/>
    <xf numFmtId="0" fontId="11" fillId="13" borderId="21" xfId="0" applyNumberFormat="1" applyFont="1" applyFill="1" applyBorder="1" applyAlignment="1">
      <alignment horizontal="left"/>
    </xf>
    <xf numFmtId="0" fontId="0" fillId="2" borderId="7" xfId="0" applyNumberFormat="1" applyFill="1" applyBorder="1"/>
    <xf numFmtId="0" fontId="68" fillId="2" borderId="3" xfId="0" applyNumberFormat="1" applyFont="1" applyFill="1" applyBorder="1" applyAlignment="1">
      <alignment horizontal="left"/>
    </xf>
    <xf numFmtId="0" fontId="14" fillId="2" borderId="3" xfId="0" applyNumberFormat="1" applyFont="1" applyFill="1" applyBorder="1" applyAlignment="1">
      <alignment horizontal="right"/>
    </xf>
    <xf numFmtId="0" fontId="14" fillId="2" borderId="3" xfId="0" applyNumberFormat="1" applyFont="1" applyFill="1" applyBorder="1" applyAlignment="1">
      <alignment horizontal="left"/>
    </xf>
    <xf numFmtId="0" fontId="14" fillId="2" borderId="9" xfId="0" applyNumberFormat="1" applyFont="1" applyFill="1" applyBorder="1" applyAlignment="1">
      <alignment horizontal="right"/>
    </xf>
    <xf numFmtId="0" fontId="14" fillId="2" borderId="9" xfId="0" applyNumberFormat="1" applyFont="1" applyFill="1" applyBorder="1" applyAlignment="1">
      <alignment horizontal="left"/>
    </xf>
    <xf numFmtId="0" fontId="0" fillId="2" borderId="26" xfId="0" applyNumberFormat="1" applyFill="1" applyBorder="1"/>
    <xf numFmtId="0" fontId="0" fillId="2" borderId="9" xfId="0" applyNumberFormat="1" applyFill="1" applyBorder="1"/>
    <xf numFmtId="0" fontId="0" fillId="2" borderId="7" xfId="0" applyNumberFormat="1" applyFill="1" applyBorder="1" applyAlignment="1">
      <alignment horizontal="left"/>
    </xf>
    <xf numFmtId="0" fontId="0" fillId="2" borderId="3" xfId="0" applyNumberFormat="1" applyFill="1" applyBorder="1" applyAlignment="1">
      <alignment horizontal="left"/>
    </xf>
    <xf numFmtId="0" fontId="0" fillId="2" borderId="9" xfId="0" applyNumberFormat="1" applyFill="1" applyBorder="1" applyAlignment="1">
      <alignment horizontal="left"/>
    </xf>
    <xf numFmtId="0" fontId="11" fillId="6" borderId="15" xfId="0" applyNumberFormat="1" applyFont="1" applyFill="1" applyBorder="1"/>
    <xf numFmtId="0" fontId="11" fillId="6" borderId="0" xfId="0" applyNumberFormat="1" applyFont="1" applyFill="1"/>
    <xf numFmtId="0" fontId="11" fillId="6" borderId="6" xfId="0" applyNumberFormat="1" applyFont="1" applyFill="1" applyBorder="1"/>
    <xf numFmtId="0" fontId="11" fillId="6" borderId="5" xfId="0" applyNumberFormat="1" applyFont="1" applyFill="1" applyBorder="1"/>
    <xf numFmtId="0" fontId="11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center" vertical="center"/>
    </xf>
    <xf numFmtId="0" fontId="11" fillId="13" borderId="3" xfId="0" applyNumberFormat="1" applyFont="1" applyFill="1" applyBorder="1" applyAlignment="1">
      <alignment horizontal="left"/>
    </xf>
    <xf numFmtId="0" fontId="14" fillId="2" borderId="23" xfId="0" applyNumberFormat="1" applyFont="1" applyFill="1" applyBorder="1"/>
    <xf numFmtId="0" fontId="36" fillId="2" borderId="4" xfId="0" applyNumberFormat="1" applyFont="1" applyFill="1" applyBorder="1" applyAlignment="1">
      <alignment horizontal="right"/>
    </xf>
    <xf numFmtId="0" fontId="36" fillId="2" borderId="4" xfId="0" applyNumberFormat="1" applyFont="1" applyFill="1" applyBorder="1" applyAlignment="1">
      <alignment horizontal="left"/>
    </xf>
    <xf numFmtId="0" fontId="0" fillId="2" borderId="4" xfId="0" applyNumberFormat="1" applyFill="1" applyBorder="1" applyAlignment="1">
      <alignment horizontal="right"/>
    </xf>
    <xf numFmtId="0" fontId="0" fillId="2" borderId="4" xfId="0" applyNumberFormat="1" applyFill="1" applyBorder="1" applyAlignment="1">
      <alignment horizontal="left"/>
    </xf>
    <xf numFmtId="0" fontId="0" fillId="2" borderId="27" xfId="0" applyNumberFormat="1" applyFill="1" applyBorder="1" applyAlignment="1">
      <alignment horizontal="left"/>
    </xf>
    <xf numFmtId="0" fontId="36" fillId="2" borderId="0" xfId="0" applyNumberFormat="1" applyFont="1" applyFill="1" applyAlignment="1">
      <alignment horizontal="left"/>
    </xf>
    <xf numFmtId="0" fontId="12" fillId="2" borderId="5" xfId="0" applyNumberFormat="1" applyFont="1" applyFill="1" applyBorder="1"/>
    <xf numFmtId="0" fontId="0" fillId="2" borderId="6" xfId="0" applyNumberFormat="1" applyFill="1" applyBorder="1"/>
    <xf numFmtId="0" fontId="13" fillId="2" borderId="15" xfId="0" applyNumberFormat="1" applyFont="1" applyFill="1" applyBorder="1" applyAlignment="1">
      <alignment horizontal="left"/>
    </xf>
    <xf numFmtId="0" fontId="13" fillId="2" borderId="0" xfId="0" applyNumberFormat="1" applyFont="1" applyFill="1" applyAlignment="1">
      <alignment horizontal="left"/>
    </xf>
    <xf numFmtId="0" fontId="13" fillId="2" borderId="6" xfId="0" applyNumberFormat="1" applyFont="1" applyFill="1" applyBorder="1" applyAlignment="1">
      <alignment horizontal="left"/>
    </xf>
    <xf numFmtId="0" fontId="0" fillId="2" borderId="6" xfId="0" applyNumberFormat="1" applyFill="1" applyBorder="1" applyAlignment="1">
      <alignment horizontal="left"/>
    </xf>
    <xf numFmtId="0" fontId="0" fillId="2" borderId="15" xfId="0" applyNumberFormat="1" applyFill="1" applyBorder="1" applyAlignment="1">
      <alignment horizontal="left"/>
    </xf>
    <xf numFmtId="0" fontId="34" fillId="2" borderId="0" xfId="0" applyNumberFormat="1" applyFont="1" applyFill="1" applyAlignment="1">
      <alignment horizontal="right" vertical="center"/>
    </xf>
    <xf numFmtId="0" fontId="14" fillId="2" borderId="0" xfId="8" applyNumberFormat="1" applyFont="1" applyFill="1" applyAlignment="1">
      <alignment horizontal="left"/>
    </xf>
    <xf numFmtId="0" fontId="0" fillId="2" borderId="15" xfId="0" applyNumberFormat="1" applyFill="1" applyBorder="1"/>
    <xf numFmtId="0" fontId="36" fillId="2" borderId="0" xfId="0" applyNumberFormat="1" applyFon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0" fillId="2" borderId="5" xfId="0" applyNumberFormat="1" applyFill="1" applyBorder="1"/>
    <xf numFmtId="0" fontId="34" fillId="2" borderId="0" xfId="0" applyNumberFormat="1" applyFont="1" applyFill="1" applyAlignment="1">
      <alignment horizontal="left"/>
    </xf>
    <xf numFmtId="0" fontId="11" fillId="6" borderId="16" xfId="0" applyNumberFormat="1" applyFont="1" applyFill="1" applyBorder="1"/>
    <xf numFmtId="0" fontId="11" fillId="6" borderId="18" xfId="0" applyNumberFormat="1" applyFont="1" applyFill="1" applyBorder="1"/>
    <xf numFmtId="0" fontId="11" fillId="6" borderId="19" xfId="0" applyNumberFormat="1" applyFont="1" applyFill="1" applyBorder="1"/>
    <xf numFmtId="0" fontId="11" fillId="6" borderId="20" xfId="0" applyNumberFormat="1" applyFont="1" applyFill="1" applyBorder="1"/>
    <xf numFmtId="0" fontId="51" fillId="8" borderId="0" xfId="0" applyNumberFormat="1" applyFont="1" applyFill="1" applyAlignment="1">
      <alignment horizontal="left"/>
    </xf>
    <xf numFmtId="0" fontId="11" fillId="2" borderId="17" xfId="0" applyNumberFormat="1" applyFont="1" applyFill="1" applyBorder="1"/>
    <xf numFmtId="0" fontId="14" fillId="2" borderId="15" xfId="0" applyNumberFormat="1" applyFont="1" applyFill="1" applyBorder="1"/>
    <xf numFmtId="0" fontId="41" fillId="2" borderId="0" xfId="0" applyNumberFormat="1" applyFont="1" applyFill="1" applyAlignment="1">
      <alignment horizontal="center" vertical="center"/>
    </xf>
    <xf numFmtId="0" fontId="41" fillId="2" borderId="0" xfId="0" applyNumberFormat="1" applyFont="1" applyFill="1" applyAlignment="1">
      <alignment horizontal="left" vertical="center"/>
    </xf>
    <xf numFmtId="0" fontId="34" fillId="2" borderId="0" xfId="0" applyNumberFormat="1" applyFont="1" applyFill="1" applyAlignment="1">
      <alignment horizontal="center"/>
    </xf>
    <xf numFmtId="0" fontId="34" fillId="2" borderId="0" xfId="0" applyNumberFormat="1" applyFont="1" applyFill="1"/>
    <xf numFmtId="0" fontId="0" fillId="7" borderId="0" xfId="0" applyNumberFormat="1" applyFill="1" applyAlignment="1">
      <alignment horizontal="left"/>
    </xf>
    <xf numFmtId="0" fontId="11" fillId="2" borderId="0" xfId="0" applyNumberFormat="1" applyFont="1" applyFill="1" applyAlignment="1">
      <alignment horizontal="center"/>
    </xf>
    <xf numFmtId="0" fontId="35" fillId="2" borderId="0" xfId="0" applyNumberFormat="1" applyFont="1" applyFill="1"/>
    <xf numFmtId="0" fontId="41" fillId="2" borderId="0" xfId="0" applyNumberFormat="1" applyFont="1" applyFill="1" applyAlignment="1">
      <alignment horizontal="right" vertical="center"/>
    </xf>
    <xf numFmtId="0" fontId="20" fillId="2" borderId="0" xfId="0" applyNumberFormat="1" applyFont="1" applyFill="1"/>
    <xf numFmtId="0" fontId="33" fillId="2" borderId="0" xfId="0" applyNumberFormat="1" applyFont="1" applyFill="1" applyAlignment="1">
      <alignment horizontal="left" vertical="center"/>
    </xf>
    <xf numFmtId="0" fontId="33" fillId="2" borderId="0" xfId="0" applyNumberFormat="1" applyFont="1" applyFill="1" applyAlignment="1">
      <alignment horizontal="right" vertical="top"/>
    </xf>
    <xf numFmtId="0" fontId="14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left"/>
    </xf>
    <xf numFmtId="0" fontId="42" fillId="2" borderId="0" xfId="0" quotePrefix="1" applyNumberFormat="1" applyFont="1" applyFill="1" applyAlignment="1">
      <alignment horizontal="center"/>
    </xf>
    <xf numFmtId="0" fontId="14" fillId="2" borderId="0" xfId="8" applyNumberFormat="1" applyFont="1" applyFill="1" applyAlignment="1"/>
    <xf numFmtId="0" fontId="14" fillId="2" borderId="0" xfId="8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left"/>
    </xf>
    <xf numFmtId="0" fontId="12" fillId="6" borderId="13" xfId="0" applyNumberFormat="1" applyFont="1" applyFill="1" applyBorder="1"/>
    <xf numFmtId="0" fontId="40" fillId="2" borderId="0" xfId="0" applyNumberFormat="1" applyFont="1" applyFill="1" applyAlignment="1">
      <alignment horizontal="right"/>
    </xf>
    <xf numFmtId="0" fontId="14" fillId="2" borderId="14" xfId="0" applyNumberFormat="1" applyFont="1" applyFill="1" applyBorder="1" applyAlignment="1">
      <alignment horizontal="center"/>
    </xf>
    <xf numFmtId="0" fontId="34" fillId="2" borderId="0" xfId="0" applyNumberFormat="1" applyFont="1" applyFill="1" applyAlignment="1">
      <alignment horizontal="left" vertical="center"/>
    </xf>
    <xf numFmtId="0" fontId="11" fillId="2" borderId="0" xfId="0" quotePrefix="1" applyNumberFormat="1" applyFont="1" applyFill="1"/>
    <xf numFmtId="0" fontId="22" fillId="2" borderId="0" xfId="0" applyNumberFormat="1" applyFont="1" applyFill="1"/>
    <xf numFmtId="0" fontId="21" fillId="2" borderId="0" xfId="0" quotePrefix="1" applyNumberFormat="1" applyFont="1" applyFill="1"/>
    <xf numFmtId="0" fontId="39" fillId="2" borderId="0" xfId="0" applyNumberFormat="1" applyFont="1" applyFill="1"/>
    <xf numFmtId="0" fontId="0" fillId="2" borderId="20" xfId="0" applyNumberFormat="1" applyFill="1" applyBorder="1"/>
    <xf numFmtId="0" fontId="0" fillId="2" borderId="19" xfId="0" applyNumberFormat="1" applyFill="1" applyBorder="1"/>
    <xf numFmtId="0" fontId="13" fillId="2" borderId="16" xfId="0" applyNumberFormat="1" applyFont="1" applyFill="1" applyBorder="1" applyAlignment="1">
      <alignment horizontal="left"/>
    </xf>
    <xf numFmtId="0" fontId="13" fillId="2" borderId="18" xfId="0" applyNumberFormat="1" applyFont="1" applyFill="1" applyBorder="1" applyAlignment="1">
      <alignment horizontal="left"/>
    </xf>
    <xf numFmtId="0" fontId="13" fillId="2" borderId="19" xfId="0" applyNumberFormat="1" applyFont="1" applyFill="1" applyBorder="1" applyAlignment="1">
      <alignment horizontal="left"/>
    </xf>
    <xf numFmtId="0" fontId="0" fillId="2" borderId="18" xfId="0" applyNumberFormat="1" applyFill="1" applyBorder="1" applyAlignment="1">
      <alignment horizontal="left"/>
    </xf>
    <xf numFmtId="0" fontId="0" fillId="2" borderId="19" xfId="0" applyNumberFormat="1" applyFill="1" applyBorder="1" applyAlignment="1">
      <alignment horizontal="left"/>
    </xf>
    <xf numFmtId="0" fontId="36" fillId="2" borderId="3" xfId="0" applyNumberFormat="1" applyFont="1" applyFill="1" applyBorder="1" applyAlignment="1">
      <alignment horizontal="right"/>
    </xf>
    <xf numFmtId="0" fontId="36" fillId="2" borderId="3" xfId="0" applyNumberFormat="1" applyFont="1" applyFill="1" applyBorder="1" applyAlignment="1">
      <alignment horizontal="left"/>
    </xf>
    <xf numFmtId="0" fontId="0" fillId="2" borderId="3" xfId="0" applyNumberFormat="1" applyFill="1" applyBorder="1" applyAlignment="1">
      <alignment horizontal="right"/>
    </xf>
    <xf numFmtId="0" fontId="0" fillId="2" borderId="16" xfId="0" applyNumberFormat="1" applyFill="1" applyBorder="1"/>
    <xf numFmtId="0" fontId="36" fillId="2" borderId="18" xfId="0" applyNumberFormat="1" applyFont="1" applyFill="1" applyBorder="1" applyAlignment="1">
      <alignment horizontal="right"/>
    </xf>
    <xf numFmtId="0" fontId="0" fillId="2" borderId="18" xfId="0" applyNumberFormat="1" applyFill="1" applyBorder="1" applyAlignment="1">
      <alignment horizontal="right"/>
    </xf>
    <xf numFmtId="0" fontId="11" fillId="6" borderId="15" xfId="0" quotePrefix="1" applyNumberFormat="1" applyFont="1" applyFill="1" applyBorder="1"/>
    <xf numFmtId="0" fontId="11" fillId="6" borderId="16" xfId="0" quotePrefix="1" applyNumberFormat="1" applyFont="1" applyFill="1" applyBorder="1"/>
    <xf numFmtId="0" fontId="14" fillId="2" borderId="0" xfId="8" applyNumberFormat="1" applyFont="1" applyFill="1" applyAlignment="1">
      <alignment horizontal="center"/>
    </xf>
    <xf numFmtId="0" fontId="33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left"/>
    </xf>
    <xf numFmtId="0" fontId="33" fillId="2" borderId="0" xfId="0" applyNumberFormat="1" applyFont="1" applyFill="1" applyAlignment="1">
      <alignment horizontal="right"/>
    </xf>
    <xf numFmtId="0" fontId="20" fillId="2" borderId="0" xfId="8" applyNumberFormat="1" applyFont="1" applyFill="1" applyAlignment="1"/>
    <xf numFmtId="0" fontId="34" fillId="2" borderId="0" xfId="0" applyNumberFormat="1" applyFont="1" applyFill="1" applyAlignment="1">
      <alignment horizontal="right"/>
    </xf>
    <xf numFmtId="0" fontId="41" fillId="2" borderId="0" xfId="0" applyNumberFormat="1" applyFont="1" applyFill="1" applyAlignment="1">
      <alignment horizontal="right"/>
    </xf>
    <xf numFmtId="0" fontId="20" fillId="2" borderId="0" xfId="0" quotePrefix="1" applyNumberFormat="1" applyFont="1" applyFill="1"/>
    <xf numFmtId="0" fontId="41" fillId="2" borderId="0" xfId="0" applyNumberFormat="1" applyFont="1" applyFill="1"/>
    <xf numFmtId="0" fontId="14" fillId="2" borderId="0" xfId="0" applyNumberFormat="1" applyFont="1" applyFill="1" applyAlignment="1">
      <alignment horizontal="center"/>
    </xf>
    <xf numFmtId="0" fontId="31" fillId="2" borderId="0" xfId="0" applyNumberFormat="1" applyFont="1" applyFill="1" applyAlignment="1">
      <alignment horizontal="right"/>
    </xf>
    <xf numFmtId="0" fontId="12" fillId="2" borderId="0" xfId="0" applyNumberFormat="1" applyFont="1" applyFill="1" applyAlignment="1">
      <alignment horizontal="right"/>
    </xf>
    <xf numFmtId="0" fontId="13" fillId="2" borderId="0" xfId="0" applyNumberFormat="1" applyFont="1" applyFill="1"/>
    <xf numFmtId="0" fontId="25" fillId="0" borderId="0" xfId="0" applyNumberFormat="1" applyFont="1" applyAlignment="1">
      <alignment horizontal="left"/>
    </xf>
    <xf numFmtId="0" fontId="74" fillId="13" borderId="0" xfId="0" applyNumberFormat="1" applyFont="1" applyFill="1" applyAlignment="1">
      <alignment horizontal="left"/>
    </xf>
    <xf numFmtId="0" fontId="54" fillId="13" borderId="0" xfId="0" applyNumberFormat="1" applyFont="1" applyFill="1" applyAlignment="1">
      <alignment horizontal="left"/>
    </xf>
    <xf numFmtId="0" fontId="21" fillId="13" borderId="0" xfId="0" applyNumberFormat="1" applyFont="1" applyFill="1" applyAlignment="1">
      <alignment horizontal="left"/>
    </xf>
    <xf numFmtId="0" fontId="14" fillId="13" borderId="0" xfId="0" applyNumberFormat="1" applyFont="1" applyFill="1"/>
    <xf numFmtId="0" fontId="14" fillId="13" borderId="0" xfId="0" applyNumberFormat="1" applyFont="1" applyFill="1" applyAlignment="1">
      <alignment horizontal="center"/>
    </xf>
    <xf numFmtId="0" fontId="0" fillId="13" borderId="21" xfId="0" applyNumberFormat="1" applyFill="1" applyBorder="1"/>
    <xf numFmtId="0" fontId="16" fillId="13" borderId="3" xfId="0" applyNumberFormat="1" applyFont="1" applyFill="1" applyBorder="1"/>
    <xf numFmtId="0" fontId="0" fillId="13" borderId="0" xfId="0" applyNumberFormat="1" applyFill="1"/>
    <xf numFmtId="0" fontId="34" fillId="13" borderId="0" xfId="0" applyNumberFormat="1" applyFont="1" applyFill="1" applyAlignment="1">
      <alignment horizontal="center"/>
    </xf>
    <xf numFmtId="0" fontId="0" fillId="13" borderId="0" xfId="0" quotePrefix="1" applyNumberFormat="1" applyFill="1" applyAlignment="1">
      <alignment horizontal="left"/>
    </xf>
    <xf numFmtId="0" fontId="34" fillId="13" borderId="0" xfId="0" quotePrefix="1" applyNumberFormat="1" applyFont="1" applyFill="1" applyAlignment="1">
      <alignment horizontal="left"/>
    </xf>
    <xf numFmtId="0" fontId="73" fillId="13" borderId="0" xfId="0" applyNumberFormat="1" applyFont="1" applyFill="1" applyAlignment="1">
      <alignment horizontal="left"/>
    </xf>
    <xf numFmtId="166" fontId="47" fillId="8" borderId="6" xfId="0" applyNumberFormat="1" applyFont="1" applyFill="1" applyBorder="1" applyAlignment="1">
      <alignment horizontal="right" vertical="center" wrapText="1"/>
    </xf>
    <xf numFmtId="172" fontId="11" fillId="13" borderId="21" xfId="0" applyNumberFormat="1" applyFont="1" applyFill="1" applyBorder="1" applyAlignment="1">
      <alignment horizontal="center"/>
    </xf>
    <xf numFmtId="172" fontId="11" fillId="13" borderId="3" xfId="0" applyNumberFormat="1" applyFont="1" applyFill="1" applyBorder="1" applyAlignment="1">
      <alignment horizontal="center"/>
    </xf>
    <xf numFmtId="172" fontId="18" fillId="13" borderId="3" xfId="0" applyNumberFormat="1" applyFont="1" applyFill="1" applyBorder="1" applyAlignment="1">
      <alignment horizontal="center"/>
    </xf>
    <xf numFmtId="172" fontId="0" fillId="13" borderId="0" xfId="0" applyNumberFormat="1" applyFill="1" applyAlignment="1">
      <alignment horizontal="center"/>
    </xf>
    <xf numFmtId="0" fontId="25" fillId="0" borderId="0" xfId="0" applyNumberFormat="1" applyFont="1" applyAlignment="1">
      <alignment horizontal="center"/>
    </xf>
    <xf numFmtId="2" fontId="72" fillId="2" borderId="0" xfId="0" applyNumberFormat="1" applyFont="1" applyFill="1" applyAlignment="1">
      <alignment horizontal="right"/>
    </xf>
    <xf numFmtId="10" fontId="0" fillId="13" borderId="0" xfId="0" applyNumberFormat="1" applyFill="1" applyAlignment="1">
      <alignment horizontal="center"/>
    </xf>
    <xf numFmtId="0" fontId="25" fillId="13" borderId="0" xfId="0" applyNumberFormat="1" applyFont="1" applyFill="1" applyAlignment="1">
      <alignment horizontal="center"/>
    </xf>
    <xf numFmtId="164" fontId="75" fillId="0" borderId="0" xfId="0" applyFont="1"/>
    <xf numFmtId="11" fontId="0" fillId="13" borderId="0" xfId="0" applyNumberFormat="1" applyFill="1" applyAlignment="1">
      <alignment horizontal="center"/>
    </xf>
    <xf numFmtId="164" fontId="62" fillId="12" borderId="0" xfId="0" applyFont="1" applyFill="1"/>
    <xf numFmtId="164" fontId="62" fillId="12" borderId="0" xfId="0" applyFont="1" applyFill="1" applyAlignment="1">
      <alignment horizontal="left"/>
    </xf>
    <xf numFmtId="166" fontId="36" fillId="12" borderId="6" xfId="0" applyNumberFormat="1" applyFont="1" applyFill="1" applyBorder="1" applyAlignment="1">
      <alignment horizontal="right"/>
    </xf>
    <xf numFmtId="166" fontId="62" fillId="12" borderId="15" xfId="0" applyNumberFormat="1" applyFont="1" applyFill="1" applyBorder="1" applyAlignment="1">
      <alignment horizontal="right"/>
    </xf>
    <xf numFmtId="166" fontId="36" fillId="12" borderId="0" xfId="0" applyNumberFormat="1" applyFont="1" applyFill="1" applyAlignment="1">
      <alignment horizontal="right"/>
    </xf>
    <xf numFmtId="164" fontId="0" fillId="12" borderId="0" xfId="0" applyFill="1" applyAlignment="1">
      <alignment horizontal="left"/>
    </xf>
    <xf numFmtId="164" fontId="43" fillId="12" borderId="0" xfId="0" applyFont="1" applyFill="1"/>
    <xf numFmtId="166" fontId="47" fillId="12" borderId="6" xfId="0" applyNumberFormat="1" applyFont="1" applyFill="1" applyBorder="1" applyAlignment="1" applyProtection="1">
      <alignment horizontal="right"/>
      <protection locked="0"/>
    </xf>
    <xf numFmtId="165" fontId="37" fillId="2" borderId="0" xfId="0" applyNumberFormat="1" applyFont="1" applyFill="1" applyAlignment="1">
      <alignment horizontal="left"/>
    </xf>
    <xf numFmtId="165" fontId="37" fillId="2" borderId="0" xfId="0" quotePrefix="1" applyNumberFormat="1" applyFont="1" applyFill="1" applyAlignment="1">
      <alignment horizontal="left"/>
    </xf>
    <xf numFmtId="164" fontId="37" fillId="2" borderId="0" xfId="0" applyFont="1" applyFill="1"/>
    <xf numFmtId="11" fontId="36" fillId="0" borderId="4" xfId="0" applyNumberFormat="1" applyFont="1" applyBorder="1" applyAlignment="1">
      <alignment horizontal="center"/>
    </xf>
    <xf numFmtId="11" fontId="36" fillId="2" borderId="0" xfId="0" quotePrefix="1" applyNumberFormat="1" applyFont="1" applyFill="1" applyAlignment="1">
      <alignment horizontal="center"/>
    </xf>
    <xf numFmtId="11" fontId="36" fillId="0" borderId="0" xfId="0" applyNumberFormat="1" applyFont="1" applyAlignment="1">
      <alignment horizontal="center"/>
    </xf>
    <xf numFmtId="11" fontId="36" fillId="0" borderId="6" xfId="0" applyNumberFormat="1" applyFont="1" applyBorder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1" fontId="0" fillId="0" borderId="0" xfId="0" quotePrefix="1" applyNumberFormat="1" applyAlignment="1">
      <alignment horizontal="center"/>
    </xf>
    <xf numFmtId="11" fontId="0" fillId="0" borderId="6" xfId="0" quotePrefix="1" applyNumberFormat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36" fillId="0" borderId="3" xfId="0" applyNumberFormat="1" applyFont="1" applyBorder="1" applyAlignment="1">
      <alignment horizontal="center"/>
    </xf>
    <xf numFmtId="11" fontId="0" fillId="0" borderId="3" xfId="0" quotePrefix="1" applyNumberFormat="1" applyBorder="1" applyAlignment="1">
      <alignment horizontal="center"/>
    </xf>
    <xf numFmtId="11" fontId="0" fillId="2" borderId="9" xfId="0" quotePrefix="1" applyNumberFormat="1" applyFill="1" applyBorder="1" applyAlignment="1">
      <alignment horizontal="center"/>
    </xf>
    <xf numFmtId="164" fontId="36" fillId="12" borderId="5" xfId="0" applyFont="1" applyFill="1" applyBorder="1" applyAlignment="1">
      <alignment horizontal="left"/>
    </xf>
    <xf numFmtId="168" fontId="36" fillId="12" borderId="4" xfId="0" applyNumberFormat="1" applyFont="1" applyFill="1" applyBorder="1" applyAlignment="1">
      <alignment horizontal="center"/>
    </xf>
    <xf numFmtId="11" fontId="36" fillId="12" borderId="4" xfId="0" applyNumberFormat="1" applyFont="1" applyFill="1" applyBorder="1" applyAlignment="1">
      <alignment horizontal="center"/>
    </xf>
    <xf numFmtId="9" fontId="36" fillId="12" borderId="0" xfId="8" applyFont="1" applyFill="1" applyBorder="1" applyAlignment="1" applyProtection="1">
      <alignment horizontal="center"/>
    </xf>
    <xf numFmtId="168" fontId="36" fillId="12" borderId="0" xfId="0" applyNumberFormat="1" applyFont="1" applyFill="1" applyAlignment="1">
      <alignment horizontal="center"/>
    </xf>
    <xf numFmtId="168" fontId="36" fillId="12" borderId="3" xfId="0" applyNumberFormat="1" applyFont="1" applyFill="1" applyBorder="1" applyAlignment="1" applyProtection="1">
      <alignment horizontal="center"/>
      <protection locked="0"/>
    </xf>
    <xf numFmtId="164" fontId="36" fillId="12" borderId="2" xfId="0" applyFont="1" applyFill="1" applyBorder="1" applyAlignment="1">
      <alignment horizontal="center"/>
    </xf>
    <xf numFmtId="168" fontId="36" fillId="12" borderId="0" xfId="0" quotePrefix="1" applyNumberFormat="1" applyFont="1" applyFill="1" applyAlignment="1">
      <alignment horizontal="center"/>
    </xf>
    <xf numFmtId="168" fontId="36" fillId="12" borderId="2" xfId="0" applyNumberFormat="1" applyFont="1" applyFill="1" applyBorder="1" applyAlignment="1">
      <alignment horizontal="center"/>
    </xf>
    <xf numFmtId="165" fontId="36" fillId="12" borderId="0" xfId="0" applyNumberFormat="1" applyFont="1" applyFill="1" applyAlignment="1">
      <alignment horizontal="center"/>
    </xf>
    <xf numFmtId="165" fontId="36" fillId="12" borderId="2" xfId="0" applyNumberFormat="1" applyFont="1" applyFill="1" applyBorder="1" applyAlignment="1">
      <alignment horizontal="center"/>
    </xf>
    <xf numFmtId="165" fontId="62" fillId="12" borderId="0" xfId="0" applyNumberFormat="1" applyFont="1" applyFill="1" applyAlignment="1">
      <alignment horizontal="left"/>
    </xf>
    <xf numFmtId="164" fontId="62" fillId="12" borderId="0" xfId="0" quotePrefix="1" applyFont="1" applyFill="1" applyAlignment="1">
      <alignment horizontal="left"/>
    </xf>
    <xf numFmtId="165" fontId="62" fillId="12" borderId="0" xfId="0" quotePrefix="1" applyNumberFormat="1" applyFont="1" applyFill="1" applyAlignment="1">
      <alignment horizontal="left"/>
    </xf>
    <xf numFmtId="165" fontId="37" fillId="12" borderId="0" xfId="0" applyNumberFormat="1" applyFont="1" applyFill="1" applyAlignment="1">
      <alignment horizontal="left"/>
    </xf>
    <xf numFmtId="166" fontId="47" fillId="12" borderId="6" xfId="0" applyNumberFormat="1" applyFont="1" applyFill="1" applyBorder="1" applyAlignment="1">
      <alignment horizontal="right"/>
    </xf>
    <xf numFmtId="166" fontId="37" fillId="12" borderId="0" xfId="0" applyNumberFormat="1" applyFont="1" applyFill="1" applyAlignment="1" applyProtection="1">
      <alignment horizontal="right"/>
      <protection locked="0"/>
    </xf>
    <xf numFmtId="166" fontId="47" fillId="12" borderId="6" xfId="0" applyNumberFormat="1" applyFont="1" applyFill="1" applyBorder="1" applyProtection="1">
      <protection locked="0"/>
    </xf>
    <xf numFmtId="166" fontId="36" fillId="12" borderId="15" xfId="0" applyNumberFormat="1" applyFont="1" applyFill="1" applyBorder="1" applyAlignment="1">
      <alignment horizontal="right"/>
    </xf>
    <xf numFmtId="165" fontId="37" fillId="12" borderId="0" xfId="0" quotePrefix="1" applyNumberFormat="1" applyFont="1" applyFill="1" applyAlignment="1">
      <alignment horizontal="left"/>
    </xf>
    <xf numFmtId="164" fontId="0" fillId="12" borderId="0" xfId="0" quotePrefix="1" applyFill="1" applyAlignment="1">
      <alignment horizontal="left"/>
    </xf>
    <xf numFmtId="164" fontId="37" fillId="12" borderId="0" xfId="0" applyFont="1" applyFill="1"/>
    <xf numFmtId="164" fontId="36" fillId="12" borderId="0" xfId="0" applyFont="1" applyFill="1" applyAlignment="1">
      <alignment horizontal="left"/>
    </xf>
    <xf numFmtId="164" fontId="36" fillId="12" borderId="0" xfId="0" applyFont="1" applyFill="1"/>
    <xf numFmtId="165" fontId="36" fillId="12" borderId="0" xfId="0" applyNumberFormat="1" applyFont="1" applyFill="1" applyAlignment="1">
      <alignment horizontal="left"/>
    </xf>
    <xf numFmtId="166" fontId="36" fillId="12" borderId="0" xfId="0" applyNumberFormat="1" applyFont="1" applyFill="1" applyAlignment="1" applyProtection="1">
      <alignment horizontal="right"/>
      <protection locked="0"/>
    </xf>
    <xf numFmtId="164" fontId="72" fillId="2" borderId="0" xfId="0" applyFont="1" applyFill="1" applyAlignment="1">
      <alignment horizontal="left"/>
    </xf>
    <xf numFmtId="11" fontId="34" fillId="12" borderId="0" xfId="0" applyNumberFormat="1" applyFont="1" applyFill="1" applyAlignment="1">
      <alignment horizontal="center"/>
    </xf>
    <xf numFmtId="164" fontId="34" fillId="12" borderId="2" xfId="0" applyFont="1" applyFill="1" applyBorder="1" applyAlignment="1">
      <alignment horizontal="center"/>
    </xf>
    <xf numFmtId="168" fontId="34" fillId="12" borderId="4" xfId="0" applyNumberFormat="1" applyFont="1" applyFill="1" applyBorder="1" applyAlignment="1">
      <alignment horizontal="center"/>
    </xf>
    <xf numFmtId="164" fontId="34" fillId="12" borderId="5" xfId="0" applyFont="1" applyFill="1" applyBorder="1" applyAlignment="1">
      <alignment horizontal="left"/>
    </xf>
    <xf numFmtId="165" fontId="36" fillId="12" borderId="0" xfId="0" quotePrefix="1" applyNumberFormat="1" applyFont="1" applyFill="1" applyAlignment="1">
      <alignment horizontal="left"/>
    </xf>
    <xf numFmtId="166" fontId="36" fillId="12" borderId="6" xfId="0" applyNumberFormat="1" applyFont="1" applyFill="1" applyBorder="1" applyProtection="1">
      <protection locked="0"/>
    </xf>
    <xf numFmtId="171" fontId="77" fillId="14" borderId="32" xfId="0" applyNumberFormat="1" applyFont="1" applyFill="1" applyBorder="1" applyAlignment="1">
      <alignment horizontal="right"/>
    </xf>
    <xf numFmtId="171" fontId="77" fillId="14" borderId="37" xfId="0" applyNumberFormat="1" applyFont="1" applyFill="1" applyBorder="1" applyAlignment="1">
      <alignment horizontal="right"/>
    </xf>
    <xf numFmtId="171" fontId="77" fillId="14" borderId="39" xfId="0" applyNumberFormat="1" applyFont="1" applyFill="1" applyBorder="1" applyAlignment="1">
      <alignment horizontal="right"/>
    </xf>
    <xf numFmtId="171" fontId="77" fillId="14" borderId="40" xfId="0" applyNumberFormat="1" applyFont="1" applyFill="1" applyBorder="1" applyAlignment="1">
      <alignment horizontal="right"/>
    </xf>
    <xf numFmtId="171" fontId="77" fillId="15" borderId="35" xfId="0" applyNumberFormat="1" applyFont="1" applyFill="1" applyBorder="1" applyAlignment="1">
      <alignment horizontal="left"/>
    </xf>
    <xf numFmtId="171" fontId="77" fillId="15" borderId="36" xfId="0" applyNumberFormat="1" applyFont="1" applyFill="1" applyBorder="1" applyAlignment="1">
      <alignment horizontal="left"/>
    </xf>
    <xf numFmtId="171" fontId="77" fillId="15" borderId="33" xfId="0" applyNumberFormat="1" applyFont="1" applyFill="1" applyBorder="1" applyAlignment="1">
      <alignment horizontal="left"/>
    </xf>
    <xf numFmtId="171" fontId="77" fillId="15" borderId="38" xfId="0" applyNumberFormat="1" applyFont="1" applyFill="1" applyBorder="1" applyAlignment="1">
      <alignment horizontal="left"/>
    </xf>
    <xf numFmtId="171" fontId="77" fillId="15" borderId="34" xfId="0" quotePrefix="1" applyNumberFormat="1" applyFont="1" applyFill="1" applyBorder="1" applyAlignment="1">
      <alignment horizontal="left"/>
    </xf>
    <xf numFmtId="164" fontId="0" fillId="2" borderId="0" xfId="0" quotePrefix="1" applyFill="1" applyAlignment="1">
      <alignment horizontal="left" vertical="center"/>
    </xf>
    <xf numFmtId="164" fontId="14" fillId="16" borderId="0" xfId="0" applyFont="1" applyFill="1" applyAlignment="1">
      <alignment horizontal="center"/>
    </xf>
    <xf numFmtId="1" fontId="0" fillId="0" borderId="0" xfId="0" applyNumberFormat="1"/>
    <xf numFmtId="164" fontId="79" fillId="14" borderId="0" xfId="0" applyFont="1" applyFill="1"/>
    <xf numFmtId="164" fontId="82" fillId="14" borderId="0" xfId="0" applyFont="1" applyFill="1" applyAlignment="1">
      <alignment horizontal="center"/>
    </xf>
    <xf numFmtId="164" fontId="79" fillId="14" borderId="0" xfId="0" applyFont="1" applyFill="1" applyAlignment="1">
      <alignment horizontal="center"/>
    </xf>
    <xf numFmtId="164" fontId="83" fillId="17" borderId="0" xfId="0" applyFont="1" applyFill="1" applyAlignment="1">
      <alignment horizontal="center"/>
    </xf>
    <xf numFmtId="164" fontId="84" fillId="17" borderId="0" xfId="0" applyFont="1" applyFill="1" applyAlignment="1">
      <alignment horizontal="center"/>
    </xf>
    <xf numFmtId="164" fontId="0" fillId="14" borderId="0" xfId="0" applyFill="1"/>
    <xf numFmtId="1" fontId="80" fillId="0" borderId="0" xfId="0" applyNumberFormat="1" applyFont="1"/>
    <xf numFmtId="164" fontId="81" fillId="0" borderId="0" xfId="0" applyFont="1"/>
    <xf numFmtId="166" fontId="68" fillId="12" borderId="6" xfId="0" applyNumberFormat="1" applyFont="1" applyFill="1" applyBorder="1" applyProtection="1">
      <protection locked="0"/>
    </xf>
    <xf numFmtId="166" fontId="36" fillId="12" borderId="15" xfId="8" applyNumberFormat="1" applyFont="1" applyFill="1" applyBorder="1" applyAlignment="1" applyProtection="1">
      <alignment horizontal="right"/>
    </xf>
    <xf numFmtId="166" fontId="0" fillId="12" borderId="15" xfId="8" applyNumberFormat="1" applyFont="1" applyFill="1" applyBorder="1" applyAlignment="1" applyProtection="1">
      <alignment horizontal="right"/>
    </xf>
    <xf numFmtId="166" fontId="0" fillId="12" borderId="0" xfId="0" applyNumberFormat="1" applyFill="1" applyAlignment="1">
      <alignment horizontal="right"/>
    </xf>
    <xf numFmtId="164" fontId="25" fillId="12" borderId="0" xfId="0" applyFont="1" applyFill="1"/>
    <xf numFmtId="164" fontId="14" fillId="12" borderId="0" xfId="0" applyFont="1" applyFill="1"/>
    <xf numFmtId="166" fontId="0" fillId="12" borderId="0" xfId="0" applyNumberFormat="1" applyFill="1" applyAlignment="1" applyProtection="1">
      <alignment horizontal="right"/>
      <protection locked="0"/>
    </xf>
    <xf numFmtId="164" fontId="14" fillId="12" borderId="0" xfId="0" applyFont="1" applyFill="1" applyAlignment="1">
      <alignment horizontal="left"/>
    </xf>
    <xf numFmtId="169" fontId="25" fillId="12" borderId="0" xfId="0" applyNumberFormat="1" applyFont="1" applyFill="1"/>
    <xf numFmtId="164" fontId="0" fillId="0" borderId="0" xfId="0" applyAlignment="1">
      <alignment horizontal="center"/>
    </xf>
    <xf numFmtId="164" fontId="80" fillId="0" borderId="0" xfId="0" applyFont="1" applyAlignment="1">
      <alignment horizontal="center"/>
    </xf>
  </cellXfs>
  <cellStyles count="23">
    <cellStyle name="Hyperlink" xfId="1" builtinId="8"/>
    <cellStyle name="Hyperlink 2" xfId="2" xr:uid="{00000000-0005-0000-0000-000001000000}"/>
    <cellStyle name="Normal" xfId="0" builtinId="0"/>
    <cellStyle name="Normal 11" xfId="16" xr:uid="{00000000-0005-0000-0000-000003000000}"/>
    <cellStyle name="Normal 12" xfId="21" xr:uid="{00000000-0005-0000-0000-000004000000}"/>
    <cellStyle name="Normal 2" xfId="12" xr:uid="{00000000-0005-0000-0000-000005000000}"/>
    <cellStyle name="Normal 2 2" xfId="3" xr:uid="{00000000-0005-0000-0000-000006000000}"/>
    <cellStyle name="Normal 2 3" xfId="4" xr:uid="{00000000-0005-0000-0000-000007000000}"/>
    <cellStyle name="Normal 2 4" xfId="5" xr:uid="{00000000-0005-0000-0000-000008000000}"/>
    <cellStyle name="Normal 3" xfId="6" xr:uid="{00000000-0005-0000-0000-000009000000}"/>
    <cellStyle name="Normal 4" xfId="7" xr:uid="{00000000-0005-0000-0000-00000A000000}"/>
    <cellStyle name="Normal 5" xfId="14" xr:uid="{00000000-0005-0000-0000-00000B000000}"/>
    <cellStyle name="Normal 6" xfId="17" xr:uid="{00000000-0005-0000-0000-00000C000000}"/>
    <cellStyle name="Normal 7" xfId="20" xr:uid="{00000000-0005-0000-0000-00000D000000}"/>
    <cellStyle name="Normal 8" xfId="22" xr:uid="{D5685704-67E5-4EA9-8F00-5508F7BF9B86}"/>
    <cellStyle name="Normal 9" xfId="19" xr:uid="{00000000-0005-0000-0000-00000E000000}"/>
    <cellStyle name="Percent" xfId="8" builtinId="5"/>
    <cellStyle name="Percent 2" xfId="13" xr:uid="{00000000-0005-0000-0000-000010000000}"/>
    <cellStyle name="Percent 2 2" xfId="9" xr:uid="{00000000-0005-0000-0000-000011000000}"/>
    <cellStyle name="Percent 3" xfId="10" xr:uid="{00000000-0005-0000-0000-000012000000}"/>
    <cellStyle name="Percent 4" xfId="11" xr:uid="{00000000-0005-0000-0000-000013000000}"/>
    <cellStyle name="Percent 5" xfId="15" xr:uid="{00000000-0005-0000-0000-000014000000}"/>
    <cellStyle name="Percent 6" xfId="18" xr:uid="{00000000-0005-0000-0000-000015000000}"/>
  </cellStyles>
  <dxfs count="20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0_)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" formatCode="0"/>
    </dxf>
    <dxf>
      <numFmt numFmtId="174" formatCode="0_)"/>
    </dxf>
    <dxf>
      <numFmt numFmtId="1" formatCode="0"/>
    </dxf>
    <dxf>
      <numFmt numFmtId="164" formatCode="General_)"/>
    </dxf>
    <dxf>
      <numFmt numFmtId="0" formatCode="General"/>
    </dxf>
    <dxf>
      <font>
        <strike val="0"/>
        <color auto="1"/>
      </font>
      <numFmt numFmtId="168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" formatCode="0"/>
    </dxf>
    <dxf>
      <font>
        <strike val="0"/>
        <color auto="1"/>
      </font>
      <numFmt numFmtId="168" formatCode="0.0E+0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64" formatCode="General_)"/>
    </dxf>
    <dxf>
      <numFmt numFmtId="174" formatCode="0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64" formatCode="General_)"/>
    </dxf>
    <dxf>
      <numFmt numFmtId="174" formatCode="0_)"/>
    </dxf>
    <dxf>
      <numFmt numFmtId="164" formatCode="General_)"/>
    </dxf>
    <dxf>
      <numFmt numFmtId="174" formatCode="0_)"/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0" formatCode="General"/>
    </dxf>
    <dxf>
      <numFmt numFmtId="0" formatCode="General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74" formatCode="0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74" formatCode="0_)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CC"/>
      <color rgb="FF008C00"/>
      <color rgb="FF0000DC"/>
      <color rgb="FFC00000"/>
      <color rgb="FF008000"/>
      <color rgb="FF0000FF"/>
      <color rgb="FF009600"/>
      <color rgb="FFDC0000"/>
      <color rgb="FFC80000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dynamicR!$AS$10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dynamicR!$AS$12:$AS$112</c:f>
              <c:numCache>
                <c:formatCode>0.0%</c:formatCode>
                <c:ptCount val="101"/>
                <c:pt idx="0">
                  <c:v>0</c:v>
                </c:pt>
                <c:pt idx="1">
                  <c:v>26.918225592052568</c:v>
                </c:pt>
                <c:pt idx="2">
                  <c:v>35.131444554577769</c:v>
                </c:pt>
                <c:pt idx="3">
                  <c:v>37.710021325631779</c:v>
                </c:pt>
                <c:pt idx="4">
                  <c:v>38.588229501274952</c:v>
                </c:pt>
                <c:pt idx="5">
                  <c:v>38.950437649622515</c:v>
                </c:pt>
                <c:pt idx="6">
                  <c:v>39.153327683278754</c:v>
                </c:pt>
                <c:pt idx="7">
                  <c:v>39.304405261875459</c:v>
                </c:pt>
                <c:pt idx="8">
                  <c:v>39.436188378078107</c:v>
                </c:pt>
                <c:pt idx="9">
                  <c:v>39.55862569888064</c:v>
                </c:pt>
                <c:pt idx="10">
                  <c:v>39.6748508940722</c:v>
                </c:pt>
                <c:pt idx="11">
                  <c:v>39.785966675205685</c:v>
                </c:pt>
                <c:pt idx="12">
                  <c:v>39.892392946212681</c:v>
                </c:pt>
                <c:pt idx="13">
                  <c:v>39.99443783791417</c:v>
                </c:pt>
                <c:pt idx="14">
                  <c:v>40.092266723269503</c:v>
                </c:pt>
                <c:pt idx="15">
                  <c:v>40.186097907843774</c:v>
                </c:pt>
                <c:pt idx="16">
                  <c:v>40.27607465190156</c:v>
                </c:pt>
                <c:pt idx="17">
                  <c:v>40.362361831833063</c:v>
                </c:pt>
                <c:pt idx="18">
                  <c:v>40.44511122438665</c:v>
                </c:pt>
                <c:pt idx="19">
                  <c:v>40.524469077335631</c:v>
                </c:pt>
                <c:pt idx="20">
                  <c:v>40.60057412665482</c:v>
                </c:pt>
                <c:pt idx="21">
                  <c:v>40.673560047554439</c:v>
                </c:pt>
                <c:pt idx="22">
                  <c:v>40.743556245490034</c:v>
                </c:pt>
                <c:pt idx="23">
                  <c:v>40.81068408265795</c:v>
                </c:pt>
                <c:pt idx="24">
                  <c:v>40.875061962029967</c:v>
                </c:pt>
                <c:pt idx="25">
                  <c:v>40.936805485513602</c:v>
                </c:pt>
                <c:pt idx="26">
                  <c:v>40.996021336048969</c:v>
                </c:pt>
                <c:pt idx="27">
                  <c:v>41.052809745926602</c:v>
                </c:pt>
                <c:pt idx="28">
                  <c:v>41.107274047827651</c:v>
                </c:pt>
                <c:pt idx="29">
                  <c:v>41.159514728966947</c:v>
                </c:pt>
                <c:pt idx="30">
                  <c:v>41.209616467931689</c:v>
                </c:pt>
                <c:pt idx="31">
                  <c:v>41.257661327926066</c:v>
                </c:pt>
                <c:pt idx="32">
                  <c:v>41.303746186912029</c:v>
                </c:pt>
                <c:pt idx="33">
                  <c:v>41.347956906304084</c:v>
                </c:pt>
                <c:pt idx="34">
                  <c:v>41.390345333520727</c:v>
                </c:pt>
                <c:pt idx="35">
                  <c:v>41.430993526391248</c:v>
                </c:pt>
                <c:pt idx="36">
                  <c:v>41.470022183420078</c:v>
                </c:pt>
                <c:pt idx="37">
                  <c:v>41.507446517981755</c:v>
                </c:pt>
                <c:pt idx="38">
                  <c:v>41.543261217557877</c:v>
                </c:pt>
                <c:pt idx="39">
                  <c:v>41.57770510561302</c:v>
                </c:pt>
                <c:pt idx="40">
                  <c:v>41.610726134655337</c:v>
                </c:pt>
                <c:pt idx="41">
                  <c:v>41.642390926048613</c:v>
                </c:pt>
                <c:pt idx="42">
                  <c:v>41.672766576345715</c:v>
                </c:pt>
                <c:pt idx="43">
                  <c:v>41.701903071417249</c:v>
                </c:pt>
                <c:pt idx="44">
                  <c:v>41.729850147362399</c:v>
                </c:pt>
                <c:pt idx="45">
                  <c:v>41.756659217836308</c:v>
                </c:pt>
                <c:pt idx="46">
                  <c:v>41.782376560162184</c:v>
                </c:pt>
                <c:pt idx="47">
                  <c:v>41.807047367899635</c:v>
                </c:pt>
                <c:pt idx="48">
                  <c:v>41.83071414351339</c:v>
                </c:pt>
                <c:pt idx="49">
                  <c:v>41.853417687364853</c:v>
                </c:pt>
                <c:pt idx="50">
                  <c:v>41.853417687364853</c:v>
                </c:pt>
                <c:pt idx="51">
                  <c:v>14.957056137195144</c:v>
                </c:pt>
                <c:pt idx="52">
                  <c:v>6.7646509174209193</c:v>
                </c:pt>
                <c:pt idx="53">
                  <c:v>4.2061212330740423</c:v>
                </c:pt>
                <c:pt idx="54">
                  <c:v>3.3471409408052408</c:v>
                </c:pt>
                <c:pt idx="55">
                  <c:v>3.0033832787699319</c:v>
                </c:pt>
                <c:pt idx="56">
                  <c:v>2.8181931726569833</c:v>
                </c:pt>
                <c:pt idx="57">
                  <c:v>2.6841052739800264</c:v>
                </c:pt>
                <c:pt idx="58">
                  <c:v>2.5686256350895587</c:v>
                </c:pt>
                <c:pt idx="59">
                  <c:v>2.4618251446602875</c:v>
                </c:pt>
                <c:pt idx="60">
                  <c:v>2.3605926282658984</c:v>
                </c:pt>
                <c:pt idx="61">
                  <c:v>2.2638899345611643</c:v>
                </c:pt>
                <c:pt idx="62">
                  <c:v>2.1712636013173925</c:v>
                </c:pt>
                <c:pt idx="63">
                  <c:v>2.0825052319299502</c:v>
                </c:pt>
                <c:pt idx="64">
                  <c:v>1.9973588301163656</c:v>
                </c:pt>
                <c:pt idx="65">
                  <c:v>1.9157668515547446</c:v>
                </c:pt>
                <c:pt idx="66">
                  <c:v>1.8374878591145394</c:v>
                </c:pt>
                <c:pt idx="67">
                  <c:v>1.7624459071917786</c:v>
                </c:pt>
                <c:pt idx="68">
                  <c:v>1.6904882240180972</c:v>
                </c:pt>
                <c:pt idx="69">
                  <c:v>1.6214875587962108</c:v>
                </c:pt>
                <c:pt idx="70">
                  <c:v>1.5553230929404691</c:v>
                </c:pt>
                <c:pt idx="71">
                  <c:v>1.4918807075599769</c:v>
                </c:pt>
                <c:pt idx="72">
                  <c:v>1.4310417653460352</c:v>
                </c:pt>
                <c:pt idx="73">
                  <c:v>1.372701945333612</c:v>
                </c:pt>
                <c:pt idx="74">
                  <c:v>1.3167644578874989</c:v>
                </c:pt>
                <c:pt idx="75">
                  <c:v>1.263117299367897</c:v>
                </c:pt>
                <c:pt idx="76">
                  <c:v>1.211682602698267</c:v>
                </c:pt>
                <c:pt idx="77">
                  <c:v>1.1623611980855177</c:v>
                </c:pt>
                <c:pt idx="78">
                  <c:v>1.1150503794880036</c:v>
                </c:pt>
                <c:pt idx="79">
                  <c:v>1.069714154422245</c:v>
                </c:pt>
                <c:pt idx="80">
                  <c:v>1.0262157689129232</c:v>
                </c:pt>
                <c:pt idx="81">
                  <c:v>0.98450780929938353</c:v>
                </c:pt>
                <c:pt idx="82">
                  <c:v>0.94451524893151484</c:v>
                </c:pt>
                <c:pt idx="83">
                  <c:v>0.90616444240074967</c:v>
                </c:pt>
                <c:pt idx="84">
                  <c:v>0.86938963051106655</c:v>
                </c:pt>
                <c:pt idx="85">
                  <c:v>0.83412368488043087</c:v>
                </c:pt>
                <c:pt idx="86">
                  <c:v>0.80030516355210235</c:v>
                </c:pt>
                <c:pt idx="87">
                  <c:v>0.76787687527445347</c:v>
                </c:pt>
                <c:pt idx="88">
                  <c:v>0.73677857653066281</c:v>
                </c:pt>
                <c:pt idx="89">
                  <c:v>0.7069544547824087</c:v>
                </c:pt>
                <c:pt idx="90">
                  <c:v>0.6783578002598103</c:v>
                </c:pt>
                <c:pt idx="91">
                  <c:v>0.65093712466474962</c:v>
                </c:pt>
                <c:pt idx="92">
                  <c:v>0.62463285996071727</c:v>
                </c:pt>
                <c:pt idx="93">
                  <c:v>0.59940854195489712</c:v>
                </c:pt>
                <c:pt idx="94">
                  <c:v>0.57522758775633676</c:v>
                </c:pt>
                <c:pt idx="95">
                  <c:v>0.55203543026902335</c:v>
                </c:pt>
                <c:pt idx="96">
                  <c:v>0.5297931104625726</c:v>
                </c:pt>
                <c:pt idx="97">
                  <c:v>0.50846299757102342</c:v>
                </c:pt>
                <c:pt idx="98">
                  <c:v>0.48800720559558303</c:v>
                </c:pt>
                <c:pt idx="99">
                  <c:v>0.46838997876010052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2-47C0-B709-EE788F9309AB}"/>
            </c:ext>
          </c:extLst>
        </c:ser>
        <c:ser>
          <c:idx val="1"/>
          <c:order val="1"/>
          <c:tx>
            <c:strRef>
              <c:f>dynamicR!$AU$10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dynamicR!$AU$12:$AU$112</c:f>
              <c:numCache>
                <c:formatCode>0.0%</c:formatCode>
                <c:ptCount val="101"/>
                <c:pt idx="0">
                  <c:v>0</c:v>
                </c:pt>
                <c:pt idx="1">
                  <c:v>1.4362228422435948E-3</c:v>
                </c:pt>
                <c:pt idx="2">
                  <c:v>2.8617777058678744E-3</c:v>
                </c:pt>
                <c:pt idx="3">
                  <c:v>4.2767408496678502E-3</c:v>
                </c:pt>
                <c:pt idx="4">
                  <c:v>5.6811900707669288E-3</c:v>
                </c:pt>
                <c:pt idx="5">
                  <c:v>7.0752032218301154E-3</c:v>
                </c:pt>
                <c:pt idx="6">
                  <c:v>8.4588577677767E-3</c:v>
                </c:pt>
                <c:pt idx="7">
                  <c:v>9.8322306553729633E-3</c:v>
                </c:pt>
                <c:pt idx="8">
                  <c:v>1.119539827694536E-2</c:v>
                </c:pt>
                <c:pt idx="9">
                  <c:v>1.2548436462421399E-2</c:v>
                </c:pt>
                <c:pt idx="10">
                  <c:v>1.3891420479877525E-2</c:v>
                </c:pt>
                <c:pt idx="11">
                  <c:v>1.5224425038606132E-2</c:v>
                </c:pt>
                <c:pt idx="12">
                  <c:v>1.65475242929677E-2</c:v>
                </c:pt>
                <c:pt idx="13">
                  <c:v>1.7860791846362262E-2</c:v>
                </c:pt>
                <c:pt idx="14">
                  <c:v>1.9164300755339637E-2</c:v>
                </c:pt>
                <c:pt idx="15">
                  <c:v>2.0458123533613846E-2</c:v>
                </c:pt>
                <c:pt idx="16">
                  <c:v>2.1742332156143445E-2</c:v>
                </c:pt>
                <c:pt idx="17">
                  <c:v>2.3016998061516442E-2</c:v>
                </c:pt>
                <c:pt idx="18">
                  <c:v>2.4282192160079E-2</c:v>
                </c:pt>
                <c:pt idx="19">
                  <c:v>2.5537984837605488E-2</c:v>
                </c:pt>
                <c:pt idx="20">
                  <c:v>2.6784445951048844E-2</c:v>
                </c:pt>
                <c:pt idx="21">
                  <c:v>2.8021644839559417E-2</c:v>
                </c:pt>
                <c:pt idx="22">
                  <c:v>2.9249650329334451E-2</c:v>
                </c:pt>
                <c:pt idx="23">
                  <c:v>3.046853073424383E-2</c:v>
                </c:pt>
                <c:pt idx="24">
                  <c:v>3.1678353860414461E-2</c:v>
                </c:pt>
                <c:pt idx="25">
                  <c:v>3.2879187010235643E-2</c:v>
                </c:pt>
                <c:pt idx="26">
                  <c:v>3.4071096986006508E-2</c:v>
                </c:pt>
                <c:pt idx="27">
                  <c:v>3.525415009366023E-2</c:v>
                </c:pt>
                <c:pt idx="28">
                  <c:v>3.6428412146448132E-2</c:v>
                </c:pt>
                <c:pt idx="29">
                  <c:v>3.7593948468600966E-2</c:v>
                </c:pt>
                <c:pt idx="30">
                  <c:v>3.8750823898964698E-2</c:v>
                </c:pt>
                <c:pt idx="31">
                  <c:v>3.9899102794596124E-2</c:v>
                </c:pt>
                <c:pt idx="32">
                  <c:v>4.10388490343623E-2</c:v>
                </c:pt>
                <c:pt idx="33">
                  <c:v>4.2170126022354752E-2</c:v>
                </c:pt>
                <c:pt idx="34">
                  <c:v>4.3292996691767671E-2</c:v>
                </c:pt>
                <c:pt idx="35">
                  <c:v>4.4407523508106131E-2</c:v>
                </c:pt>
                <c:pt idx="36">
                  <c:v>4.5513768472639007E-2</c:v>
                </c:pt>
                <c:pt idx="37">
                  <c:v>4.6611793125990633E-2</c:v>
                </c:pt>
                <c:pt idx="38">
                  <c:v>4.7701658551486399E-2</c:v>
                </c:pt>
                <c:pt idx="39">
                  <c:v>4.8783425378554145E-2</c:v>
                </c:pt>
                <c:pt idx="40">
                  <c:v>4.9857153785670516E-2</c:v>
                </c:pt>
                <c:pt idx="41">
                  <c:v>5.0922904444919911E-2</c:v>
                </c:pt>
                <c:pt idx="42">
                  <c:v>5.1980734382501212E-2</c:v>
                </c:pt>
                <c:pt idx="43">
                  <c:v>5.3030705136559719E-2</c:v>
                </c:pt>
                <c:pt idx="44">
                  <c:v>5.4072871612073088E-2</c:v>
                </c:pt>
                <c:pt idx="45">
                  <c:v>5.5107295051286198E-2</c:v>
                </c:pt>
                <c:pt idx="46">
                  <c:v>5.6134031869295692E-2</c:v>
                </c:pt>
                <c:pt idx="47">
                  <c:v>5.7153139184320197E-2</c:v>
                </c:pt>
                <c:pt idx="48">
                  <c:v>5.816467368974617E-2</c:v>
                </c:pt>
                <c:pt idx="49">
                  <c:v>5.9168691657574261E-2</c:v>
                </c:pt>
                <c:pt idx="50">
                  <c:v>5.9168691657574261E-2</c:v>
                </c:pt>
                <c:pt idx="51">
                  <c:v>5.8729026125894424E-2</c:v>
                </c:pt>
                <c:pt idx="52">
                  <c:v>5.82926233183984E-2</c:v>
                </c:pt>
                <c:pt idx="53">
                  <c:v>5.7859462012475098E-2</c:v>
                </c:pt>
                <c:pt idx="54">
                  <c:v>5.7429519029036737E-2</c:v>
                </c:pt>
                <c:pt idx="55">
                  <c:v>5.700277072758364E-2</c:v>
                </c:pt>
                <c:pt idx="56">
                  <c:v>5.6579193452532546E-2</c:v>
                </c:pt>
                <c:pt idx="57">
                  <c:v>5.6158763666611072E-2</c:v>
                </c:pt>
                <c:pt idx="58">
                  <c:v>5.5741457990120466E-2</c:v>
                </c:pt>
                <c:pt idx="59">
                  <c:v>5.5327253211841204E-2</c:v>
                </c:pt>
                <c:pt idx="60">
                  <c:v>5.4916126291412175E-2</c:v>
                </c:pt>
                <c:pt idx="61">
                  <c:v>5.4508054359152062E-2</c:v>
                </c:pt>
                <c:pt idx="62">
                  <c:v>5.4103014715141604E-2</c:v>
                </c:pt>
                <c:pt idx="63">
                  <c:v>5.3700984828039124E-2</c:v>
                </c:pt>
                <c:pt idx="64">
                  <c:v>5.3301942333898018E-2</c:v>
                </c:pt>
                <c:pt idx="65">
                  <c:v>5.2905865034867341E-2</c:v>
                </c:pt>
                <c:pt idx="66">
                  <c:v>5.2512730898048365E-2</c:v>
                </c:pt>
                <c:pt idx="67">
                  <c:v>5.2122518054188265E-2</c:v>
                </c:pt>
                <c:pt idx="68">
                  <c:v>5.1735204796523847E-2</c:v>
                </c:pt>
                <c:pt idx="69">
                  <c:v>5.1350769579550315E-2</c:v>
                </c:pt>
                <c:pt idx="70">
                  <c:v>5.0969191017825606E-2</c:v>
                </c:pt>
                <c:pt idx="71">
                  <c:v>5.0590447884800827E-2</c:v>
                </c:pt>
                <c:pt idx="72">
                  <c:v>5.0214519111605634E-2</c:v>
                </c:pt>
                <c:pt idx="73">
                  <c:v>4.9841383785910943E-2</c:v>
                </c:pt>
                <c:pt idx="74">
                  <c:v>4.94710211507512E-2</c:v>
                </c:pt>
                <c:pt idx="75">
                  <c:v>4.9103410603378604E-2</c:v>
                </c:pt>
                <c:pt idx="76">
                  <c:v>4.8738531694107252E-2</c:v>
                </c:pt>
                <c:pt idx="77">
                  <c:v>4.8376364125189607E-2</c:v>
                </c:pt>
                <c:pt idx="78">
                  <c:v>4.8016887749684413E-2</c:v>
                </c:pt>
                <c:pt idx="79">
                  <c:v>4.7660082570320735E-2</c:v>
                </c:pt>
                <c:pt idx="80">
                  <c:v>4.730592873842511E-2</c:v>
                </c:pt>
                <c:pt idx="81">
                  <c:v>4.695440655286344E-2</c:v>
                </c:pt>
                <c:pt idx="82">
                  <c:v>4.6605496459185158E-2</c:v>
                </c:pt>
                <c:pt idx="83">
                  <c:v>4.6259179047151398E-2</c:v>
                </c:pt>
                <c:pt idx="84">
                  <c:v>4.5915435050773071E-2</c:v>
                </c:pt>
                <c:pt idx="85">
                  <c:v>4.557424534901372E-2</c:v>
                </c:pt>
                <c:pt idx="86">
                  <c:v>4.5235590961626417E-2</c:v>
                </c:pt>
                <c:pt idx="87">
                  <c:v>4.4899453049323655E-2</c:v>
                </c:pt>
                <c:pt idx="88">
                  <c:v>4.4565812912985836E-2</c:v>
                </c:pt>
                <c:pt idx="89">
                  <c:v>4.4234651992421277E-2</c:v>
                </c:pt>
                <c:pt idx="90">
                  <c:v>4.3905951865308553E-2</c:v>
                </c:pt>
                <c:pt idx="91">
                  <c:v>4.3579694246245478E-2</c:v>
                </c:pt>
                <c:pt idx="92">
                  <c:v>4.3255860985679614E-2</c:v>
                </c:pt>
                <c:pt idx="93">
                  <c:v>4.2934434068923041E-2</c:v>
                </c:pt>
                <c:pt idx="94">
                  <c:v>4.2615395615113183E-2</c:v>
                </c:pt>
                <c:pt idx="95">
                  <c:v>4.2298727876216122E-2</c:v>
                </c:pt>
                <c:pt idx="96">
                  <c:v>4.1984413236534374E-2</c:v>
                </c:pt>
                <c:pt idx="97">
                  <c:v>4.1672434210694366E-2</c:v>
                </c:pt>
                <c:pt idx="98">
                  <c:v>4.1362773443149023E-2</c:v>
                </c:pt>
                <c:pt idx="99">
                  <c:v>4.1055413707519077E-2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22-47C0-B709-EE788F9309AB}"/>
            </c:ext>
          </c:extLst>
        </c:ser>
        <c:ser>
          <c:idx val="2"/>
          <c:order val="2"/>
          <c:tx>
            <c:strRef>
              <c:f>dynamicR!$AV$10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dynamicR!$AV$12:$AV$112</c:f>
              <c:numCache>
                <c:formatCode>0.0%</c:formatCode>
                <c:ptCount val="101"/>
                <c:pt idx="0">
                  <c:v>0</c:v>
                </c:pt>
                <c:pt idx="1">
                  <c:v>7.3616741130037751</c:v>
                </c:pt>
                <c:pt idx="2">
                  <c:v>24.001981602502475</c:v>
                </c:pt>
                <c:pt idx="3">
                  <c:v>44.426797020304122</c:v>
                </c:pt>
                <c:pt idx="4">
                  <c:v>65.456884182159783</c:v>
                </c:pt>
                <c:pt idx="5">
                  <c:v>85.368897844533961</c:v>
                </c:pt>
                <c:pt idx="6">
                  <c:v>103.33462784531312</c:v>
                </c:pt>
                <c:pt idx="7">
                  <c:v>119.05904860079693</c:v>
                </c:pt>
                <c:pt idx="8">
                  <c:v>132.55009684031626</c:v>
                </c:pt>
                <c:pt idx="9">
                  <c:v>143.97472815099155</c:v>
                </c:pt>
                <c:pt idx="10">
                  <c:v>153.57134037767085</c:v>
                </c:pt>
                <c:pt idx="11">
                  <c:v>161.59827012301557</c:v>
                </c:pt>
                <c:pt idx="12">
                  <c:v>168.30529020819458</c:v>
                </c:pt>
                <c:pt idx="13">
                  <c:v>173.91917430150605</c:v>
                </c:pt>
                <c:pt idx="14">
                  <c:v>178.63777762283661</c:v>
                </c:pt>
                <c:pt idx="15">
                  <c:v>182.6290798401582</c:v>
                </c:pt>
                <c:pt idx="16">
                  <c:v>186.03292421474944</c:v>
                </c:pt>
                <c:pt idx="17">
                  <c:v>188.96394532102806</c:v>
                </c:pt>
                <c:pt idx="18">
                  <c:v>191.51519237861152</c:v>
                </c:pt>
                <c:pt idx="19">
                  <c:v>193.761501541401</c:v>
                </c:pt>
                <c:pt idx="20">
                  <c:v>195.76235847725087</c:v>
                </c:pt>
                <c:pt idx="21">
                  <c:v>197.56501425288477</c:v>
                </c:pt>
                <c:pt idx="22">
                  <c:v>199.20686086501144</c:v>
                </c:pt>
                <c:pt idx="23">
                  <c:v>200.71733118996127</c:v>
                </c:pt>
                <c:pt idx="24">
                  <c:v>202.11947702574753</c:v>
                </c:pt>
                <c:pt idx="25">
                  <c:v>203.43143045558352</c:v>
                </c:pt>
                <c:pt idx="26">
                  <c:v>204.66740948960066</c:v>
                </c:pt>
                <c:pt idx="27">
                  <c:v>205.83857254333202</c:v>
                </c:pt>
                <c:pt idx="28">
                  <c:v>206.95369518796923</c:v>
                </c:pt>
                <c:pt idx="29">
                  <c:v>208.01970201813083</c:v>
                </c:pt>
                <c:pt idx="30">
                  <c:v>209.04208236689556</c:v>
                </c:pt>
                <c:pt idx="31">
                  <c:v>210.02521270299806</c:v>
                </c:pt>
                <c:pt idx="32">
                  <c:v>210.9726112367959</c:v>
                </c:pt>
                <c:pt idx="33">
                  <c:v>211.88712537498819</c:v>
                </c:pt>
                <c:pt idx="34">
                  <c:v>212.77110214292804</c:v>
                </c:pt>
                <c:pt idx="35">
                  <c:v>213.62648321958358</c:v>
                </c:pt>
                <c:pt idx="36">
                  <c:v>214.45489619955285</c:v>
                </c:pt>
                <c:pt idx="37">
                  <c:v>215.25773534855642</c:v>
                </c:pt>
                <c:pt idx="38">
                  <c:v>216.03620637491576</c:v>
                </c:pt>
                <c:pt idx="39">
                  <c:v>216.79136852585657</c:v>
                </c:pt>
                <c:pt idx="40">
                  <c:v>217.52416526948275</c:v>
                </c:pt>
                <c:pt idx="41">
                  <c:v>218.23546001558714</c:v>
                </c:pt>
                <c:pt idx="42">
                  <c:v>218.92600184248573</c:v>
                </c:pt>
                <c:pt idx="43">
                  <c:v>219.59654147755043</c:v>
                </c:pt>
                <c:pt idx="44">
                  <c:v>220.24770615371682</c:v>
                </c:pt>
                <c:pt idx="45">
                  <c:v>220.88016379237473</c:v>
                </c:pt>
                <c:pt idx="46">
                  <c:v>221.49449354058152</c:v>
                </c:pt>
                <c:pt idx="47">
                  <c:v>222.09125828980243</c:v>
                </c:pt>
                <c:pt idx="48">
                  <c:v>222.67099613894652</c:v>
                </c:pt>
                <c:pt idx="49">
                  <c:v>223.23422194600704</c:v>
                </c:pt>
                <c:pt idx="50">
                  <c:v>223.23422194600704</c:v>
                </c:pt>
                <c:pt idx="51">
                  <c:v>216.41973107092673</c:v>
                </c:pt>
                <c:pt idx="52">
                  <c:v>200.31110546774318</c:v>
                </c:pt>
                <c:pt idx="53">
                  <c:v>180.40288330506297</c:v>
                </c:pt>
                <c:pt idx="54">
                  <c:v>159.87474495290746</c:v>
                </c:pt>
                <c:pt idx="55">
                  <c:v>140.45046839660333</c:v>
                </c:pt>
                <c:pt idx="56">
                  <c:v>122.95869033379711</c:v>
                </c:pt>
                <c:pt idx="57">
                  <c:v>107.6948077227828</c:v>
                </c:pt>
                <c:pt idx="58">
                  <c:v>94.651280412470314</c:v>
                </c:pt>
                <c:pt idx="59">
                  <c:v>83.661541455527754</c:v>
                </c:pt>
                <c:pt idx="60">
                  <c:v>74.487546573398376</c:v>
                </c:pt>
                <c:pt idx="61">
                  <c:v>66.871360520078952</c:v>
                </c:pt>
                <c:pt idx="62">
                  <c:v>60.563490492467956</c:v>
                </c:pt>
                <c:pt idx="63">
                  <c:v>55.337518473932839</c:v>
                </c:pt>
                <c:pt idx="64">
                  <c:v>50.995924044857063</c:v>
                </c:pt>
                <c:pt idx="65">
                  <c:v>47.371032171640849</c:v>
                </c:pt>
                <c:pt idx="66">
                  <c:v>44.323305459190912</c:v>
                </c:pt>
                <c:pt idx="67">
                  <c:v>41.738344674762857</c:v>
                </c:pt>
                <c:pt idx="68">
                  <c:v>39.52344749339094</c:v>
                </c:pt>
                <c:pt idx="69">
                  <c:v>37.604172233310756</c:v>
                </c:pt>
                <c:pt idx="70">
                  <c:v>35.921171223072825</c:v>
                </c:pt>
                <c:pt idx="71">
                  <c:v>34.427444019467899</c:v>
                </c:pt>
                <c:pt idx="72">
                  <c:v>33.085864448476364</c:v>
                </c:pt>
                <c:pt idx="73">
                  <c:v>31.867280763468152</c:v>
                </c:pt>
                <c:pt idx="74">
                  <c:v>30.74883858572062</c:v>
                </c:pt>
                <c:pt idx="75">
                  <c:v>29.712650682675537</c:v>
                </c:pt>
                <c:pt idx="76">
                  <c:v>28.744731149526249</c:v>
                </c:pt>
                <c:pt idx="77">
                  <c:v>27.834144485256981</c:v>
                </c:pt>
                <c:pt idx="78">
                  <c:v>26.972328048301733</c:v>
                </c:pt>
                <c:pt idx="79">
                  <c:v>26.152565472109256</c:v>
                </c:pt>
                <c:pt idx="80">
                  <c:v>25.369568763578162</c:v>
                </c:pt>
                <c:pt idx="81">
                  <c:v>24.619156981390788</c:v>
                </c:pt>
                <c:pt idx="82">
                  <c:v>23.898003175538012</c:v>
                </c:pt>
                <c:pt idx="83">
                  <c:v>23.203434759272579</c:v>
                </c:pt>
                <c:pt idx="84">
                  <c:v>22.533289541392119</c:v>
                </c:pt>
                <c:pt idx="85">
                  <c:v>21.885807229711467</c:v>
                </c:pt>
                <c:pt idx="86">
                  <c:v>21.259520168615595</c:v>
                </c:pt>
                <c:pt idx="87">
                  <c:v>20.653198130224755</c:v>
                </c:pt>
                <c:pt idx="88">
                  <c:v>20.065794846643414</c:v>
                </c:pt>
                <c:pt idx="89">
                  <c:v>19.496404410079915</c:v>
                </c:pt>
                <c:pt idx="90">
                  <c:v>18.944231423185531</c:v>
                </c:pt>
                <c:pt idx="91">
                  <c:v>18.408571221146097</c:v>
                </c:pt>
                <c:pt idx="92">
                  <c:v>17.888786941231547</c:v>
                </c:pt>
                <c:pt idx="93">
                  <c:v>17.384297639489805</c:v>
                </c:pt>
                <c:pt idx="94">
                  <c:v>16.894567761307101</c:v>
                </c:pt>
                <c:pt idx="95">
                  <c:v>16.419098829309736</c:v>
                </c:pt>
                <c:pt idx="96">
                  <c:v>15.957423319099584</c:v>
                </c:pt>
                <c:pt idx="97">
                  <c:v>15.50909962937091</c:v>
                </c:pt>
                <c:pt idx="98">
                  <c:v>15.073708496935428</c:v>
                </c:pt>
                <c:pt idx="99">
                  <c:v>14.650850126304691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22-47C0-B709-EE788F9309AB}"/>
            </c:ext>
          </c:extLst>
        </c:ser>
        <c:ser>
          <c:idx val="3"/>
          <c:order val="3"/>
          <c:tx>
            <c:strRef>
              <c:f>dynamicR!$AW$10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dynamicR!$AW$12:$AW$112</c:f>
              <c:numCache>
                <c:formatCode>0.0%</c:formatCode>
                <c:ptCount val="101"/>
                <c:pt idx="0">
                  <c:v>0</c:v>
                </c:pt>
                <c:pt idx="1">
                  <c:v>6.9594358959860233E-7</c:v>
                </c:pt>
                <c:pt idx="2">
                  <c:v>4.745966403816578E-6</c:v>
                </c:pt>
                <c:pt idx="3">
                  <c:v>1.377692686356333E-5</c:v>
                </c:pt>
                <c:pt idx="4">
                  <c:v>2.8256255928765937E-5</c:v>
                </c:pt>
                <c:pt idx="5">
                  <c:v>4.8005194903582889E-5</c:v>
                </c:pt>
                <c:pt idx="6">
                  <c:v>7.2517244560254559E-5</c:v>
                </c:pt>
                <c:pt idx="7">
                  <c:v>1.0115031273308557E-4</c:v>
                </c:pt>
                <c:pt idx="8">
                  <c:v>1.332380083248317E-4</c:v>
                </c:pt>
                <c:pt idx="9">
                  <c:v>1.6815017626400599E-4</c:v>
                </c:pt>
                <c:pt idx="10">
                  <c:v>2.053220753596707E-4</c:v>
                </c:pt>
                <c:pt idx="11">
                  <c:v>2.4426496094792069E-4</c:v>
                </c:pt>
                <c:pt idx="12">
                  <c:v>2.8456591646412093E-4</c:v>
                </c:pt>
                <c:pt idx="13">
                  <c:v>3.2588229960910233E-4</c:v>
                </c:pt>
                <c:pt idx="14">
                  <c:v>3.6793353586085019E-4</c:v>
                </c:pt>
                <c:pt idx="15">
                  <c:v>4.1049224073489831E-4</c:v>
                </c:pt>
                <c:pt idx="16">
                  <c:v>4.5337559661277524E-4</c:v>
                </c:pt>
                <c:pt idx="17">
                  <c:v>4.9643761099739826E-4</c:v>
                </c:pt>
                <c:pt idx="18">
                  <c:v>5.3956204995432577E-4</c:v>
                </c:pt>
                <c:pt idx="19">
                  <c:v>5.8265673338617587E-4</c:v>
                </c:pt>
                <c:pt idx="20">
                  <c:v>6.2564910494945477E-4</c:v>
                </c:pt>
                <c:pt idx="21">
                  <c:v>6.6848179956848636E-4</c:v>
                </c:pt>
                <c:pt idx="22">
                  <c:v>7.1110950938648625E-4</c:v>
                </c:pt>
                <c:pt idx="23">
                  <c:v>7.5349652879866055E-4</c:v>
                </c:pt>
                <c:pt idx="24">
                  <c:v>7.9561476384110467E-4</c:v>
                </c:pt>
                <c:pt idx="25">
                  <c:v>8.3744195829212086E-4</c:v>
                </c:pt>
                <c:pt idx="26">
                  <c:v>8.789605106690263E-4</c:v>
                </c:pt>
                <c:pt idx="27">
                  <c:v>9.2015646848280983E-4</c:v>
                </c:pt>
                <c:pt idx="28">
                  <c:v>9.6101874189321332E-4</c:v>
                </c:pt>
                <c:pt idx="29">
                  <c:v>1.0015384994252726E-3</c:v>
                </c:pt>
                <c:pt idx="30">
                  <c:v>1.0417086956964973E-3</c:v>
                </c:pt>
                <c:pt idx="31">
                  <c:v>1.0815237065102789E-3</c:v>
                </c:pt>
                <c:pt idx="32">
                  <c:v>1.1209790425737393E-3</c:v>
                </c:pt>
                <c:pt idx="33">
                  <c:v>1.1600711379777227E-3</c:v>
                </c:pt>
                <c:pt idx="34">
                  <c:v>1.198797157091396E-3</c:v>
                </c:pt>
                <c:pt idx="35">
                  <c:v>1.2371548859991665E-3</c:v>
                </c:pt>
                <c:pt idx="36">
                  <c:v>1.2751426270117712E-3</c:v>
                </c:pt>
                <c:pt idx="37">
                  <c:v>1.3127591040453255E-3</c:v>
                </c:pt>
                <c:pt idx="38">
                  <c:v>1.3500034087092006E-3</c:v>
                </c:pt>
                <c:pt idx="39">
                  <c:v>1.3868749482391434E-3</c:v>
                </c:pt>
                <c:pt idx="40">
                  <c:v>1.4233734060842195E-3</c:v>
                </c:pt>
                <c:pt idx="41">
                  <c:v>1.4594987138816548E-3</c:v>
                </c:pt>
                <c:pt idx="42">
                  <c:v>1.4952510087104462E-3</c:v>
                </c:pt>
                <c:pt idx="43">
                  <c:v>1.5306306495343584E-3</c:v>
                </c:pt>
                <c:pt idx="44">
                  <c:v>1.5656381346529874E-3</c:v>
                </c:pt>
                <c:pt idx="45">
                  <c:v>1.6002741699520494E-3</c:v>
                </c:pt>
                <c:pt idx="46">
                  <c:v>1.634539588465654E-3</c:v>
                </c:pt>
                <c:pt idx="47">
                  <c:v>1.6684353721774456E-3</c:v>
                </c:pt>
                <c:pt idx="48">
                  <c:v>1.7019626334019906E-3</c:v>
                </c:pt>
                <c:pt idx="49">
                  <c:v>1.7351226083795711E-3</c:v>
                </c:pt>
                <c:pt idx="50">
                  <c:v>1.7351226083795711E-3</c:v>
                </c:pt>
                <c:pt idx="51">
                  <c:v>1.7672206898963706E-3</c:v>
                </c:pt>
                <c:pt idx="52">
                  <c:v>1.7956002255969095E-3</c:v>
                </c:pt>
                <c:pt idx="53">
                  <c:v>1.818635915145021E-3</c:v>
                </c:pt>
                <c:pt idx="54">
                  <c:v>1.8358619856250621E-3</c:v>
                </c:pt>
                <c:pt idx="55">
                  <c:v>1.8474589424788096E-3</c:v>
                </c:pt>
                <c:pt idx="56">
                  <c:v>1.8539351141886094E-3</c:v>
                </c:pt>
                <c:pt idx="57">
                  <c:v>1.8559345229210923E-3</c:v>
                </c:pt>
                <c:pt idx="58">
                  <c:v>1.8541255458144705E-3</c:v>
                </c:pt>
                <c:pt idx="59">
                  <c:v>1.849140394093453E-3</c:v>
                </c:pt>
                <c:pt idx="60">
                  <c:v>1.8415459292009419E-3</c:v>
                </c:pt>
                <c:pt idx="61">
                  <c:v>1.8318331053816918E-3</c:v>
                </c:pt>
                <c:pt idx="62">
                  <c:v>1.8204170853479513E-3</c:v>
                </c:pt>
                <c:pt idx="63">
                  <c:v>1.8076428164427055E-3</c:v>
                </c:pt>
                <c:pt idx="64">
                  <c:v>1.7937932262821028E-3</c:v>
                </c:pt>
                <c:pt idx="65">
                  <c:v>1.7790981129438561E-3</c:v>
                </c:pt>
                <c:pt idx="66">
                  <c:v>1.7637427435200077E-3</c:v>
                </c:pt>
                <c:pt idx="67">
                  <c:v>1.7478756852767547E-3</c:v>
                </c:pt>
                <c:pt idx="68">
                  <c:v>1.7316156190485823E-3</c:v>
                </c:pt>
                <c:pt idx="69">
                  <c:v>1.7150571475019161E-3</c:v>
                </c:pt>
                <c:pt idx="70">
                  <c:v>1.6982756199744541E-3</c:v>
                </c:pt>
                <c:pt idx="71">
                  <c:v>1.6813310285709816E-3</c:v>
                </c:pt>
                <c:pt idx="72">
                  <c:v>1.6642713343047364E-3</c:v>
                </c:pt>
                <c:pt idx="73">
                  <c:v>1.6471348867219454E-3</c:v>
                </c:pt>
                <c:pt idx="74">
                  <c:v>1.6299525446197779E-3</c:v>
                </c:pt>
                <c:pt idx="75">
                  <c:v>1.6127492754598534E-3</c:v>
                </c:pt>
                <c:pt idx="76">
                  <c:v>1.5955454247704485E-3</c:v>
                </c:pt>
                <c:pt idx="77">
                  <c:v>1.5783577118944367E-3</c:v>
                </c:pt>
                <c:pt idx="78">
                  <c:v>1.5612000082514518E-3</c:v>
                </c:pt>
                <c:pt idx="79">
                  <c:v>1.5440839397387821E-3</c:v>
                </c:pt>
                <c:pt idx="80">
                  <c:v>1.5270193580007442E-3</c:v>
                </c:pt>
                <c:pt idx="81">
                  <c:v>1.5100147024382294E-3</c:v>
                </c:pt>
                <c:pt idx="82">
                  <c:v>1.4930772832841546E-3</c:v>
                </c:pt>
                <c:pt idx="83">
                  <c:v>1.4762135070712995E-3</c:v>
                </c:pt>
                <c:pt idx="84">
                  <c:v>1.4594290371279634E-3</c:v>
                </c:pt>
                <c:pt idx="85">
                  <c:v>1.4427289142231916E-3</c:v>
                </c:pt>
                <c:pt idx="86">
                  <c:v>1.4261176844426013E-3</c:v>
                </c:pt>
                <c:pt idx="87">
                  <c:v>1.4095994622594422E-3</c:v>
                </c:pt>
                <c:pt idx="88">
                  <c:v>1.3931779932685867E-3</c:v>
                </c:pt>
                <c:pt idx="89">
                  <c:v>1.3768567069629978E-3</c:v>
                </c:pt>
                <c:pt idx="90">
                  <c:v>1.3606387542941687E-3</c:v>
                </c:pt>
                <c:pt idx="91">
                  <c:v>1.3445270339934368E-3</c:v>
                </c:pt>
                <c:pt idx="92">
                  <c:v>1.3285242229308456E-3</c:v>
                </c:pt>
                <c:pt idx="93">
                  <c:v>1.312632793951034E-3</c:v>
                </c:pt>
                <c:pt idx="94">
                  <c:v>1.2968550326251005E-3</c:v>
                </c:pt>
                <c:pt idx="95">
                  <c:v>1.2811930511635989E-3</c:v>
                </c:pt>
                <c:pt idx="96">
                  <c:v>1.2656487996139966E-3</c:v>
                </c:pt>
                <c:pt idx="97">
                  <c:v>1.2502240771595037E-3</c:v>
                </c:pt>
                <c:pt idx="98">
                  <c:v>1.2349205402617932E-3</c:v>
                </c:pt>
                <c:pt idx="99">
                  <c:v>1.2197397101243903E-3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22-47C0-B709-EE788F9309AB}"/>
            </c:ext>
          </c:extLst>
        </c:ser>
        <c:ser>
          <c:idx val="4"/>
          <c:order val="4"/>
          <c:tx>
            <c:strRef>
              <c:f>dynamicR!$AX$10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dynamicR!$AX$12:$AX$112</c:f>
              <c:numCache>
                <c:formatCode>0.0%</c:formatCode>
                <c:ptCount val="101"/>
                <c:pt idx="0">
                  <c:v>0</c:v>
                </c:pt>
                <c:pt idx="1">
                  <c:v>1.6847134325601806E-3</c:v>
                </c:pt>
                <c:pt idx="2">
                  <c:v>3.3588269267823489E-3</c:v>
                </c:pt>
                <c:pt idx="3">
                  <c:v>5.0461751409293714E-3</c:v>
                </c:pt>
                <c:pt idx="4">
                  <c:v>6.7539223511965127E-3</c:v>
                </c:pt>
                <c:pt idx="5">
                  <c:v>8.4800562033520415E-3</c:v>
                </c:pt>
                <c:pt idx="6">
                  <c:v>1.0218013260902043E-2</c:v>
                </c:pt>
                <c:pt idx="7">
                  <c:v>1.1959449679380282E-2</c:v>
                </c:pt>
                <c:pt idx="8">
                  <c:v>1.3695828455152822E-2</c:v>
                </c:pt>
                <c:pt idx="9">
                  <c:v>1.5419266936917472E-2</c:v>
                </c:pt>
                <c:pt idx="10">
                  <c:v>1.7122930091477379E-2</c:v>
                </c:pt>
                <c:pt idx="11">
                  <c:v>1.880115675102164E-2</c:v>
                </c:pt>
                <c:pt idx="12">
                  <c:v>2.0449433394584014E-2</c:v>
                </c:pt>
                <c:pt idx="13">
                  <c:v>2.2064293798087276E-2</c:v>
                </c:pt>
                <c:pt idx="14">
                  <c:v>2.3643183591524487E-2</c:v>
                </c:pt>
                <c:pt idx="15">
                  <c:v>2.5184318408387363E-2</c:v>
                </c:pt>
                <c:pt idx="16">
                  <c:v>2.6686548505502915E-2</c:v>
                </c:pt>
                <c:pt idx="17">
                  <c:v>2.8149238427354013E-2</c:v>
                </c:pt>
                <c:pt idx="18">
                  <c:v>2.9572158695545497E-2</c:v>
                </c:pt>
                <c:pt idx="19">
                  <c:v>3.0955398677873086E-2</c:v>
                </c:pt>
                <c:pt idx="20">
                  <c:v>3.229929869863659E-2</c:v>
                </c:pt>
                <c:pt idx="21">
                  <c:v>3.3604383837803536E-2</c:v>
                </c:pt>
                <c:pt idx="22">
                  <c:v>3.4871317268933229E-2</c:v>
                </c:pt>
                <c:pt idx="23">
                  <c:v>3.6100863670291486E-2</c:v>
                </c:pt>
                <c:pt idx="24">
                  <c:v>3.7293860092227439E-2</c:v>
                </c:pt>
                <c:pt idx="25">
                  <c:v>3.8451190239097773E-2</c:v>
                </c:pt>
                <c:pt idx="26">
                  <c:v>3.9573767677088624E-2</c:v>
                </c:pt>
                <c:pt idx="27">
                  <c:v>4.0662521760024509E-2</c:v>
                </c:pt>
                <c:pt idx="28">
                  <c:v>4.1718386880757713E-2</c:v>
                </c:pt>
                <c:pt idx="29">
                  <c:v>4.2742294482692907E-2</c:v>
                </c:pt>
                <c:pt idx="30">
                  <c:v>4.3735167052345106E-2</c:v>
                </c:pt>
                <c:pt idx="31">
                  <c:v>4.4697913715586277E-2</c:v>
                </c:pt>
                <c:pt idx="32">
                  <c:v>4.5631427011363856E-2</c:v>
                </c:pt>
                <c:pt idx="33">
                  <c:v>4.6536580719529312E-2</c:v>
                </c:pt>
                <c:pt idx="34">
                  <c:v>4.7414228088076736E-2</c:v>
                </c:pt>
                <c:pt idx="35">
                  <c:v>4.8265201122238172E-2</c:v>
                </c:pt>
                <c:pt idx="36">
                  <c:v>4.9090309970337927E-2</c:v>
                </c:pt>
                <c:pt idx="37">
                  <c:v>4.9890342482917974E-2</c:v>
                </c:pt>
                <c:pt idx="38">
                  <c:v>5.0666064311537119E-2</c:v>
                </c:pt>
                <c:pt idx="39">
                  <c:v>5.1418219040170458E-2</c:v>
                </c:pt>
                <c:pt idx="40">
                  <c:v>5.2147528415804778E-2</c:v>
                </c:pt>
                <c:pt idx="41">
                  <c:v>5.2854703395197405E-2</c:v>
                </c:pt>
                <c:pt idx="42">
                  <c:v>5.3540397612882845E-2</c:v>
                </c:pt>
                <c:pt idx="43">
                  <c:v>5.4205299940965637E-2</c:v>
                </c:pt>
                <c:pt idx="44">
                  <c:v>5.4850010165493381E-2</c:v>
                </c:pt>
                <c:pt idx="45">
                  <c:v>5.5475184123897674E-2</c:v>
                </c:pt>
                <c:pt idx="46">
                  <c:v>5.6081409481130419E-2</c:v>
                </c:pt>
                <c:pt idx="47">
                  <c:v>5.666926805551431E-2</c:v>
                </c:pt>
                <c:pt idx="48">
                  <c:v>5.7239323759722523E-2</c:v>
                </c:pt>
                <c:pt idx="49">
                  <c:v>5.7792123097452498E-2</c:v>
                </c:pt>
                <c:pt idx="50">
                  <c:v>5.7792123097452498E-2</c:v>
                </c:pt>
                <c:pt idx="51">
                  <c:v>5.6643482910657114E-2</c:v>
                </c:pt>
                <c:pt idx="52">
                  <c:v>5.5489229119817421E-2</c:v>
                </c:pt>
                <c:pt idx="53">
                  <c:v>5.4306024537619686E-2</c:v>
                </c:pt>
                <c:pt idx="54">
                  <c:v>5.3087186892775563E-2</c:v>
                </c:pt>
                <c:pt idx="55">
                  <c:v>5.1835195603323468E-2</c:v>
                </c:pt>
                <c:pt idx="56">
                  <c:v>5.0557066676060976E-2</c:v>
                </c:pt>
                <c:pt idx="57">
                  <c:v>4.9261582807611067E-2</c:v>
                </c:pt>
                <c:pt idx="58">
                  <c:v>4.7957705995697042E-2</c:v>
                </c:pt>
                <c:pt idx="59">
                  <c:v>4.665373071653231E-2</c:v>
                </c:pt>
                <c:pt idx="60">
                  <c:v>4.5356891015872557E-2</c:v>
                </c:pt>
                <c:pt idx="61">
                  <c:v>4.4073235195953291E-2</c:v>
                </c:pt>
                <c:pt idx="62">
                  <c:v>4.2807651492243103E-2</c:v>
                </c:pt>
                <c:pt idx="63">
                  <c:v>4.1563969378323559E-2</c:v>
                </c:pt>
                <c:pt idx="64">
                  <c:v>4.0345095171314009E-2</c:v>
                </c:pt>
                <c:pt idx="65">
                  <c:v>3.9153154477679947E-2</c:v>
                </c:pt>
                <c:pt idx="66">
                  <c:v>3.7989627598593409E-2</c:v>
                </c:pt>
                <c:pt idx="67">
                  <c:v>3.6855471458182708E-2</c:v>
                </c:pt>
                <c:pt idx="68">
                  <c:v>3.5751224793601342E-2</c:v>
                </c:pt>
                <c:pt idx="69">
                  <c:v>3.4677097203272542E-2</c:v>
                </c:pt>
                <c:pt idx="70">
                  <c:v>3.3633042643077558E-2</c:v>
                </c:pt>
                <c:pt idx="71">
                  <c:v>3.2618818410170176E-2</c:v>
                </c:pt>
                <c:pt idx="72">
                  <c:v>3.1634035174166457E-2</c:v>
                </c:pt>
                <c:pt idx="73">
                  <c:v>3.067819304967747E-2</c:v>
                </c:pt>
                <c:pt idx="74">
                  <c:v>2.975071303291623E-2</c:v>
                </c:pt>
                <c:pt idx="75">
                  <c:v>2.8850960415588996E-2</c:v>
                </c:pt>
                <c:pt idx="76">
                  <c:v>2.7978263156648531E-2</c:v>
                </c:pt>
                <c:pt idx="77">
                  <c:v>2.7131926075018208E-2</c:v>
                </c:pt>
                <c:pt idx="78">
                  <c:v>2.6311241730562342E-2</c:v>
                </c:pt>
                <c:pt idx="79">
                  <c:v>2.5515498641895968E-2</c:v>
                </c:pt>
                <c:pt idx="80">
                  <c:v>2.4743987521926917E-2</c:v>
                </c:pt>
                <c:pt idx="81">
                  <c:v>2.3996005889790572E-2</c:v>
                </c:pt>
                <c:pt idx="82">
                  <c:v>2.3270861521133321E-2</c:v>
                </c:pt>
                <c:pt idx="83">
                  <c:v>2.2567874759947485E-2</c:v>
                </c:pt>
                <c:pt idx="84">
                  <c:v>2.1886380329137332E-2</c:v>
                </c:pt>
                <c:pt idx="85">
                  <c:v>2.1225728664731026E-2</c:v>
                </c:pt>
                <c:pt idx="86">
                  <c:v>2.058528649185612E-2</c:v>
                </c:pt>
                <c:pt idx="87">
                  <c:v>1.9964437247563718E-2</c:v>
                </c:pt>
                <c:pt idx="88">
                  <c:v>1.9362581336035717E-2</c:v>
                </c:pt>
                <c:pt idx="89">
                  <c:v>1.8779136163021948E-2</c:v>
                </c:pt>
                <c:pt idx="90">
                  <c:v>1.8213535989655208E-2</c:v>
                </c:pt>
                <c:pt idx="91">
                  <c:v>1.7665231703778005E-2</c:v>
                </c:pt>
                <c:pt idx="92">
                  <c:v>1.7133690585299646E-2</c:v>
                </c:pt>
                <c:pt idx="93">
                  <c:v>1.6618395961410307E-2</c:v>
                </c:pt>
                <c:pt idx="94">
                  <c:v>1.6118846817650481E-2</c:v>
                </c:pt>
                <c:pt idx="95">
                  <c:v>1.5634557434926092E-2</c:v>
                </c:pt>
                <c:pt idx="96">
                  <c:v>1.5165057033461174E-2</c:v>
                </c:pt>
                <c:pt idx="97">
                  <c:v>1.470988925226698E-2</c:v>
                </c:pt>
                <c:pt idx="98">
                  <c:v>1.4268611796571733E-2</c:v>
                </c:pt>
                <c:pt idx="99">
                  <c:v>1.3840796064348236E-2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22-47C0-B709-EE788F9309AB}"/>
            </c:ext>
          </c:extLst>
        </c:ser>
        <c:ser>
          <c:idx val="5"/>
          <c:order val="5"/>
          <c:tx>
            <c:strRef>
              <c:f>dynamicR!$AY$10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dynamicR!$AY$12:$AY$112</c:f>
              <c:numCache>
                <c:formatCode>0.0%</c:formatCode>
                <c:ptCount val="101"/>
                <c:pt idx="0">
                  <c:v>0</c:v>
                </c:pt>
                <c:pt idx="1">
                  <c:v>8.5950740326334143E-7</c:v>
                </c:pt>
                <c:pt idx="2">
                  <c:v>5.1277601741607804E-6</c:v>
                </c:pt>
                <c:pt idx="3">
                  <c:v>1.4167307543300114E-5</c:v>
                </c:pt>
                <c:pt idx="4">
                  <c:v>2.8313502020600053E-5</c:v>
                </c:pt>
                <c:pt idx="5">
                  <c:v>4.733489818253655E-5</c:v>
                </c:pt>
                <c:pt idx="6">
                  <c:v>7.071798933788708E-5</c:v>
                </c:pt>
                <c:pt idx="7">
                  <c:v>9.7838224092730138E-5</c:v>
                </c:pt>
                <c:pt idx="8">
                  <c:v>1.2805837113273293E-4</c:v>
                </c:pt>
                <c:pt idx="9">
                  <c:v>1.6078139247600613E-4</c:v>
                </c:pt>
                <c:pt idx="10">
                  <c:v>1.9547531527939593E-4</c:v>
                </c:pt>
                <c:pt idx="11">
                  <c:v>2.3168158613245699E-4</c:v>
                </c:pt>
                <c:pt idx="12">
                  <c:v>2.6901394659514734E-4</c:v>
                </c:pt>
                <c:pt idx="13">
                  <c:v>3.0715264534232937E-4</c:v>
                </c:pt>
                <c:pt idx="14">
                  <c:v>3.4583640588016766E-4</c:v>
                </c:pt>
                <c:pt idx="15">
                  <c:v>3.8485391974846695E-4</c:v>
                </c:pt>
                <c:pt idx="16">
                  <c:v>4.2403567202360415E-4</c:v>
                </c:pt>
                <c:pt idx="17">
                  <c:v>4.6324664704830339E-4</c:v>
                </c:pt>
                <c:pt idx="18">
                  <c:v>5.0237969838323672E-4</c:v>
                </c:pt>
                <c:pt idx="19">
                  <c:v>5.4135021047192061E-4</c:v>
                </c:pt>
                <c:pt idx="20">
                  <c:v>5.8009196142594214E-4</c:v>
                </c:pt>
                <c:pt idx="21">
                  <c:v>6.1855298573796572E-4</c:v>
                </c:pt>
                <c:pt idx="22">
                  <c:v>6.5669265301391601E-4</c:v>
                </c:pt>
                <c:pt idx="23">
                  <c:v>6.9447937988920778E-4</c:v>
                </c:pt>
                <c:pt idx="24">
                  <c:v>7.3188877338023972E-4</c:v>
                </c:pt>
                <c:pt idx="25">
                  <c:v>7.68901976290153E-4</c:v>
                </c:pt>
                <c:pt idx="26">
                  <c:v>8.0550456218711681E-4</c:v>
                </c:pt>
                <c:pt idx="27">
                  <c:v>8.4168559442202257E-4</c:v>
                </c:pt>
                <c:pt idx="28">
                  <c:v>8.7743688886940104E-4</c:v>
                </c:pt>
                <c:pt idx="29">
                  <c:v>9.1275244584500313E-4</c:v>
                </c:pt>
                <c:pt idx="30">
                  <c:v>9.4762800445952569E-4</c:v>
                </c:pt>
                <c:pt idx="31">
                  <c:v>9.8206069668583152E-4</c:v>
                </c:pt>
                <c:pt idx="32">
                  <c:v>1.0160487744939092E-3</c:v>
                </c:pt>
                <c:pt idx="33">
                  <c:v>1.0495914068349268E-3</c:v>
                </c:pt>
                <c:pt idx="34">
                  <c:v>1.0826884929391795E-3</c:v>
                </c:pt>
                <c:pt idx="35">
                  <c:v>1.1153405555366107E-3</c:v>
                </c:pt>
                <c:pt idx="36">
                  <c:v>1.1475486366617571E-3</c:v>
                </c:pt>
                <c:pt idx="37">
                  <c:v>1.179314203572522E-3</c:v>
                </c:pt>
                <c:pt idx="38">
                  <c:v>1.2106390930175879E-3</c:v>
                </c:pt>
                <c:pt idx="39">
                  <c:v>1.2415254572970748E-3</c:v>
                </c:pt>
                <c:pt idx="40">
                  <c:v>1.2719757225987654E-3</c:v>
                </c:pt>
                <c:pt idx="41">
                  <c:v>1.3019926016517836E-3</c:v>
                </c:pt>
                <c:pt idx="42">
                  <c:v>1.3315788570696066E-3</c:v>
                </c:pt>
                <c:pt idx="43">
                  <c:v>1.3607376912783793E-3</c:v>
                </c:pt>
                <c:pt idx="44">
                  <c:v>1.3894721459052047E-3</c:v>
                </c:pt>
                <c:pt idx="45">
                  <c:v>1.4177857668185576E-3</c:v>
                </c:pt>
                <c:pt idx="46">
                  <c:v>1.4456820049566193E-3</c:v>
                </c:pt>
                <c:pt idx="47">
                  <c:v>1.4731644909350698E-3</c:v>
                </c:pt>
                <c:pt idx="48">
                  <c:v>1.5002369612766159E-3</c:v>
                </c:pt>
                <c:pt idx="49">
                  <c:v>1.5269032500685219E-3</c:v>
                </c:pt>
                <c:pt idx="50">
                  <c:v>1.5269032500685219E-3</c:v>
                </c:pt>
                <c:pt idx="51">
                  <c:v>1.552307756637827E-3</c:v>
                </c:pt>
                <c:pt idx="52">
                  <c:v>1.5739052647380323E-3</c:v>
                </c:pt>
                <c:pt idx="53">
                  <c:v>1.5903372880015185E-3</c:v>
                </c:pt>
                <c:pt idx="54">
                  <c:v>1.6012726037913799E-3</c:v>
                </c:pt>
                <c:pt idx="55">
                  <c:v>1.6069468404952573E-3</c:v>
                </c:pt>
                <c:pt idx="56">
                  <c:v>1.6078777334252302E-3</c:v>
                </c:pt>
                <c:pt idx="57">
                  <c:v>1.6046941224424666E-3</c:v>
                </c:pt>
                <c:pt idx="58">
                  <c:v>1.5980375458471831E-3</c:v>
                </c:pt>
                <c:pt idx="59">
                  <c:v>1.5885093781581215E-3</c:v>
                </c:pt>
                <c:pt idx="60">
                  <c:v>1.5766459505153648E-3</c:v>
                </c:pt>
                <c:pt idx="61">
                  <c:v>1.5629102222227543E-3</c:v>
                </c:pt>
                <c:pt idx="62">
                  <c:v>1.5476928483041644E-3</c:v>
                </c:pt>
                <c:pt idx="63">
                  <c:v>1.5313179944881419E-3</c:v>
                </c:pt>
                <c:pt idx="64">
                  <c:v>1.5140513552149913E-3</c:v>
                </c:pt>
                <c:pt idx="65">
                  <c:v>1.496108671400475E-3</c:v>
                </c:pt>
                <c:pt idx="66">
                  <c:v>1.4776638820098553E-3</c:v>
                </c:pt>
                <c:pt idx="67">
                  <c:v>1.4588565014156071E-3</c:v>
                </c:pt>
                <c:pt idx="68">
                  <c:v>1.4397980120851046E-3</c:v>
                </c:pt>
                <c:pt idx="69">
                  <c:v>1.4205772994990043E-3</c:v>
                </c:pt>
                <c:pt idx="70">
                  <c:v>1.4012651586833092E-3</c:v>
                </c:pt>
                <c:pt idx="71">
                  <c:v>1.3819179291202147E-3</c:v>
                </c:pt>
                <c:pt idx="72">
                  <c:v>1.3625805959324665E-3</c:v>
                </c:pt>
                <c:pt idx="73">
                  <c:v>1.343289045000349E-3</c:v>
                </c:pt>
                <c:pt idx="74">
                  <c:v>1.3240720408522531E-3</c:v>
                </c:pt>
                <c:pt idx="75">
                  <c:v>1.3049527186422818E-3</c:v>
                </c:pt>
                <c:pt idx="76">
                  <c:v>1.2859497699908393E-3</c:v>
                </c:pt>
                <c:pt idx="77">
                  <c:v>1.2670783747348662E-3</c:v>
                </c:pt>
                <c:pt idx="78">
                  <c:v>1.248350930713878E-3</c:v>
                </c:pt>
                <c:pt idx="79">
                  <c:v>1.2297776205229438E-3</c:v>
                </c:pt>
                <c:pt idx="80">
                  <c:v>1.2113668564598769E-3</c:v>
                </c:pt>
                <c:pt idx="81">
                  <c:v>1.1931256240332784E-3</c:v>
                </c:pt>
                <c:pt idx="82">
                  <c:v>1.1750597520488162E-3</c:v>
                </c:pt>
                <c:pt idx="83">
                  <c:v>1.1571741301900744E-3</c:v>
                </c:pt>
                <c:pt idx="84">
                  <c:v>1.1394728643160947E-3</c:v>
                </c:pt>
                <c:pt idx="85">
                  <c:v>1.1219593942608551E-3</c:v>
                </c:pt>
                <c:pt idx="86">
                  <c:v>1.1046366215433649E-3</c:v>
                </c:pt>
                <c:pt idx="87">
                  <c:v>1.0875069735012889E-3</c:v>
                </c:pt>
                <c:pt idx="88">
                  <c:v>1.0705724676079375E-3</c:v>
                </c:pt>
                <c:pt idx="89">
                  <c:v>1.0538347667013112E-3</c:v>
                </c:pt>
                <c:pt idx="90">
                  <c:v>1.0372952197399423E-3</c:v>
                </c:pt>
                <c:pt idx="91">
                  <c:v>1.0209548913034583E-3</c:v>
                </c:pt>
                <c:pt idx="92">
                  <c:v>1.0048145953158519E-3</c:v>
                </c:pt>
                <c:pt idx="93">
                  <c:v>9.888749163973014E-4</c:v>
                </c:pt>
                <c:pt idx="94">
                  <c:v>9.7313623033300645E-4</c:v>
                </c:pt>
                <c:pt idx="95">
                  <c:v>9.5759872121975041E-4</c:v>
                </c:pt>
                <c:pt idx="96">
                  <c:v>9.4226239611386493E-4</c:v>
                </c:pt>
                <c:pt idx="97">
                  <c:v>9.2712709967323486E-4</c:v>
                </c:pt>
                <c:pt idx="98">
                  <c:v>9.1219252535119759E-4</c:v>
                </c:pt>
                <c:pt idx="99">
                  <c:v>8.9745822582934596E-4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22-47C0-B709-EE788F9309AB}"/>
            </c:ext>
          </c:extLst>
        </c:ser>
        <c:ser>
          <c:idx val="6"/>
          <c:order val="6"/>
          <c:tx>
            <c:strRef>
              <c:f>dynamicR!$AZ$10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dynamicR!$AZ$12:$AZ$112</c:f>
              <c:numCache>
                <c:formatCode>0.0%</c:formatCode>
                <c:ptCount val="101"/>
                <c:pt idx="0">
                  <c:v>0</c:v>
                </c:pt>
                <c:pt idx="1">
                  <c:v>2.6588014016129152E-8</c:v>
                </c:pt>
                <c:pt idx="2">
                  <c:v>1.0583192665600546E-7</c:v>
                </c:pt>
                <c:pt idx="3">
                  <c:v>2.3767794682143197E-7</c:v>
                </c:pt>
                <c:pt idx="4">
                  <c:v>4.2253533312379406E-7</c:v>
                </c:pt>
                <c:pt idx="5">
                  <c:v>6.6087782702828977E-7</c:v>
                </c:pt>
                <c:pt idx="6">
                  <c:v>9.5303358601047736E-7</c:v>
                </c:pt>
                <c:pt idx="7">
                  <c:v>1.2990899037293802E-6</c:v>
                </c:pt>
                <c:pt idx="8">
                  <c:v>1.6988653145731994E-6</c:v>
                </c:pt>
                <c:pt idx="9">
                  <c:v>2.1519191099424333E-6</c:v>
                </c:pt>
                <c:pt idx="10">
                  <c:v>2.6575797845439062E-6</c:v>
                </c:pt>
                <c:pt idx="11">
                  <c:v>3.2149811059220675E-6</c:v>
                </c:pt>
                <c:pt idx="12">
                  <c:v>3.8230996667960637E-6</c:v>
                </c:pt>
                <c:pt idx="13">
                  <c:v>4.480789738126995E-6</c:v>
                </c:pt>
                <c:pt idx="14">
                  <c:v>5.1868146237750515E-6</c:v>
                </c:pt>
                <c:pt idx="15">
                  <c:v>5.9398733333725592E-6</c:v>
                </c:pt>
                <c:pt idx="16">
                  <c:v>6.7386228314072912E-6</c:v>
                </c:pt>
                <c:pt idx="17">
                  <c:v>7.5816961656112403E-6</c:v>
                </c:pt>
                <c:pt idx="18">
                  <c:v>8.4677170572770321E-6</c:v>
                </c:pt>
                <c:pt idx="19">
                  <c:v>9.3953111670019084E-6</c:v>
                </c:pt>
                <c:pt idx="20">
                  <c:v>1.0363114952874988E-5</c:v>
                </c:pt>
                <c:pt idx="21">
                  <c:v>1.1369782727806409E-5</c:v>
                </c:pt>
                <c:pt idx="22">
                  <c:v>1.24139914317982E-5</c:v>
                </c:pt>
                <c:pt idx="23">
                  <c:v>1.3494444395630459E-5</c:v>
                </c:pt>
                <c:pt idx="24">
                  <c:v>1.4609873855824627E-5</c:v>
                </c:pt>
                <c:pt idx="25">
                  <c:v>1.5759042938738251E-5</c:v>
                </c:pt>
                <c:pt idx="26">
                  <c:v>1.6940746626522276E-5</c:v>
                </c:pt>
                <c:pt idx="27">
                  <c:v>1.8153812386536254E-5</c:v>
                </c:pt>
                <c:pt idx="28">
                  <c:v>1.9397100416049767E-5</c:v>
                </c:pt>
                <c:pt idx="29">
                  <c:v>2.0669503565798816E-5</c:v>
                </c:pt>
                <c:pt idx="30">
                  <c:v>2.1969947055558852E-5</c:v>
                </c:pt>
                <c:pt idx="31">
                  <c:v>2.3297388027028542E-5</c:v>
                </c:pt>
                <c:pt idx="32">
                  <c:v>2.4650814974220944E-5</c:v>
                </c:pt>
                <c:pt idx="33">
                  <c:v>2.6029247121123052E-5</c:v>
                </c:pt>
                <c:pt idx="34">
                  <c:v>2.74317336531622E-5</c:v>
                </c:pt>
                <c:pt idx="35">
                  <c:v>2.8857353012725885E-5</c:v>
                </c:pt>
                <c:pt idx="36">
                  <c:v>3.0305212141777915E-5</c:v>
                </c:pt>
                <c:pt idx="37">
                  <c:v>3.1774445697715318E-5</c:v>
                </c:pt>
                <c:pt idx="38">
                  <c:v>3.3264215272717355E-5</c:v>
                </c:pt>
                <c:pt idx="39">
                  <c:v>3.4773708605568849E-5</c:v>
                </c:pt>
                <c:pt idx="40">
                  <c:v>3.6302138861041981E-5</c:v>
                </c:pt>
                <c:pt idx="41">
                  <c:v>3.7848732274774598E-5</c:v>
                </c:pt>
                <c:pt idx="42">
                  <c:v>3.9412778423857065E-5</c:v>
                </c:pt>
                <c:pt idx="43">
                  <c:v>4.0993529498267381E-5</c:v>
                </c:pt>
                <c:pt idx="44">
                  <c:v>4.2590335100818219E-5</c:v>
                </c:pt>
                <c:pt idx="45">
                  <c:v>4.4202484607171504E-5</c:v>
                </c:pt>
                <c:pt idx="46">
                  <c:v>4.5829341917932665E-5</c:v>
                </c:pt>
                <c:pt idx="47">
                  <c:v>4.7470277727315061E-5</c:v>
                </c:pt>
                <c:pt idx="48">
                  <c:v>4.9124682538196615E-5</c:v>
                </c:pt>
                <c:pt idx="49">
                  <c:v>5.0791966102397377E-5</c:v>
                </c:pt>
                <c:pt idx="50">
                  <c:v>5.0791966102397377E-5</c:v>
                </c:pt>
                <c:pt idx="51">
                  <c:v>5.2444967934128033E-5</c:v>
                </c:pt>
                <c:pt idx="52">
                  <c:v>5.4057067587206747E-5</c:v>
                </c:pt>
                <c:pt idx="53">
                  <c:v>5.5627782659039372E-5</c:v>
                </c:pt>
                <c:pt idx="54">
                  <c:v>5.715618476270359E-5</c:v>
                </c:pt>
                <c:pt idx="55">
                  <c:v>5.864129745517665E-5</c:v>
                </c:pt>
                <c:pt idx="56">
                  <c:v>6.0082305791913782E-5</c:v>
                </c:pt>
                <c:pt idx="57">
                  <c:v>6.1478651109667508E-5</c:v>
                </c:pt>
                <c:pt idx="58">
                  <c:v>6.2830058457748468E-5</c:v>
                </c:pt>
                <c:pt idx="59">
                  <c:v>6.4136526607527886E-5</c:v>
                </c:pt>
                <c:pt idx="60">
                  <c:v>6.5398299198525737E-5</c:v>
                </c:pt>
                <c:pt idx="61">
                  <c:v>6.6615828037991647E-5</c:v>
                </c:pt>
                <c:pt idx="62">
                  <c:v>6.7789735495939717E-5</c:v>
                </c:pt>
                <c:pt idx="63">
                  <c:v>6.8920778907023513E-5</c:v>
                </c:pt>
                <c:pt idx="64">
                  <c:v>7.0009818969082098E-5</c:v>
                </c:pt>
                <c:pt idx="65">
                  <c:v>7.1057792652347494E-5</c:v>
                </c:pt>
                <c:pt idx="66">
                  <c:v>7.2065690599507222E-5</c:v>
                </c:pt>
                <c:pt idx="67">
                  <c:v>7.30345386091577E-5</c:v>
                </c:pt>
                <c:pt idx="68">
                  <c:v>7.3965382800179427E-5</c:v>
                </c:pt>
                <c:pt idx="69">
                  <c:v>7.4859277814641879E-5</c:v>
                </c:pt>
                <c:pt idx="70">
                  <c:v>7.5717277628086529E-5</c:v>
                </c:pt>
                <c:pt idx="71">
                  <c:v>7.6540428571167117E-5</c:v>
                </c:pt>
                <c:pt idx="72">
                  <c:v>7.7329763743710803E-5</c:v>
                </c:pt>
                <c:pt idx="73">
                  <c:v>7.8086299307655304E-5</c:v>
                </c:pt>
                <c:pt idx="74">
                  <c:v>7.8811031413158426E-5</c:v>
                </c:pt>
                <c:pt idx="75">
                  <c:v>7.9504934192083977E-5</c:v>
                </c:pt>
                <c:pt idx="76">
                  <c:v>8.0168958369312629E-5</c:v>
                </c:pt>
                <c:pt idx="77">
                  <c:v>8.080403038677256E-5</c:v>
                </c:pt>
                <c:pt idx="78">
                  <c:v>8.1411051924705079E-5</c:v>
                </c:pt>
                <c:pt idx="79">
                  <c:v>8.1990899724662645E-5</c:v>
                </c:pt>
                <c:pt idx="80">
                  <c:v>8.2544425636276808E-5</c:v>
                </c:pt>
                <c:pt idx="81">
                  <c:v>8.3072456820594624E-5</c:v>
                </c:pt>
                <c:pt idx="82">
                  <c:v>8.3575796056449477E-5</c:v>
                </c:pt>
                <c:pt idx="83">
                  <c:v>8.4055222401092098E-5</c:v>
                </c:pt>
                <c:pt idx="84">
                  <c:v>8.4511491497475834E-5</c:v>
                </c:pt>
                <c:pt idx="85">
                  <c:v>8.4945335826870308E-5</c:v>
                </c:pt>
                <c:pt idx="86">
                  <c:v>8.5357465784214776E-5</c:v>
                </c:pt>
                <c:pt idx="87">
                  <c:v>8.5748570067524456E-5</c:v>
                </c:pt>
                <c:pt idx="88">
                  <c:v>8.6119316224401069E-5</c:v>
                </c:pt>
                <c:pt idx="89">
                  <c:v>8.6470351282891966E-5</c:v>
                </c:pt>
                <c:pt idx="90">
                  <c:v>8.680230236063726E-5</c:v>
                </c:pt>
                <c:pt idx="91">
                  <c:v>8.7115777210549725E-5</c:v>
                </c:pt>
                <c:pt idx="92">
                  <c:v>8.7411364822908842E-5</c:v>
                </c:pt>
                <c:pt idx="93">
                  <c:v>8.7689635973990424E-5</c:v>
                </c:pt>
                <c:pt idx="94">
                  <c:v>8.7951143802749167E-5</c:v>
                </c:pt>
                <c:pt idx="95">
                  <c:v>8.8196424327793884E-5</c:v>
                </c:pt>
                <c:pt idx="96">
                  <c:v>8.842599692148305E-5</c:v>
                </c:pt>
                <c:pt idx="97">
                  <c:v>8.8640364946788682E-5</c:v>
                </c:pt>
                <c:pt idx="98">
                  <c:v>8.8840016190338644E-5</c:v>
                </c:pt>
                <c:pt idx="99">
                  <c:v>8.902542330741738E-5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22-47C0-B709-EE788F9309AB}"/>
            </c:ext>
          </c:extLst>
        </c:ser>
        <c:ser>
          <c:idx val="7"/>
          <c:order val="7"/>
          <c:tx>
            <c:strRef>
              <c:f>dynamicR!$BA$10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dynamicR!$BA$12:$BA$112</c:f>
              <c:numCache>
                <c:formatCode>0.0%</c:formatCode>
                <c:ptCount val="101"/>
                <c:pt idx="0">
                  <c:v>0</c:v>
                </c:pt>
                <c:pt idx="1">
                  <c:v>4.0593735305418608E-12</c:v>
                </c:pt>
                <c:pt idx="2">
                  <c:v>4.824838538143397E-11</c:v>
                </c:pt>
                <c:pt idx="3">
                  <c:v>2.0297231258073904E-10</c:v>
                </c:pt>
                <c:pt idx="4">
                  <c:v>5.5188898847200074E-10</c:v>
                </c:pt>
                <c:pt idx="5">
                  <c:v>1.1787996553928511E-9</c:v>
                </c:pt>
                <c:pt idx="6">
                  <c:v>2.1607219029064655E-9</c:v>
                </c:pt>
                <c:pt idx="7">
                  <c:v>3.5647359044788581E-9</c:v>
                </c:pt>
                <c:pt idx="8">
                  <c:v>5.4470530694655983E-9</c:v>
                </c:pt>
                <c:pt idx="9">
                  <c:v>7.8533249265602172E-9</c:v>
                </c:pt>
                <c:pt idx="10">
                  <c:v>1.0819585423297326E-8</c:v>
                </c:pt>
                <c:pt idx="11">
                  <c:v>1.4373454236584675E-8</c:v>
                </c:pt>
                <c:pt idx="12">
                  <c:v>1.8535398128911673E-8</c:v>
                </c:pt>
                <c:pt idx="13">
                  <c:v>2.3319910978117504E-8</c:v>
                </c:pt>
                <c:pt idx="14">
                  <c:v>2.8736585026181737E-8</c:v>
                </c:pt>
                <c:pt idx="15">
                  <c:v>3.4791032817281121E-8</c:v>
                </c:pt>
                <c:pt idx="16">
                  <c:v>4.1485667160518357E-8</c:v>
                </c:pt>
                <c:pt idx="17">
                  <c:v>4.8820342828744288E-8</c:v>
                </c:pt>
                <c:pt idx="18">
                  <c:v>5.6792901912907086E-8</c:v>
                </c:pt>
                <c:pt idx="19">
                  <c:v>6.5399595799493967E-8</c:v>
                </c:pt>
                <c:pt idx="20">
                  <c:v>7.4635403635704446E-8</c:v>
                </c:pt>
                <c:pt idx="21">
                  <c:v>8.4494340503363071E-8</c:v>
                </c:pt>
                <c:pt idx="22">
                  <c:v>9.4969669436452652E-8</c:v>
                </c:pt>
                <c:pt idx="23">
                  <c:v>1.0605406709960316E-7</c:v>
                </c:pt>
                <c:pt idx="24">
                  <c:v>1.1773975717190895E-7</c:v>
                </c:pt>
                <c:pt idx="25">
                  <c:v>1.300186279443872E-7</c:v>
                </c:pt>
                <c:pt idx="26">
                  <c:v>1.4288231071285642E-7</c:v>
                </c:pt>
                <c:pt idx="27">
                  <c:v>1.5632224719054328E-7</c:v>
                </c:pt>
                <c:pt idx="28">
                  <c:v>1.7032974273545195E-7</c:v>
                </c:pt>
                <c:pt idx="29">
                  <c:v>1.8489600766884868E-7</c:v>
                </c:pt>
                <c:pt idx="30">
                  <c:v>2.0001219035790078E-7</c:v>
                </c:pt>
                <c:pt idx="31">
                  <c:v>2.1566940349448132E-7</c:v>
                </c:pt>
                <c:pt idx="32">
                  <c:v>2.3185874534072778E-7</c:v>
                </c:pt>
                <c:pt idx="33">
                  <c:v>2.4857131608265741E-7</c:v>
                </c:pt>
                <c:pt idx="34">
                  <c:v>2.6579823338265482E-7</c:v>
                </c:pt>
                <c:pt idx="35">
                  <c:v>2.8353064194137282E-7</c:v>
                </c:pt>
                <c:pt idx="36">
                  <c:v>3.0175972298598084E-7</c:v>
                </c:pt>
                <c:pt idx="37">
                  <c:v>3.2047670304895281E-7</c:v>
                </c:pt>
                <c:pt idx="38">
                  <c:v>3.3967285990217582E-7</c:v>
                </c:pt>
                <c:pt idx="39">
                  <c:v>3.593395283198449E-7</c:v>
                </c:pt>
                <c:pt idx="40">
                  <c:v>3.7946810487301944E-7</c:v>
                </c:pt>
                <c:pt idx="41">
                  <c:v>4.0004991771814143E-7</c:v>
                </c:pt>
                <c:pt idx="42">
                  <c:v>4.2107682165382062E-7</c:v>
                </c:pt>
                <c:pt idx="43">
                  <c:v>4.4254003730966611E-7</c:v>
                </c:pt>
                <c:pt idx="44">
                  <c:v>4.6443174452651844E-7</c:v>
                </c:pt>
                <c:pt idx="45">
                  <c:v>4.8674323503443428E-7</c:v>
                </c:pt>
                <c:pt idx="46">
                  <c:v>5.0946650748212248E-7</c:v>
                </c:pt>
                <c:pt idx="47">
                  <c:v>5.3259348094348973E-7</c:v>
                </c:pt>
                <c:pt idx="48">
                  <c:v>5.5611615841265679E-7</c:v>
                </c:pt>
                <c:pt idx="49">
                  <c:v>5.8002662780388253E-7</c:v>
                </c:pt>
                <c:pt idx="50">
                  <c:v>5.8002662780388253E-7</c:v>
                </c:pt>
                <c:pt idx="51">
                  <c:v>6.0431300127329234E-7</c:v>
                </c:pt>
                <c:pt idx="52">
                  <c:v>6.2893147175803196E-7</c:v>
                </c:pt>
                <c:pt idx="53">
                  <c:v>6.5380398543059454E-7</c:v>
                </c:pt>
                <c:pt idx="54">
                  <c:v>6.7883932408125586E-7</c:v>
                </c:pt>
                <c:pt idx="55">
                  <c:v>7.0394621622970738E-7</c:v>
                </c:pt>
                <c:pt idx="56">
                  <c:v>7.2904026471201979E-7</c:v>
                </c:pt>
                <c:pt idx="57">
                  <c:v>7.5404710083675131E-7</c:v>
                </c:pt>
                <c:pt idx="58">
                  <c:v>7.7890331661014137E-7</c:v>
                </c:pt>
                <c:pt idx="59">
                  <c:v>8.0355615580824477E-7</c:v>
                </c:pt>
                <c:pt idx="60">
                  <c:v>8.2796257328110178E-7</c:v>
                </c:pt>
                <c:pt idx="61">
                  <c:v>8.5208802529496359E-7</c:v>
                </c:pt>
                <c:pt idx="62">
                  <c:v>8.7590522044651653E-7</c:v>
                </c:pt>
                <c:pt idx="63">
                  <c:v>8.9939292847993966E-7</c:v>
                </c:pt>
                <c:pt idx="64">
                  <c:v>9.2253491389000322E-7</c:v>
                </c:pt>
                <c:pt idx="65">
                  <c:v>9.4531901268826828E-7</c:v>
                </c:pt>
                <c:pt idx="66">
                  <c:v>9.6773635297503022E-7</c:v>
                </c:pt>
                <c:pt idx="67">
                  <c:v>9.8978070692963701E-7</c:v>
                </c:pt>
                <c:pt idx="68">
                  <c:v>1.0114479620394816E-6</c:v>
                </c:pt>
                <c:pt idx="69">
                  <c:v>1.0327356909505674E-6</c:v>
                </c:pt>
                <c:pt idx="70">
                  <c:v>1.0536428063922328E-6</c:v>
                </c:pt>
                <c:pt idx="71">
                  <c:v>1.0741692894885922E-6</c:v>
                </c:pt>
                <c:pt idx="72">
                  <c:v>1.0943159620358707E-6</c:v>
                </c:pt>
                <c:pt idx="73">
                  <c:v>1.1140843237643408E-6</c:v>
                </c:pt>
                <c:pt idx="74">
                  <c:v>1.1334764092024215E-6</c:v>
                </c:pt>
                <c:pt idx="75">
                  <c:v>1.15249468113602E-6</c:v>
                </c:pt>
                <c:pt idx="76">
                  <c:v>1.1711419453074466E-6</c:v>
                </c:pt>
                <c:pt idx="77">
                  <c:v>1.189421282969769E-6</c:v>
                </c:pt>
                <c:pt idx="78">
                  <c:v>1.2073359975886321E-6</c:v>
                </c:pt>
                <c:pt idx="79">
                  <c:v>1.2248895725666284E-6</c:v>
                </c:pt>
                <c:pt idx="80">
                  <c:v>1.2420856374231845E-6</c:v>
                </c:pt>
                <c:pt idx="81">
                  <c:v>1.2589279408234851E-6</c:v>
                </c:pt>
                <c:pt idx="82">
                  <c:v>1.2754203286577314E-6</c:v>
                </c:pt>
                <c:pt idx="83">
                  <c:v>1.2915667255601581E-6</c:v>
                </c:pt>
                <c:pt idx="84">
                  <c:v>1.3073711210186044E-6</c:v>
                </c:pt>
                <c:pt idx="85">
                  <c:v>1.3228375580997713E-6</c:v>
                </c:pt>
                <c:pt idx="86">
                  <c:v>1.3379701210756208E-6</c:v>
                </c:pt>
                <c:pt idx="87">
                  <c:v>1.3527729280093907E-6</c:v>
                </c:pt>
                <c:pt idx="88">
                  <c:v>1.3672501233132758E-6</c:v>
                </c:pt>
                <c:pt idx="89">
                  <c:v>1.3814058709471238E-6</c:v>
                </c:pt>
                <c:pt idx="90">
                  <c:v>1.3952443487290694E-6</c:v>
                </c:pt>
                <c:pt idx="91">
                  <c:v>1.4087697438212641E-6</c:v>
                </c:pt>
                <c:pt idx="92">
                  <c:v>1.4219862477022474E-6</c:v>
                </c:pt>
                <c:pt idx="93">
                  <c:v>1.4348980523557174E-6</c:v>
                </c:pt>
                <c:pt idx="94">
                  <c:v>1.4475093464677646E-6</c:v>
                </c:pt>
                <c:pt idx="95">
                  <c:v>1.4598243122146077E-6</c:v>
                </c:pt>
                <c:pt idx="96">
                  <c:v>1.4718471220664282E-6</c:v>
                </c:pt>
                <c:pt idx="97">
                  <c:v>1.4835819360669399E-6</c:v>
                </c:pt>
                <c:pt idx="98">
                  <c:v>1.4950328992170025E-6</c:v>
                </c:pt>
                <c:pt idx="99">
                  <c:v>1.5062041390272827E-6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22-47C0-B709-EE788F930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03904"/>
        <c:axId val="325014656"/>
      </c:scatterChart>
      <c:valAx>
        <c:axId val="3250039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14656"/>
        <c:crosses val="autoZero"/>
        <c:crossBetween val="midCat"/>
      </c:valAx>
      <c:valAx>
        <c:axId val="3250146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0390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dynamicR!$BU$10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dynamicR!$BU$12:$BU$112</c:f>
              <c:numCache>
                <c:formatCode>0.0%</c:formatCode>
                <c:ptCount val="101"/>
                <c:pt idx="0">
                  <c:v>0</c:v>
                </c:pt>
                <c:pt idx="1">
                  <c:v>2.2259758632094525E-3</c:v>
                </c:pt>
                <c:pt idx="2">
                  <c:v>6.2536930087014955E-2</c:v>
                </c:pt>
                <c:pt idx="3">
                  <c:v>0.41805550288242455</c:v>
                </c:pt>
                <c:pt idx="4">
                  <c:v>1.5550111914672393</c:v>
                </c:pt>
                <c:pt idx="5">
                  <c:v>4.1999524723566104</c:v>
                </c:pt>
                <c:pt idx="6">
                  <c:v>9.2737315238132787</c:v>
                </c:pt>
                <c:pt idx="7">
                  <c:v>17.832894773018314</c:v>
                </c:pt>
                <c:pt idx="8">
                  <c:v>31.01200715810219</c:v>
                </c:pt>
                <c:pt idx="9">
                  <c:v>49.973424651664715</c:v>
                </c:pt>
                <c:pt idx="10">
                  <c:v>75.86710751017138</c:v>
                </c:pt>
                <c:pt idx="11">
                  <c:v>109.80069576397946</c:v>
                </c:pt>
                <c:pt idx="12">
                  <c:v>152.81883897786449</c:v>
                </c:pt>
                <c:pt idx="13">
                  <c:v>205.89050519949669</c:v>
                </c:pt>
                <c:pt idx="14">
                  <c:v>269.90232939785989</c:v>
                </c:pt>
                <c:pt idx="15">
                  <c:v>345.65679574612631</c:v>
                </c:pt>
                <c:pt idx="16">
                  <c:v>433.87381953070741</c:v>
                </c:pt>
                <c:pt idx="17">
                  <c:v>535.19444781733432</c:v>
                </c:pt>
                <c:pt idx="18">
                  <c:v>650.18682148198468</c:v>
                </c:pt>
                <c:pt idx="19">
                  <c:v>779.35225679363032</c:v>
                </c:pt>
                <c:pt idx="20">
                  <c:v>923.13068072321562</c:v>
                </c:pt>
                <c:pt idx="21">
                  <c:v>1081.9081189386425</c:v>
                </c:pt>
                <c:pt idx="22">
                  <c:v>1256.0230286200369</c:v>
                </c:pt>
                <c:pt idx="23">
                  <c:v>1445.771760526844</c:v>
                </c:pt>
                <c:pt idx="24">
                  <c:v>1651.4136841393497</c:v>
                </c:pt>
                <c:pt idx="25">
                  <c:v>1873.1763421900528</c:v>
                </c:pt>
                <c:pt idx="26">
                  <c:v>2111.2595602664078</c:v>
                </c:pt>
                <c:pt idx="27">
                  <c:v>2365.8392007362918</c:v>
                </c:pt>
                <c:pt idx="28">
                  <c:v>2637.0704122011043</c:v>
                </c:pt>
                <c:pt idx="29">
                  <c:v>2925.0904555017883</c:v>
                </c:pt>
                <c:pt idx="30">
                  <c:v>3230.0211272713173</c:v>
                </c:pt>
                <c:pt idx="31">
                  <c:v>3551.9708277487462</c:v>
                </c:pt>
                <c:pt idx="32">
                  <c:v>3891.0363375797292</c:v>
                </c:pt>
                <c:pt idx="33">
                  <c:v>4247.304253924267</c:v>
                </c:pt>
                <c:pt idx="34">
                  <c:v>4620.8524045127915</c:v>
                </c:pt>
                <c:pt idx="35">
                  <c:v>5011.7507725903952</c:v>
                </c:pt>
                <c:pt idx="36">
                  <c:v>5420.0623980595647</c:v>
                </c:pt>
                <c:pt idx="37">
                  <c:v>5845.8441961012959</c:v>
                </c:pt>
                <c:pt idx="38">
                  <c:v>6289.147559435838</c:v>
                </c:pt>
                <c:pt idx="39">
                  <c:v>6750.0189050462513</c:v>
                </c:pt>
                <c:pt idx="40">
                  <c:v>7228.5001052871621</c:v>
                </c:pt>
                <c:pt idx="41">
                  <c:v>7724.6293883404969</c:v>
                </c:pt>
                <c:pt idx="42">
                  <c:v>8238.4393985794923</c:v>
                </c:pt>
                <c:pt idx="43">
                  <c:v>8769.9618358901407</c:v>
                </c:pt>
                <c:pt idx="44">
                  <c:v>9319.2219401862185</c:v>
                </c:pt>
                <c:pt idx="45">
                  <c:v>9886.2452465777769</c:v>
                </c:pt>
                <c:pt idx="46">
                  <c:v>10471.052049454816</c:v>
                </c:pt>
                <c:pt idx="47">
                  <c:v>11073.660385113964</c:v>
                </c:pt>
                <c:pt idx="48">
                  <c:v>11694.085608002393</c:v>
                </c:pt>
                <c:pt idx="49">
                  <c:v>12332.340475594006</c:v>
                </c:pt>
                <c:pt idx="50">
                  <c:v>12332.340475594006</c:v>
                </c:pt>
                <c:pt idx="51">
                  <c:v>12988.43317632109</c:v>
                </c:pt>
                <c:pt idx="52">
                  <c:v>13662.315512272637</c:v>
                </c:pt>
                <c:pt idx="53">
                  <c:v>14353.755950676359</c:v>
                </c:pt>
                <c:pt idx="54">
                  <c:v>15062.27154639909</c:v>
                </c:pt>
                <c:pt idx="55">
                  <c:v>15787.136844241189</c:v>
                </c:pt>
                <c:pt idx="56">
                  <c:v>16527.42995637796</c:v>
                </c:pt>
                <c:pt idx="57">
                  <c:v>17282.091211343934</c:v>
                </c:pt>
                <c:pt idx="58">
                  <c:v>18049.980898998096</c:v>
                </c:pt>
                <c:pt idx="59">
                  <c:v>18829.929539084831</c:v>
                </c:pt>
                <c:pt idx="60">
                  <c:v>19620.778091340715</c:v>
                </c:pt>
                <c:pt idx="61">
                  <c:v>20421.408022257154</c:v>
                </c:pt>
                <c:pt idx="62">
                  <c:v>21230.76180566959</c:v>
                </c:pt>
                <c:pt idx="63">
                  <c:v>22047.85586881973</c:v>
                </c:pt>
                <c:pt idx="64">
                  <c:v>22871.787175738318</c:v>
                </c:pt>
                <c:pt idx="65">
                  <c:v>23701.735096963541</c:v>
                </c:pt>
                <c:pt idx="66">
                  <c:v>24536.959862032298</c:v>
                </c:pt>
                <c:pt idx="67">
                  <c:v>25376.798680160784</c:v>
                </c:pt>
                <c:pt idx="68">
                  <c:v>26220.660400008059</c:v>
                </c:pt>
                <c:pt idx="69">
                  <c:v>27068.019344198015</c:v>
                </c:pt>
                <c:pt idx="70">
                  <c:v>27918.408811064612</c:v>
                </c:pt>
                <c:pt idx="71">
                  <c:v>28771.414724900285</c:v>
                </c:pt>
                <c:pt idx="72">
                  <c:v>29626.669238114144</c:v>
                </c:pt>
                <c:pt idx="73">
                  <c:v>30483.845139667064</c:v>
                </c:pt>
                <c:pt idx="74">
                  <c:v>31342.65049732809</c:v>
                </c:pt>
                <c:pt idx="75">
                  <c:v>32202.823891327214</c:v>
                </c:pt>
                <c:pt idx="76">
                  <c:v>33064.130194322599</c:v>
                </c:pt>
                <c:pt idx="77">
                  <c:v>33926.356850337317</c:v>
                </c:pt>
                <c:pt idx="78">
                  <c:v>34789.310639372823</c:v>
                </c:pt>
                <c:pt idx="79">
                  <c:v>35652.814881931146</c:v>
                </c:pt>
                <c:pt idx="80">
                  <c:v>36516.707037752836</c:v>
                </c:pt>
                <c:pt idx="81">
                  <c:v>37380.836667329371</c:v>
                </c:pt>
                <c:pt idx="82">
                  <c:v>38245.063692412012</c:v>
                </c:pt>
                <c:pt idx="83">
                  <c:v>39109.256845927441</c:v>
                </c:pt>
                <c:pt idx="84">
                  <c:v>39973.292511876491</c:v>
                </c:pt>
                <c:pt idx="85">
                  <c:v>40837.053783356649</c:v>
                </c:pt>
                <c:pt idx="86">
                  <c:v>41700.429360073904</c:v>
                </c:pt>
                <c:pt idx="87">
                  <c:v>42563.312934746391</c:v>
                </c:pt>
                <c:pt idx="88">
                  <c:v>43425.602585622968</c:v>
                </c:pt>
                <c:pt idx="89">
                  <c:v>44287.200234804855</c:v>
                </c:pt>
                <c:pt idx="90">
                  <c:v>45148.011216611005</c:v>
                </c:pt>
                <c:pt idx="91">
                  <c:v>46007.943962652615</c:v>
                </c:pt>
                <c:pt idx="92">
                  <c:v>46866.90965914289</c:v>
                </c:pt>
                <c:pt idx="93">
                  <c:v>47724.822012153301</c:v>
                </c:pt>
                <c:pt idx="94">
                  <c:v>48581.597028954748</c:v>
                </c:pt>
                <c:pt idx="95">
                  <c:v>49437.152848391175</c:v>
                </c:pt>
                <c:pt idx="96">
                  <c:v>50291.409592404547</c:v>
                </c:pt>
                <c:pt idx="97">
                  <c:v>51144.289225008768</c:v>
                </c:pt>
                <c:pt idx="98">
                  <c:v>51995.715451660071</c:v>
                </c:pt>
                <c:pt idx="99">
                  <c:v>52845.613629998043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C-4598-85F5-98B530EC422A}"/>
            </c:ext>
          </c:extLst>
        </c:ser>
        <c:ser>
          <c:idx val="1"/>
          <c:order val="1"/>
          <c:tx>
            <c:strRef>
              <c:f>dynamicR!$BV$10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dynamicR!$BV$12:$BV$112</c:f>
              <c:numCache>
                <c:formatCode>0.0%</c:formatCode>
                <c:ptCount val="101"/>
                <c:pt idx="0">
                  <c:v>0</c:v>
                </c:pt>
                <c:pt idx="1">
                  <c:v>4.7302882274484332E-20</c:v>
                </c:pt>
                <c:pt idx="2">
                  <c:v>2.7072086534119186E-18</c:v>
                </c:pt>
                <c:pt idx="3">
                  <c:v>2.7636530145087051E-17</c:v>
                </c:pt>
                <c:pt idx="4">
                  <c:v>1.3947542355688639E-16</c:v>
                </c:pt>
                <c:pt idx="5">
                  <c:v>4.7895221507675865E-16</c:v>
                </c:pt>
                <c:pt idx="6">
                  <c:v>1.2901846999760781E-15</c:v>
                </c:pt>
                <c:pt idx="7">
                  <c:v>2.9412129748292035E-15</c:v>
                </c:pt>
                <c:pt idx="8">
                  <c:v>5.9371265061807222E-15</c:v>
                </c:pt>
                <c:pt idx="9">
                  <c:v>1.0926397673978662E-14</c:v>
                </c:pt>
                <c:pt idx="10">
                  <c:v>1.8701531080807753E-14</c:v>
                </c:pt>
                <c:pt idx="11">
                  <c:v>3.0195350802525299E-14</c:v>
                </c:pt>
                <c:pt idx="12">
                  <c:v>4.6474093637708376E-14</c:v>
                </c:pt>
                <c:pt idx="13">
                  <c:v>6.8728512876408957E-14</c:v>
                </c:pt>
                <c:pt idx="14">
                  <c:v>9.8263750588990041E-14</c:v>
                </c:pt>
                <c:pt idx="15">
                  <c:v>1.3648872744318192E-13</c:v>
                </c:pt>
                <c:pt idx="16">
                  <c:v>1.8490554341990573E-13</c:v>
                </c:pt>
                <c:pt idx="17">
                  <c:v>2.4509945020789716E-13</c:v>
                </c:pt>
                <c:pt idx="18">
                  <c:v>3.1872864522828052E-13</c:v>
                </c:pt>
                <c:pt idx="19">
                  <c:v>4.0751553514813888E-13</c:v>
                </c:pt>
                <c:pt idx="20">
                  <c:v>5.1323969484139865E-13</c:v>
                </c:pt>
                <c:pt idx="21">
                  <c:v>6.3772954932528466E-13</c:v>
                </c:pt>
                <c:pt idx="22">
                  <c:v>7.8285592997505884E-13</c:v>
                </c:pt>
                <c:pt idx="23">
                  <c:v>9.50526717070153E-13</c:v>
                </c:pt>
                <c:pt idx="24">
                  <c:v>1.1426820133110476E-12</c:v>
                </c:pt>
                <c:pt idx="25">
                  <c:v>1.3612894595884026E-12</c:v>
                </c:pt>
                <c:pt idx="26">
                  <c:v>1.6083406345826551E-12</c:v>
                </c:pt>
                <c:pt idx="27">
                  <c:v>1.8858477782248759E-12</c:v>
                </c:pt>
                <c:pt idx="28">
                  <c:v>2.1958409737020206E-12</c:v>
                </c:pt>
                <c:pt idx="29">
                  <c:v>2.5403657138113672E-12</c:v>
                </c:pt>
                <c:pt idx="30">
                  <c:v>2.921480797381556E-12</c:v>
                </c:pt>
                <c:pt idx="31">
                  <c:v>3.3412565134236552E-12</c:v>
                </c:pt>
                <c:pt idx="32">
                  <c:v>3.8017730522270352E-12</c:v>
                </c:pt>
                <c:pt idx="33">
                  <c:v>4.3051191879809365E-12</c:v>
                </c:pt>
                <c:pt idx="34">
                  <c:v>4.8533909439343023E-12</c:v>
                </c:pt>
                <c:pt idx="35">
                  <c:v>5.4486906678791978E-12</c:v>
                </c:pt>
                <c:pt idx="36">
                  <c:v>6.0931261033759899E-12</c:v>
                </c:pt>
                <c:pt idx="37">
                  <c:v>6.7888095095581174E-12</c:v>
                </c:pt>
                <c:pt idx="38">
                  <c:v>7.5378569572406619E-12</c:v>
                </c:pt>
                <c:pt idx="39">
                  <c:v>8.3423876526063966E-12</c:v>
                </c:pt>
                <c:pt idx="40">
                  <c:v>9.2045233549030258E-12</c:v>
                </c:pt>
                <c:pt idx="41">
                  <c:v>1.0126421687487383E-11</c:v>
                </c:pt>
                <c:pt idx="42">
                  <c:v>1.1110126578570687E-11</c:v>
                </c:pt>
                <c:pt idx="43">
                  <c:v>1.2157861573375255E-11</c:v>
                </c:pt>
                <c:pt idx="44">
                  <c:v>1.32716266108845E-11</c:v>
                </c:pt>
                <c:pt idx="45">
                  <c:v>1.4453666749709359E-11</c:v>
                </c:pt>
                <c:pt idx="46">
                  <c:v>1.5706067988823296E-11</c:v>
                </c:pt>
                <c:pt idx="47">
                  <c:v>1.7030956692049196E-11</c:v>
                </c:pt>
                <c:pt idx="48">
                  <c:v>1.8430458289820862E-11</c:v>
                </c:pt>
                <c:pt idx="49">
                  <c:v>1.9906697004909474E-11</c:v>
                </c:pt>
                <c:pt idx="50">
                  <c:v>1.9906697004909474E-11</c:v>
                </c:pt>
                <c:pt idx="51">
                  <c:v>2.1461795788006869E-11</c:v>
                </c:pt>
                <c:pt idx="52">
                  <c:v>2.3097872396336281E-11</c:v>
                </c:pt>
                <c:pt idx="53">
                  <c:v>2.4817026097507731E-11</c:v>
                </c:pt>
                <c:pt idx="54">
                  <c:v>2.6621308532972172E-11</c:v>
                </c:pt>
                <c:pt idx="55">
                  <c:v>2.8512692561754203E-11</c:v>
                </c:pt>
                <c:pt idx="56">
                  <c:v>3.0493044692264025E-11</c:v>
                </c:pt>
                <c:pt idx="57">
                  <c:v>3.2564104293762718E-11</c:v>
                </c:pt>
                <c:pt idx="58">
                  <c:v>3.4727470211559842E-11</c:v>
                </c:pt>
                <c:pt idx="59">
                  <c:v>3.6984594190974975E-11</c:v>
                </c:pt>
                <c:pt idx="60">
                  <c:v>3.9336779980542966E-11</c:v>
                </c:pt>
                <c:pt idx="61">
                  <c:v>4.1785186839580746E-11</c:v>
                </c:pt>
                <c:pt idx="62">
                  <c:v>4.4330836173903184E-11</c:v>
                </c:pt>
                <c:pt idx="63">
                  <c:v>4.6974620237419381E-11</c:v>
                </c:pt>
                <c:pt idx="64">
                  <c:v>4.9717312033497716E-11</c:v>
                </c:pt>
                <c:pt idx="65">
                  <c:v>5.2559575712856902E-11</c:v>
                </c:pt>
                <c:pt idx="66">
                  <c:v>5.550197695951369E-11</c:v>
                </c:pt>
                <c:pt idx="67">
                  <c:v>5.8544993026546429E-11</c:v>
                </c:pt>
                <c:pt idx="68">
                  <c:v>6.1689022146162788E-11</c:v>
                </c:pt>
                <c:pt idx="69">
                  <c:v>6.4934392234122349E-11</c:v>
                </c:pt>
                <c:pt idx="70">
                  <c:v>6.8281368786558442E-11</c:v>
                </c:pt>
                <c:pt idx="71">
                  <c:v>7.1730161835821112E-11</c:v>
                </c:pt>
                <c:pt idx="72">
                  <c:v>7.5280932434748894E-11</c:v>
                </c:pt>
                <c:pt idx="73">
                  <c:v>7.8933797918116772E-11</c:v>
                </c:pt>
                <c:pt idx="74">
                  <c:v>8.2688836814885763E-11</c:v>
                </c:pt>
                <c:pt idx="75">
                  <c:v>8.6546092995259907E-11</c:v>
                </c:pt>
                <c:pt idx="76">
                  <c:v>9.0505579260560943E-11</c:v>
                </c:pt>
                <c:pt idx="77">
                  <c:v>9.4567280440646334E-11</c:v>
                </c:pt>
                <c:pt idx="78">
                  <c:v>9.8731156047613278E-11</c:v>
                </c:pt>
                <c:pt idx="79">
                  <c:v>1.0299714254946585E-10</c:v>
                </c:pt>
                <c:pt idx="80">
                  <c:v>1.073651553176482E-10</c:v>
                </c:pt>
                <c:pt idx="81">
                  <c:v>1.1183509027928583E-10</c:v>
                </c:pt>
                <c:pt idx="82">
                  <c:v>1.1640682532884577E-10</c:v>
                </c:pt>
                <c:pt idx="83">
                  <c:v>1.2108022170686528E-10</c:v>
                </c:pt>
                <c:pt idx="84">
                  <c:v>1.2585512491375765E-10</c:v>
                </c:pt>
                <c:pt idx="85">
                  <c:v>1.3073136541988045E-10</c:v>
                </c:pt>
                <c:pt idx="86">
                  <c:v>1.357087598396653E-10</c:v>
                </c:pt>
                <c:pt idx="87">
                  <c:v>1.4078711144322434E-10</c:v>
                </c:pt>
                <c:pt idx="88">
                  <c:v>1.4596621073567811E-10</c:v>
                </c:pt>
                <c:pt idx="89">
                  <c:v>1.5124583602446422E-10</c:v>
                </c:pt>
                <c:pt idx="90">
                  <c:v>1.5662575389663298E-10</c:v>
                </c:pt>
                <c:pt idx="91">
                  <c:v>1.6210571959888234E-10</c:v>
                </c:pt>
                <c:pt idx="92">
                  <c:v>1.6768547745693432E-10</c:v>
                </c:pt>
                <c:pt idx="93">
                  <c:v>1.7336476120382124E-10</c:v>
                </c:pt>
                <c:pt idx="94">
                  <c:v>1.7914329430835824E-10</c:v>
                </c:pt>
                <c:pt idx="95">
                  <c:v>1.8502079025668539E-10</c:v>
                </c:pt>
                <c:pt idx="96">
                  <c:v>1.9099695279258503E-10</c:v>
                </c:pt>
                <c:pt idx="97">
                  <c:v>1.9707147624457197E-10</c:v>
                </c:pt>
                <c:pt idx="98">
                  <c:v>2.0324404572735526E-10</c:v>
                </c:pt>
                <c:pt idx="99">
                  <c:v>2.0951433734522652E-10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C-4598-85F5-98B530EC422A}"/>
            </c:ext>
          </c:extLst>
        </c:ser>
        <c:ser>
          <c:idx val="2"/>
          <c:order val="2"/>
          <c:tx>
            <c:strRef>
              <c:f>dynamicR!$BX$10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dynamicR!$BX$12:$BX$112</c:f>
              <c:numCache>
                <c:formatCode>0.0%</c:formatCode>
                <c:ptCount val="101"/>
                <c:pt idx="0">
                  <c:v>0</c:v>
                </c:pt>
                <c:pt idx="1">
                  <c:v>1.0735153393689428E-5</c:v>
                </c:pt>
                <c:pt idx="2">
                  <c:v>6.9370794152662259E-5</c:v>
                </c:pt>
                <c:pt idx="3">
                  <c:v>1.8984518414778492E-4</c:v>
                </c:pt>
                <c:pt idx="4">
                  <c:v>3.6635775567159392E-4</c:v>
                </c:pt>
                <c:pt idx="5">
                  <c:v>5.8496838496820906E-4</c:v>
                </c:pt>
                <c:pt idx="6">
                  <c:v>8.2993413626308843E-4</c:v>
                </c:pt>
                <c:pt idx="7">
                  <c:v>1.086876333528749E-3</c:v>
                </c:pt>
                <c:pt idx="8">
                  <c:v>1.3441037198304126E-3</c:v>
                </c:pt>
                <c:pt idx="9">
                  <c:v>1.5929167181055702E-3</c:v>
                </c:pt>
                <c:pt idx="10">
                  <c:v>1.8273907612932352E-3</c:v>
                </c:pt>
                <c:pt idx="11">
                  <c:v>2.0439359273664772E-3</c:v>
                </c:pt>
                <c:pt idx="12">
                  <c:v>2.2407921898570174E-3</c:v>
                </c:pt>
                <c:pt idx="13">
                  <c:v>2.4175592017023741E-3</c:v>
                </c:pt>
                <c:pt idx="14">
                  <c:v>2.574784059679338E-3</c:v>
                </c:pt>
                <c:pt idx="15">
                  <c:v>2.7136303196868251E-3</c:v>
                </c:pt>
                <c:pt idx="16">
                  <c:v>2.8356217152055718E-3</c:v>
                </c:pt>
                <c:pt idx="17">
                  <c:v>2.9424529325371759E-3</c:v>
                </c:pt>
                <c:pt idx="18">
                  <c:v>3.0358555960166411E-3</c:v>
                </c:pt>
                <c:pt idx="19">
                  <c:v>3.1175098713628283E-3</c:v>
                </c:pt>
                <c:pt idx="20">
                  <c:v>3.1889875828902117E-3</c:v>
                </c:pt>
                <c:pt idx="21">
                  <c:v>3.2517183524795978E-3</c:v>
                </c:pt>
                <c:pt idx="22">
                  <c:v>3.3069791739285433E-3</c:v>
                </c:pt>
                <c:pt idx="23">
                  <c:v>3.3558921066696853E-3</c:v>
                </c:pt>
                <c:pt idx="24">
                  <c:v>3.3994293891423675E-3</c:v>
                </c:pt>
                <c:pt idx="25">
                  <c:v>3.4384244316577051E-3</c:v>
                </c:pt>
                <c:pt idx="26">
                  <c:v>3.4735858892471641E-3</c:v>
                </c:pt>
                <c:pt idx="27">
                  <c:v>3.5055118059245916E-3</c:v>
                </c:pt>
                <c:pt idx="28">
                  <c:v>3.5347034185043715E-3</c:v>
                </c:pt>
                <c:pt idx="29">
                  <c:v>3.5615787470010163E-3</c:v>
                </c:pt>
                <c:pt idx="30">
                  <c:v>3.5864848916321839E-3</c:v>
                </c:pt>
                <c:pt idx="31">
                  <c:v>3.6097090423677287E-3</c:v>
                </c:pt>
                <c:pt idx="32">
                  <c:v>3.6314882564562529E-3</c:v>
                </c:pt>
                <c:pt idx="33">
                  <c:v>3.652017529775372E-3</c:v>
                </c:pt>
                <c:pt idx="34">
                  <c:v>3.67145783655093E-3</c:v>
                </c:pt>
                <c:pt idx="35">
                  <c:v>3.6899414708253778E-3</c:v>
                </c:pt>
                <c:pt idx="36">
                  <c:v>3.7075771692525687E-3</c:v>
                </c:pt>
                <c:pt idx="37">
                  <c:v>3.7244546765090709E-3</c:v>
                </c:pt>
                <c:pt idx="38">
                  <c:v>3.7406481823817547E-3</c:v>
                </c:pt>
                <c:pt idx="39">
                  <c:v>3.756219300966182E-3</c:v>
                </c:pt>
                <c:pt idx="40">
                  <c:v>3.7712193529723281E-3</c:v>
                </c:pt>
                <c:pt idx="41">
                  <c:v>3.7856919267255703E-3</c:v>
                </c:pt>
                <c:pt idx="42">
                  <c:v>3.7996720876381745E-3</c:v>
                </c:pt>
                <c:pt idx="43">
                  <c:v>3.8131921949567898E-3</c:v>
                </c:pt>
                <c:pt idx="44">
                  <c:v>3.8262770934591938E-3</c:v>
                </c:pt>
                <c:pt idx="45">
                  <c:v>3.8389515541278007E-3</c:v>
                </c:pt>
                <c:pt idx="46">
                  <c:v>3.8512351100685252E-3</c:v>
                </c:pt>
                <c:pt idx="47">
                  <c:v>3.8631455139482673E-3</c:v>
                </c:pt>
                <c:pt idx="48">
                  <c:v>3.8746987155793091E-3</c:v>
                </c:pt>
                <c:pt idx="49">
                  <c:v>3.88590906825452E-3</c:v>
                </c:pt>
                <c:pt idx="50">
                  <c:v>3.88590906825452E-3</c:v>
                </c:pt>
                <c:pt idx="51">
                  <c:v>3.8860543708138535E-3</c:v>
                </c:pt>
                <c:pt idx="52">
                  <c:v>3.8379815434860121E-3</c:v>
                </c:pt>
                <c:pt idx="53">
                  <c:v>3.7277633707956761E-3</c:v>
                </c:pt>
                <c:pt idx="54">
                  <c:v>3.5612107974329335E-3</c:v>
                </c:pt>
                <c:pt idx="55">
                  <c:v>3.3522736507342393E-3</c:v>
                </c:pt>
                <c:pt idx="56">
                  <c:v>3.1167040367814777E-3</c:v>
                </c:pt>
                <c:pt idx="57">
                  <c:v>2.868889559267175E-3</c:v>
                </c:pt>
                <c:pt idx="58">
                  <c:v>2.6205296938594902E-3</c:v>
                </c:pt>
                <c:pt idx="59">
                  <c:v>2.380331875573741E-3</c:v>
                </c:pt>
                <c:pt idx="60">
                  <c:v>2.1542276508920563E-3</c:v>
                </c:pt>
                <c:pt idx="61">
                  <c:v>1.9458160997439264E-3</c:v>
                </c:pt>
                <c:pt idx="62">
                  <c:v>1.7568626811752094E-3</c:v>
                </c:pt>
                <c:pt idx="63">
                  <c:v>1.5877749588495043E-3</c:v>
                </c:pt>
                <c:pt idx="64">
                  <c:v>1.4380123273451224E-3</c:v>
                </c:pt>
                <c:pt idx="65">
                  <c:v>1.3064177756557513E-3</c:v>
                </c:pt>
                <c:pt idx="66">
                  <c:v>1.1914736442998357E-3</c:v>
                </c:pt>
                <c:pt idx="67">
                  <c:v>1.0914911571461663E-3</c:v>
                </c:pt>
                <c:pt idx="68">
                  <c:v>1.0047439189741572E-3</c:v>
                </c:pt>
                <c:pt idx="69">
                  <c:v>9.2955798385632585E-4</c:v>
                </c:pt>
                <c:pt idx="70">
                  <c:v>8.6436789889301178E-4</c:v>
                </c:pt>
                <c:pt idx="71">
                  <c:v>8.0774785037562565E-4</c:v>
                </c:pt>
                <c:pt idx="72">
                  <c:v>7.5842644111365199E-4</c:v>
                </c:pt>
                <c:pt idx="73">
                  <c:v>7.1528656563342658E-4</c:v>
                </c:pt>
                <c:pt idx="74">
                  <c:v>6.7736077607296686E-4</c:v>
                </c:pt>
                <c:pt idx="75">
                  <c:v>6.43819837759671E-4</c:v>
                </c:pt>
                <c:pt idx="76">
                  <c:v>6.1395951096146245E-4</c:v>
                </c:pt>
                <c:pt idx="77">
                  <c:v>5.8718625501354095E-4</c:v>
                </c:pt>
                <c:pt idx="78">
                  <c:v>5.630030919732185E-4</c:v>
                </c:pt>
                <c:pt idx="79">
                  <c:v>5.409961417401259E-4</c:v>
                </c:pt>
                <c:pt idx="80">
                  <c:v>5.2082233099417011E-4</c:v>
                </c:pt>
                <c:pt idx="81">
                  <c:v>5.0219839803037009E-4</c:v>
                </c:pt>
                <c:pt idx="82">
                  <c:v>4.8489118971457705E-4</c:v>
                </c:pt>
                <c:pt idx="83">
                  <c:v>4.687088972666191E-4</c:v>
                </c:pt>
                <c:pt idx="84">
                  <c:v>4.5349426525784659E-4</c:v>
                </c:pt>
                <c:pt idx="85">
                  <c:v>4.3911896997636318E-4</c:v>
                </c:pt>
                <c:pt idx="86">
                  <c:v>4.2547740325863694E-4</c:v>
                </c:pt>
                <c:pt idx="87">
                  <c:v>4.1248300374654865E-4</c:v>
                </c:pt>
                <c:pt idx="88">
                  <c:v>4.0006474643262122E-4</c:v>
                </c:pt>
                <c:pt idx="89">
                  <c:v>3.8816408401869335E-4</c:v>
                </c:pt>
                <c:pt idx="90">
                  <c:v>3.7673253420909098E-4</c:v>
                </c:pt>
                <c:pt idx="91">
                  <c:v>3.6572998622979696E-4</c:v>
                </c:pt>
                <c:pt idx="92">
                  <c:v>3.5512287453193518E-4</c:v>
                </c:pt>
                <c:pt idx="93">
                  <c:v>3.4488298291876257E-4</c:v>
                </c:pt>
                <c:pt idx="94">
                  <c:v>3.3498637150026329E-4</c:v>
                </c:pt>
                <c:pt idx="95">
                  <c:v>3.2541259043113646E-4</c:v>
                </c:pt>
                <c:pt idx="96">
                  <c:v>3.1614398638042223E-4</c:v>
                </c:pt>
                <c:pt idx="97">
                  <c:v>3.0716515538687793E-4</c:v>
                </c:pt>
                <c:pt idx="98">
                  <c:v>2.9846252726557396E-4</c:v>
                </c:pt>
                <c:pt idx="99">
                  <c:v>2.9002402506734322E-4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FC-4598-85F5-98B530EC422A}"/>
            </c:ext>
          </c:extLst>
        </c:ser>
        <c:ser>
          <c:idx val="3"/>
          <c:order val="3"/>
          <c:tx>
            <c:strRef>
              <c:f>dynamicR!$BY$10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dynamicR!$BY$12:$BY$112</c:f>
              <c:numCache>
                <c:formatCode>0.0%</c:formatCode>
                <c:ptCount val="101"/>
                <c:pt idx="0">
                  <c:v>0</c:v>
                </c:pt>
                <c:pt idx="1">
                  <c:v>8.3098141025808866E-5</c:v>
                </c:pt>
                <c:pt idx="2">
                  <c:v>1.1125139998601813E-3</c:v>
                </c:pt>
                <c:pt idx="3">
                  <c:v>4.7281604062068515E-3</c:v>
                </c:pt>
                <c:pt idx="4">
                  <c:v>1.25866677008261E-2</c:v>
                </c:pt>
                <c:pt idx="5">
                  <c:v>2.5969717189950319E-2</c:v>
                </c:pt>
                <c:pt idx="6">
                  <c:v>4.5663447871100944E-2</c:v>
                </c:pt>
                <c:pt idx="7">
                  <c:v>7.1977442413164755E-2</c:v>
                </c:pt>
                <c:pt idx="8">
                  <c:v>0.10482595473322477</c:v>
                </c:pt>
                <c:pt idx="9">
                  <c:v>0.14382823845481418</c:v>
                </c:pt>
                <c:pt idx="10">
                  <c:v>0.1884053031565977</c:v>
                </c:pt>
                <c:pt idx="11">
                  <c:v>0.23786266205773979</c:v>
                </c:pt>
                <c:pt idx="12">
                  <c:v>0.29145602344625643</c:v>
                </c:pt>
                <c:pt idx="13">
                  <c:v>0.34843936857784763</c:v>
                </c:pt>
                <c:pt idx="14">
                  <c:v>0.40809883661972585</c:v>
                </c:pt>
                <c:pt idx="15">
                  <c:v>0.46977409394770897</c:v>
                </c:pt>
                <c:pt idx="16">
                  <c:v>0.53287036644927521</c:v>
                </c:pt>
                <c:pt idx="17">
                  <c:v>0.59686371859702814</c:v>
                </c:pt>
                <c:pt idx="18">
                  <c:v>0.6613006638827067</c:v>
                </c:pt>
                <c:pt idx="19">
                  <c:v>0.72579514835511805</c:v>
                </c:pt>
                <c:pt idx="20">
                  <c:v>0.79002457394478198</c:v>
                </c:pt>
                <c:pt idx="21">
                  <c:v>0.85372278151969072</c:v>
                </c:pt>
                <c:pt idx="22">
                  <c:v>0.91667324811259576</c:v>
                </c:pt>
                <c:pt idx="23">
                  <c:v>0.97870295882802394</c:v>
                </c:pt>
                <c:pt idx="24">
                  <c:v>1.0396765245487665</c:v>
                </c:pt>
                <c:pt idx="25">
                  <c:v>1.0994900823284059</c:v>
                </c:pt>
                <c:pt idx="26">
                  <c:v>1.1580663384036465</c:v>
                </c:pt>
                <c:pt idx="27">
                  <c:v>1.2153500752230106</c:v>
                </c:pt>
                <c:pt idx="28">
                  <c:v>1.2713042874312259</c:v>
                </c:pt>
                <c:pt idx="29">
                  <c:v>1.3259068284408133</c:v>
                </c:pt>
                <c:pt idx="30">
                  <c:v>1.3791475811204221</c:v>
                </c:pt>
                <c:pt idx="31">
                  <c:v>1.4310260857972796</c:v>
                </c:pt>
                <c:pt idx="32">
                  <c:v>1.4815495420188238</c:v>
                </c:pt>
                <c:pt idx="33">
                  <c:v>1.5307312329803182</c:v>
                </c:pt>
                <c:pt idx="34">
                  <c:v>1.5785890112973433</c:v>
                </c:pt>
                <c:pt idx="35">
                  <c:v>1.6251443568392072</c:v>
                </c:pt>
                <c:pt idx="36">
                  <c:v>1.6704214751306619</c:v>
                </c:pt>
                <c:pt idx="37">
                  <c:v>1.7144464996250097</c:v>
                </c:pt>
                <c:pt idx="38">
                  <c:v>1.7572469481859785</c:v>
                </c:pt>
                <c:pt idx="39">
                  <c:v>1.7988512456917582</c:v>
                </c:pt>
                <c:pt idx="40">
                  <c:v>1.8392883674336356</c:v>
                </c:pt>
                <c:pt idx="41">
                  <c:v>1.8785880039914304</c:v>
                </c:pt>
                <c:pt idx="42">
                  <c:v>1.9167782868697827</c:v>
                </c:pt>
                <c:pt idx="43">
                  <c:v>1.953889642855082</c:v>
                </c:pt>
                <c:pt idx="44">
                  <c:v>1.9899491409878669</c:v>
                </c:pt>
                <c:pt idx="45">
                  <c:v>2.0249868072650758</c:v>
                </c:pt>
                <c:pt idx="46">
                  <c:v>2.0590300312142484</c:v>
                </c:pt>
                <c:pt idx="47">
                  <c:v>2.0921062354317859</c:v>
                </c:pt>
                <c:pt idx="48">
                  <c:v>2.1242422566980594</c:v>
                </c:pt>
                <c:pt idx="49">
                  <c:v>2.1554643378660816</c:v>
                </c:pt>
                <c:pt idx="50">
                  <c:v>2.1554643378660816</c:v>
                </c:pt>
                <c:pt idx="51">
                  <c:v>2.1857150291228442</c:v>
                </c:pt>
                <c:pt idx="52">
                  <c:v>2.2141560839315693</c:v>
                </c:pt>
                <c:pt idx="53">
                  <c:v>2.239171956204479</c:v>
                </c:pt>
                <c:pt idx="54">
                  <c:v>2.2591297498490217</c:v>
                </c:pt>
                <c:pt idx="55">
                  <c:v>2.2727708921362368</c:v>
                </c:pt>
                <c:pt idx="56">
                  <c:v>2.2793317248488956</c:v>
                </c:pt>
                <c:pt idx="57">
                  <c:v>2.2785245524631383</c:v>
                </c:pt>
                <c:pt idx="58">
                  <c:v>2.2704564021824862</c:v>
                </c:pt>
                <c:pt idx="59">
                  <c:v>2.2555287102229484</c:v>
                </c:pt>
                <c:pt idx="60">
                  <c:v>2.2343406465014648</c:v>
                </c:pt>
                <c:pt idx="61">
                  <c:v>2.2076060481745747</c:v>
                </c:pt>
                <c:pt idx="62">
                  <c:v>2.1760884167003445</c:v>
                </c:pt>
                <c:pt idx="63">
                  <c:v>2.1405521794541142</c:v>
                </c:pt>
                <c:pt idx="64">
                  <c:v>2.1017291434030367</c:v>
                </c:pt>
                <c:pt idx="65">
                  <c:v>2.0602970704097618</c:v>
                </c:pt>
                <c:pt idx="66">
                  <c:v>2.0168676827174834</c:v>
                </c:pt>
                <c:pt idx="67">
                  <c:v>1.9719815884666951</c:v>
                </c:pt>
                <c:pt idx="68">
                  <c:v>1.9261081205922348</c:v>
                </c:pt>
                <c:pt idx="69">
                  <c:v>1.8796484188990268</c:v>
                </c:pt>
                <c:pt idx="70">
                  <c:v>1.8329405362999769</c:v>
                </c:pt>
                <c:pt idx="71">
                  <c:v>1.7862654710382411</c:v>
                </c:pt>
                <c:pt idx="72">
                  <c:v>1.7398539096896111</c:v>
                </c:pt>
                <c:pt idx="73">
                  <c:v>1.6938925943457765</c:v>
                </c:pt>
                <c:pt idx="74">
                  <c:v>1.6485305031175403</c:v>
                </c:pt>
                <c:pt idx="75">
                  <c:v>1.6038845721658987</c:v>
                </c:pt>
                <c:pt idx="76">
                  <c:v>1.5600447804178592</c:v>
                </c:pt>
                <c:pt idx="77">
                  <c:v>1.5170786535879472</c:v>
                </c:pt>
                <c:pt idx="78">
                  <c:v>1.475035168082544</c:v>
                </c:pt>
                <c:pt idx="79">
                  <c:v>1.4339480983915041</c:v>
                </c:pt>
                <c:pt idx="80">
                  <c:v>1.3938388574301295</c:v>
                </c:pt>
                <c:pt idx="81">
                  <c:v>1.354718874795336</c:v>
                </c:pt>
                <c:pt idx="82">
                  <c:v>1.3165915932760095</c:v>
                </c:pt>
                <c:pt idx="83">
                  <c:v>1.2794541693722683</c:v>
                </c:pt>
                <c:pt idx="84">
                  <c:v>1.2432987670359221</c:v>
                </c:pt>
                <c:pt idx="85">
                  <c:v>1.208113596759141</c:v>
                </c:pt>
                <c:pt idx="86">
                  <c:v>1.1738839990098044</c:v>
                </c:pt>
                <c:pt idx="87">
                  <c:v>1.1405930666523145</c:v>
                </c:pt>
                <c:pt idx="88">
                  <c:v>1.1082222354115825</c:v>
                </c:pt>
                <c:pt idx="89">
                  <c:v>1.076751783264887</c:v>
                </c:pt>
                <c:pt idx="90">
                  <c:v>1.0461612063914665</c:v>
                </c:pt>
                <c:pt idx="91">
                  <c:v>1.016429475074951</c:v>
                </c:pt>
                <c:pt idx="92">
                  <c:v>0.98753531396947458</c:v>
                </c:pt>
                <c:pt idx="93">
                  <c:v>0.95945737015646149</c:v>
                </c:pt>
                <c:pt idx="94">
                  <c:v>0.93217436033076873</c:v>
                </c:pt>
                <c:pt idx="95">
                  <c:v>0.90566517675820146</c:v>
                </c:pt>
                <c:pt idx="96">
                  <c:v>0.87990897662903111</c:v>
                </c:pt>
                <c:pt idx="97">
                  <c:v>0.85488524215188155</c:v>
                </c:pt>
                <c:pt idx="98">
                  <c:v>0.83057382807351954</c:v>
                </c:pt>
                <c:pt idx="99">
                  <c:v>0.80695499681518024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FC-4598-85F5-98B530EC422A}"/>
            </c:ext>
          </c:extLst>
        </c:ser>
        <c:ser>
          <c:idx val="4"/>
          <c:order val="4"/>
          <c:tx>
            <c:strRef>
              <c:f>dynamicR!$BW$10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dynamicR!$BW$12:$BW$112</c:f>
              <c:numCache>
                <c:formatCode>0.0%</c:formatCode>
                <c:ptCount val="101"/>
                <c:pt idx="0">
                  <c:v>0</c:v>
                </c:pt>
                <c:pt idx="1">
                  <c:v>2.8289069609291075E-12</c:v>
                </c:pt>
                <c:pt idx="2">
                  <c:v>3.8672910208263134E-11</c:v>
                </c:pt>
                <c:pt idx="3">
                  <c:v>1.6780000549903698E-10</c:v>
                </c:pt>
                <c:pt idx="4">
                  <c:v>4.5596165431545921E-10</c:v>
                </c:pt>
                <c:pt idx="5">
                  <c:v>9.601019481038903E-10</c:v>
                </c:pt>
                <c:pt idx="6">
                  <c:v>1.7225108086671965E-9</c:v>
                </c:pt>
                <c:pt idx="7">
                  <c:v>2.7697429782091271E-9</c:v>
                </c:pt>
                <c:pt idx="8">
                  <c:v>4.1140073940285107E-9</c:v>
                </c:pt>
                <c:pt idx="9">
                  <c:v>5.7556455633707194E-9</c:v>
                </c:pt>
                <c:pt idx="10">
                  <c:v>7.6858985228102342E-9</c:v>
                </c:pt>
                <c:pt idx="11">
                  <c:v>9.8895257297950661E-9</c:v>
                </c:pt>
                <c:pt idx="12">
                  <c:v>1.2347084388292863E-8</c:v>
                </c:pt>
                <c:pt idx="13">
                  <c:v>1.5036763525335556E-8</c:v>
                </c:pt>
                <c:pt idx="14">
                  <c:v>1.7935824016476104E-8</c:v>
                </c:pt>
                <c:pt idx="15">
                  <c:v>2.1021651590791934E-8</c:v>
                </c:pt>
                <c:pt idx="16">
                  <c:v>2.4272494527148218E-8</c:v>
                </c:pt>
                <c:pt idx="17">
                  <c:v>2.7667950039636888E-8</c:v>
                </c:pt>
                <c:pt idx="18">
                  <c:v>3.1189232852885703E-8</c:v>
                </c:pt>
                <c:pt idx="19">
                  <c:v>3.4819305622109446E-8</c:v>
                </c:pt>
                <c:pt idx="20">
                  <c:v>3.8542930709908333E-8</c:v>
                </c:pt>
                <c:pt idx="21">
                  <c:v>4.2346603391760458E-8</c:v>
                </c:pt>
                <c:pt idx="22">
                  <c:v>4.6218440408341679E-8</c:v>
                </c:pt>
                <c:pt idx="23">
                  <c:v>5.0148062543345252E-8</c:v>
                </c:pt>
                <c:pt idx="24">
                  <c:v>5.4126460304995083E-8</c:v>
                </c:pt>
                <c:pt idx="25">
                  <c:v>5.8145839445513828E-8</c:v>
                </c:pt>
                <c:pt idx="26">
                  <c:v>6.2199479502104962E-8</c:v>
                </c:pt>
                <c:pt idx="27">
                  <c:v>6.6281599058529631E-8</c:v>
                </c:pt>
                <c:pt idx="28">
                  <c:v>7.0387232574410829E-8</c:v>
                </c:pt>
                <c:pt idx="29">
                  <c:v>7.451211709901438E-8</c:v>
                </c:pt>
                <c:pt idx="30">
                  <c:v>7.8652591862626395E-8</c:v>
                </c:pt>
                <c:pt idx="31">
                  <c:v>8.2805509915129247E-8</c:v>
                </c:pt>
                <c:pt idx="32">
                  <c:v>8.6968160320222791E-8</c:v>
                </c:pt>
                <c:pt idx="33">
                  <c:v>9.1138204034355634E-8</c:v>
                </c:pt>
                <c:pt idx="34">
                  <c:v>9.5313609912434783E-8</c:v>
                </c:pt>
                <c:pt idx="35">
                  <c:v>9.9492611879053421E-8</c:v>
                </c:pt>
                <c:pt idx="36">
                  <c:v>1.0367366739517876E-7</c:v>
                </c:pt>
                <c:pt idx="37">
                  <c:v>1.0785541990690876E-7</c:v>
                </c:pt>
                <c:pt idx="38">
                  <c:v>1.1203667045357592E-7</c:v>
                </c:pt>
                <c:pt idx="39">
                  <c:v>1.1621635240962689E-7</c:v>
                </c:pt>
                <c:pt idx="40">
                  <c:v>1.2039351166573487E-7</c:v>
                </c:pt>
                <c:pt idx="41">
                  <c:v>1.2456727703251172E-7</c:v>
                </c:pt>
                <c:pt idx="42">
                  <c:v>1.2873689828951472E-7</c:v>
                </c:pt>
                <c:pt idx="43">
                  <c:v>1.329016328479258E-7</c:v>
                </c:pt>
                <c:pt idx="44">
                  <c:v>1.3706087031139641E-7</c:v>
                </c:pt>
                <c:pt idx="45">
                  <c:v>1.4121397033598822E-7</c:v>
                </c:pt>
                <c:pt idx="46">
                  <c:v>1.45360390019771E-7</c:v>
                </c:pt>
                <c:pt idx="47">
                  <c:v>1.4949961158560626E-7</c:v>
                </c:pt>
                <c:pt idx="48">
                  <c:v>1.536311500253253E-7</c:v>
                </c:pt>
                <c:pt idx="49">
                  <c:v>1.5775455050002576E-7</c:v>
                </c:pt>
                <c:pt idx="50">
                  <c:v>1.5775455050002576E-7</c:v>
                </c:pt>
                <c:pt idx="51">
                  <c:v>1.6186655487267457E-7</c:v>
                </c:pt>
                <c:pt idx="52">
                  <c:v>1.6593657349621397E-7</c:v>
                </c:pt>
                <c:pt idx="53">
                  <c:v>1.6990395565785905E-7</c:v>
                </c:pt>
                <c:pt idx="54">
                  <c:v>1.7370258681151626E-7</c:v>
                </c:pt>
                <c:pt idx="55">
                  <c:v>1.7727517796106051E-7</c:v>
                </c:pt>
                <c:pt idx="56">
                  <c:v>1.8057911084578476E-7</c:v>
                </c:pt>
                <c:pt idx="57">
                  <c:v>1.8358751827517421E-7</c:v>
                </c:pt>
                <c:pt idx="58">
                  <c:v>1.862878934893048E-7</c:v>
                </c:pt>
                <c:pt idx="59">
                  <c:v>1.886796107725146E-7</c:v>
                </c:pt>
                <c:pt idx="60">
                  <c:v>1.907711601682735E-7</c:v>
                </c:pt>
                <c:pt idx="61">
                  <c:v>1.9257751637234775E-7</c:v>
                </c:pt>
                <c:pt idx="62">
                  <c:v>1.9411788148879549E-7</c:v>
                </c:pt>
                <c:pt idx="63">
                  <c:v>1.9541382864318024E-7</c:v>
                </c:pt>
                <c:pt idx="64">
                  <c:v>1.9648787142816278E-7</c:v>
                </c:pt>
                <c:pt idx="65">
                  <c:v>1.9736240852619703E-7</c:v>
                </c:pt>
                <c:pt idx="66">
                  <c:v>1.9805898634473102E-7</c:v>
                </c:pt>
                <c:pt idx="67">
                  <c:v>1.9859781676199988E-7</c:v>
                </c:pt>
                <c:pt idx="68">
                  <c:v>1.9899749574672205E-7</c:v>
                </c:pt>
                <c:pt idx="69">
                  <c:v>1.9927487025892039E-7</c:v>
                </c:pt>
                <c:pt idx="70">
                  <c:v>1.9944501462683857E-7</c:v>
                </c:pt>
                <c:pt idx="71">
                  <c:v>1.9952127908563851E-7</c:v>
                </c:pt>
                <c:pt idx="72">
                  <c:v>1.9951538985863598E-7</c:v>
                </c:pt>
                <c:pt idx="73">
                  <c:v>1.9943757758342943E-7</c:v>
                </c:pt>
                <c:pt idx="74">
                  <c:v>1.9929671587610546E-7</c:v>
                </c:pt>
                <c:pt idx="75">
                  <c:v>1.991004686181291E-7</c:v>
                </c:pt>
                <c:pt idx="76">
                  <c:v>1.9885543174851178E-7</c:v>
                </c:pt>
                <c:pt idx="77">
                  <c:v>1.9856726804210723E-7</c:v>
                </c:pt>
                <c:pt idx="78">
                  <c:v>1.9824083130645441E-7</c:v>
                </c:pt>
                <c:pt idx="79">
                  <c:v>1.9788027890571189E-7</c:v>
                </c:pt>
                <c:pt idx="80">
                  <c:v>1.9748917206949484E-7</c:v>
                </c:pt>
                <c:pt idx="81">
                  <c:v>1.9707056382587537E-7</c:v>
                </c:pt>
                <c:pt idx="82">
                  <c:v>1.9662707602085352E-7</c:v>
                </c:pt>
                <c:pt idx="83">
                  <c:v>1.9616096908724455E-7</c:v>
                </c:pt>
                <c:pt idx="84">
                  <c:v>1.9567419574518962E-7</c:v>
                </c:pt>
                <c:pt idx="85">
                  <c:v>1.9516844557560737E-7</c:v>
                </c:pt>
                <c:pt idx="86">
                  <c:v>1.9464519571899142E-7</c:v>
                </c:pt>
                <c:pt idx="87">
                  <c:v>1.9410574074635629E-7</c:v>
                </c:pt>
                <c:pt idx="88">
                  <c:v>1.9355122168955691E-7</c:v>
                </c:pt>
                <c:pt idx="89">
                  <c:v>1.9298265181039211E-7</c:v>
                </c:pt>
                <c:pt idx="90">
                  <c:v>1.9240093730786012E-7</c:v>
                </c:pt>
                <c:pt idx="91">
                  <c:v>1.9180689229661847E-7</c:v>
                </c:pt>
                <c:pt idx="92">
                  <c:v>1.9120125494242142E-7</c:v>
                </c:pt>
                <c:pt idx="93">
                  <c:v>1.9058469847010469E-7</c:v>
                </c:pt>
                <c:pt idx="94">
                  <c:v>1.8995784126496773E-7</c:v>
                </c:pt>
                <c:pt idx="95">
                  <c:v>1.8932125447346005E-7</c:v>
                </c:pt>
                <c:pt idx="96">
                  <c:v>1.8867546880857973E-7</c:v>
                </c:pt>
                <c:pt idx="97">
                  <c:v>1.8802098026044886E-7</c:v>
                </c:pt>
                <c:pt idx="98">
                  <c:v>1.8735825445513833E-7</c:v>
                </c:pt>
                <c:pt idx="99">
                  <c:v>1.8668773035860552E-7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FC-4598-85F5-98B530EC4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4848"/>
        <c:axId val="325057152"/>
      </c:scatterChart>
      <c:valAx>
        <c:axId val="325054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57152"/>
        <c:crosses val="autoZero"/>
        <c:crossBetween val="midCat"/>
      </c:valAx>
      <c:valAx>
        <c:axId val="32505715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05484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dynamicR!$BP$10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dynamicR!$BP$13:$BP$112</c:f>
              <c:numCache>
                <c:formatCode>0.0%</c:formatCode>
                <c:ptCount val="100"/>
                <c:pt idx="0">
                  <c:v>1.6704822984029235</c:v>
                </c:pt>
                <c:pt idx="1">
                  <c:v>23.88221080299299</c:v>
                </c:pt>
                <c:pt idx="2">
                  <c:v>108.3711703732199</c:v>
                </c:pt>
                <c:pt idx="3">
                  <c:v>307.94591535155996</c:v>
                </c:pt>
                <c:pt idx="4">
                  <c:v>677.98445939171779</c:v>
                </c:pt>
                <c:pt idx="5">
                  <c:v>1271.4980406492664</c:v>
                </c:pt>
                <c:pt idx="6">
                  <c:v>2136.5080512220006</c:v>
                </c:pt>
                <c:pt idx="7">
                  <c:v>3314.8865649069448</c:v>
                </c:pt>
                <c:pt idx="8">
                  <c:v>4842.0904491388746</c:v>
                </c:pt>
                <c:pt idx="9">
                  <c:v>6747.4159040019358</c:v>
                </c:pt>
                <c:pt idx="10">
                  <c:v>9054.5269254943851</c:v>
                </c:pt>
                <c:pt idx="11">
                  <c:v>11782.110278972617</c:v>
                </c:pt>
                <c:pt idx="12">
                  <c:v>14944.549030170469</c:v>
                </c:pt>
                <c:pt idx="13">
                  <c:v>18552.576168302945</c:v>
                </c:pt>
                <c:pt idx="14">
                  <c:v>22613.868831390053</c:v>
                </c:pt>
                <c:pt idx="15">
                  <c:v>27133.57419996207</c:v>
                </c:pt>
                <c:pt idx="16">
                  <c:v>32114.758990836799</c:v>
                </c:pt>
                <c:pt idx="17">
                  <c:v>37558.807789321472</c:v>
                </c:pt>
                <c:pt idx="18">
                  <c:v>43465.739955318706</c:v>
                </c:pt>
                <c:pt idx="19">
                  <c:v>49834.453754396032</c:v>
                </c:pt>
                <c:pt idx="20">
                  <c:v>56662.97168140061</c:v>
                </c:pt>
                <c:pt idx="21">
                  <c:v>63948.614236588255</c:v>
                </c:pt>
                <c:pt idx="22">
                  <c:v>71688.137036360495</c:v>
                </c:pt>
                <c:pt idx="23">
                  <c:v>79877.843181386299</c:v>
                </c:pt>
                <c:pt idx="24">
                  <c:v>88513.683973083433</c:v>
                </c:pt>
                <c:pt idx="25">
                  <c:v>97591.327310637862</c:v>
                </c:pt>
                <c:pt idx="26">
                  <c:v>107106.216369594</c:v>
                </c:pt>
                <c:pt idx="27">
                  <c:v>117053.61590486245</c:v>
                </c:pt>
                <c:pt idx="28">
                  <c:v>127428.64829294343</c:v>
                </c:pt>
                <c:pt idx="29">
                  <c:v>138226.3220356325</c:v>
                </c:pt>
                <c:pt idx="30">
                  <c:v>149441.55404620079</c:v>
                </c:pt>
                <c:pt idx="31">
                  <c:v>161069.18728876434</c:v>
                </c:pt>
                <c:pt idx="32">
                  <c:v>173104.00396470341</c:v>
                </c:pt>
                <c:pt idx="33">
                  <c:v>185540.73767465074</c:v>
                </c:pt>
                <c:pt idx="34">
                  <c:v>198374.08040078872</c:v>
                </c:pt>
                <c:pt idx="35">
                  <c:v>211598.6893120051</c:v>
                </c:pt>
                <c:pt idx="36">
                  <c:v>225209.19290352505</c:v>
                </c:pt>
                <c:pt idx="37">
                  <c:v>239200.19470622999</c:v>
                </c:pt>
                <c:pt idx="38">
                  <c:v>253566.27687182248</c:v>
                </c:pt>
                <c:pt idx="39">
                  <c:v>268302.00298366864</c:v>
                </c:pt>
                <c:pt idx="40">
                  <c:v>283401.8332747083</c:v>
                </c:pt>
                <c:pt idx="41">
                  <c:v>298860.51041884499</c:v>
                </c:pt>
                <c:pt idx="42">
                  <c:v>314672.30483052565</c:v>
                </c:pt>
                <c:pt idx="43">
                  <c:v>330832.05418403097</c:v>
                </c:pt>
                <c:pt idx="44">
                  <c:v>347333.95572378201</c:v>
                </c:pt>
                <c:pt idx="45">
                  <c:v>364172.60832444287</c:v>
                </c:pt>
                <c:pt idx="46">
                  <c:v>381342.49900117551</c:v>
                </c:pt>
                <c:pt idx="47">
                  <c:v>398838.10982555873</c:v>
                </c:pt>
                <c:pt idx="48">
                  <c:v>416653.91902426275</c:v>
                </c:pt>
                <c:pt idx="49">
                  <c:v>416653.91902426275</c:v>
                </c:pt>
                <c:pt idx="50">
                  <c:v>434782.73269697221</c:v>
                </c:pt>
                <c:pt idx="51">
                  <c:v>453200.15264481655</c:v>
                </c:pt>
                <c:pt idx="52">
                  <c:v>471858.91840990633</c:v>
                </c:pt>
                <c:pt idx="53">
                  <c:v>490700.69735582609</c:v>
                </c:pt>
                <c:pt idx="54">
                  <c:v>509664.59005375364</c:v>
                </c:pt>
                <c:pt idx="55">
                  <c:v>528692.06778487831</c:v>
                </c:pt>
                <c:pt idx="56">
                  <c:v>547729.59669297084</c:v>
                </c:pt>
                <c:pt idx="57">
                  <c:v>566729.79905596236</c:v>
                </c:pt>
                <c:pt idx="58">
                  <c:v>585651.72018742142</c:v>
                </c:pt>
                <c:pt idx="59">
                  <c:v>604460.57594542822</c:v>
                </c:pt>
                <c:pt idx="60">
                  <c:v>623127.22215007595</c:v>
                </c:pt>
                <c:pt idx="61">
                  <c:v>641627.50716437248</c:v>
                </c:pt>
                <c:pt idx="62">
                  <c:v>659941.59425280755</c:v>
                </c:pt>
                <c:pt idx="63">
                  <c:v>678053.31152099837</c:v>
                </c:pt>
                <c:pt idx="64">
                  <c:v>695949.55843641155</c:v>
                </c:pt>
                <c:pt idx="65">
                  <c:v>713619.78166666557</c:v>
                </c:pt>
                <c:pt idx="66">
                  <c:v>731055.52189120813</c:v>
                </c:pt>
                <c:pt idx="67">
                  <c:v>748250.0307684422</c:v>
                </c:pt>
                <c:pt idx="68">
                  <c:v>765197.9494172025</c:v>
                </c:pt>
                <c:pt idx="69">
                  <c:v>781895.04301298165</c:v>
                </c:pt>
                <c:pt idx="70">
                  <c:v>798337.98663883505</c:v>
                </c:pt>
                <c:pt idx="71">
                  <c:v>814524.18190623005</c:v>
                </c:pt>
                <c:pt idx="72">
                  <c:v>830451.62271718029</c:v>
                </c:pt>
                <c:pt idx="73">
                  <c:v>846118.77668516117</c:v>
                </c:pt>
                <c:pt idx="74">
                  <c:v>861524.4950953793</c:v>
                </c:pt>
                <c:pt idx="75">
                  <c:v>876667.94071954547</c:v>
                </c:pt>
                <c:pt idx="76">
                  <c:v>891548.53066712862</c:v>
                </c:pt>
                <c:pt idx="77">
                  <c:v>906165.89149969874</c:v>
                </c:pt>
                <c:pt idx="78">
                  <c:v>920519.82410283724</c:v>
                </c:pt>
                <c:pt idx="79">
                  <c:v>934610.27618795761</c:v>
                </c:pt>
                <c:pt idx="80">
                  <c:v>948437.32104830374</c:v>
                </c:pt>
                <c:pt idx="81">
                  <c:v>962001.1410086453</c:v>
                </c:pt>
                <c:pt idx="82">
                  <c:v>975302.01379515429</c:v>
                </c:pt>
                <c:pt idx="83">
                  <c:v>988340.3034874365</c:v>
                </c:pt>
                <c:pt idx="84">
                  <c:v>1001116.4540511245</c:v>
                </c:pt>
                <c:pt idx="85">
                  <c:v>1013630.9810426048</c:v>
                </c:pt>
                <c:pt idx="86">
                  <c:v>1025884.4684131789</c:v>
                </c:pt>
                <c:pt idx="87">
                  <c:v>1037877.565048211</c:v>
                </c:pt>
                <c:pt idx="88">
                  <c:v>1049610.9817614025</c:v>
                </c:pt>
                <c:pt idx="89">
                  <c:v>1061085.4892153342</c:v>
                </c:pt>
                <c:pt idx="90">
                  <c:v>1072301.9164600589</c:v>
                </c:pt>
                <c:pt idx="91">
                  <c:v>1083261.1491994134</c:v>
                </c:pt>
                <c:pt idx="92">
                  <c:v>1093964.1287387488</c:v>
                </c:pt>
                <c:pt idx="93">
                  <c:v>1104411.8509414364</c:v>
                </c:pt>
                <c:pt idx="94">
                  <c:v>1114605.3652677455</c:v>
                </c:pt>
                <c:pt idx="95">
                  <c:v>1124545.7741056124</c:v>
                </c:pt>
                <c:pt idx="96">
                  <c:v>1134234.23151034</c:v>
                </c:pt>
                <c:pt idx="97">
                  <c:v>1143671.9425619412</c:v>
                </c:pt>
                <c:pt idx="98">
                  <c:v>1152860.1626442519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FBA-AA5A-F87226F4E91B}"/>
            </c:ext>
          </c:extLst>
        </c:ser>
        <c:ser>
          <c:idx val="1"/>
          <c:order val="1"/>
          <c:tx>
            <c:strRef>
              <c:f>dynamicR!$BQ$10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dynamicR!$BQ$13:$BQ$112</c:f>
              <c:numCache>
                <c:formatCode>0.0%</c:formatCode>
                <c:ptCount val="100"/>
                <c:pt idx="0">
                  <c:v>6.9278058146930893E-17</c:v>
                </c:pt>
                <c:pt idx="1">
                  <c:v>2.0170652782011403E-15</c:v>
                </c:pt>
                <c:pt idx="2">
                  <c:v>1.3970741636054743E-14</c:v>
                </c:pt>
                <c:pt idx="3">
                  <c:v>5.3826343202112265E-14</c:v>
                </c:pt>
                <c:pt idx="4">
                  <c:v>1.5053433418801509E-13</c:v>
                </c:pt>
                <c:pt idx="5">
                  <c:v>3.4404200438678538E-13</c:v>
                </c:pt>
                <c:pt idx="6">
                  <c:v>6.8448506067244261E-13</c:v>
                </c:pt>
                <c:pt idx="7">
                  <c:v>1.2310097280094883E-12</c:v>
                </c:pt>
                <c:pt idx="8">
                  <c:v>2.0504602178681528E-12</c:v>
                </c:pt>
                <c:pt idx="9">
                  <c:v>3.2160734457853674E-12</c:v>
                </c:pt>
                <c:pt idx="10">
                  <c:v>4.8062613401776609E-12</c:v>
                </c:pt>
                <c:pt idx="11">
                  <c:v>6.9035139585682116E-12</c:v>
                </c:pt>
                <c:pt idx="12">
                  <c:v>9.5934512785263198E-12</c:v>
                </c:pt>
                <c:pt idx="13">
                  <c:v>1.2964004012950313E-11</c:v>
                </c:pt>
                <c:pt idx="14">
                  <c:v>1.710472777187868E-11</c:v>
                </c:pt>
                <c:pt idx="15">
                  <c:v>2.2106232481504046E-11</c:v>
                </c:pt>
                <c:pt idx="16">
                  <c:v>2.8059712613927634E-11</c:v>
                </c:pt>
                <c:pt idx="17">
                  <c:v>3.5056562355314365E-11</c:v>
                </c:pt>
                <c:pt idx="18">
                  <c:v>4.3188069527983974E-11</c:v>
                </c:pt>
                <c:pt idx="19">
                  <c:v>5.2545164871710991E-11</c:v>
                </c:pt>
                <c:pt idx="20">
                  <c:v>6.3218214754701799E-11</c:v>
                </c:pt>
                <c:pt idx="21">
                  <c:v>7.5296868617642092E-11</c:v>
                </c:pt>
                <c:pt idx="22">
                  <c:v>8.8869929669500979E-11</c:v>
                </c:pt>
                <c:pt idx="23">
                  <c:v>1.0402525944412476E-10</c:v>
                </c:pt>
                <c:pt idx="24">
                  <c:v>1.2084969159898985E-10</c:v>
                </c:pt>
                <c:pt idx="25">
                  <c:v>1.3942897458847277E-10</c:v>
                </c:pt>
                <c:pt idx="26">
                  <c:v>1.5984772273147133E-10</c:v>
                </c:pt>
                <c:pt idx="27">
                  <c:v>1.8218937808311145E-10</c:v>
                </c:pt>
                <c:pt idx="28">
                  <c:v>2.0653618133201663E-10</c:v>
                </c:pt>
                <c:pt idx="29">
                  <c:v>2.3296914906003606E-10</c:v>
                </c:pt>
                <c:pt idx="30">
                  <c:v>2.6156805627038158E-10</c:v>
                </c:pt>
                <c:pt idx="31">
                  <c:v>2.9241142287520184E-10</c:v>
                </c:pt>
                <c:pt idx="32">
                  <c:v>3.2557650386270102E-10</c:v>
                </c:pt>
                <c:pt idx="33">
                  <c:v>3.611392805218682E-10</c:v>
                </c:pt>
                <c:pt idx="34">
                  <c:v>3.9917445582748121E-10</c:v>
                </c:pt>
                <c:pt idx="35">
                  <c:v>4.3975545011133234E-10</c:v>
                </c:pt>
                <c:pt idx="36">
                  <c:v>4.8295439741229576E-10</c:v>
                </c:pt>
                <c:pt idx="37">
                  <c:v>5.288421439033487E-10</c:v>
                </c:pt>
                <c:pt idx="38">
                  <c:v>5.774882465807077E-10</c:v>
                </c:pt>
                <c:pt idx="39">
                  <c:v>6.2896097127435057E-10</c:v>
                </c:pt>
                <c:pt idx="40">
                  <c:v>6.8332832950221084E-10</c:v>
                </c:pt>
                <c:pt idx="41">
                  <c:v>7.4065351465193798E-10</c:v>
                </c:pt>
                <c:pt idx="42">
                  <c:v>8.0100386831372677E-10</c:v>
                </c:pt>
                <c:pt idx="43">
                  <c:v>8.6443867922756911E-10</c:v>
                </c:pt>
                <c:pt idx="44">
                  <c:v>9.310233476872822E-10</c:v>
                </c:pt>
                <c:pt idx="45">
                  <c:v>1.0008171813282853E-9</c:v>
                </c:pt>
                <c:pt idx="46">
                  <c:v>1.0738794412687094E-9</c:v>
                </c:pt>
                <c:pt idx="47">
                  <c:v>1.15026810660068E-9</c:v>
                </c:pt>
                <c:pt idx="48">
                  <c:v>1.2300398788769401E-9</c:v>
                </c:pt>
                <c:pt idx="49">
                  <c:v>1.2300398788769401E-9</c:v>
                </c:pt>
                <c:pt idx="50">
                  <c:v>1.3132501785059736E-9</c:v>
                </c:pt>
                <c:pt idx="51">
                  <c:v>1.3999512785324902E-9</c:v>
                </c:pt>
                <c:pt idx="52">
                  <c:v>1.4901879480751929E-9</c:v>
                </c:pt>
                <c:pt idx="53">
                  <c:v>1.5839939130457688E-9</c:v>
                </c:pt>
                <c:pt idx="54">
                  <c:v>1.6813905839036151E-9</c:v>
                </c:pt>
                <c:pt idx="55">
                  <c:v>1.7823871174041723E-9</c:v>
                </c:pt>
                <c:pt idx="56">
                  <c:v>1.8869812290164673E-9</c:v>
                </c:pt>
                <c:pt idx="57">
                  <c:v>1.9951603756853858E-9</c:v>
                </c:pt>
                <c:pt idx="58">
                  <c:v>2.1069030731587712E-9</c:v>
                </c:pt>
                <c:pt idx="59">
                  <c:v>2.222180205154231E-9</c:v>
                </c:pt>
                <c:pt idx="60">
                  <c:v>2.3409562514520351E-9</c:v>
                </c:pt>
                <c:pt idx="61">
                  <c:v>2.46319038080823E-9</c:v>
                </c:pt>
                <c:pt idx="62">
                  <c:v>2.588837413899081E-9</c:v>
                </c:pt>
                <c:pt idx="63">
                  <c:v>2.7178486446337022E-9</c:v>
                </c:pt>
                <c:pt idx="64">
                  <c:v>2.8501725329253625E-9</c:v>
                </c:pt>
                <c:pt idx="65">
                  <c:v>2.9857552816591013E-9</c:v>
                </c:pt>
                <c:pt idx="66">
                  <c:v>3.1245413137042528E-9</c:v>
                </c:pt>
                <c:pt idx="67">
                  <c:v>3.2664736614307362E-9</c:v>
                </c:pt>
                <c:pt idx="68">
                  <c:v>3.4114942851533346E-9</c:v>
                </c:pt>
                <c:pt idx="69">
                  <c:v>3.5595443308192169E-9</c:v>
                </c:pt>
                <c:pt idx="70">
                  <c:v>3.7105643351142295E-9</c:v>
                </c:pt>
                <c:pt idx="71">
                  <c:v>3.8644943996542653E-9</c:v>
                </c:pt>
                <c:pt idx="72">
                  <c:v>4.021274317852876E-9</c:v>
                </c:pt>
                <c:pt idx="73">
                  <c:v>4.1808436879550874E-9</c:v>
                </c:pt>
                <c:pt idx="74">
                  <c:v>4.3431419993038078E-9</c:v>
                </c:pt>
                <c:pt idx="75">
                  <c:v>4.5081087029845533E-9</c:v>
                </c:pt>
                <c:pt idx="76">
                  <c:v>4.6756832692815089E-9</c:v>
                </c:pt>
                <c:pt idx="77">
                  <c:v>4.8458052345328864E-9</c:v>
                </c:pt>
                <c:pt idx="78">
                  <c:v>5.0184142397890165E-9</c:v>
                </c:pt>
                <c:pt idx="79">
                  <c:v>5.1934500630633773E-9</c:v>
                </c:pt>
                <c:pt idx="80">
                  <c:v>5.3708526466199662E-9</c:v>
                </c:pt>
                <c:pt idx="81">
                  <c:v>5.5505621207265444E-9</c:v>
                </c:pt>
                <c:pt idx="82">
                  <c:v>5.732518821874063E-9</c:v>
                </c:pt>
                <c:pt idx="83">
                  <c:v>5.9166633120650814E-9</c:v>
                </c:pt>
                <c:pt idx="84">
                  <c:v>6.1029363975924665E-9</c:v>
                </c:pt>
                <c:pt idx="85">
                  <c:v>6.2912791397481439E-9</c:v>
                </c:pt>
                <c:pt idx="86">
                  <c:v>6.4816328696475167E-9</c:v>
                </c:pt>
                <c:pt idx="87">
                  <c:v>6.673939201425149E-9</c:v>
                </c:pt>
                <c:pt idx="88">
                  <c:v>6.8681400443528006E-9</c:v>
                </c:pt>
                <c:pt idx="89">
                  <c:v>7.0641776146192361E-9</c:v>
                </c:pt>
                <c:pt idx="90">
                  <c:v>7.2619944456336583E-9</c:v>
                </c:pt>
                <c:pt idx="91">
                  <c:v>7.4615333996164391E-9</c:v>
                </c:pt>
                <c:pt idx="92">
                  <c:v>7.6627376777300426E-9</c:v>
                </c:pt>
                <c:pt idx="93">
                  <c:v>7.8655508307752711E-9</c:v>
                </c:pt>
                <c:pt idx="94">
                  <c:v>8.0699167686595481E-9</c:v>
                </c:pt>
                <c:pt idx="95">
                  <c:v>8.2757797719898646E-9</c:v>
                </c:pt>
                <c:pt idx="96">
                  <c:v>8.4830844987217605E-9</c:v>
                </c:pt>
                <c:pt idx="97">
                  <c:v>8.6917759948398264E-9</c:v>
                </c:pt>
                <c:pt idx="98">
                  <c:v>8.9017997045353419E-9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FBA-AA5A-F87226F4E91B}"/>
            </c:ext>
          </c:extLst>
        </c:ser>
        <c:ser>
          <c:idx val="2"/>
          <c:order val="2"/>
          <c:tx>
            <c:strRef>
              <c:f>dynamicR!$BS$10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dynamicR!$BS$12:$BS$112</c:f>
              <c:numCache>
                <c:formatCode>0.0%</c:formatCode>
                <c:ptCount val="101"/>
                <c:pt idx="0">
                  <c:v>0</c:v>
                </c:pt>
                <c:pt idx="1">
                  <c:v>2.3710783801574363E-5</c:v>
                </c:pt>
                <c:pt idx="2">
                  <c:v>1.558776925019316E-4</c:v>
                </c:pt>
                <c:pt idx="3">
                  <c:v>4.3374877229536066E-4</c:v>
                </c:pt>
                <c:pt idx="4">
                  <c:v>8.5058809394097002E-4</c:v>
                </c:pt>
                <c:pt idx="5">
                  <c:v>1.3792670541232562E-3</c:v>
                </c:pt>
                <c:pt idx="6">
                  <c:v>1.9859697976289921E-3</c:v>
                </c:pt>
                <c:pt idx="7">
                  <c:v>2.6376610314061523E-3</c:v>
                </c:pt>
                <c:pt idx="8">
                  <c:v>3.3057196758677896E-3</c:v>
                </c:pt>
                <c:pt idx="9">
                  <c:v>3.9673029092783798E-3</c:v>
                </c:pt>
                <c:pt idx="10">
                  <c:v>4.6054304599977645E-3</c:v>
                </c:pt>
                <c:pt idx="11">
                  <c:v>5.2084170450945365E-3</c:v>
                </c:pt>
                <c:pt idx="12">
                  <c:v>5.7690161739690866E-3</c:v>
                </c:pt>
                <c:pt idx="13">
                  <c:v>6.283518149480586E-3</c:v>
                </c:pt>
                <c:pt idx="14">
                  <c:v>6.7508897969890229E-3</c:v>
                </c:pt>
                <c:pt idx="15">
                  <c:v>7.1720306508073787E-3</c:v>
                </c:pt>
                <c:pt idx="16">
                  <c:v>7.5491566802509454E-3</c:v>
                </c:pt>
                <c:pt idx="17">
                  <c:v>7.8853126026534603E-3</c:v>
                </c:pt>
                <c:pt idx="18">
                  <c:v>8.1839945734451334E-3</c:v>
                </c:pt>
                <c:pt idx="19">
                  <c:v>8.4488785794538442E-3</c:v>
                </c:pt>
                <c:pt idx="20">
                  <c:v>8.6836282104294001E-3</c:v>
                </c:pt>
                <c:pt idx="21">
                  <c:v>8.8917513183106364E-3</c:v>
                </c:pt>
                <c:pt idx="22">
                  <c:v>9.0765244750239567E-3</c:v>
                </c:pt>
                <c:pt idx="23">
                  <c:v>9.240946373531617E-3</c:v>
                </c:pt>
                <c:pt idx="24">
                  <c:v>9.3877167584705025E-3</c:v>
                </c:pt>
                <c:pt idx="25">
                  <c:v>9.5192323342283645E-3</c:v>
                </c:pt>
                <c:pt idx="26">
                  <c:v>9.6376005847705389E-3</c:v>
                </c:pt>
                <c:pt idx="27">
                  <c:v>9.7446580226569282E-3</c:v>
                </c:pt>
                <c:pt idx="28">
                  <c:v>9.8419923984810857E-3</c:v>
                </c:pt>
                <c:pt idx="29">
                  <c:v>9.9309679770857601E-3</c:v>
                </c:pt>
                <c:pt idx="30">
                  <c:v>1.0012750686362948E-2</c:v>
                </c:pt>
                <c:pt idx="31">
                  <c:v>1.0088332453217705E-2</c:v>
                </c:pt>
                <c:pt idx="32">
                  <c:v>1.0158554178782933E-2</c:v>
                </c:pt>
                <c:pt idx="33">
                  <c:v>1.0224125782825824E-2</c:v>
                </c:pt>
                <c:pt idx="34">
                  <c:v>1.0285647042143325E-2</c:v>
                </c:pt>
                <c:pt idx="35">
                  <c:v>1.034362250762194E-2</c:v>
                </c:pt>
                <c:pt idx="36">
                  <c:v>1.0398475997017239E-2</c:v>
                </c:pt>
                <c:pt idx="37">
                  <c:v>1.0450563774742069E-2</c:v>
                </c:pt>
                <c:pt idx="38">
                  <c:v>1.0500185334020876E-2</c:v>
                </c:pt>
                <c:pt idx="39">
                  <c:v>1.0547592851504684E-2</c:v>
                </c:pt>
                <c:pt idx="40">
                  <c:v>1.0592998711210961E-2</c:v>
                </c:pt>
                <c:pt idx="41">
                  <c:v>1.0636584643111645E-2</c:v>
                </c:pt>
                <c:pt idx="42">
                  <c:v>1.0678497384648992E-2</c:v>
                </c:pt>
                <c:pt idx="43">
                  <c:v>1.0718872335430051E-2</c:v>
                </c:pt>
                <c:pt idx="44">
                  <c:v>1.0757812984265404E-2</c:v>
                </c:pt>
                <c:pt idx="45">
                  <c:v>1.0795421803985839E-2</c:v>
                </c:pt>
                <c:pt idx="46">
                  <c:v>1.0831778540189326E-2</c:v>
                </c:pt>
                <c:pt idx="47">
                  <c:v>1.0866954612498793E-2</c:v>
                </c:pt>
                <c:pt idx="48">
                  <c:v>1.0901012990997098E-2</c:v>
                </c:pt>
                <c:pt idx="49">
                  <c:v>1.0934009193109608E-2</c:v>
                </c:pt>
                <c:pt idx="50">
                  <c:v>1.0934009193109608E-2</c:v>
                </c:pt>
                <c:pt idx="51">
                  <c:v>1.0942281704405501E-2</c:v>
                </c:pt>
                <c:pt idx="52">
                  <c:v>1.0841130009735904E-2</c:v>
                </c:pt>
                <c:pt idx="53">
                  <c:v>1.0593346103693025E-2</c:v>
                </c:pt>
                <c:pt idx="54">
                  <c:v>1.0205702558972738E-2</c:v>
                </c:pt>
                <c:pt idx="55">
                  <c:v>9.7053615516390582E-3</c:v>
                </c:pt>
                <c:pt idx="56">
                  <c:v>9.1261699446061276E-3</c:v>
                </c:pt>
                <c:pt idx="57">
                  <c:v>8.5011925396502597E-3</c:v>
                </c:pt>
                <c:pt idx="58">
                  <c:v>7.859077330030979E-3</c:v>
                </c:pt>
                <c:pt idx="59">
                  <c:v>7.2226924497682801E-3</c:v>
                </c:pt>
                <c:pt idx="60">
                  <c:v>6.6090411037529615E-3</c:v>
                </c:pt>
                <c:pt idx="61">
                  <c:v>6.0298346588441238E-3</c:v>
                </c:pt>
                <c:pt idx="62">
                  <c:v>5.4923388572802418E-3</c:v>
                </c:pt>
                <c:pt idx="63">
                  <c:v>5.0002847724291491E-3</c:v>
                </c:pt>
                <c:pt idx="64">
                  <c:v>4.5547253923455371E-3</c:v>
                </c:pt>
                <c:pt idx="65">
                  <c:v>4.1547807107432944E-3</c:v>
                </c:pt>
                <c:pt idx="66">
                  <c:v>3.7982530658254433E-3</c:v>
                </c:pt>
                <c:pt idx="67">
                  <c:v>3.4821164331897436E-3</c:v>
                </c:pt>
                <c:pt idx="68">
                  <c:v>3.202889512556044E-3</c:v>
                </c:pt>
                <c:pt idx="69">
                  <c:v>2.9569123882614533E-3</c:v>
                </c:pt>
                <c:pt idx="70">
                  <c:v>2.7405420031706381E-3</c:v>
                </c:pt>
                <c:pt idx="71">
                  <c:v>2.5502828013802192E-3</c:v>
                </c:pt>
                <c:pt idx="72">
                  <c:v>2.3828742671020385E-3</c:v>
                </c:pt>
                <c:pt idx="73">
                  <c:v>2.2353315642683344E-3</c:v>
                </c:pt>
                <c:pt idx="74">
                  <c:v>2.1049698998497398E-3</c:v>
                </c:pt>
                <c:pt idx="75">
                  <c:v>1.989404861879433E-3</c:v>
                </c:pt>
                <c:pt idx="76">
                  <c:v>1.886541780943572E-3</c:v>
                </c:pt>
                <c:pt idx="77">
                  <c:v>1.7945570995069307E-3</c:v>
                </c:pt>
                <c:pt idx="78">
                  <c:v>1.711875455186174E-3</c:v>
                </c:pt>
                <c:pt idx="79">
                  <c:v>1.6371446306262336E-3</c:v>
                </c:pt>
                <c:pt idx="80">
                  <c:v>1.5692103988720922E-3</c:v>
                </c:pt>
                <c:pt idx="81">
                  <c:v>1.5070922702020066E-3</c:v>
                </c:pt>
                <c:pt idx="82">
                  <c:v>1.4499607368413311E-3</c:v>
                </c:pt>
                <c:pt idx="83">
                  <c:v>1.3971152235472675E-3</c:v>
                </c:pt>
                <c:pt idx="84">
                  <c:v>1.3479665467294477E-3</c:v>
                </c:pt>
                <c:pt idx="85">
                  <c:v>1.3020217676177307E-3</c:v>
                </c:pt>
                <c:pt idx="86">
                  <c:v>1.2588664203271997E-3</c:v>
                </c:pt>
                <c:pt idx="87">
                  <c:v>1.2181534793946748E-3</c:v>
                </c:pt>
                <c:pt idx="88">
                  <c:v>1.1795926664829889E-3</c:v>
                </c:pt>
                <c:pt idx="89">
                  <c:v>1.1429407851062312E-3</c:v>
                </c:pt>
                <c:pt idx="90">
                  <c:v>1.1079936983092694E-3</c:v>
                </c:pt>
                <c:pt idx="91">
                  <c:v>1.0745804488966214E-3</c:v>
                </c:pt>
                <c:pt idx="92">
                  <c:v>1.0425570161718891E-3</c:v>
                </c:pt>
                <c:pt idx="93">
                  <c:v>1.0118018859505945E-3</c:v>
                </c:pt>
                <c:pt idx="94">
                  <c:v>9.8221198237128803E-4</c:v>
                </c:pt>
                <c:pt idx="95">
                  <c:v>9.5369964731356963E-4</c:v>
                </c:pt>
                <c:pt idx="96">
                  <c:v>9.2618986540828703E-4</c:v>
                </c:pt>
                <c:pt idx="97">
                  <c:v>8.9961799688675925E-4</c:v>
                </c:pt>
                <c:pt idx="98">
                  <c:v>8.7392801473021591E-4</c:v>
                </c:pt>
                <c:pt idx="99">
                  <c:v>8.4907101807512339E-4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5-4FBA-AA5A-F87226F4E91B}"/>
            </c:ext>
          </c:extLst>
        </c:ser>
        <c:ser>
          <c:idx val="3"/>
          <c:order val="3"/>
          <c:tx>
            <c:strRef>
              <c:f>dynamicR!$BT$10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dynamicR!$BT$12:$BT$112</c:f>
              <c:numCache>
                <c:formatCode>0.0%</c:formatCode>
                <c:ptCount val="101"/>
                <c:pt idx="0">
                  <c:v>0</c:v>
                </c:pt>
                <c:pt idx="1">
                  <c:v>1.0301327987215443E-4</c:v>
                </c:pt>
                <c:pt idx="2">
                  <c:v>1.4105767562985635E-3</c:v>
                </c:pt>
                <c:pt idx="3">
                  <c:v>6.1309988450936933E-3</c:v>
                </c:pt>
                <c:pt idx="4">
                  <c:v>1.6689797711406166E-2</c:v>
                </c:pt>
                <c:pt idx="5">
                  <c:v>3.5209311000198674E-2</c:v>
                </c:pt>
                <c:pt idx="6">
                  <c:v>6.329263149527467E-2</c:v>
                </c:pt>
                <c:pt idx="7">
                  <c:v>0.10197994363668807</c:v>
                </c:pt>
                <c:pt idx="8">
                  <c:v>0.15179479098875098</c:v>
                </c:pt>
                <c:pt idx="9">
                  <c:v>0.21283051915977066</c:v>
                </c:pt>
                <c:pt idx="10">
                  <c:v>0.2848479734535162</c:v>
                </c:pt>
                <c:pt idx="11">
                  <c:v>0.36736858281101892</c:v>
                </c:pt>
                <c:pt idx="12">
                  <c:v>0.45975578681963153</c:v>
                </c:pt>
                <c:pt idx="13">
                  <c:v>0.56128086294852753</c:v>
                </c:pt>
                <c:pt idx="14">
                  <c:v>0.67117487011135835</c:v>
                </c:pt>
                <c:pt idx="15">
                  <c:v>0.78866687192525919</c:v>
                </c:pt>
                <c:pt idx="16">
                  <c:v>0.91301093999854621</c:v>
                </c:pt>
                <c:pt idx="17">
                  <c:v>1.0435041685275004</c:v>
                </c:pt>
                <c:pt idx="18">
                  <c:v>1.1794969305150842</c:v>
                </c:pt>
                <c:pt idx="19">
                  <c:v>1.3203981104787275</c:v>
                </c:pt>
                <c:pt idx="20">
                  <c:v>1.465677422001973</c:v>
                </c:pt>
                <c:pt idx="21">
                  <c:v>1.6148635638200248</c:v>
                </c:pt>
                <c:pt idx="22">
                  <c:v>1.7675406583025044</c:v>
                </c:pt>
                <c:pt idx="23">
                  <c:v>1.9233444036643426</c:v>
                </c:pt>
                <c:pt idx="24">
                  <c:v>2.0819575826393293</c:v>
                </c:pt>
                <c:pt idx="25">
                  <c:v>2.2431048382678314</c:v>
                </c:pt>
                <c:pt idx="26">
                  <c:v>2.4065478411865042</c:v>
                </c:pt>
                <c:pt idx="27">
                  <c:v>2.5720806732184611</c:v>
                </c:pt>
                <c:pt idx="28">
                  <c:v>2.7395255922342225</c:v>
                </c:pt>
                <c:pt idx="29">
                  <c:v>2.9087291234612231</c:v>
                </c:pt>
                <c:pt idx="30">
                  <c:v>3.0795585880344976</c:v>
                </c:pt>
                <c:pt idx="31">
                  <c:v>3.2518990423180081</c:v>
                </c:pt>
                <c:pt idx="32">
                  <c:v>3.4256505787927831</c:v>
                </c:pt>
                <c:pt idx="33">
                  <c:v>3.6007260989162795</c:v>
                </c:pt>
                <c:pt idx="34">
                  <c:v>3.7770490883618533</c:v>
                </c:pt>
                <c:pt idx="35">
                  <c:v>3.9545521257422602</c:v>
                </c:pt>
                <c:pt idx="36">
                  <c:v>4.1331754365465665</c:v>
                </c:pt>
                <c:pt idx="37">
                  <c:v>4.3128655857450324</c:v>
                </c:pt>
                <c:pt idx="38">
                  <c:v>4.493574487444028</c:v>
                </c:pt>
                <c:pt idx="39">
                  <c:v>4.6752585245079317</c:v>
                </c:pt>
                <c:pt idx="40">
                  <c:v>4.8578778577028698</c:v>
                </c:pt>
                <c:pt idx="41">
                  <c:v>5.0413952835178133</c:v>
                </c:pt>
                <c:pt idx="42">
                  <c:v>5.2257780470921089</c:v>
                </c:pt>
                <c:pt idx="43">
                  <c:v>5.4109929305786819</c:v>
                </c:pt>
                <c:pt idx="44">
                  <c:v>5.5970119238440397</c:v>
                </c:pt>
                <c:pt idx="45">
                  <c:v>5.7838050219985213</c:v>
                </c:pt>
                <c:pt idx="46">
                  <c:v>5.9713460016093007</c:v>
                </c:pt>
                <c:pt idx="47">
                  <c:v>6.1596092419676474</c:v>
                </c:pt>
                <c:pt idx="48">
                  <c:v>6.3485701285677987</c:v>
                </c:pt>
                <c:pt idx="49">
                  <c:v>6.5382049648440761</c:v>
                </c:pt>
                <c:pt idx="50">
                  <c:v>6.5382049648440761</c:v>
                </c:pt>
                <c:pt idx="51">
                  <c:v>6.7283878102651355</c:v>
                </c:pt>
                <c:pt idx="52">
                  <c:v>6.9179949514700354</c:v>
                </c:pt>
                <c:pt idx="53">
                  <c:v>7.1047965146836853</c:v>
                </c:pt>
                <c:pt idx="54">
                  <c:v>7.2863459750122095</c:v>
                </c:pt>
                <c:pt idx="55">
                  <c:v>7.4605005021196806</c:v>
                </c:pt>
                <c:pt idx="56">
                  <c:v>7.62563697139477</c:v>
                </c:pt>
                <c:pt idx="57">
                  <c:v>7.7806956068756925</c:v>
                </c:pt>
                <c:pt idx="58">
                  <c:v>7.9251336741112137</c:v>
                </c:pt>
                <c:pt idx="59">
                  <c:v>8.0588390048109293</c:v>
                </c:pt>
                <c:pt idx="60">
                  <c:v>8.1820323633136898</c:v>
                </c:pt>
                <c:pt idx="61">
                  <c:v>8.2951739301959435</c:v>
                </c:pt>
                <c:pt idx="62">
                  <c:v>8.3988826678482447</c:v>
                </c:pt>
                <c:pt idx="63">
                  <c:v>8.4938697020647442</c:v>
                </c:pt>
                <c:pt idx="64">
                  <c:v>8.5808867197978227</c:v>
                </c:pt>
                <c:pt idx="65">
                  <c:v>8.6606876653003759</c:v>
                </c:pt>
                <c:pt idx="66">
                  <c:v>8.7340017533457246</c:v>
                </c:pt>
                <c:pt idx="67">
                  <c:v>8.801515593181664</c:v>
                </c:pt>
                <c:pt idx="68">
                  <c:v>8.863862515913187</c:v>
                </c:pt>
                <c:pt idx="69">
                  <c:v>8.9216172394828455</c:v>
                </c:pt>
                <c:pt idx="70">
                  <c:v>8.9752944964772841</c:v>
                </c:pt>
                <c:pt idx="71">
                  <c:v>9.0253503033292652</c:v>
                </c:pt>
                <c:pt idx="72">
                  <c:v>9.0721851043817967</c:v>
                </c:pt>
                <c:pt idx="73">
                  <c:v>9.1161480128818084</c:v>
                </c:pt>
                <c:pt idx="74">
                  <c:v>9.1575414405673889</c:v>
                </c:pt>
                <c:pt idx="75">
                  <c:v>9.1966260923223135</c:v>
                </c:pt>
                <c:pt idx="76">
                  <c:v>9.2336258043168851</c:v>
                </c:pt>
                <c:pt idx="77">
                  <c:v>9.2687321664318976</c:v>
                </c:pt>
                <c:pt idx="78">
                  <c:v>9.3021087978602477</c:v>
                </c:pt>
                <c:pt idx="79">
                  <c:v>9.3338952323845117</c:v>
                </c:pt>
                <c:pt idx="80">
                  <c:v>9.3642103898900917</c:v>
                </c:pt>
                <c:pt idx="81">
                  <c:v>9.3931556256653597</c:v>
                </c:pt>
                <c:pt idx="82">
                  <c:v>9.4208174057075116</c:v>
                </c:pt>
                <c:pt idx="83">
                  <c:v>9.4472697325896799</c:v>
                </c:pt>
                <c:pt idx="84">
                  <c:v>9.4725760166018578</c:v>
                </c:pt>
                <c:pt idx="85">
                  <c:v>9.4967906315469897</c:v>
                </c:pt>
                <c:pt idx="86">
                  <c:v>9.5199606805307688</c:v>
                </c:pt>
                <c:pt idx="87">
                  <c:v>9.542127041314032</c:v>
                </c:pt>
                <c:pt idx="88">
                  <c:v>9.5633253812326675</c:v>
                </c:pt>
                <c:pt idx="89">
                  <c:v>9.5835870582433067</c:v>
                </c:pt>
                <c:pt idx="90">
                  <c:v>9.6029398459422453</c:v>
                </c:pt>
                <c:pt idx="91">
                  <c:v>9.6214084582832342</c:v>
                </c:pt>
                <c:pt idx="92">
                  <c:v>9.6390151145205571</c:v>
                </c:pt>
                <c:pt idx="93">
                  <c:v>9.6557799251347962</c:v>
                </c:pt>
                <c:pt idx="94">
                  <c:v>9.671721245937551</c:v>
                </c:pt>
                <c:pt idx="95">
                  <c:v>9.6868559442514783</c:v>
                </c:pt>
                <c:pt idx="96">
                  <c:v>9.7011996380432457</c:v>
                </c:pt>
                <c:pt idx="97">
                  <c:v>9.7147668945054519</c:v>
                </c:pt>
                <c:pt idx="98">
                  <c:v>9.727571383058125</c:v>
                </c:pt>
                <c:pt idx="99">
                  <c:v>9.7396260050526404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65-4FBA-AA5A-F87226F4E91B}"/>
            </c:ext>
          </c:extLst>
        </c:ser>
        <c:ser>
          <c:idx val="4"/>
          <c:order val="4"/>
          <c:tx>
            <c:strRef>
              <c:f>dynamicR!$BR$10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dynamicR!$BR$12:$BR$112</c:f>
              <c:numCache>
                <c:formatCode>0.0%</c:formatCode>
                <c:ptCount val="101"/>
                <c:pt idx="0">
                  <c:v>0</c:v>
                </c:pt>
                <c:pt idx="1">
                  <c:v>2.488925901065607E-8</c:v>
                </c:pt>
                <c:pt idx="2">
                  <c:v>1.7276724564599176E-7</c:v>
                </c:pt>
                <c:pt idx="3">
                  <c:v>5.0791670097266546E-7</c:v>
                </c:pt>
                <c:pt idx="4">
                  <c:v>1.0528052232709179E-6</c:v>
                </c:pt>
                <c:pt idx="5">
                  <c:v>1.805005119075349E-6</c:v>
                </c:pt>
                <c:pt idx="6">
                  <c:v>2.7482602062849163E-6</c:v>
                </c:pt>
                <c:pt idx="7">
                  <c:v>3.8595710359076563E-6</c:v>
                </c:pt>
                <c:pt idx="8">
                  <c:v>5.1135978189826065E-6</c:v>
                </c:pt>
                <c:pt idx="9">
                  <c:v>6.485285140229481E-6</c:v>
                </c:pt>
                <c:pt idx="10">
                  <c:v>7.9513185675758279E-6</c:v>
                </c:pt>
                <c:pt idx="11">
                  <c:v>9.4908368164486111E-6</c:v>
                </c:pt>
                <c:pt idx="12">
                  <c:v>1.1085675735219233E-5</c:v>
                </c:pt>
                <c:pt idx="13">
                  <c:v>1.2720340866882121E-5</c:v>
                </c:pt>
                <c:pt idx="14">
                  <c:v>1.4381824471792363E-5</c:v>
                </c:pt>
                <c:pt idx="15">
                  <c:v>1.6059348026493454E-5</c:v>
                </c:pt>
                <c:pt idx="16">
                  <c:v>1.7744078090921948E-5</c:v>
                </c:pt>
                <c:pt idx="17">
                  <c:v>1.9428849491514622E-5</c:v>
                </c:pt>
                <c:pt idx="18">
                  <c:v>2.1107892644185571E-5</c:v>
                </c:pt>
                <c:pt idx="19">
                  <c:v>2.2776602904991082E-5</c:v>
                </c:pt>
                <c:pt idx="20">
                  <c:v>2.443135502779242E-5</c:v>
                </c:pt>
                <c:pt idx="21">
                  <c:v>2.6069306539695985E-5</c:v>
                </c:pt>
                <c:pt idx="22">
                  <c:v>2.7688251810310471E-5</c:v>
                </c:pt>
                <c:pt idx="23">
                  <c:v>2.9286504843976611E-5</c:v>
                </c:pt>
                <c:pt idx="24">
                  <c:v>3.0862801072014804E-5</c:v>
                </c:pt>
                <c:pt idx="25">
                  <c:v>3.2416206785262818E-5</c:v>
                </c:pt>
                <c:pt idx="26">
                  <c:v>3.394605565537092E-5</c:v>
                </c:pt>
                <c:pt idx="27">
                  <c:v>3.5451893868841585E-5</c:v>
                </c:pt>
                <c:pt idx="28">
                  <c:v>3.6933436082115737E-5</c:v>
                </c:pt>
                <c:pt idx="29">
                  <c:v>3.8390530283925634E-5</c:v>
                </c:pt>
                <c:pt idx="30">
                  <c:v>3.9823129675560811E-5</c:v>
                </c:pt>
                <c:pt idx="31">
                  <c:v>4.1231270359078155E-5</c:v>
                </c:pt>
                <c:pt idx="32">
                  <c:v>4.2615053405288321E-5</c:v>
                </c:pt>
                <c:pt idx="33">
                  <c:v>4.3974631304769951E-5</c:v>
                </c:pt>
                <c:pt idx="34">
                  <c:v>4.5310195373263986E-5</c:v>
                </c:pt>
                <c:pt idx="35">
                  <c:v>4.6621968406100386E-5</c:v>
                </c:pt>
                <c:pt idx="36">
                  <c:v>4.7910197593197108E-5</c:v>
                </c:pt>
                <c:pt idx="37">
                  <c:v>4.9175148210096522E-5</c:v>
                </c:pt>
                <c:pt idx="38">
                  <c:v>5.0417099766272624E-5</c:v>
                </c:pt>
                <c:pt idx="39">
                  <c:v>5.1636342442079113E-5</c:v>
                </c:pt>
                <c:pt idx="40">
                  <c:v>5.2833174416059985E-5</c:v>
                </c:pt>
                <c:pt idx="41">
                  <c:v>5.4007904613289306E-5</c:v>
                </c:pt>
                <c:pt idx="42">
                  <c:v>5.5160829290264301E-5</c:v>
                </c:pt>
                <c:pt idx="43">
                  <c:v>5.6292273510750841E-5</c:v>
                </c:pt>
                <c:pt idx="44">
                  <c:v>5.7402531149768587E-5</c:v>
                </c:pt>
                <c:pt idx="45">
                  <c:v>5.8491932730397143E-5</c:v>
                </c:pt>
                <c:pt idx="46">
                  <c:v>5.9560785697777265E-5</c:v>
                </c:pt>
                <c:pt idx="47">
                  <c:v>6.0609403030434047E-5</c:v>
                </c:pt>
                <c:pt idx="48">
                  <c:v>6.1638096651555135E-5</c:v>
                </c:pt>
                <c:pt idx="49">
                  <c:v>6.2647177198316389E-5</c:v>
                </c:pt>
                <c:pt idx="50">
                  <c:v>6.2647177198316389E-5</c:v>
                </c:pt>
                <c:pt idx="51">
                  <c:v>6.3612064075523452E-5</c:v>
                </c:pt>
                <c:pt idx="52">
                  <c:v>6.4434965500506124E-5</c:v>
                </c:pt>
                <c:pt idx="53">
                  <c:v>6.5051903535724535E-5</c:v>
                </c:pt>
                <c:pt idx="54">
                  <c:v>6.5440713212483982E-5</c:v>
                </c:pt>
                <c:pt idx="55">
                  <c:v>6.5604122322303793E-5</c:v>
                </c:pt>
                <c:pt idx="56">
                  <c:v>6.555868440464343E-5</c:v>
                </c:pt>
                <c:pt idx="57">
                  <c:v>6.5327694363266612E-5</c:v>
                </c:pt>
                <c:pt idx="58">
                  <c:v>6.4936783876622483E-5</c:v>
                </c:pt>
                <c:pt idx="59">
                  <c:v>6.4411297290374532E-5</c:v>
                </c:pt>
                <c:pt idx="60">
                  <c:v>6.3774835123924498E-5</c:v>
                </c:pt>
                <c:pt idx="61">
                  <c:v>6.3048541633115688E-5</c:v>
                </c:pt>
                <c:pt idx="62">
                  <c:v>6.2250861628928439E-5</c:v>
                </c:pt>
                <c:pt idx="63">
                  <c:v>6.1397566123550242E-5</c:v>
                </c:pt>
                <c:pt idx="64">
                  <c:v>6.0501936339647055E-5</c:v>
                </c:pt>
                <c:pt idx="65">
                  <c:v>5.9575021437812644E-5</c:v>
                </c:pt>
                <c:pt idx="66">
                  <c:v>5.8625921959357039E-5</c:v>
                </c:pt>
                <c:pt idx="67">
                  <c:v>5.7662070817326217E-5</c:v>
                </c:pt>
                <c:pt idx="68">
                  <c:v>5.6689494326585144E-5</c:v>
                </c:pt>
                <c:pt idx="69">
                  <c:v>5.5713047117494971E-5</c:v>
                </c:pt>
                <c:pt idx="70">
                  <c:v>5.473661694598927E-5</c:v>
                </c:pt>
                <c:pt idx="71">
                  <c:v>5.3763297218400614E-5</c:v>
                </c:pt>
                <c:pt idx="72">
                  <c:v>5.2795540145282226E-5</c:v>
                </c:pt>
                <c:pt idx="73">
                  <c:v>5.1835273470998058E-5</c:v>
                </c:pt>
                <c:pt idx="74">
                  <c:v>5.0884004848404219E-5</c:v>
                </c:pt>
                <c:pt idx="75">
                  <c:v>4.994290434480054E-5</c:v>
                </c:pt>
                <c:pt idx="76">
                  <c:v>4.9012871765371558E-5</c:v>
                </c:pt>
                <c:pt idx="77">
                  <c:v>4.8094591225630882E-5</c:v>
                </c:pt>
                <c:pt idx="78">
                  <c:v>4.7188575083987249E-5</c:v>
                </c:pt>
                <c:pt idx="79">
                  <c:v>4.6295199030899885E-5</c:v>
                </c:pt>
                <c:pt idx="80">
                  <c:v>4.5414730253364556E-5</c:v>
                </c:pt>
                <c:pt idx="81">
                  <c:v>4.4547349712063784E-5</c:v>
                </c:pt>
                <c:pt idx="82">
                  <c:v>4.3693169996226172E-5</c:v>
                </c:pt>
                <c:pt idx="83">
                  <c:v>4.2852249861916953E-5</c:v>
                </c:pt>
                <c:pt idx="84">
                  <c:v>4.2024604881859305E-5</c:v>
                </c:pt>
                <c:pt idx="85">
                  <c:v>4.1210215675227047E-5</c:v>
                </c:pt>
                <c:pt idx="86">
                  <c:v>4.0409036472722167E-5</c:v>
                </c:pt>
                <c:pt idx="87">
                  <c:v>3.9620999664972813E-5</c:v>
                </c:pt>
                <c:pt idx="88">
                  <c:v>3.8846020216839921E-5</c:v>
                </c:pt>
                <c:pt idx="89">
                  <c:v>3.8083999378262987E-5</c:v>
                </c:pt>
                <c:pt idx="90">
                  <c:v>3.7334827388625785E-5</c:v>
                </c:pt>
                <c:pt idx="91">
                  <c:v>3.6598385345087508E-5</c:v>
                </c:pt>
                <c:pt idx="92">
                  <c:v>3.5874547312110843E-5</c:v>
                </c:pt>
                <c:pt idx="93">
                  <c:v>3.5163181567690701E-5</c:v>
                </c:pt>
                <c:pt idx="94">
                  <c:v>3.4464151738915128E-5</c:v>
                </c:pt>
                <c:pt idx="95">
                  <c:v>3.3777317692446791E-5</c:v>
                </c:pt>
                <c:pt idx="96">
                  <c:v>3.3102536273343592E-5</c:v>
                </c:pt>
                <c:pt idx="97">
                  <c:v>3.2439661923465589E-5</c:v>
                </c:pt>
                <c:pt idx="98">
                  <c:v>3.1788547162845802E-5</c:v>
                </c:pt>
                <c:pt idx="99">
                  <c:v>3.1149043000634523E-5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65-4FBA-AA5A-F87226F4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5920"/>
        <c:axId val="325112576"/>
      </c:scatterChart>
      <c:valAx>
        <c:axId val="32510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12576"/>
        <c:crosses val="autoZero"/>
        <c:crossBetween val="midCat"/>
      </c:valAx>
      <c:valAx>
        <c:axId val="3251125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0592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dynamicR!$BK$10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dynamicR!$BK$12:$BK$112</c:f>
              <c:numCache>
                <c:formatCode>0.0%</c:formatCode>
                <c:ptCount val="101"/>
                <c:pt idx="0">
                  <c:v>0</c:v>
                </c:pt>
                <c:pt idx="1">
                  <c:v>940.09895413391519</c:v>
                </c:pt>
                <c:pt idx="2">
                  <c:v>3418.5110407429697</c:v>
                </c:pt>
                <c:pt idx="3">
                  <c:v>7020.9299015995493</c:v>
                </c:pt>
                <c:pt idx="4">
                  <c:v>11437.612315563292</c:v>
                </c:pt>
                <c:pt idx="5">
                  <c:v>16436.996524049344</c:v>
                </c:pt>
                <c:pt idx="6">
                  <c:v>21845.991632675024</c:v>
                </c:pt>
                <c:pt idx="7">
                  <c:v>27535.246998157534</c:v>
                </c:pt>
                <c:pt idx="8">
                  <c:v>33408.146507808393</c:v>
                </c:pt>
                <c:pt idx="9">
                  <c:v>39392.572008814685</c:v>
                </c:pt>
                <c:pt idx="10">
                  <c:v>45434.74615589813</c:v>
                </c:pt>
                <c:pt idx="11">
                  <c:v>51494.626569285385</c:v>
                </c:pt>
                <c:pt idx="12">
                  <c:v>57542.454741099507</c:v>
                </c:pt>
                <c:pt idx="13">
                  <c:v>63556.1893817663</c:v>
                </c:pt>
                <c:pt idx="14">
                  <c:v>69519.566204008675</c:v>
                </c:pt>
                <c:pt idx="15">
                  <c:v>75420.653686735561</c:v>
                </c:pt>
                <c:pt idx="16">
                  <c:v>81250.771093030533</c:v>
                </c:pt>
                <c:pt idx="17">
                  <c:v>87003.681265568011</c:v>
                </c:pt>
                <c:pt idx="18">
                  <c:v>92674.968616028447</c:v>
                </c:pt>
                <c:pt idx="19">
                  <c:v>98261.590566946936</c:v>
                </c:pt>
                <c:pt idx="20">
                  <c:v>103761.55803202617</c:v>
                </c:pt>
                <c:pt idx="21">
                  <c:v>109173.64716969317</c:v>
                </c:pt>
                <c:pt idx="22">
                  <c:v>114497.21614063795</c:v>
                </c:pt>
                <c:pt idx="23">
                  <c:v>119732.06609279428</c:v>
                </c:pt>
                <c:pt idx="24">
                  <c:v>124878.33329172354</c:v>
                </c:pt>
                <c:pt idx="25">
                  <c:v>129936.39967225665</c:v>
                </c:pt>
                <c:pt idx="26">
                  <c:v>134906.8370670627</c:v>
                </c:pt>
                <c:pt idx="27">
                  <c:v>139790.35983006639</c:v>
                </c:pt>
                <c:pt idx="28">
                  <c:v>144587.78895690042</c:v>
                </c:pt>
                <c:pt idx="29">
                  <c:v>149300.02605941443</c:v>
                </c:pt>
                <c:pt idx="30">
                  <c:v>153928.03315087719</c:v>
                </c:pt>
                <c:pt idx="31">
                  <c:v>158472.81729422041</c:v>
                </c:pt>
                <c:pt idx="32">
                  <c:v>162935.41888249517</c:v>
                </c:pt>
                <c:pt idx="33">
                  <c:v>167316.90301855528</c:v>
                </c:pt>
                <c:pt idx="34">
                  <c:v>171618.35168077119</c:v>
                </c:pt>
                <c:pt idx="35">
                  <c:v>175840.85939226911</c:v>
                </c:pt>
                <c:pt idx="36">
                  <c:v>179985.52893497591</c:v>
                </c:pt>
                <c:pt idx="37">
                  <c:v>184053.46744644846</c:v>
                </c:pt>
                <c:pt idx="38">
                  <c:v>188045.78426106018</c:v>
                </c:pt>
                <c:pt idx="39">
                  <c:v>191963.58872309985</c:v>
                </c:pt>
                <c:pt idx="40">
                  <c:v>195807.98846690854</c:v>
                </c:pt>
                <c:pt idx="41">
                  <c:v>199580.10554217335</c:v>
                </c:pt>
                <c:pt idx="42">
                  <c:v>203280.99825474923</c:v>
                </c:pt>
                <c:pt idx="43">
                  <c:v>206911.81181943486</c:v>
                </c:pt>
                <c:pt idx="44">
                  <c:v>210473.57005180646</c:v>
                </c:pt>
                <c:pt idx="45">
                  <c:v>213967.41611551447</c:v>
                </c:pt>
                <c:pt idx="46">
                  <c:v>217394.40407927564</c:v>
                </c:pt>
                <c:pt idx="47">
                  <c:v>220755.6012339727</c:v>
                </c:pt>
                <c:pt idx="48">
                  <c:v>224052.06645394224</c:v>
                </c:pt>
                <c:pt idx="49">
                  <c:v>227284.84990293821</c:v>
                </c:pt>
                <c:pt idx="50">
                  <c:v>227284.84990293821</c:v>
                </c:pt>
                <c:pt idx="51">
                  <c:v>229514.88954656714</c:v>
                </c:pt>
                <c:pt idx="52">
                  <c:v>230145.01267360788</c:v>
                </c:pt>
                <c:pt idx="53">
                  <c:v>229590.54152706775</c:v>
                </c:pt>
                <c:pt idx="54">
                  <c:v>228162.23124169078</c:v>
                </c:pt>
                <c:pt idx="55">
                  <c:v>226092.6453642961</c:v>
                </c:pt>
                <c:pt idx="56">
                  <c:v>223555.86662185247</c:v>
                </c:pt>
                <c:pt idx="57">
                  <c:v>220682.22484323216</c:v>
                </c:pt>
                <c:pt idx="58">
                  <c:v>217569.30610033037</c:v>
                </c:pt>
                <c:pt idx="59">
                  <c:v>214290.18785237017</c:v>
                </c:pt>
                <c:pt idx="60">
                  <c:v>210899.59237960103</c:v>
                </c:pt>
                <c:pt idx="61">
                  <c:v>207438.50680261673</c:v>
                </c:pt>
                <c:pt idx="62">
                  <c:v>203937.60637509398</c:v>
                </c:pt>
                <c:pt idx="63">
                  <c:v>200419.84858360107</c:v>
                </c:pt>
                <c:pt idx="64">
                  <c:v>196902.40056029096</c:v>
                </c:pt>
                <c:pt idx="65">
                  <c:v>193398.08447695614</c:v>
                </c:pt>
                <c:pt idx="66">
                  <c:v>189916.46002121063</c:v>
                </c:pt>
                <c:pt idx="67">
                  <c:v>186464.63664545555</c:v>
                </c:pt>
                <c:pt idx="68">
                  <c:v>183047.88026096747</c:v>
                </c:pt>
                <c:pt idx="69">
                  <c:v>179670.06997704503</c:v>
                </c:pt>
                <c:pt idx="70">
                  <c:v>176334.03994830916</c:v>
                </c:pt>
                <c:pt idx="71">
                  <c:v>173041.83258142351</c:v>
                </c:pt>
                <c:pt idx="72">
                  <c:v>169794.89927534369</c:v>
                </c:pt>
                <c:pt idx="73">
                  <c:v>166594.2342807051</c:v>
                </c:pt>
                <c:pt idx="74">
                  <c:v>163440.4905545683</c:v>
                </c:pt>
                <c:pt idx="75">
                  <c:v>160334.05922224378</c:v>
                </c:pt>
                <c:pt idx="76">
                  <c:v>157275.13138600235</c:v>
                </c:pt>
                <c:pt idx="77">
                  <c:v>154263.7447705107</c:v>
                </c:pt>
                <c:pt idx="78">
                  <c:v>151299.818627723</c:v>
                </c:pt>
                <c:pt idx="79">
                  <c:v>148383.18044110242</c:v>
                </c:pt>
                <c:pt idx="80">
                  <c:v>145513.58604639146</c:v>
                </c:pt>
                <c:pt idx="81">
                  <c:v>142690.73500481408</c:v>
                </c:pt>
                <c:pt idx="82">
                  <c:v>139914.28237071732</c:v>
                </c:pt>
                <c:pt idx="83">
                  <c:v>137183.84801148096</c:v>
                </c:pt>
                <c:pt idx="84">
                  <c:v>134499.02325530729</c:v>
                </c:pt>
                <c:pt idx="85">
                  <c:v>131859.37592457171</c:v>
                </c:pt>
                <c:pt idx="86">
                  <c:v>129264.45563027557</c:v>
                </c:pt>
                <c:pt idx="87">
                  <c:v>126713.79649910047</c:v>
                </c:pt>
                <c:pt idx="88">
                  <c:v>124206.91991165944</c:v>
                </c:pt>
                <c:pt idx="89">
                  <c:v>121743.33686293784</c:v>
                </c:pt>
                <c:pt idx="90">
                  <c:v>119322.54971795595</c:v>
                </c:pt>
                <c:pt idx="91">
                  <c:v>116944.05351725627</c:v>
                </c:pt>
                <c:pt idx="92">
                  <c:v>114607.33747479497</c:v>
                </c:pt>
                <c:pt idx="93">
                  <c:v>112311.88594841148</c:v>
                </c:pt>
                <c:pt idx="94">
                  <c:v>110057.17938906969</c:v>
                </c:pt>
                <c:pt idx="95">
                  <c:v>107842.6951480284</c:v>
                </c:pt>
                <c:pt idx="96">
                  <c:v>105667.90819952851</c:v>
                </c:pt>
                <c:pt idx="97">
                  <c:v>103532.29180300441</c:v>
                </c:pt>
                <c:pt idx="98">
                  <c:v>101435.31807407127</c:v>
                </c:pt>
                <c:pt idx="99">
                  <c:v>99376.458514920261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7-43D4-8695-2CE8476ABE23}"/>
            </c:ext>
          </c:extLst>
        </c:ser>
        <c:ser>
          <c:idx val="1"/>
          <c:order val="1"/>
          <c:tx>
            <c:strRef>
              <c:f>dynamicR!$BL$10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dynamicR!$BL$12:$BL$112</c:f>
              <c:numCache>
                <c:formatCode>0.0%</c:formatCode>
                <c:ptCount val="101"/>
                <c:pt idx="0">
                  <c:v>0</c:v>
                </c:pt>
                <c:pt idx="1">
                  <c:v>8.8593848497164264E-5</c:v>
                </c:pt>
                <c:pt idx="2">
                  <c:v>3.2330801593467433E-4</c:v>
                </c:pt>
                <c:pt idx="3">
                  <c:v>6.6645524987348523E-4</c:v>
                </c:pt>
                <c:pt idx="4">
                  <c:v>1.0898094210279423E-3</c:v>
                </c:pt>
                <c:pt idx="5">
                  <c:v>1.5722192697860393E-3</c:v>
                </c:pt>
                <c:pt idx="6">
                  <c:v>2.0978256080601059E-3</c:v>
                </c:pt>
                <c:pt idx="7">
                  <c:v>2.6547289860960163E-3</c:v>
                </c:pt>
                <c:pt idx="8">
                  <c:v>3.2339942825859846E-3</c:v>
                </c:pt>
                <c:pt idx="9">
                  <c:v>3.8289057608779445E-3</c:v>
                </c:pt>
                <c:pt idx="10">
                  <c:v>4.4344101997027307E-3</c:v>
                </c:pt>
                <c:pt idx="11">
                  <c:v>5.0467003287953801E-3</c:v>
                </c:pt>
                <c:pt idx="12">
                  <c:v>5.6629027000156557E-3</c:v>
                </c:pt>
                <c:pt idx="13">
                  <c:v>6.2808455448437215E-3</c:v>
                </c:pt>
                <c:pt idx="14">
                  <c:v>6.8988832834091943E-3</c:v>
                </c:pt>
                <c:pt idx="15">
                  <c:v>7.5157658860112737E-3</c:v>
                </c:pt>
                <c:pt idx="16">
                  <c:v>8.1305409928829862E-3</c:v>
                </c:pt>
                <c:pt idx="17">
                  <c:v>8.7424808921197257E-3</c:v>
                </c:pt>
                <c:pt idx="18">
                  <c:v>9.3510262042289551E-3</c:v>
                </c:pt>
                <c:pt idx="19">
                  <c:v>9.9557452809648523E-3</c:v>
                </c:pt>
                <c:pt idx="20">
                  <c:v>1.0556305325352393E-2</c:v>
                </c:pt>
                <c:pt idx="21">
                  <c:v>1.1152446234126255E-2</c:v>
                </c:pt>
                <c:pt idx="22">
                  <c:v>1.1743963976488284E-2</c:v>
                </c:pt>
                <c:pt idx="23">
                  <c:v>1.233069799953025E-2</c:v>
                </c:pt>
                <c:pt idx="24">
                  <c:v>1.2912521423535484E-2</c:v>
                </c:pt>
                <c:pt idx="25">
                  <c:v>1.3489332903809347E-2</c:v>
                </c:pt>
                <c:pt idx="26">
                  <c:v>1.4061051541113982E-2</c:v>
                </c:pt>
                <c:pt idx="27">
                  <c:v>1.4627612549504558E-2</c:v>
                </c:pt>
                <c:pt idx="28">
                  <c:v>1.5188963963534899E-2</c:v>
                </c:pt>
                <c:pt idx="29">
                  <c:v>1.5745064236197731E-2</c:v>
                </c:pt>
                <c:pt idx="30">
                  <c:v>1.6295880362066004E-2</c:v>
                </c:pt>
                <c:pt idx="31">
                  <c:v>1.6841386440107881E-2</c:v>
                </c:pt>
                <c:pt idx="32">
                  <c:v>1.7381562564411476E-2</c:v>
                </c:pt>
                <c:pt idx="33">
                  <c:v>1.7916393997452155E-2</c:v>
                </c:pt>
                <c:pt idx="34">
                  <c:v>1.8445870407641753E-2</c:v>
                </c:pt>
                <c:pt idx="35">
                  <c:v>1.8969985432341064E-2</c:v>
                </c:pt>
                <c:pt idx="36">
                  <c:v>1.9488736241512945E-2</c:v>
                </c:pt>
                <c:pt idx="37">
                  <c:v>2.0002123134352737E-2</c:v>
                </c:pt>
                <c:pt idx="38">
                  <c:v>2.0510149296115943E-2</c:v>
                </c:pt>
                <c:pt idx="39">
                  <c:v>2.1012820550906315E-2</c:v>
                </c:pt>
                <c:pt idx="40">
                  <c:v>2.1510145161602837E-2</c:v>
                </c:pt>
                <c:pt idx="41">
                  <c:v>2.2002133873855606E-2</c:v>
                </c:pt>
                <c:pt idx="42">
                  <c:v>2.2488798811446324E-2</c:v>
                </c:pt>
                <c:pt idx="43">
                  <c:v>2.2970155261566191E-2</c:v>
                </c:pt>
                <c:pt idx="44">
                  <c:v>2.3446218786445237E-2</c:v>
                </c:pt>
                <c:pt idx="45">
                  <c:v>2.3917008409158613E-2</c:v>
                </c:pt>
                <c:pt idx="46">
                  <c:v>2.438254370673959E-2</c:v>
                </c:pt>
                <c:pt idx="47">
                  <c:v>2.4842846097428217E-2</c:v>
                </c:pt>
                <c:pt idx="48">
                  <c:v>2.5297938454524865E-2</c:v>
                </c:pt>
                <c:pt idx="49">
                  <c:v>2.574784503694098E-2</c:v>
                </c:pt>
                <c:pt idx="50">
                  <c:v>2.574784503694098E-2</c:v>
                </c:pt>
                <c:pt idx="51">
                  <c:v>2.6103997080243347E-2</c:v>
                </c:pt>
                <c:pt idx="52">
                  <c:v>2.6308895923745818E-2</c:v>
                </c:pt>
                <c:pt idx="53">
                  <c:v>2.6400256209994567E-2</c:v>
                </c:pt>
                <c:pt idx="54">
                  <c:v>2.6406333115376771E-2</c:v>
                </c:pt>
                <c:pt idx="55">
                  <c:v>2.6348307985576275E-2</c:v>
                </c:pt>
                <c:pt idx="56">
                  <c:v>2.6242071107218195E-2</c:v>
                </c:pt>
                <c:pt idx="57">
                  <c:v>2.6099553756331204E-2</c:v>
                </c:pt>
                <c:pt idx="58">
                  <c:v>2.5929723876848668E-2</c:v>
                </c:pt>
                <c:pt idx="59">
                  <c:v>2.5739330855158574E-2</c:v>
                </c:pt>
                <c:pt idx="60">
                  <c:v>2.5533462013412743E-2</c:v>
                </c:pt>
                <c:pt idx="61">
                  <c:v>2.5315960416878606E-2</c:v>
                </c:pt>
                <c:pt idx="62">
                  <c:v>2.5089734450107967E-2</c:v>
                </c:pt>
                <c:pt idx="63">
                  <c:v>2.4856992403618182E-2</c:v>
                </c:pt>
                <c:pt idx="64">
                  <c:v>2.4619416769519367E-2</c:v>
                </c:pt>
                <c:pt idx="65">
                  <c:v>2.4378294947866187E-2</c:v>
                </c:pt>
                <c:pt idx="66">
                  <c:v>2.4134617135194898E-2</c:v>
                </c:pt>
                <c:pt idx="67">
                  <c:v>2.3889149777914155E-2</c:v>
                </c:pt>
                <c:pt idx="68">
                  <c:v>2.3642490439196123E-2</c:v>
                </c:pt>
                <c:pt idx="69">
                  <c:v>2.3395109107386867E-2</c:v>
                </c:pt>
                <c:pt idx="70">
                  <c:v>2.3147379116725972E-2</c:v>
                </c:pt>
                <c:pt idx="71">
                  <c:v>2.2899600053950152E-2</c:v>
                </c:pt>
                <c:pt idx="72">
                  <c:v>2.2652015922545475E-2</c:v>
                </c:pt>
                <c:pt idx="73">
                  <c:v>2.2404827260013735E-2</c:v>
                </c:pt>
                <c:pt idx="74">
                  <c:v>2.215820162880024E-2</c:v>
                </c:pt>
                <c:pt idx="75">
                  <c:v>2.1912280817438075E-2</c:v>
                </c:pt>
                <c:pt idx="76">
                  <c:v>2.1667186446533985E-2</c:v>
                </c:pt>
                <c:pt idx="77">
                  <c:v>2.1423024204624407E-2</c:v>
                </c:pt>
                <c:pt idx="78">
                  <c:v>2.117988702332875E-2</c:v>
                </c:pt>
                <c:pt idx="79">
                  <c:v>2.0937857511807986E-2</c:v>
                </c:pt>
                <c:pt idx="80">
                  <c:v>2.0697009796687347E-2</c:v>
                </c:pt>
                <c:pt idx="81">
                  <c:v>2.0457410932183076E-2</c:v>
                </c:pt>
                <c:pt idx="82">
                  <c:v>2.0219121983210072E-2</c:v>
                </c:pt>
                <c:pt idx="83">
                  <c:v>1.9982198908922062E-2</c:v>
                </c:pt>
                <c:pt idx="84">
                  <c:v>1.9746693171700511E-2</c:v>
                </c:pt>
                <c:pt idx="85">
                  <c:v>1.9512652192110989E-2</c:v>
                </c:pt>
                <c:pt idx="86">
                  <c:v>1.9280119892772323E-2</c:v>
                </c:pt>
                <c:pt idx="87">
                  <c:v>1.9049136952719807E-2</c:v>
                </c:pt>
                <c:pt idx="88">
                  <c:v>1.8819741075981829E-2</c:v>
                </c:pt>
                <c:pt idx="89">
                  <c:v>1.8591967232494854E-2</c:v>
                </c:pt>
                <c:pt idx="90">
                  <c:v>1.8365847842423084E-2</c:v>
                </c:pt>
                <c:pt idx="91">
                  <c:v>1.8141412917716822E-2</c:v>
                </c:pt>
                <c:pt idx="92">
                  <c:v>1.7918690224083742E-2</c:v>
                </c:pt>
                <c:pt idx="93">
                  <c:v>1.7697705393424454E-2</c:v>
                </c:pt>
                <c:pt idx="94">
                  <c:v>1.747848203628526E-2</c:v>
                </c:pt>
                <c:pt idx="95">
                  <c:v>1.7261041839937749E-2</c:v>
                </c:pt>
                <c:pt idx="96">
                  <c:v>1.7045404653556875E-2</c:v>
                </c:pt>
                <c:pt idx="97">
                  <c:v>1.6831588586386996E-2</c:v>
                </c:pt>
                <c:pt idx="98">
                  <c:v>1.6619610079106582E-2</c:v>
                </c:pt>
                <c:pt idx="99">
                  <c:v>1.6409483973722192E-2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27-43D4-8695-2CE8476ABE23}"/>
            </c:ext>
          </c:extLst>
        </c:ser>
        <c:ser>
          <c:idx val="2"/>
          <c:order val="2"/>
          <c:tx>
            <c:strRef>
              <c:f>dynamicR!$BN$10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dynamicR!$BN$12:$BN$112</c:f>
              <c:numCache>
                <c:formatCode>0.0%</c:formatCode>
                <c:ptCount val="101"/>
                <c:pt idx="0">
                  <c:v>0</c:v>
                </c:pt>
                <c:pt idx="1">
                  <c:v>1.596419638253296E-2</c:v>
                </c:pt>
                <c:pt idx="2">
                  <c:v>5.3291811447081713E-2</c:v>
                </c:pt>
                <c:pt idx="3">
                  <c:v>0.10059419963742317</c:v>
                </c:pt>
                <c:pt idx="4">
                  <c:v>0.15083805707231787</c:v>
                </c:pt>
                <c:pt idx="5">
                  <c:v>0.19987777297379219</c:v>
                </c:pt>
                <c:pt idx="6">
                  <c:v>0.24545009611267093</c:v>
                </c:pt>
                <c:pt idx="7">
                  <c:v>0.28649145617692778</c:v>
                </c:pt>
                <c:pt idx="8">
                  <c:v>0.32267948510869471</c:v>
                </c:pt>
                <c:pt idx="9">
                  <c:v>0.35412870947393066</c:v>
                </c:pt>
                <c:pt idx="10">
                  <c:v>0.38119232979695949</c:v>
                </c:pt>
                <c:pt idx="11">
                  <c:v>0.4043357896576818</c:v>
                </c:pt>
                <c:pt idx="12">
                  <c:v>0.4240588051561765</c:v>
                </c:pt>
                <c:pt idx="13">
                  <c:v>0.44084946476357972</c:v>
                </c:pt>
                <c:pt idx="14">
                  <c:v>0.45515891913225515</c:v>
                </c:pt>
                <c:pt idx="15">
                  <c:v>0.46738955847793545</c:v>
                </c:pt>
                <c:pt idx="16">
                  <c:v>0.4778914321558736</c:v>
                </c:pt>
                <c:pt idx="17">
                  <c:v>0.48696332791946584</c:v>
                </c:pt>
                <c:pt idx="18">
                  <c:v>0.49485703674409831</c:v>
                </c:pt>
                <c:pt idx="19">
                  <c:v>0.5017823950521767</c:v>
                </c:pt>
                <c:pt idx="20">
                  <c:v>0.50791210488467453</c:v>
                </c:pt>
                <c:pt idx="21">
                  <c:v>0.51338777243222711</c:v>
                </c:pt>
                <c:pt idx="22">
                  <c:v>0.51832495689107183</c:v>
                </c:pt>
                <c:pt idx="23">
                  <c:v>0.52281737623708024</c:v>
                </c:pt>
                <c:pt idx="24">
                  <c:v>0.5269405901072719</c:v>
                </c:pt>
                <c:pt idx="25">
                  <c:v>0.5307555813914876</c:v>
                </c:pt>
                <c:pt idx="26">
                  <c:v>0.53431139426116336</c:v>
                </c:pt>
                <c:pt idx="27">
                  <c:v>0.53764742943103383</c:v>
                </c:pt>
                <c:pt idx="28">
                  <c:v>0.54079532639123928</c:v>
                </c:pt>
                <c:pt idx="29">
                  <c:v>0.54378051288508344</c:v>
                </c:pt>
                <c:pt idx="30">
                  <c:v>0.54662345613084129</c:v>
                </c:pt>
                <c:pt idx="31">
                  <c:v>0.54934066823170435</c:v>
                </c:pt>
                <c:pt idx="32">
                  <c:v>0.55194552559065657</c:v>
                </c:pt>
                <c:pt idx="33">
                  <c:v>0.55444889231643768</c:v>
                </c:pt>
                <c:pt idx="34">
                  <c:v>0.55685970297183363</c:v>
                </c:pt>
                <c:pt idx="35">
                  <c:v>0.55918530679538381</c:v>
                </c:pt>
                <c:pt idx="36">
                  <c:v>0.56143179769547746</c:v>
                </c:pt>
                <c:pt idx="37">
                  <c:v>0.56360430648826743</c:v>
                </c:pt>
                <c:pt idx="38">
                  <c:v>0.56570718339111403</c:v>
                </c:pt>
                <c:pt idx="39">
                  <c:v>0.56774416333855215</c:v>
                </c:pt>
                <c:pt idx="40">
                  <c:v>0.56971848850625906</c:v>
                </c:pt>
                <c:pt idx="41">
                  <c:v>0.57163304744980215</c:v>
                </c:pt>
                <c:pt idx="42">
                  <c:v>0.57349028328226992</c:v>
                </c:pt>
                <c:pt idx="43">
                  <c:v>0.57529258171296072</c:v>
                </c:pt>
                <c:pt idx="44">
                  <c:v>0.5770418872206482</c:v>
                </c:pt>
                <c:pt idx="45">
                  <c:v>0.57874023332254632</c:v>
                </c:pt>
                <c:pt idx="46">
                  <c:v>0.58038934066314729</c:v>
                </c:pt>
                <c:pt idx="47">
                  <c:v>0.58199085500975556</c:v>
                </c:pt>
                <c:pt idx="48">
                  <c:v>0.58354632792946193</c:v>
                </c:pt>
                <c:pt idx="49">
                  <c:v>0.58505722465327337</c:v>
                </c:pt>
                <c:pt idx="50">
                  <c:v>0.58505722465327337</c:v>
                </c:pt>
                <c:pt idx="51">
                  <c:v>0.5705606834640663</c:v>
                </c:pt>
                <c:pt idx="52">
                  <c:v>0.53465895795202023</c:v>
                </c:pt>
                <c:pt idx="53">
                  <c:v>0.48874186309689915</c:v>
                </c:pt>
                <c:pt idx="54">
                  <c:v>0.43984392482386703</c:v>
                </c:pt>
                <c:pt idx="55">
                  <c:v>0.39211193530667621</c:v>
                </c:pt>
                <c:pt idx="56">
                  <c:v>0.34781030173863314</c:v>
                </c:pt>
                <c:pt idx="57">
                  <c:v>0.30800362663430841</c:v>
                </c:pt>
                <c:pt idx="58">
                  <c:v>0.27301534599868477</c:v>
                </c:pt>
                <c:pt idx="59">
                  <c:v>0.24273197545817168</c:v>
                </c:pt>
                <c:pt idx="60">
                  <c:v>0.21680125539181341</c:v>
                </c:pt>
                <c:pt idx="61">
                  <c:v>0.19475885989349581</c:v>
                </c:pt>
                <c:pt idx="62">
                  <c:v>0.17610580646163995</c:v>
                </c:pt>
                <c:pt idx="63">
                  <c:v>0.16035496758645204</c:v>
                </c:pt>
                <c:pt idx="64">
                  <c:v>0.14705608435797429</c:v>
                </c:pt>
                <c:pt idx="65">
                  <c:v>0.13580759738315867</c:v>
                </c:pt>
                <c:pt idx="66">
                  <c:v>0.12626027628665035</c:v>
                </c:pt>
                <c:pt idx="67">
                  <c:v>0.11811599239471299</c:v>
                </c:pt>
                <c:pt idx="68">
                  <c:v>0.1111238440115276</c:v>
                </c:pt>
                <c:pt idx="69">
                  <c:v>0.1050750188874033</c:v>
                </c:pt>
                <c:pt idx="70">
                  <c:v>9.9797273056533117E-2</c:v>
                </c:pt>
                <c:pt idx="71">
                  <c:v>9.5149637659836958E-2</c:v>
                </c:pt>
                <c:pt idx="72">
                  <c:v>9.1017275953309384E-2</c:v>
                </c:pt>
                <c:pt idx="73">
                  <c:v>8.7307209912885028E-2</c:v>
                </c:pt>
                <c:pt idx="74">
                  <c:v>8.3944428451550826E-2</c:v>
                </c:pt>
                <c:pt idx="75">
                  <c:v>8.086858724084714E-2</c:v>
                </c:pt>
                <c:pt idx="76">
                  <c:v>7.8031260012480522E-2</c:v>
                </c:pt>
                <c:pt idx="77">
                  <c:v>7.5393646741360371E-2</c:v>
                </c:pt>
                <c:pt idx="78">
                  <c:v>7.2924679883611135E-2</c:v>
                </c:pt>
                <c:pt idx="79">
                  <c:v>7.0599490255853228E-2</c:v>
                </c:pt>
                <c:pt idx="80">
                  <c:v>6.8398151479528713E-2</c:v>
                </c:pt>
                <c:pt idx="81">
                  <c:v>6.6304676964394405E-2</c:v>
                </c:pt>
                <c:pt idx="82">
                  <c:v>6.4306205834820551E-2</c:v>
                </c:pt>
                <c:pt idx="83">
                  <c:v>6.2392335315047412E-2</c:v>
                </c:pt>
                <c:pt idx="84">
                  <c:v>6.0554628386939417E-2</c:v>
                </c:pt>
                <c:pt idx="85">
                  <c:v>5.878623144143013E-2</c:v>
                </c:pt>
                <c:pt idx="86">
                  <c:v>5.7081477449922452E-2</c:v>
                </c:pt>
                <c:pt idx="87">
                  <c:v>5.5435673701393837E-2</c:v>
                </c:pt>
                <c:pt idx="88">
                  <c:v>5.3844897494314863E-2</c:v>
                </c:pt>
                <c:pt idx="89">
                  <c:v>5.2305825488463208E-2</c:v>
                </c:pt>
                <c:pt idx="90">
                  <c:v>5.0815610021285054E-2</c:v>
                </c:pt>
                <c:pt idx="91">
                  <c:v>4.9371795382508236E-2</c:v>
                </c:pt>
                <c:pt idx="92">
                  <c:v>4.7972223712519801E-2</c:v>
                </c:pt>
                <c:pt idx="93">
                  <c:v>4.6614981013999933E-2</c:v>
                </c:pt>
                <c:pt idx="94">
                  <c:v>4.5298349161624986E-2</c:v>
                </c:pt>
                <c:pt idx="95">
                  <c:v>4.4020769428372582E-2</c:v>
                </c:pt>
                <c:pt idx="96">
                  <c:v>4.2780813211041727E-2</c:v>
                </c:pt>
                <c:pt idx="97">
                  <c:v>4.1577158590577735E-2</c:v>
                </c:pt>
                <c:pt idx="98">
                  <c:v>4.0408573112542152E-2</c:v>
                </c:pt>
                <c:pt idx="99">
                  <c:v>3.9273899882536024E-2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27-43D4-8695-2CE8476ABE23}"/>
            </c:ext>
          </c:extLst>
        </c:ser>
        <c:ser>
          <c:idx val="3"/>
          <c:order val="3"/>
          <c:tx>
            <c:strRef>
              <c:f>dynamicR!$BO$10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dynamicR!$BO$12:$BO$112</c:f>
              <c:numCache>
                <c:formatCode>0.0%</c:formatCode>
                <c:ptCount val="101"/>
                <c:pt idx="0">
                  <c:v>0</c:v>
                </c:pt>
                <c:pt idx="1">
                  <c:v>1.9743385137557588E-3</c:v>
                </c:pt>
                <c:pt idx="2">
                  <c:v>1.3776927263812144E-2</c:v>
                </c:pt>
                <c:pt idx="3">
                  <c:v>4.0727386985487675E-2</c:v>
                </c:pt>
                <c:pt idx="4">
                  <c:v>8.4911154563648839E-2</c:v>
                </c:pt>
                <c:pt idx="5">
                  <c:v>0.14646515621846048</c:v>
                </c:pt>
                <c:pt idx="6">
                  <c:v>0.22442207787342613</c:v>
                </c:pt>
                <c:pt idx="7">
                  <c:v>0.31725377835058033</c:v>
                </c:pt>
                <c:pt idx="8">
                  <c:v>0.42321152819829827</c:v>
                </c:pt>
                <c:pt idx="9">
                  <c:v>0.54053115459771373</c:v>
                </c:pt>
                <c:pt idx="10">
                  <c:v>0.6675490947327315</c:v>
                </c:pt>
                <c:pt idx="11">
                  <c:v>0.80276136676460585</c:v>
                </c:pt>
                <c:pt idx="12">
                  <c:v>0.94484640194431446</c:v>
                </c:pt>
                <c:pt idx="13">
                  <c:v>1.0926666344416376</c:v>
                </c:pt>
                <c:pt idx="14">
                  <c:v>1.2452577585283975</c:v>
                </c:pt>
                <c:pt idx="15">
                  <c:v>1.4018118111426767</c:v>
                </c:pt>
                <c:pt idx="16">
                  <c:v>1.5616577975227648</c:v>
                </c:pt>
                <c:pt idx="17">
                  <c:v>1.7242424787038715</c:v>
                </c:pt>
                <c:pt idx="18">
                  <c:v>1.8891112339415768</c:v>
                </c:pt>
                <c:pt idx="19">
                  <c:v>2.0558917715425395</c:v>
                </c:pt>
                <c:pt idx="20">
                  <c:v>2.2242809666551495</c:v>
                </c:pt>
                <c:pt idx="21">
                  <c:v>2.3940308915866502</c:v>
                </c:pt>
                <c:pt idx="22">
                  <c:v>2.5649384185177881</c:v>
                </c:pt>
                <c:pt idx="23">
                  <c:v>2.736836867467928</c:v>
                </c:pt>
                <c:pt idx="24">
                  <c:v>2.9095890170588081</c:v>
                </c:pt>
                <c:pt idx="25">
                  <c:v>3.0830806608076142</c:v>
                </c:pt>
                <c:pt idx="26">
                  <c:v>3.2572161027172939</c:v>
                </c:pt>
                <c:pt idx="27">
                  <c:v>3.4319142763079862</c:v>
                </c:pt>
                <c:pt idx="28">
                  <c:v>3.6071056420358358</c:v>
                </c:pt>
                <c:pt idx="29">
                  <c:v>3.7827297245129392</c:v>
                </c:pt>
                <c:pt idx="30">
                  <c:v>3.9587331554681029</c:v>
                </c:pt>
                <c:pt idx="31">
                  <c:v>4.1350681343258504</c:v>
                </c:pt>
                <c:pt idx="32">
                  <c:v>4.3116912036143002</c:v>
                </c:pt>
                <c:pt idx="33">
                  <c:v>4.4885623357973001</c:v>
                </c:pt>
                <c:pt idx="34">
                  <c:v>4.665644096280321</c:v>
                </c:pt>
                <c:pt idx="35">
                  <c:v>4.8429011710941072</c:v>
                </c:pt>
                <c:pt idx="36">
                  <c:v>5.020299916031342</c:v>
                </c:pt>
                <c:pt idx="37">
                  <c:v>5.1978079616325266</c:v>
                </c:pt>
                <c:pt idx="38">
                  <c:v>5.3753939899719647</c:v>
                </c:pt>
                <c:pt idx="39">
                  <c:v>5.5530275316634885</c:v>
                </c:pt>
                <c:pt idx="40">
                  <c:v>5.7306788224111838</c:v>
                </c:pt>
                <c:pt idx="41">
                  <c:v>5.9083182411540172</c:v>
                </c:pt>
                <c:pt idx="42">
                  <c:v>6.0859182255237902</c:v>
                </c:pt>
                <c:pt idx="43">
                  <c:v>6.263449297969343</c:v>
                </c:pt>
                <c:pt idx="44">
                  <c:v>6.4408853672312487</c:v>
                </c:pt>
                <c:pt idx="45">
                  <c:v>6.6181975015040972</c:v>
                </c:pt>
                <c:pt idx="46">
                  <c:v>6.7953592597301977</c:v>
                </c:pt>
                <c:pt idx="47">
                  <c:v>6.9723440349158752</c:v>
                </c:pt>
                <c:pt idx="48">
                  <c:v>7.1491255882974798</c:v>
                </c:pt>
                <c:pt idx="49">
                  <c:v>7.3256780555676722</c:v>
                </c:pt>
                <c:pt idx="50">
                  <c:v>7.3256780555676722</c:v>
                </c:pt>
                <c:pt idx="51">
                  <c:v>7.5000015646356344</c:v>
                </c:pt>
                <c:pt idx="52">
                  <c:v>7.6642171597106454</c:v>
                </c:pt>
                <c:pt idx="53">
                  <c:v>7.8129804953505158</c:v>
                </c:pt>
                <c:pt idx="54">
                  <c:v>7.9441818130991528</c:v>
                </c:pt>
                <c:pt idx="55">
                  <c:v>8.0576602643167234</c:v>
                </c:pt>
                <c:pt idx="56">
                  <c:v>8.1543596414522703</c:v>
                </c:pt>
                <c:pt idx="57">
                  <c:v>8.2357850461681217</c:v>
                </c:pt>
                <c:pt idx="58">
                  <c:v>8.3036625372790915</c:v>
                </c:pt>
                <c:pt idx="59">
                  <c:v>8.3597340453686506</c:v>
                </c:pt>
                <c:pt idx="60">
                  <c:v>8.40564134462387</c:v>
                </c:pt>
                <c:pt idx="61">
                  <c:v>8.4428670521471343</c:v>
                </c:pt>
                <c:pt idx="62">
                  <c:v>8.4727119027410893</c:v>
                </c:pt>
                <c:pt idx="63">
                  <c:v>8.4962929964983154</c:v>
                </c:pt>
                <c:pt idx="64">
                  <c:v>8.514554642244935</c:v>
                </c:pt>
                <c:pt idx="65">
                  <c:v>8.5282852956956638</c:v>
                </c:pt>
                <c:pt idx="66">
                  <c:v>8.5381368869370409</c:v>
                </c:pt>
                <c:pt idx="67">
                  <c:v>8.5446443322061629</c:v>
                </c:pt>
                <c:pt idx="68">
                  <c:v>8.5482438508087117</c:v>
                </c:pt>
                <c:pt idx="69">
                  <c:v>8.5492895573348449</c:v>
                </c:pt>
                <c:pt idx="70">
                  <c:v>8.5480679882062613</c:v>
                </c:pt>
                <c:pt idx="71">
                  <c:v>8.5448103691103832</c:v>
                </c:pt>
                <c:pt idx="72">
                  <c:v>8.5397035198148554</c:v>
                </c:pt>
                <c:pt idx="73">
                  <c:v>8.5328981716443693</c:v>
                </c:pt>
                <c:pt idx="74">
                  <c:v>8.5245163946553024</c:v>
                </c:pt>
                <c:pt idx="75">
                  <c:v>8.5146574653136025</c:v>
                </c:pt>
                <c:pt idx="76">
                  <c:v>8.5034026408784165</c:v>
                </c:pt>
                <c:pt idx="77">
                  <c:v>8.4908190168164488</c:v>
                </c:pt>
                <c:pt idx="78">
                  <c:v>8.4769626186949711</c:v>
                </c:pt>
                <c:pt idx="79">
                  <c:v>8.4618808563543819</c:v>
                </c:pt>
                <c:pt idx="80">
                  <c:v>8.4456144797964807</c:v>
                </c:pt>
                <c:pt idx="81">
                  <c:v>8.4281991116644868</c:v>
                </c:pt>
                <c:pt idx="82">
                  <c:v>8.4096664623862463</c:v>
                </c:pt>
                <c:pt idx="83">
                  <c:v>8.3900452973849404</c:v>
                </c:pt>
                <c:pt idx="84">
                  <c:v>8.3693621424197868</c:v>
                </c:pt>
                <c:pt idx="85">
                  <c:v>8.3476418190606481</c:v>
                </c:pt>
                <c:pt idx="86">
                  <c:v>8.3249079743875534</c:v>
                </c:pt>
                <c:pt idx="87">
                  <c:v>8.3011833530224202</c:v>
                </c:pt>
                <c:pt idx="88">
                  <c:v>8.2764900547285514</c:v>
                </c:pt>
                <c:pt idx="89">
                  <c:v>8.2508497396805627</c:v>
                </c:pt>
                <c:pt idx="90">
                  <c:v>8.2242837643100852</c:v>
                </c:pt>
                <c:pt idx="91">
                  <c:v>8.1968132648388945</c:v>
                </c:pt>
                <c:pt idx="92">
                  <c:v>8.1684592532776854</c:v>
                </c:pt>
                <c:pt idx="93">
                  <c:v>8.1392426584541582</c:v>
                </c:pt>
                <c:pt idx="94">
                  <c:v>8.1091843576055211</c:v>
                </c:pt>
                <c:pt idx="95">
                  <c:v>8.0783051971134281</c:v>
                </c:pt>
                <c:pt idx="96">
                  <c:v>8.046626001603574</c:v>
                </c:pt>
                <c:pt idx="97">
                  <c:v>8.0141675760908413</c:v>
                </c:pt>
                <c:pt idx="98">
                  <c:v>7.9809507025563722</c:v>
                </c:pt>
                <c:pt idx="99">
                  <c:v>7.9469961327382546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27-43D4-8695-2CE8476ABE23}"/>
            </c:ext>
          </c:extLst>
        </c:ser>
        <c:ser>
          <c:idx val="4"/>
          <c:order val="4"/>
          <c:tx>
            <c:strRef>
              <c:f>dynamicR!$BM$10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dynamicR!$BM$12:$BM$112</c:f>
              <c:numCache>
                <c:formatCode>0.0%</c:formatCode>
                <c:ptCount val="101"/>
                <c:pt idx="0">
                  <c:v>0</c:v>
                </c:pt>
                <c:pt idx="1">
                  <c:v>3.8171637666317017E-2</c:v>
                </c:pt>
                <c:pt idx="2">
                  <c:v>7.5364003981806899E-2</c:v>
                </c:pt>
                <c:pt idx="3">
                  <c:v>0.11160204694351741</c:v>
                </c:pt>
                <c:pt idx="4">
                  <c:v>0.14691012299536035</c:v>
                </c:pt>
                <c:pt idx="5">
                  <c:v>0.1813119998526832</c:v>
                </c:pt>
                <c:pt idx="6">
                  <c:v>0.21483086238199031</c:v>
                </c:pt>
                <c:pt idx="7">
                  <c:v>0.24748932066612145</c:v>
                </c:pt>
                <c:pt idx="8">
                  <c:v>0.27930941959876754</c:v>
                </c:pt>
                <c:pt idx="9">
                  <c:v>0.31031264953937188</c:v>
                </c:pt>
                <c:pt idx="10">
                  <c:v>0.3405199576700505</c:v>
                </c:pt>
                <c:pt idx="11">
                  <c:v>0.36995175977405881</c:v>
                </c:pt>
                <c:pt idx="12">
                  <c:v>0.39862795230470044</c:v>
                </c:pt>
                <c:pt idx="13">
                  <c:v>0.42656792445794572</c:v>
                </c:pt>
                <c:pt idx="14">
                  <c:v>0.45379057032367892</c:v>
                </c:pt>
                <c:pt idx="15">
                  <c:v>0.48031430091595445</c:v>
                </c:pt>
                <c:pt idx="16">
                  <c:v>0.50615705608370953</c:v>
                </c:pt>
                <c:pt idx="17">
                  <c:v>0.53133631489903621</c:v>
                </c:pt>
                <c:pt idx="18">
                  <c:v>0.55586911067722433</c:v>
                </c:pt>
                <c:pt idx="19">
                  <c:v>0.57977204193403631</c:v>
                </c:pt>
                <c:pt idx="20">
                  <c:v>0.60306127663835229</c:v>
                </c:pt>
                <c:pt idx="21">
                  <c:v>0.62575256909382293</c:v>
                </c:pt>
                <c:pt idx="22">
                  <c:v>0.64786127124216808</c:v>
                </c:pt>
                <c:pt idx="23">
                  <c:v>0.669402340432668</c:v>
                </c:pt>
                <c:pt idx="24">
                  <c:v>0.69039034975439773</c:v>
                </c:pt>
                <c:pt idx="25">
                  <c:v>0.71083949848633632</c:v>
                </c:pt>
                <c:pt idx="26">
                  <c:v>0.73076362140878293</c:v>
                </c:pt>
                <c:pt idx="27">
                  <c:v>0.75017619816776659</c:v>
                </c:pt>
                <c:pt idx="28">
                  <c:v>0.76909036237420025</c:v>
                </c:pt>
                <c:pt idx="29">
                  <c:v>0.78751891047631717</c:v>
                </c:pt>
                <c:pt idx="30">
                  <c:v>0.80547431040715545</c:v>
                </c:pt>
                <c:pt idx="31">
                  <c:v>0.82296870999597649</c:v>
                </c:pt>
                <c:pt idx="32">
                  <c:v>0.84001394523761208</c:v>
                </c:pt>
                <c:pt idx="33">
                  <c:v>0.85662154797165913</c:v>
                </c:pt>
                <c:pt idx="34">
                  <c:v>0.8728027544642678</c:v>
                </c:pt>
                <c:pt idx="35">
                  <c:v>0.88856851237242862</c:v>
                </c:pt>
                <c:pt idx="36">
                  <c:v>0.90392948811158813</c:v>
                </c:pt>
                <c:pt idx="37">
                  <c:v>0.91889607432148779</c:v>
                </c:pt>
                <c:pt idx="38">
                  <c:v>0.93347839677100664</c:v>
                </c:pt>
                <c:pt idx="39">
                  <c:v>0.9476863213431258</c:v>
                </c:pt>
                <c:pt idx="40">
                  <c:v>0.96152946029779351</c:v>
                </c:pt>
                <c:pt idx="41">
                  <c:v>0.97501732249471695</c:v>
                </c:pt>
                <c:pt idx="42">
                  <c:v>0.98815868755609493</c:v>
                </c:pt>
                <c:pt idx="43">
                  <c:v>1.0009628526230119</c:v>
                </c:pt>
                <c:pt idx="44">
                  <c:v>1.0134379537724247</c:v>
                </c:pt>
                <c:pt idx="45">
                  <c:v>1.0255929251060953</c:v>
                </c:pt>
                <c:pt idx="46">
                  <c:v>1.0374358200185829</c:v>
                </c:pt>
                <c:pt idx="47">
                  <c:v>1.0489746509959701</c:v>
                </c:pt>
                <c:pt idx="48">
                  <c:v>1.0602172249787094</c:v>
                </c:pt>
                <c:pt idx="49">
                  <c:v>1.0711711482510424</c:v>
                </c:pt>
                <c:pt idx="50">
                  <c:v>1.0711711482510424</c:v>
                </c:pt>
                <c:pt idx="51">
                  <c:v>1.0436722039413688</c:v>
                </c:pt>
                <c:pt idx="52">
                  <c:v>1.0168785095780231</c:v>
                </c:pt>
                <c:pt idx="53">
                  <c:v>0.9907721545874375</c:v>
                </c:pt>
                <c:pt idx="54">
                  <c:v>0.96533563726395555</c:v>
                </c:pt>
                <c:pt idx="55">
                  <c:v>0.94055186863794171</c:v>
                </c:pt>
                <c:pt idx="56">
                  <c:v>0.91640417111428851</c:v>
                </c:pt>
                <c:pt idx="57">
                  <c:v>0.89287627481162535</c:v>
                </c:pt>
                <c:pt idx="58">
                  <c:v>0.86995231225417757</c:v>
                </c:pt>
                <c:pt idx="59">
                  <c:v>0.84761681189645688</c:v>
                </c:pt>
                <c:pt idx="60">
                  <c:v>0.82585469084804863</c:v>
                </c:pt>
                <c:pt idx="61">
                  <c:v>0.80465124702535207</c:v>
                </c:pt>
                <c:pt idx="62">
                  <c:v>0.78399215102003894</c:v>
                </c:pt>
                <c:pt idx="63">
                  <c:v>0.76386343772227905</c:v>
                </c:pt>
                <c:pt idx="64">
                  <c:v>0.74425149787347888</c:v>
                </c:pt>
                <c:pt idx="65">
                  <c:v>0.72514306960536745</c:v>
                </c:pt>
                <c:pt idx="66">
                  <c:v>0.70652523003076306</c:v>
                </c:pt>
                <c:pt idx="67">
                  <c:v>0.68838538691106521</c:v>
                </c:pt>
                <c:pt idx="68">
                  <c:v>0.67071127046498247</c:v>
                </c:pt>
                <c:pt idx="69">
                  <c:v>0.65349092529165642</c:v>
                </c:pt>
                <c:pt idx="70">
                  <c:v>0.63671270243755962</c:v>
                </c:pt>
                <c:pt idx="71">
                  <c:v>0.62036525176785895</c:v>
                </c:pt>
                <c:pt idx="72">
                  <c:v>0.60443751413862945</c:v>
                </c:pt>
                <c:pt idx="73">
                  <c:v>0.58891871423625375</c:v>
                </c:pt>
                <c:pt idx="74">
                  <c:v>0.57379835322857331</c:v>
                </c:pt>
                <c:pt idx="75">
                  <c:v>0.5590662017186121</c:v>
                </c:pt>
                <c:pt idx="76">
                  <c:v>0.5447122928587903</c:v>
                </c:pt>
                <c:pt idx="77">
                  <c:v>0.5307269156300769</c:v>
                </c:pt>
                <c:pt idx="78">
                  <c:v>0.51710060829001725</c:v>
                </c:pt>
                <c:pt idx="79">
                  <c:v>0.50382415198469166</c:v>
                </c:pt>
                <c:pt idx="80">
                  <c:v>0.49088856451908097</c:v>
                </c:pt>
                <c:pt idx="81">
                  <c:v>0.47828509442849343</c:v>
                </c:pt>
                <c:pt idx="82">
                  <c:v>0.46600521536246903</c:v>
                </c:pt>
                <c:pt idx="83">
                  <c:v>0.45404061825030129</c:v>
                </c:pt>
                <c:pt idx="84">
                  <c:v>0.44238320742104026</c:v>
                </c:pt>
                <c:pt idx="85">
                  <c:v>0.43102509776581477</c:v>
                </c:pt>
                <c:pt idx="86">
                  <c:v>0.41995860467969404</c:v>
                </c:pt>
                <c:pt idx="87">
                  <c:v>0.40917624077321846</c:v>
                </c:pt>
                <c:pt idx="88">
                  <c:v>0.39867071119981357</c:v>
                </c:pt>
                <c:pt idx="89">
                  <c:v>0.38843490836892314</c:v>
                </c:pt>
                <c:pt idx="90">
                  <c:v>0.37846190702471472</c:v>
                </c:pt>
                <c:pt idx="91">
                  <c:v>0.36874495989979378</c:v>
                </c:pt>
                <c:pt idx="92">
                  <c:v>0.35927749288750094</c:v>
                </c:pt>
                <c:pt idx="93">
                  <c:v>0.35005310073769058</c:v>
                </c:pt>
                <c:pt idx="94">
                  <c:v>0.34106554253432425</c:v>
                </c:pt>
                <c:pt idx="95">
                  <c:v>0.33230873761538887</c:v>
                </c:pt>
                <c:pt idx="96">
                  <c:v>0.32377676196261879</c:v>
                </c:pt>
                <c:pt idx="97">
                  <c:v>0.31546384299037855</c:v>
                </c:pt>
                <c:pt idx="98">
                  <c:v>0.307364356223221</c:v>
                </c:pt>
                <c:pt idx="99">
                  <c:v>0.29947282183756369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27-43D4-8695-2CE8476A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78880"/>
        <c:axId val="325189632"/>
      </c:scatterChart>
      <c:valAx>
        <c:axId val="325178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89632"/>
        <c:crosses val="autoZero"/>
        <c:crossBetween val="midCat"/>
      </c:valAx>
      <c:valAx>
        <c:axId val="32518963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178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dynamicR!$BB$10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dynamicR!$BB$13:$BB$112</c:f>
              <c:numCache>
                <c:formatCode>0.0%</c:formatCode>
                <c:ptCount val="100"/>
                <c:pt idx="0">
                  <c:v>0.39888021008403751</c:v>
                </c:pt>
                <c:pt idx="1">
                  <c:v>2.7125097342178925</c:v>
                </c:pt>
                <c:pt idx="2">
                  <c:v>7.8508517511797518</c:v>
                </c:pt>
                <c:pt idx="3">
                  <c:v>16.052362677606485</c:v>
                </c:pt>
                <c:pt idx="4">
                  <c:v>27.184270857420522</c:v>
                </c:pt>
                <c:pt idx="5">
                  <c:v>40.92836995171546</c:v>
                </c:pt>
                <c:pt idx="6">
                  <c:v>56.892681782898173</c:v>
                </c:pt>
                <c:pt idx="7">
                  <c:v>74.675747299596168</c:v>
                </c:pt>
                <c:pt idx="8">
                  <c:v>93.901245183438391</c:v>
                </c:pt>
                <c:pt idx="9">
                  <c:v>114.2343375040723</c:v>
                </c:pt>
                <c:pt idx="10">
                  <c:v>135.38722892401702</c:v>
                </c:pt>
                <c:pt idx="11">
                  <c:v>157.11852983356047</c:v>
                </c:pt>
                <c:pt idx="12">
                  <c:v>179.22956352590381</c:v>
                </c:pt>
                <c:pt idx="13">
                  <c:v>201.55919793347095</c:v>
                </c:pt>
                <c:pt idx="14">
                  <c:v>223.97835669622538</c:v>
                </c:pt>
                <c:pt idx="15">
                  <c:v>246.38473779538549</c:v>
                </c:pt>
                <c:pt idx="16">
                  <c:v>268.69809738648655</c:v>
                </c:pt>
                <c:pt idx="17">
                  <c:v>290.85596476493271</c:v>
                </c:pt>
                <c:pt idx="18">
                  <c:v>312.81019077335935</c:v>
                </c:pt>
                <c:pt idx="19">
                  <c:v>334.52426997547315</c:v>
                </c:pt>
                <c:pt idx="20">
                  <c:v>355.9706709633744</c:v>
                </c:pt>
                <c:pt idx="21">
                  <c:v>377.12895129699479</c:v>
                </c:pt>
                <c:pt idx="22">
                  <c:v>397.9842808770814</c:v>
                </c:pt>
                <c:pt idx="23">
                  <c:v>418.52624674913011</c:v>
                </c:pt>
                <c:pt idx="24">
                  <c:v>438.74778927158411</c:v>
                </c:pt>
                <c:pt idx="25">
                  <c:v>458.64449383654528</c:v>
                </c:pt>
                <c:pt idx="26">
                  <c:v>478.21398910169705</c:v>
                </c:pt>
                <c:pt idx="27">
                  <c:v>497.45547714813915</c:v>
                </c:pt>
                <c:pt idx="28">
                  <c:v>516.36937316622743</c:v>
                </c:pt>
                <c:pt idx="29">
                  <c:v>534.95702435060684</c:v>
                </c:pt>
                <c:pt idx="30">
                  <c:v>553.22049323365525</c:v>
                </c:pt>
                <c:pt idx="31">
                  <c:v>571.16238823988681</c:v>
                </c:pt>
                <c:pt idx="32">
                  <c:v>588.78573896361809</c:v>
                </c:pt>
                <c:pt idx="33">
                  <c:v>606.09388278903407</c:v>
                </c:pt>
                <c:pt idx="34">
                  <c:v>623.09040181841954</c:v>
                </c:pt>
                <c:pt idx="35">
                  <c:v>639.7790617808613</c:v>
                </c:pt>
                <c:pt idx="36">
                  <c:v>656.16375751882561</c:v>
                </c:pt>
                <c:pt idx="37">
                  <c:v>672.2484827831239</c:v>
                </c:pt>
                <c:pt idx="38">
                  <c:v>688.03730118461363</c:v>
                </c:pt>
                <c:pt idx="39">
                  <c:v>703.53432450733692</c:v>
                </c:pt>
                <c:pt idx="40">
                  <c:v>718.74376210101548</c:v>
                </c:pt>
                <c:pt idx="41">
                  <c:v>733.66961534161135</c:v>
                </c:pt>
                <c:pt idx="42">
                  <c:v>748.31624279336347</c:v>
                </c:pt>
                <c:pt idx="43">
                  <c:v>762.68756197551772</c:v>
                </c:pt>
                <c:pt idx="44">
                  <c:v>776.78796259043384</c:v>
                </c:pt>
                <c:pt idx="45">
                  <c:v>790.62150978972011</c:v>
                </c:pt>
                <c:pt idx="46">
                  <c:v>804.19233098643167</c:v>
                </c:pt>
                <c:pt idx="47">
                  <c:v>817.50453080795376</c:v>
                </c:pt>
                <c:pt idx="48">
                  <c:v>830.56218914350859</c:v>
                </c:pt>
                <c:pt idx="49">
                  <c:v>830.56218914350859</c:v>
                </c:pt>
                <c:pt idx="50">
                  <c:v>842.97047280900995</c:v>
                </c:pt>
                <c:pt idx="51">
                  <c:v>853.21754434110721</c:v>
                </c:pt>
                <c:pt idx="52">
                  <c:v>860.39742810642906</c:v>
                </c:pt>
                <c:pt idx="53">
                  <c:v>864.27562394866356</c:v>
                </c:pt>
                <c:pt idx="54">
                  <c:v>864.98882358809647</c:v>
                </c:pt>
                <c:pt idx="55">
                  <c:v>862.85911543449447</c:v>
                </c:pt>
                <c:pt idx="56">
                  <c:v>858.28233396579185</c:v>
                </c:pt>
                <c:pt idx="57">
                  <c:v>851.66374458411326</c:v>
                </c:pt>
                <c:pt idx="58">
                  <c:v>843.38343491148817</c:v>
                </c:pt>
                <c:pt idx="59">
                  <c:v>833.77996674305928</c:v>
                </c:pt>
                <c:pt idx="60">
                  <c:v>823.14483574825033</c:v>
                </c:pt>
                <c:pt idx="61">
                  <c:v>811.72307441483167</c:v>
                </c:pt>
                <c:pt idx="62">
                  <c:v>799.71696407558579</c:v>
                </c:pt>
                <c:pt idx="63">
                  <c:v>787.29119640233523</c:v>
                </c:pt>
                <c:pt idx="64">
                  <c:v>774.57837153285925</c:v>
                </c:pt>
                <c:pt idx="65">
                  <c:v>761.68426652619121</c:v>
                </c:pt>
                <c:pt idx="66">
                  <c:v>748.69260644651877</c:v>
                </c:pt>
                <c:pt idx="67">
                  <c:v>735.66919967821275</c:v>
                </c:pt>
                <c:pt idx="68">
                  <c:v>722.66545364364015</c:v>
                </c:pt>
                <c:pt idx="69">
                  <c:v>709.72128927092774</c:v>
                </c:pt>
                <c:pt idx="70">
                  <c:v>696.86749075333921</c:v>
                </c:pt>
                <c:pt idx="71">
                  <c:v>684.12770900809824</c:v>
                </c:pt>
                <c:pt idx="72">
                  <c:v>671.51991703105421</c:v>
                </c:pt>
                <c:pt idx="73">
                  <c:v>659.05768509363691</c:v>
                </c:pt>
                <c:pt idx="74">
                  <c:v>646.75114104091404</c:v>
                </c:pt>
                <c:pt idx="75">
                  <c:v>634.60773206504746</c:v>
                </c:pt>
                <c:pt idx="76">
                  <c:v>622.63282177105441</c:v>
                </c:pt>
                <c:pt idx="77">
                  <c:v>610.83015638401582</c:v>
                </c:pt>
                <c:pt idx="78">
                  <c:v>599.20222534048628</c:v>
                </c:pt>
                <c:pt idx="79">
                  <c:v>587.75054304744981</c:v>
                </c:pt>
                <c:pt idx="80">
                  <c:v>576.47586512290866</c:v>
                </c:pt>
                <c:pt idx="81">
                  <c:v>565.37835730326151</c:v>
                </c:pt>
                <c:pt idx="82">
                  <c:v>554.4577288410195</c:v>
                </c:pt>
                <c:pt idx="83">
                  <c:v>543.71332840526543</c:v>
                </c:pt>
                <c:pt idx="84">
                  <c:v>533.14421645104846</c:v>
                </c:pt>
                <c:pt idx="85">
                  <c:v>522.74923903315221</c:v>
                </c:pt>
                <c:pt idx="86">
                  <c:v>512.52706531628678</c:v>
                </c:pt>
                <c:pt idx="87">
                  <c:v>502.47622430354329</c:v>
                </c:pt>
                <c:pt idx="88">
                  <c:v>492.59513531267498</c:v>
                </c:pt>
                <c:pt idx="89">
                  <c:v>482.88212941726914</c:v>
                </c:pt>
                <c:pt idx="90">
                  <c:v>473.33546423995745</c:v>
                </c:pt>
                <c:pt idx="91">
                  <c:v>463.95334103870658</c:v>
                </c:pt>
                <c:pt idx="92">
                  <c:v>454.73391436261926</c:v>
                </c:pt>
                <c:pt idx="93">
                  <c:v>445.67530097641264</c:v>
                </c:pt>
                <c:pt idx="94">
                  <c:v>436.77558714400925</c:v>
                </c:pt>
                <c:pt idx="95">
                  <c:v>428.03283452241362</c:v>
                </c:pt>
                <c:pt idx="96">
                  <c:v>419.44508528672918</c:v>
                </c:pt>
                <c:pt idx="97">
                  <c:v>411.01036619063694</c:v>
                </c:pt>
                <c:pt idx="98">
                  <c:v>402.72669211963387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7-4E7D-B33A-2EB98E6457EC}"/>
            </c:ext>
          </c:extLst>
        </c:ser>
        <c:ser>
          <c:idx val="1"/>
          <c:order val="1"/>
          <c:tx>
            <c:strRef>
              <c:f>dynamicR!$BD$10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dynamicR!$BD$13:$BD$112</c:f>
              <c:numCache>
                <c:formatCode>0.0%</c:formatCode>
                <c:ptCount val="100"/>
                <c:pt idx="0">
                  <c:v>9.0024372309102846E-2</c:v>
                </c:pt>
                <c:pt idx="1">
                  <c:v>0.17860114048103051</c:v>
                </c:pt>
                <c:pt idx="2">
                  <c:v>0.26619788169694919</c:v>
                </c:pt>
                <c:pt idx="3">
                  <c:v>0.35297931293733192</c:v>
                </c:pt>
                <c:pt idx="4">
                  <c:v>0.4389420804310139</c:v>
                </c:pt>
                <c:pt idx="5">
                  <c:v>0.52399817269489413</c:v>
                </c:pt>
                <c:pt idx="6">
                  <c:v>0.60802506643549648</c:v>
                </c:pt>
                <c:pt idx="7">
                  <c:v>0.69089461329129398</c:v>
                </c:pt>
                <c:pt idx="8">
                  <c:v>0.77248861016586767</c:v>
                </c:pt>
                <c:pt idx="9">
                  <c:v>0.85270616865195714</c:v>
                </c:pt>
                <c:pt idx="10">
                  <c:v>0.93146624311086157</c:v>
                </c:pt>
                <c:pt idx="11">
                  <c:v>1.0087073775239388</c:v>
                </c:pt>
                <c:pt idx="12">
                  <c:v>1.0843860799012695</c:v>
                </c:pt>
                <c:pt idx="13">
                  <c:v>1.1584745340012301</c:v>
                </c:pt>
                <c:pt idx="14">
                  <c:v>1.2309581662560558</c:v>
                </c:pt>
                <c:pt idx="15">
                  <c:v>1.301833305116352</c:v>
                </c:pt>
                <c:pt idx="16">
                  <c:v>1.3711050901085624</c:v>
                </c:pt>
                <c:pt idx="17">
                  <c:v>1.438785585038231</c:v>
                </c:pt>
                <c:pt idx="18">
                  <c:v>1.5048922554254589</c:v>
                </c:pt>
                <c:pt idx="19">
                  <c:v>1.5694467772294487</c:v>
                </c:pt>
                <c:pt idx="20">
                  <c:v>1.6324738789100881</c:v>
                </c:pt>
                <c:pt idx="21">
                  <c:v>1.6940005223350776</c:v>
                </c:pt>
                <c:pt idx="22">
                  <c:v>1.7540552586000524</c:v>
                </c:pt>
                <c:pt idx="23">
                  <c:v>1.8126677161349762</c:v>
                </c:pt>
                <c:pt idx="24">
                  <c:v>1.8698681480152175</c:v>
                </c:pt>
                <c:pt idx="25">
                  <c:v>1.9256871361056667</c:v>
                </c:pt>
                <c:pt idx="26">
                  <c:v>1.9801553431162984</c:v>
                </c:pt>
                <c:pt idx="27">
                  <c:v>2.0333033232211744</c:v>
                </c:pt>
                <c:pt idx="28">
                  <c:v>2.0851613812825236</c:v>
                </c:pt>
                <c:pt idx="29">
                  <c:v>2.1357594670834206</c:v>
                </c:pt>
                <c:pt idx="30">
                  <c:v>2.1851270979156601</c:v>
                </c:pt>
                <c:pt idx="31">
                  <c:v>2.2332933020192316</c:v>
                </c:pt>
                <c:pt idx="32">
                  <c:v>2.2802865806985246</c:v>
                </c:pt>
                <c:pt idx="33">
                  <c:v>2.3261348776519748</c:v>
                </c:pt>
                <c:pt idx="34">
                  <c:v>2.3708655670660472</c:v>
                </c:pt>
                <c:pt idx="35">
                  <c:v>2.4145054435472444</c:v>
                </c:pt>
                <c:pt idx="36">
                  <c:v>2.457080715236668</c:v>
                </c:pt>
                <c:pt idx="37">
                  <c:v>2.4986170065104023</c:v>
                </c:pt>
                <c:pt idx="38">
                  <c:v>2.5391393613876136</c:v>
                </c:pt>
                <c:pt idx="39">
                  <c:v>2.57867224854188</c:v>
                </c:pt>
                <c:pt idx="40">
                  <c:v>2.6172399370333697</c:v>
                </c:pt>
                <c:pt idx="41">
                  <c:v>2.6548648862285869</c:v>
                </c:pt>
                <c:pt idx="42">
                  <c:v>2.6915709337865215</c:v>
                </c:pt>
                <c:pt idx="43">
                  <c:v>2.7273789867400056</c:v>
                </c:pt>
                <c:pt idx="44">
                  <c:v>2.7623120422196625</c:v>
                </c:pt>
                <c:pt idx="45">
                  <c:v>2.7963908788575869</c:v>
                </c:pt>
                <c:pt idx="46">
                  <c:v>2.829636206921164</c:v>
                </c:pt>
                <c:pt idx="47">
                  <c:v>2.8620682426597974</c:v>
                </c:pt>
                <c:pt idx="48">
                  <c:v>2.8937067189375583</c:v>
                </c:pt>
                <c:pt idx="49">
                  <c:v>2.8937067189375583</c:v>
                </c:pt>
                <c:pt idx="50">
                  <c:v>2.834546544982119</c:v>
                </c:pt>
                <c:pt idx="51">
                  <c:v>2.7760784722041985</c:v>
                </c:pt>
                <c:pt idx="52">
                  <c:v>2.7178532759328378</c:v>
                </c:pt>
                <c:pt idx="53">
                  <c:v>2.659724147667915</c:v>
                </c:pt>
                <c:pt idx="54">
                  <c:v>2.6017119191877121</c:v>
                </c:pt>
                <c:pt idx="55">
                  <c:v>2.5439216593372835</c:v>
                </c:pt>
                <c:pt idx="56">
                  <c:v>2.4864925439820365</c:v>
                </c:pt>
                <c:pt idx="57">
                  <c:v>2.4295689684998814</c:v>
                </c:pt>
                <c:pt idx="58">
                  <c:v>2.3732849917312975</c:v>
                </c:pt>
                <c:pt idx="59">
                  <c:v>2.3177569750938609</c:v>
                </c:pt>
                <c:pt idx="60">
                  <c:v>2.2630810722202632</c:v>
                </c:pt>
                <c:pt idx="61">
                  <c:v>2.2093334761864263</c:v>
                </c:pt>
                <c:pt idx="62">
                  <c:v>2.1565720623850653</c:v>
                </c:pt>
                <c:pt idx="63">
                  <c:v>2.1048386825022058</c:v>
                </c:pt>
                <c:pt idx="64">
                  <c:v>2.0541616101179159</c:v>
                </c:pt>
                <c:pt idx="65">
                  <c:v>2.004557883808971</c:v>
                </c:pt>
                <c:pt idx="66">
                  <c:v>1.956035427568001</c:v>
                </c:pt>
                <c:pt idx="67">
                  <c:v>1.9085948865055054</c:v>
                </c:pt>
                <c:pt idx="68">
                  <c:v>1.8622311849603339</c:v>
                </c:pt>
                <c:pt idx="69">
                  <c:v>1.8169348152780318</c:v>
                </c:pt>
                <c:pt idx="70">
                  <c:v>1.7726928740011518</c:v>
                </c:pt>
                <c:pt idx="71">
                  <c:v>1.7294899422524841</c:v>
                </c:pt>
                <c:pt idx="72">
                  <c:v>1.6873087218084484</c:v>
                </c:pt>
                <c:pt idx="73">
                  <c:v>1.6461305899055334</c:v>
                </c:pt>
                <c:pt idx="74">
                  <c:v>1.6059360134923717</c:v>
                </c:pt>
                <c:pt idx="75">
                  <c:v>1.5667048747931076</c:v>
                </c:pt>
                <c:pt idx="76">
                  <c:v>1.5284167233648482</c:v>
                </c:pt>
                <c:pt idx="77">
                  <c:v>1.4910509698441003</c:v>
                </c:pt>
                <c:pt idx="78">
                  <c:v>1.4545870326939179</c:v>
                </c:pt>
                <c:pt idx="79">
                  <c:v>1.4190044499558341</c:v>
                </c:pt>
                <c:pt idx="80">
                  <c:v>1.3842829623148094</c:v>
                </c:pt>
                <c:pt idx="81">
                  <c:v>1.3504025756632636</c:v>
                </c:pt>
                <c:pt idx="82">
                  <c:v>1.3173436025115965</c:v>
                </c:pt>
                <c:pt idx="83">
                  <c:v>1.2850866958829168</c:v>
                </c:pt>
                <c:pt idx="84">
                  <c:v>1.2536128751035218</c:v>
                </c:pt>
                <c:pt idx="85">
                  <c:v>1.2229035352460549</c:v>
                </c:pt>
                <c:pt idx="86">
                  <c:v>1.1929404562186601</c:v>
                </c:pt>
                <c:pt idx="87">
                  <c:v>1.1637058082454492</c:v>
                </c:pt>
                <c:pt idx="88">
                  <c:v>1.1351821530959041</c:v>
                </c:pt>
                <c:pt idx="89">
                  <c:v>1.1073524421209653</c:v>
                </c:pt>
                <c:pt idx="90">
                  <c:v>1.0802000126598261</c:v>
                </c:pt>
                <c:pt idx="91">
                  <c:v>1.0537085843423761</c:v>
                </c:pt>
                <c:pt idx="92">
                  <c:v>1.0278622532899939</c:v>
                </c:pt>
                <c:pt idx="93">
                  <c:v>1.0026454854746336</c:v>
                </c:pt>
                <c:pt idx="94">
                  <c:v>0.97804311038285574</c:v>
                </c:pt>
                <c:pt idx="95">
                  <c:v>0.95404031516212928</c:v>
                </c:pt>
                <c:pt idx="96">
                  <c:v>0.93062263465420314</c:v>
                </c:pt>
                <c:pt idx="97">
                  <c:v>0.90777594539634754</c:v>
                </c:pt>
                <c:pt idx="98">
                  <c:v>0.88548645907519163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7-4E7D-B33A-2EB98E6457EC}"/>
            </c:ext>
          </c:extLst>
        </c:ser>
        <c:ser>
          <c:idx val="2"/>
          <c:order val="2"/>
          <c:tx>
            <c:strRef>
              <c:f>dynamicR!$BE$10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dynamicR!$BE$13:$BE$112</c:f>
              <c:numCache>
                <c:formatCode>0.0%</c:formatCode>
                <c:ptCount val="100"/>
                <c:pt idx="0">
                  <c:v>13.091755515823722</c:v>
                </c:pt>
                <c:pt idx="1">
                  <c:v>23.024657510479717</c:v>
                </c:pt>
                <c:pt idx="2">
                  <c:v>30.591068836204467</c:v>
                </c:pt>
                <c:pt idx="3">
                  <c:v>36.383358451794336</c:v>
                </c:pt>
                <c:pt idx="4">
                  <c:v>40.844511320424402</c:v>
                </c:pt>
                <c:pt idx="5">
                  <c:v>44.305900710858225</c:v>
                </c:pt>
                <c:pt idx="6">
                  <c:v>47.015488516362161</c:v>
                </c:pt>
                <c:pt idx="7">
                  <c:v>49.158874109286756</c:v>
                </c:pt>
                <c:pt idx="8">
                  <c:v>50.875032266423538</c:v>
                </c:pt>
                <c:pt idx="9">
                  <c:v>52.268067069557759</c:v>
                </c:pt>
                <c:pt idx="10">
                  <c:v>53.41599651881566</c:v>
                </c:pt>
                <c:pt idx="11">
                  <c:v>54.377328775578221</c:v>
                </c:pt>
                <c:pt idx="12">
                  <c:v>55.195948783664875</c:v>
                </c:pt>
                <c:pt idx="13">
                  <c:v>55.90480884804338</c:v>
                </c:pt>
                <c:pt idx="14">
                  <c:v>56.528673191472585</c:v>
                </c:pt>
                <c:pt idx="15">
                  <c:v>57.086172040966581</c:v>
                </c:pt>
                <c:pt idx="16">
                  <c:v>57.591332523560929</c:v>
                </c:pt>
                <c:pt idx="17">
                  <c:v>58.054756662361378</c:v>
                </c:pt>
                <c:pt idx="18">
                  <c:v>58.484469903504561</c:v>
                </c:pt>
                <c:pt idx="19">
                  <c:v>58.886524890241922</c:v>
                </c:pt>
                <c:pt idx="20">
                  <c:v>59.265544889908412</c:v>
                </c:pt>
                <c:pt idx="21">
                  <c:v>59.625068351541024</c:v>
                </c:pt>
                <c:pt idx="22">
                  <c:v>59.967809826444793</c:v>
                </c:pt>
                <c:pt idx="23">
                  <c:v>60.295861893735641</c:v>
                </c:pt>
                <c:pt idx="24">
                  <c:v>60.61086196226622</c:v>
                </c:pt>
                <c:pt idx="25">
                  <c:v>60.91409559108844</c:v>
                </c:pt>
                <c:pt idx="26">
                  <c:v>61.206583955473434</c:v>
                </c:pt>
                <c:pt idx="27">
                  <c:v>61.489149653789866</c:v>
                </c:pt>
                <c:pt idx="28">
                  <c:v>61.762463951107499</c:v>
                </c:pt>
                <c:pt idx="29">
                  <c:v>62.027083134812877</c:v>
                </c:pt>
                <c:pt idx="30">
                  <c:v>62.283475772933961</c:v>
                </c:pt>
                <c:pt idx="31">
                  <c:v>62.532043181669316</c:v>
                </c:pt>
                <c:pt idx="32">
                  <c:v>62.77313420263124</c:v>
                </c:pt>
                <c:pt idx="33">
                  <c:v>63.007058365066868</c:v>
                </c:pt>
                <c:pt idx="34">
                  <c:v>63.234092796462001</c:v>
                </c:pt>
                <c:pt idx="35">
                  <c:v>63.454489009086622</c:v>
                </c:pt>
                <c:pt idx="36">
                  <c:v>63.668478988153737</c:v>
                </c:pt>
                <c:pt idx="37">
                  <c:v>63.876278132870439</c:v>
                </c:pt>
                <c:pt idx="38">
                  <c:v>64.078088280075747</c:v>
                </c:pt>
                <c:pt idx="39">
                  <c:v>64.274099947324331</c:v>
                </c:pt>
                <c:pt idx="40">
                  <c:v>64.464496641871406</c:v>
                </c:pt>
                <c:pt idx="41">
                  <c:v>64.649444331319842</c:v>
                </c:pt>
                <c:pt idx="42">
                  <c:v>64.829115619702108</c:v>
                </c:pt>
                <c:pt idx="43">
                  <c:v>65.00365926959303</c:v>
                </c:pt>
                <c:pt idx="44">
                  <c:v>65.173236957977508</c:v>
                </c:pt>
                <c:pt idx="45">
                  <c:v>65.337992520829147</c:v>
                </c:pt>
                <c:pt idx="46">
                  <c:v>65.498067857500132</c:v>
                </c:pt>
                <c:pt idx="47">
                  <c:v>65.653600195077445</c:v>
                </c:pt>
                <c:pt idx="48">
                  <c:v>65.80472226513109</c:v>
                </c:pt>
                <c:pt idx="49">
                  <c:v>65.80472226513109</c:v>
                </c:pt>
                <c:pt idx="50">
                  <c:v>52.859816161294255</c:v>
                </c:pt>
                <c:pt idx="51">
                  <c:v>43.069595103092247</c:v>
                </c:pt>
                <c:pt idx="52">
                  <c:v>35.641828574066494</c:v>
                </c:pt>
                <c:pt idx="53">
                  <c:v>29.9842644654967</c:v>
                </c:pt>
                <c:pt idx="54">
                  <c:v>25.65403089898026</c:v>
                </c:pt>
                <c:pt idx="55">
                  <c:v>22.319863326247447</c:v>
                </c:pt>
                <c:pt idx="56">
                  <c:v>19.733909113470546</c:v>
                </c:pt>
                <c:pt idx="57">
                  <c:v>17.710671930912472</c:v>
                </c:pt>
                <c:pt idx="58">
                  <c:v>16.111276378297518</c:v>
                </c:pt>
                <c:pt idx="59">
                  <c:v>14.831721017596788</c:v>
                </c:pt>
                <c:pt idx="60">
                  <c:v>13.794066636363016</c:v>
                </c:pt>
                <c:pt idx="61">
                  <c:v>12.939912856128192</c:v>
                </c:pt>
                <c:pt idx="62">
                  <c:v>12.225459144835595</c:v>
                </c:pt>
                <c:pt idx="63">
                  <c:v>11.617838582503106</c:v>
                </c:pt>
                <c:pt idx="64">
                  <c:v>11.09237107755937</c:v>
                </c:pt>
                <c:pt idx="65">
                  <c:v>10.630508313339138</c:v>
                </c:pt>
                <c:pt idx="66">
                  <c:v>10.218293387712283</c:v>
                </c:pt>
                <c:pt idx="67">
                  <c:v>9.8452116523632878</c:v>
                </c:pt>
                <c:pt idx="68">
                  <c:v>9.5033267570070468</c:v>
                </c:pt>
                <c:pt idx="69">
                  <c:v>9.1866350424646157</c:v>
                </c:pt>
                <c:pt idx="70">
                  <c:v>8.8905881994945002</c:v>
                </c:pt>
                <c:pt idx="71">
                  <c:v>8.6117156413112337</c:v>
                </c:pt>
                <c:pt idx="72">
                  <c:v>8.3473735205116597</c:v>
                </c:pt>
                <c:pt idx="73">
                  <c:v>8.0955279179310864</c:v>
                </c:pt>
                <c:pt idx="74">
                  <c:v>7.8546069303594166</c:v>
                </c:pt>
                <c:pt idx="75">
                  <c:v>7.6233861036247816</c:v>
                </c:pt>
                <c:pt idx="76">
                  <c:v>7.4009024993351789</c:v>
                </c:pt>
                <c:pt idx="77">
                  <c:v>7.1863909034095546</c:v>
                </c:pt>
                <c:pt idx="78">
                  <c:v>6.979235457602508</c:v>
                </c:pt>
                <c:pt idx="79">
                  <c:v>6.778933662287808</c:v>
                </c:pt>
                <c:pt idx="80">
                  <c:v>6.5850692523026133</c:v>
                </c:pt>
                <c:pt idx="81">
                  <c:v>6.3972918026306669</c:v>
                </c:pt>
                <c:pt idx="82">
                  <c:v>6.2153010436744101</c:v>
                </c:pt>
                <c:pt idx="83">
                  <c:v>6.0388358438148622</c:v>
                </c:pt>
                <c:pt idx="84">
                  <c:v>5.8676661208556409</c:v>
                </c:pt>
                <c:pt idx="85">
                  <c:v>5.7015847466821805</c:v>
                </c:pt>
                <c:pt idx="86">
                  <c:v>5.5404036839510988</c:v>
                </c:pt>
                <c:pt idx="87">
                  <c:v>5.3839501659729558</c:v>
                </c:pt>
                <c:pt idx="88">
                  <c:v>5.2320635941278608</c:v>
                </c:pt>
                <c:pt idx="89">
                  <c:v>5.0845934959852412</c:v>
                </c:pt>
                <c:pt idx="90">
                  <c:v>4.941398148474061</c:v>
                </c:pt>
                <c:pt idx="91">
                  <c:v>4.8023429417693322</c:v>
                </c:pt>
                <c:pt idx="92">
                  <c:v>4.6672995703436095</c:v>
                </c:pt>
                <c:pt idx="93">
                  <c:v>4.5361452889194842</c:v>
                </c:pt>
                <c:pt idx="94">
                  <c:v>4.4087622880465656</c:v>
                </c:pt>
                <c:pt idx="95">
                  <c:v>4.285037257235941</c:v>
                </c:pt>
                <c:pt idx="96">
                  <c:v>4.1648609737788558</c:v>
                </c:pt>
                <c:pt idx="97">
                  <c:v>4.0481280180572945</c:v>
                </c:pt>
                <c:pt idx="98">
                  <c:v>3.9347365313773626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7-4E7D-B33A-2EB98E6457EC}"/>
            </c:ext>
          </c:extLst>
        </c:ser>
        <c:ser>
          <c:idx val="3"/>
          <c:order val="3"/>
          <c:tx>
            <c:strRef>
              <c:f>dynamicR!$BF$10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dynamicR!$BF$13:$BF$112</c:f>
              <c:numCache>
                <c:formatCode>0.0%</c:formatCode>
                <c:ptCount val="100"/>
                <c:pt idx="0">
                  <c:v>1.2244476278771323E-3</c:v>
                </c:pt>
                <c:pt idx="1">
                  <c:v>4.4691463538370198E-3</c:v>
                </c:pt>
                <c:pt idx="2">
                  <c:v>9.2140988040454869E-3</c:v>
                </c:pt>
                <c:pt idx="3">
                  <c:v>1.5069826758980063E-2</c:v>
                </c:pt>
                <c:pt idx="4">
                  <c:v>2.1744452086411091E-2</c:v>
                </c:pt>
                <c:pt idx="5">
                  <c:v>2.9019102561612005E-2</c:v>
                </c:pt>
                <c:pt idx="6">
                  <c:v>3.6729532005967361E-2</c:v>
                </c:pt>
                <c:pt idx="7">
                  <c:v>4.4752388390179268E-2</c:v>
                </c:pt>
                <c:pt idx="8">
                  <c:v>5.2994937191826533E-2</c:v>
                </c:pt>
                <c:pt idx="9">
                  <c:v>6.1387379292750496E-2</c:v>
                </c:pt>
                <c:pt idx="10">
                  <c:v>6.9877104418045316E-2</c:v>
                </c:pt>
                <c:pt idx="11">
                  <c:v>7.8424385287241841E-2</c:v>
                </c:pt>
                <c:pt idx="12">
                  <c:v>8.6999175194016912E-2</c:v>
                </c:pt>
                <c:pt idx="13">
                  <c:v>9.5578687104709112E-2</c:v>
                </c:pt>
                <c:pt idx="14">
                  <c:v>0.10414559150419647</c:v>
                </c:pt>
                <c:pt idx="15">
                  <c:v>0.11268666614624259</c:v>
                </c:pt>
                <c:pt idx="16">
                  <c:v>0.12119178872775085</c:v>
                </c:pt>
                <c:pt idx="17">
                  <c:v>0.12965316002213914</c:v>
                </c:pt>
                <c:pt idx="18">
                  <c:v>0.13806474379932587</c:v>
                </c:pt>
                <c:pt idx="19">
                  <c:v>0.14642186845385055</c:v>
                </c:pt>
                <c:pt idx="20">
                  <c:v>0.1547208661612163</c:v>
                </c:pt>
                <c:pt idx="21">
                  <c:v>0.16295884359755711</c:v>
                </c:pt>
                <c:pt idx="22">
                  <c:v>0.17113350821426138</c:v>
                </c:pt>
                <c:pt idx="23">
                  <c:v>0.17924303298964081</c:v>
                </c:pt>
                <c:pt idx="24">
                  <c:v>0.18728594417240885</c:v>
                </c:pt>
                <c:pt idx="25">
                  <c:v>0.195261051078683</c:v>
                </c:pt>
                <c:pt idx="26">
                  <c:v>0.20316738633663028</c:v>
                </c:pt>
                <c:pt idx="27">
                  <c:v>0.21100416046817475</c:v>
                </c:pt>
                <c:pt idx="28">
                  <c:v>0.21877072875743225</c:v>
                </c:pt>
                <c:pt idx="29">
                  <c:v>0.22646656536334356</c:v>
                </c:pt>
                <c:pt idx="30">
                  <c:v>0.23409124349669178</c:v>
                </c:pt>
                <c:pt idx="31">
                  <c:v>0.24164442011978585</c:v>
                </c:pt>
                <c:pt idx="32">
                  <c:v>0.24912582454292059</c:v>
                </c:pt>
                <c:pt idx="33">
                  <c:v>0.25653524790699167</c:v>
                </c:pt>
                <c:pt idx="34">
                  <c:v>0.26387253715481801</c:v>
                </c:pt>
                <c:pt idx="35">
                  <c:v>0.27113758901077084</c:v>
                </c:pt>
                <c:pt idx="36">
                  <c:v>0.27833034441467397</c:v>
                </c:pt>
                <c:pt idx="37">
                  <c:v>0.28545078516490924</c:v>
                </c:pt>
                <c:pt idx="38">
                  <c:v>0.29249893050513653</c:v>
                </c:pt>
                <c:pt idx="39">
                  <c:v>0.2994748343618992</c:v>
                </c:pt>
                <c:pt idx="40">
                  <c:v>0.30637858503113896</c:v>
                </c:pt>
                <c:pt idx="41">
                  <c:v>0.31321029396838979</c:v>
                </c:pt>
                <c:pt idx="42">
                  <c:v>0.31997011248621859</c:v>
                </c:pt>
                <c:pt idx="43">
                  <c:v>0.32665820269784795</c:v>
                </c:pt>
                <c:pt idx="44">
                  <c:v>0.33327476892625835</c:v>
                </c:pt>
                <c:pt idx="45">
                  <c:v>0.33982002839769088</c:v>
                </c:pt>
                <c:pt idx="46">
                  <c:v>0.34629422364486706</c:v>
                </c:pt>
                <c:pt idx="47">
                  <c:v>0.3526976182673775</c:v>
                </c:pt>
                <c:pt idx="48">
                  <c:v>0.3590304959651438</c:v>
                </c:pt>
                <c:pt idx="49">
                  <c:v>0.3590304959651438</c:v>
                </c:pt>
                <c:pt idx="50">
                  <c:v>0.36406870512053141</c:v>
                </c:pt>
                <c:pt idx="51">
                  <c:v>0.36701677695620388</c:v>
                </c:pt>
                <c:pt idx="52">
                  <c:v>0.36839503863920342</c:v>
                </c:pt>
                <c:pt idx="53">
                  <c:v>0.36859332200351164</c:v>
                </c:pt>
                <c:pt idx="54">
                  <c:v>0.36790387407216024</c:v>
                </c:pt>
                <c:pt idx="55">
                  <c:v>0.36654595086227892</c:v>
                </c:pt>
                <c:pt idx="56">
                  <c:v>0.36468419330929031</c:v>
                </c:pt>
                <c:pt idx="57">
                  <c:v>0.36244236285980336</c:v>
                </c:pt>
                <c:pt idx="58">
                  <c:v>0.35991361576966807</c:v>
                </c:pt>
                <c:pt idx="59">
                  <c:v>0.35716818001031331</c:v>
                </c:pt>
                <c:pt idx="60">
                  <c:v>0.35425911896666801</c:v>
                </c:pt>
                <c:pt idx="61">
                  <c:v>0.35122660206103384</c:v>
                </c:pt>
                <c:pt idx="62">
                  <c:v>0.34810114088081157</c:v>
                </c:pt>
                <c:pt idx="63">
                  <c:v>0.34490599357976681</c:v>
                </c:pt>
                <c:pt idx="64">
                  <c:v>0.34165896795802464</c:v>
                </c:pt>
                <c:pt idx="65">
                  <c:v>0.33837377181573441</c:v>
                </c:pt>
                <c:pt idx="66">
                  <c:v>0.335061026221116</c:v>
                </c:pt>
                <c:pt idx="67">
                  <c:v>0.33172902237633373</c:v>
                </c:pt>
                <c:pt idx="68">
                  <c:v>0.32838429144347309</c:v>
                </c:pt>
                <c:pt idx="69">
                  <c:v>0.32503203107229695</c:v>
                </c:pt>
                <c:pt idx="70">
                  <c:v>0.32167642137410662</c:v>
                </c:pt>
                <c:pt idx="71">
                  <c:v>0.31832087547443655</c:v>
                </c:pt>
                <c:pt idx="72">
                  <c:v>0.31496820664988112</c:v>
                </c:pt>
                <c:pt idx="73">
                  <c:v>0.31162077302948971</c:v>
                </c:pt>
                <c:pt idx="74">
                  <c:v>0.30828057691493838</c:v>
                </c:pt>
                <c:pt idx="75">
                  <c:v>0.30494934209650987</c:v>
                </c:pt>
                <c:pt idx="76">
                  <c:v>0.30162857226913975</c:v>
                </c:pt>
                <c:pt idx="77">
                  <c:v>0.29831959481709636</c:v>
                </c:pt>
                <c:pt idx="78">
                  <c:v>0.29502359438178244</c:v>
                </c:pt>
                <c:pt idx="79">
                  <c:v>0.29174163822888033</c:v>
                </c:pt>
                <c:pt idx="80">
                  <c:v>0.28847469568720296</c:v>
                </c:pt>
                <c:pt idx="81">
                  <c:v>0.28522365307678593</c:v>
                </c:pt>
                <c:pt idx="82">
                  <c:v>0.28198932588929049</c:v>
                </c:pt>
                <c:pt idx="83">
                  <c:v>0.27877246717514087</c:v>
                </c:pt>
                <c:pt idx="84">
                  <c:v>0.2755737738045268</c:v>
                </c:pt>
                <c:pt idx="85">
                  <c:v>0.27239389396892505</c:v>
                </c:pt>
                <c:pt idx="86">
                  <c:v>0.26923343067833011</c:v>
                </c:pt>
                <c:pt idx="87">
                  <c:v>0.26609294545766299</c:v>
                </c:pt>
                <c:pt idx="88">
                  <c:v>0.26297296166332407</c:v>
                </c:pt>
                <c:pt idx="89">
                  <c:v>0.25987396701917637</c:v>
                </c:pt>
                <c:pt idx="90">
                  <c:v>0.25679641556393573</c:v>
                </c:pt>
                <c:pt idx="91">
                  <c:v>0.25374072987979635</c:v>
                </c:pt>
                <c:pt idx="92">
                  <c:v>0.25070730263891206</c:v>
                </c:pt>
                <c:pt idx="93">
                  <c:v>0.24769649815027495</c:v>
                </c:pt>
                <c:pt idx="94">
                  <c:v>0.24470865370946496</c:v>
                </c:pt>
                <c:pt idx="95">
                  <c:v>0.24174408076840567</c:v>
                </c:pt>
                <c:pt idx="96">
                  <c:v>0.23880306629074674</c:v>
                </c:pt>
                <c:pt idx="97">
                  <c:v>0.23588587373239736</c:v>
                </c:pt>
                <c:pt idx="98">
                  <c:v>0.23299274400273673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7-4E7D-B33A-2EB98E6457EC}"/>
            </c:ext>
          </c:extLst>
        </c:ser>
        <c:ser>
          <c:idx val="4"/>
          <c:order val="4"/>
          <c:tx>
            <c:strRef>
              <c:f>dynamicR!$BG$10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dynamicR!$BG$13:$BG$112</c:f>
              <c:numCache>
                <c:formatCode>0.0%</c:formatCode>
                <c:ptCount val="100"/>
                <c:pt idx="0">
                  <c:v>17.520450349327962</c:v>
                </c:pt>
                <c:pt idx="1">
                  <c:v>34.440084325721315</c:v>
                </c:pt>
                <c:pt idx="2">
                  <c:v>50.779313809844439</c:v>
                </c:pt>
                <c:pt idx="3">
                  <c:v>66.557913236728467</c:v>
                </c:pt>
                <c:pt idx="4">
                  <c:v>81.795024998122912</c:v>
                </c:pt>
                <c:pt idx="5">
                  <c:v>96.509168850853939</c:v>
                </c:pt>
                <c:pt idx="6">
                  <c:v>110.71825413251671</c:v>
                </c:pt>
                <c:pt idx="7">
                  <c:v>124.43959388249998</c:v>
                </c:pt>
                <c:pt idx="8">
                  <c:v>137.68992022833277</c:v>
                </c:pt>
                <c:pt idx="9">
                  <c:v>150.48540054880712</c:v>
                </c:pt>
                <c:pt idx="10">
                  <c:v>162.84165403511386</c:v>
                </c:pt>
                <c:pt idx="11">
                  <c:v>174.77376847719592</c:v>
                </c:pt>
                <c:pt idx="12">
                  <c:v>186.29631688724706</c:v>
                </c:pt>
                <c:pt idx="13">
                  <c:v>197.42337407490359</c:v>
                </c:pt>
                <c:pt idx="14">
                  <c:v>208.16853290494066</c:v>
                </c:pt>
                <c:pt idx="15">
                  <c:v>218.54492024199851</c:v>
                </c:pt>
                <c:pt idx="16">
                  <c:v>228.56521121861547</c:v>
                </c:pt>
                <c:pt idx="17">
                  <c:v>238.24164779063463</c:v>
                </c:pt>
                <c:pt idx="18">
                  <c:v>247.58605308412575</c:v>
                </c:pt>
                <c:pt idx="19">
                  <c:v>256.60983911201197</c:v>
                </c:pt>
                <c:pt idx="20">
                  <c:v>265.32402654853627</c:v>
                </c:pt>
                <c:pt idx="21">
                  <c:v>273.73925880454709</c:v>
                </c:pt>
                <c:pt idx="22">
                  <c:v>281.86581259784828</c:v>
                </c:pt>
                <c:pt idx="23">
                  <c:v>289.7136106026511</c:v>
                </c:pt>
                <c:pt idx="24">
                  <c:v>297.29223437624864</c:v>
                </c:pt>
                <c:pt idx="25">
                  <c:v>304.61093575044362</c:v>
                </c:pt>
                <c:pt idx="26">
                  <c:v>311.67864819888973</c:v>
                </c:pt>
                <c:pt idx="27">
                  <c:v>318.50399778151262</c:v>
                </c:pt>
                <c:pt idx="28">
                  <c:v>325.09531372017881</c:v>
                </c:pt>
                <c:pt idx="29">
                  <c:v>331.46063861369612</c:v>
                </c:pt>
                <c:pt idx="30">
                  <c:v>337.60773828471014</c:v>
                </c:pt>
                <c:pt idx="31">
                  <c:v>343.54411137301446</c:v>
                </c:pt>
                <c:pt idx="32">
                  <c:v>349.276998164433</c:v>
                </c:pt>
                <c:pt idx="33">
                  <c:v>354.81339037704504</c:v>
                </c:pt>
                <c:pt idx="34">
                  <c:v>360.16003900381253</c:v>
                </c:pt>
                <c:pt idx="35">
                  <c:v>365.32346255801866</c:v>
                </c:pt>
                <c:pt idx="36">
                  <c:v>370.3099553638919</c:v>
                </c:pt>
                <c:pt idx="37">
                  <c:v>375.1255951377405</c:v>
                </c:pt>
                <c:pt idx="38">
                  <c:v>379.77625059461229</c:v>
                </c:pt>
                <c:pt idx="39">
                  <c:v>384.2675882778596</c:v>
                </c:pt>
                <c:pt idx="40">
                  <c:v>388.60516243097896</c:v>
                </c:pt>
                <c:pt idx="41">
                  <c:v>392.79405721167865</c:v>
                </c:pt>
                <c:pt idx="42">
                  <c:v>396.83960743454719</c:v>
                </c:pt>
                <c:pt idx="43">
                  <c:v>400.74643814046152</c:v>
                </c:pt>
                <c:pt idx="44">
                  <c:v>404.51958973401719</c:v>
                </c:pt>
                <c:pt idx="45">
                  <c:v>408.16355797155131</c:v>
                </c:pt>
                <c:pt idx="46">
                  <c:v>411.68277808891378</c:v>
                </c:pt>
                <c:pt idx="47">
                  <c:v>415.08153306669652</c:v>
                </c:pt>
                <c:pt idx="48">
                  <c:v>418.36395837043364</c:v>
                </c:pt>
                <c:pt idx="49">
                  <c:v>418.36395837043364</c:v>
                </c:pt>
                <c:pt idx="50">
                  <c:v>404.01360389009812</c:v>
                </c:pt>
                <c:pt idx="51">
                  <c:v>390.1555835157402</c:v>
                </c:pt>
                <c:pt idx="52">
                  <c:v>376.77321020757694</c:v>
                </c:pt>
                <c:pt idx="53">
                  <c:v>363.85030490012929</c:v>
                </c:pt>
                <c:pt idx="54">
                  <c:v>351.37119695516731</c:v>
                </c:pt>
                <c:pt idx="55">
                  <c:v>339.32071900843812</c:v>
                </c:pt>
                <c:pt idx="56">
                  <c:v>327.68419886591079</c:v>
                </c:pt>
                <c:pt idx="57">
                  <c:v>316.44744934602704</c:v>
                </c:pt>
                <c:pt idx="58">
                  <c:v>305.5967567243141</c:v>
                </c:pt>
                <c:pt idx="59">
                  <c:v>295.11886828405761</c:v>
                </c:pt>
                <c:pt idx="60">
                  <c:v>285.00097926776436</c:v>
                </c:pt>
                <c:pt idx="61">
                  <c:v>275.23071964824709</c:v>
                </c:pt>
                <c:pt idx="62">
                  <c:v>265.79614073075686</c:v>
                </c:pt>
                <c:pt idx="63">
                  <c:v>256.68570184140378</c:v>
                </c:pt>
                <c:pt idx="64">
                  <c:v>247.88825716485471</c:v>
                </c:pt>
                <c:pt idx="65">
                  <c:v>239.39304281495362</c:v>
                </c:pt>
                <c:pt idx="66">
                  <c:v>231.18966416256086</c:v>
                </c:pt>
                <c:pt idx="67">
                  <c:v>223.26808350707574</c:v>
                </c:pt>
                <c:pt idx="68">
                  <c:v>215.61860804025162</c:v>
                </c:pt>
                <c:pt idx="69">
                  <c:v>208.23187814013556</c:v>
                </c:pt>
                <c:pt idx="70">
                  <c:v>201.09885621903194</c:v>
                </c:pt>
                <c:pt idx="71">
                  <c:v>194.21081538476128</c:v>
                </c:pt>
                <c:pt idx="72">
                  <c:v>187.55932917633871</c:v>
                </c:pt>
                <c:pt idx="73">
                  <c:v>181.13626111060205</c:v>
                </c:pt>
                <c:pt idx="74">
                  <c:v>174.9337547591559</c:v>
                </c:pt>
                <c:pt idx="75">
                  <c:v>168.94422413834894</c:v>
                </c:pt>
                <c:pt idx="76">
                  <c:v>163.16034441350348</c:v>
                </c:pt>
                <c:pt idx="77">
                  <c:v>157.57504291982764</c:v>
                </c:pt>
                <c:pt idx="78">
                  <c:v>152.18149048703262</c:v>
                </c:pt>
                <c:pt idx="79">
                  <c:v>146.97309305558613</c:v>
                </c:pt>
                <c:pt idx="80">
                  <c:v>141.94348372247754</c:v>
                </c:pt>
                <c:pt idx="81">
                  <c:v>137.086515202507</c:v>
                </c:pt>
                <c:pt idx="82">
                  <c:v>132.39625028209664</c:v>
                </c:pt>
                <c:pt idx="83">
                  <c:v>127.86695623293514</c:v>
                </c:pt>
                <c:pt idx="84">
                  <c:v>123.49310030710427</c:v>
                </c:pt>
                <c:pt idx="85">
                  <c:v>119.2693383398629</c:v>
                </c:pt>
                <c:pt idx="86">
                  <c:v>115.19051006848804</c:v>
                </c:pt>
                <c:pt idx="87">
                  <c:v>111.2516331739037</c:v>
                </c:pt>
                <c:pt idx="88">
                  <c:v>107.44789679576343</c:v>
                </c:pt>
                <c:pt idx="89">
                  <c:v>103.774655486546</c:v>
                </c:pt>
                <c:pt idx="90">
                  <c:v>100.22742393012055</c:v>
                </c:pt>
                <c:pt idx="91">
                  <c:v>96.80187110096999</c:v>
                </c:pt>
                <c:pt idx="92">
                  <c:v>93.49381512098509</c:v>
                </c:pt>
                <c:pt idx="93">
                  <c:v>90.299217898281839</c:v>
                </c:pt>
                <c:pt idx="94">
                  <c:v>87.214180360479276</c:v>
                </c:pt>
                <c:pt idx="95">
                  <c:v>84.234938056815025</c:v>
                </c:pt>
                <c:pt idx="96">
                  <c:v>81.357855513274217</c:v>
                </c:pt>
                <c:pt idx="97">
                  <c:v>78.579422279095226</c:v>
                </c:pt>
                <c:pt idx="98">
                  <c:v>75.896248908117556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87-4E7D-B33A-2EB98E6457EC}"/>
            </c:ext>
          </c:extLst>
        </c:ser>
        <c:ser>
          <c:idx val="5"/>
          <c:order val="5"/>
          <c:tx>
            <c:strRef>
              <c:f>dynamicR!$BH$10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dynamicR!$BH$13:$BH$112</c:f>
              <c:numCache>
                <c:formatCode>0.0%</c:formatCode>
                <c:ptCount val="100"/>
                <c:pt idx="0">
                  <c:v>2.1926593628143542E-2</c:v>
                </c:pt>
                <c:pt idx="1">
                  <c:v>8.1456859771872822E-2</c:v>
                </c:pt>
                <c:pt idx="2">
                  <c:v>0.1709284551496025</c:v>
                </c:pt>
                <c:pt idx="3">
                  <c:v>0.28449949640724004</c:v>
                </c:pt>
                <c:pt idx="4">
                  <c:v>0.41769350934662869</c:v>
                </c:pt>
                <c:pt idx="5">
                  <c:v>0.56705930691364725</c:v>
                </c:pt>
                <c:pt idx="6">
                  <c:v>0.72991666350223294</c:v>
                </c:pt>
                <c:pt idx="7">
                  <c:v>0.90416616542532391</c:v>
                </c:pt>
                <c:pt idx="8">
                  <c:v>1.0881467735125554</c:v>
                </c:pt>
                <c:pt idx="9">
                  <c:v>1.2805292174081879</c:v>
                </c:pt>
                <c:pt idx="10">
                  <c:v>1.4802361255895344</c:v>
                </c:pt>
                <c:pt idx="11">
                  <c:v>1.6863820580267093</c:v>
                </c:pt>
                <c:pt idx="12">
                  <c:v>1.8982287914677134</c:v>
                </c:pt>
                <c:pt idx="13">
                  <c:v>2.1151514058245207</c:v>
                </c:pt>
                <c:pt idx="14">
                  <c:v>2.3366129298733735</c:v>
                </c:pt>
                <c:pt idx="15">
                  <c:v>2.5621452406469261</c:v>
                </c:pt>
                <c:pt idx="16">
                  <c:v>2.7913347458196753</c:v>
                </c:pt>
                <c:pt idx="17">
                  <c:v>3.0238111411191522</c:v>
                </c:pt>
                <c:pt idx="18">
                  <c:v>3.2592392736020441</c:v>
                </c:pt>
                <c:pt idx="19">
                  <c:v>3.4973134112181299</c:v>
                </c:pt>
                <c:pt idx="20">
                  <c:v>3.7377517208308628</c:v>
                </c:pt>
                <c:pt idx="21">
                  <c:v>3.9802927131228971</c:v>
                </c:pt>
                <c:pt idx="22">
                  <c:v>4.2246925459606848</c:v>
                </c:pt>
                <c:pt idx="23">
                  <c:v>4.4707228086126838</c:v>
                </c:pt>
                <c:pt idx="24">
                  <c:v>4.7181686149826483</c:v>
                </c:pt>
                <c:pt idx="25">
                  <c:v>4.9668273206174458</c:v>
                </c:pt>
                <c:pt idx="26">
                  <c:v>5.2165073850642711</c:v>
                </c:pt>
                <c:pt idx="27">
                  <c:v>5.4670274443148861</c:v>
                </c:pt>
                <c:pt idx="28">
                  <c:v>5.7182155634954981</c:v>
                </c:pt>
                <c:pt idx="29">
                  <c:v>5.9699085998852475</c:v>
                </c:pt>
                <c:pt idx="30">
                  <c:v>6.221951660145943</c:v>
                </c:pt>
                <c:pt idx="31">
                  <c:v>6.4741976273193291</c:v>
                </c:pt>
                <c:pt idx="32">
                  <c:v>6.7265067628401161</c:v>
                </c:pt>
                <c:pt idx="33">
                  <c:v>6.9787462950609562</c:v>
                </c:pt>
                <c:pt idx="34">
                  <c:v>7.2307901230802454</c:v>
                </c:pt>
                <c:pt idx="35">
                  <c:v>7.4825185099790641</c:v>
                </c:pt>
                <c:pt idx="36">
                  <c:v>7.733817781399841</c:v>
                </c:pt>
                <c:pt idx="37">
                  <c:v>7.9845800742507178</c:v>
                </c:pt>
                <c:pt idx="38">
                  <c:v>8.2347030842329048</c:v>
                </c:pt>
                <c:pt idx="39">
                  <c:v>8.4840898430234226</c:v>
                </c:pt>
                <c:pt idx="40">
                  <c:v>8.7326471452398788</c:v>
                </c:pt>
                <c:pt idx="41">
                  <c:v>8.9802912818752993</c:v>
                </c:pt>
                <c:pt idx="42">
                  <c:v>9.2269362339252474</c:v>
                </c:pt>
                <c:pt idx="43">
                  <c:v>9.4725090709288775</c:v>
                </c:pt>
                <c:pt idx="44">
                  <c:v>9.7169317868312817</c:v>
                </c:pt>
                <c:pt idx="45">
                  <c:v>9.960136671057656</c:v>
                </c:pt>
                <c:pt idx="46">
                  <c:v>10.202058432918172</c:v>
                </c:pt>
                <c:pt idx="47">
                  <c:v>10.442635594035755</c:v>
                </c:pt>
                <c:pt idx="48">
                  <c:v>10.681810350333775</c:v>
                </c:pt>
                <c:pt idx="49">
                  <c:v>10.681810350333775</c:v>
                </c:pt>
                <c:pt idx="50">
                  <c:v>10.897601574573073</c:v>
                </c:pt>
                <c:pt idx="51">
                  <c:v>11.074281666281204</c:v>
                </c:pt>
                <c:pt idx="52">
                  <c:v>11.219465155234868</c:v>
                </c:pt>
                <c:pt idx="53">
                  <c:v>11.338949352936337</c:v>
                </c:pt>
                <c:pt idx="54">
                  <c:v>11.437169139320368</c:v>
                </c:pt>
                <c:pt idx="55">
                  <c:v>11.517536968170321</c:v>
                </c:pt>
                <c:pt idx="56">
                  <c:v>11.582697030975847</c:v>
                </c:pt>
                <c:pt idx="57">
                  <c:v>11.634715354241051</c:v>
                </c:pt>
                <c:pt idx="58">
                  <c:v>11.675222104874374</c:v>
                </c:pt>
                <c:pt idx="59">
                  <c:v>11.705518027716384</c:v>
                </c:pt>
                <c:pt idx="60">
                  <c:v>11.726654461574942</c:v>
                </c:pt>
                <c:pt idx="61">
                  <c:v>11.73949272774227</c:v>
                </c:pt>
                <c:pt idx="62">
                  <c:v>11.744749227692171</c:v>
                </c:pt>
                <c:pt idx="63">
                  <c:v>11.743029044786057</c:v>
                </c:pt>
                <c:pt idx="64">
                  <c:v>11.734851232129316</c:v>
                </c:pt>
                <c:pt idx="65">
                  <c:v>11.720667837612105</c:v>
                </c:pt>
                <c:pt idx="66">
                  <c:v>11.70087826345466</c:v>
                </c:pt>
                <c:pt idx="67">
                  <c:v>11.67584007275744</c:v>
                </c:pt>
                <c:pt idx="68">
                  <c:v>11.645877203001627</c:v>
                </c:pt>
                <c:pt idx="69">
                  <c:v>11.611286189881957</c:v>
                </c:pt>
                <c:pt idx="70">
                  <c:v>11.572340847656365</c:v>
                </c:pt>
                <c:pt idx="71">
                  <c:v>11.529296050541527</c:v>
                </c:pt>
                <c:pt idx="72">
                  <c:v>11.482390330982804</c:v>
                </c:pt>
                <c:pt idx="73">
                  <c:v>11.43184817305557</c:v>
                </c:pt>
                <c:pt idx="74">
                  <c:v>11.37788166365673</c:v>
                </c:pt>
                <c:pt idx="75">
                  <c:v>11.320691830653603</c:v>
                </c:pt>
                <c:pt idx="76">
                  <c:v>11.260469710859281</c:v>
                </c:pt>
                <c:pt idx="77">
                  <c:v>11.197397206754234</c:v>
                </c:pt>
                <c:pt idx="78">
                  <c:v>11.131647793330117</c:v>
                </c:pt>
                <c:pt idx="79">
                  <c:v>11.063387103262281</c:v>
                </c:pt>
                <c:pt idx="80">
                  <c:v>10.992773418176359</c:v>
                </c:pt>
                <c:pt idx="81">
                  <c:v>10.919958086101468</c:v>
                </c:pt>
                <c:pt idx="82">
                  <c:v>10.845085953029761</c:v>
                </c:pt>
                <c:pt idx="83">
                  <c:v>10.768295637221312</c:v>
                </c:pt>
                <c:pt idx="84">
                  <c:v>10.689719745363695</c:v>
                </c:pt>
                <c:pt idx="85">
                  <c:v>10.609485286632585</c:v>
                </c:pt>
                <c:pt idx="86">
                  <c:v>10.527713853906935</c:v>
                </c:pt>
                <c:pt idx="87">
                  <c:v>10.444521841006765</c:v>
                </c:pt>
                <c:pt idx="88">
                  <c:v>10.360020668203678</c:v>
                </c:pt>
                <c:pt idx="89">
                  <c:v>10.274316984967879</c:v>
                </c:pt>
                <c:pt idx="90">
                  <c:v>10.187512843199389</c:v>
                </c:pt>
                <c:pt idx="91">
                  <c:v>10.099705889758479</c:v>
                </c:pt>
                <c:pt idx="92">
                  <c:v>10.010989530052671</c:v>
                </c:pt>
                <c:pt idx="93">
                  <c:v>9.921453097516979</c:v>
                </c:pt>
                <c:pt idx="94">
                  <c:v>9.8311820036655675</c:v>
                </c:pt>
                <c:pt idx="95">
                  <c:v>9.740257876632354</c:v>
                </c:pt>
                <c:pt idx="96">
                  <c:v>9.6487587330973597</c:v>
                </c:pt>
                <c:pt idx="97">
                  <c:v>9.5567591015272519</c:v>
                </c:pt>
                <c:pt idx="98">
                  <c:v>9.4643301464803677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87-4E7D-B33A-2EB98E6457EC}"/>
            </c:ext>
          </c:extLst>
        </c:ser>
        <c:ser>
          <c:idx val="6"/>
          <c:order val="6"/>
          <c:tx>
            <c:strRef>
              <c:f>dynamicR!$BI$10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dynamicR!$BI$13:$BI$112</c:f>
              <c:numCache>
                <c:formatCode>0.0%</c:formatCode>
                <c:ptCount val="100"/>
                <c:pt idx="0">
                  <c:v>3.9349814047185501E-4</c:v>
                </c:pt>
                <c:pt idx="1">
                  <c:v>1.5544383625491185E-3</c:v>
                </c:pt>
                <c:pt idx="2">
                  <c:v>3.4542427892422889E-3</c:v>
                </c:pt>
                <c:pt idx="3">
                  <c:v>6.0653129937653857E-3</c:v>
                </c:pt>
                <c:pt idx="4">
                  <c:v>9.3609988190608371E-3</c:v>
                </c:pt>
                <c:pt idx="5">
                  <c:v>1.3315567622355372E-2</c:v>
                </c:pt>
                <c:pt idx="6">
                  <c:v>1.7904174090839994E-2</c:v>
                </c:pt>
                <c:pt idx="7">
                  <c:v>2.3102830754195898E-2</c:v>
                </c:pt>
                <c:pt idx="8">
                  <c:v>2.8888379224724224E-2</c:v>
                </c:pt>
                <c:pt idx="9">
                  <c:v>3.5238462224367849E-2</c:v>
                </c:pt>
                <c:pt idx="10">
                  <c:v>4.2131496450596904E-2</c:v>
                </c:pt>
                <c:pt idx="11">
                  <c:v>4.9546646165191895E-2</c:v>
                </c:pt>
                <c:pt idx="12">
                  <c:v>5.7463797802298724E-2</c:v>
                </c:pt>
                <c:pt idx="13">
                  <c:v>6.586353520513416E-2</c:v>
                </c:pt>
                <c:pt idx="14">
                  <c:v>7.4727115748149636E-2</c:v>
                </c:pt>
                <c:pt idx="15">
                  <c:v>8.4036447218379037E-2</c:v>
                </c:pt>
                <c:pt idx="16">
                  <c:v>9.377406727238069E-2</c:v>
                </c:pt>
                <c:pt idx="17">
                  <c:v>0.10392311710129128</c:v>
                </c:pt>
                <c:pt idx="18">
                  <c:v>0.11446732109842522</c:v>
                </c:pt>
                <c:pt idx="19">
                  <c:v>0.12539097585490888</c:v>
                </c:pt>
                <c:pt idx="20">
                  <c:v>0.13667892242831292</c:v>
                </c:pt>
                <c:pt idx="21">
                  <c:v>0.14831652662373571</c:v>
                </c:pt>
                <c:pt idx="22">
                  <c:v>0.16028966418424859</c:v>
                </c:pt>
                <c:pt idx="23">
                  <c:v>0.17258470311961258</c:v>
                </c:pt>
                <c:pt idx="24">
                  <c:v>0.18518848566605853</c:v>
                </c:pt>
                <c:pt idx="25">
                  <c:v>0.19808831240876504</c:v>
                </c:pt>
                <c:pt idx="26">
                  <c:v>0.21127192644494538</c:v>
                </c:pt>
                <c:pt idx="27">
                  <c:v>0.2247274981444394</c:v>
                </c:pt>
                <c:pt idx="28">
                  <c:v>0.23844361043110088</c:v>
                </c:pt>
                <c:pt idx="29">
                  <c:v>0.25240924457015129</c:v>
                </c:pt>
                <c:pt idx="30">
                  <c:v>0.26661376647100743</c:v>
                </c:pt>
                <c:pt idx="31">
                  <c:v>0.2810469133453648</c:v>
                </c:pt>
                <c:pt idx="32">
                  <c:v>0.29569878142999345</c:v>
                </c:pt>
                <c:pt idx="33">
                  <c:v>0.31055981237946073</c:v>
                </c:pt>
                <c:pt idx="34">
                  <c:v>0.32562078236262809</c:v>
                </c:pt>
                <c:pt idx="35">
                  <c:v>0.34087279059913078</c:v>
                </c:pt>
                <c:pt idx="36">
                  <c:v>0.35630724783310336</c:v>
                </c:pt>
                <c:pt idx="37">
                  <c:v>0.37191586579415598</c:v>
                </c:pt>
                <c:pt idx="38">
                  <c:v>0.38769064662255887</c:v>
                </c:pt>
                <c:pt idx="39">
                  <c:v>0.40362387337453931</c:v>
                </c:pt>
                <c:pt idx="40">
                  <c:v>0.41970798763676592</c:v>
                </c:pt>
                <c:pt idx="41">
                  <c:v>0.43593607567795778</c:v>
                </c:pt>
                <c:pt idx="42">
                  <c:v>0.45230088862441847</c:v>
                </c:pt>
                <c:pt idx="43">
                  <c:v>0.46879614729275881</c:v>
                </c:pt>
                <c:pt idx="44">
                  <c:v>0.48541501337236226</c:v>
                </c:pt>
                <c:pt idx="45">
                  <c:v>0.50215139360181071</c:v>
                </c:pt>
                <c:pt idx="46">
                  <c:v>0.51899928179052413</c:v>
                </c:pt>
                <c:pt idx="47">
                  <c:v>0.5359528832651167</c:v>
                </c:pt>
                <c:pt idx="48">
                  <c:v>0.55300660827850867</c:v>
                </c:pt>
                <c:pt idx="49">
                  <c:v>0.55300660827850867</c:v>
                </c:pt>
                <c:pt idx="50">
                  <c:v>0.56976155680891893</c:v>
                </c:pt>
                <c:pt idx="51">
                  <c:v>0.58583859561448925</c:v>
                </c:pt>
                <c:pt idx="52">
                  <c:v>0.60126128323584516</c:v>
                </c:pt>
                <c:pt idx="53">
                  <c:v>0.61605237858126294</c:v>
                </c:pt>
                <c:pt idx="54">
                  <c:v>0.63023386398241876</c:v>
                </c:pt>
                <c:pt idx="55">
                  <c:v>0.64382697003262335</c:v>
                </c:pt>
                <c:pt idx="56">
                  <c:v>0.65685220005025069</c:v>
                </c:pt>
                <c:pt idx="57">
                  <c:v>0.66932935405735805</c:v>
                </c:pt>
                <c:pt idx="58">
                  <c:v>0.68127755221019815</c:v>
                </c:pt>
                <c:pt idx="59">
                  <c:v>0.69271525760359709</c:v>
                </c:pt>
                <c:pt idx="60">
                  <c:v>0.70366029853202028</c:v>
                </c:pt>
                <c:pt idx="61">
                  <c:v>0.71412988992793869</c:v>
                </c:pt>
                <c:pt idx="62">
                  <c:v>0.72414065429137553</c:v>
                </c:pt>
                <c:pt idx="63">
                  <c:v>0.73370864190204477</c:v>
                </c:pt>
                <c:pt idx="64">
                  <c:v>0.74284935039228628</c:v>
                </c:pt>
                <c:pt idx="65">
                  <c:v>0.75157774367147978</c:v>
                </c:pt>
                <c:pt idx="66">
                  <c:v>0.75990827025134033</c:v>
                </c:pt>
                <c:pt idx="67">
                  <c:v>0.76785488091002296</c:v>
                </c:pt>
                <c:pt idx="68">
                  <c:v>0.77543104581625399</c:v>
                </c:pt>
                <c:pt idx="69">
                  <c:v>0.78264977109239198</c:v>
                </c:pt>
                <c:pt idx="70">
                  <c:v>0.78952361452899134</c:v>
                </c:pt>
                <c:pt idx="71">
                  <c:v>0.79606470151199415</c:v>
                </c:pt>
                <c:pt idx="72">
                  <c:v>0.8022847393982101</c:v>
                </c:pt>
                <c:pt idx="73">
                  <c:v>0.80819503213753052</c:v>
                </c:pt>
                <c:pt idx="74">
                  <c:v>0.81380649412636286</c:v>
                </c:pt>
                <c:pt idx="75">
                  <c:v>0.81912966361081474</c:v>
                </c:pt>
                <c:pt idx="76">
                  <c:v>0.82417471564014577</c:v>
                </c:pt>
                <c:pt idx="77">
                  <c:v>0.82895147457016916</c:v>
                </c:pt>
                <c:pt idx="78">
                  <c:v>0.8334694261377793</c:v>
                </c:pt>
                <c:pt idx="79">
                  <c:v>0.83773772912480016</c:v>
                </c:pt>
                <c:pt idx="80">
                  <c:v>0.84176522642108242</c:v>
                </c:pt>
                <c:pt idx="81">
                  <c:v>0.84556045550719272</c:v>
                </c:pt>
                <c:pt idx="82">
                  <c:v>0.84913166172704635</c:v>
                </c:pt>
                <c:pt idx="83">
                  <c:v>0.85248680605270277</c:v>
                </c:pt>
                <c:pt idx="84">
                  <c:v>0.8556335713443266</c:v>
                </c:pt>
                <c:pt idx="85">
                  <c:v>0.85857937819467445</c:v>
                </c:pt>
                <c:pt idx="86">
                  <c:v>0.86133139143348092</c:v>
                </c:pt>
                <c:pt idx="87">
                  <c:v>0.86389652840815268</c:v>
                </c:pt>
                <c:pt idx="88">
                  <c:v>0.86628146799665895</c:v>
                </c:pt>
                <c:pt idx="89">
                  <c:v>0.86849265900989348</c:v>
                </c:pt>
                <c:pt idx="90">
                  <c:v>0.87053632753167476</c:v>
                </c:pt>
                <c:pt idx="91">
                  <c:v>0.87241848503627306</c:v>
                </c:pt>
                <c:pt idx="92">
                  <c:v>0.87414493553644379</c:v>
                </c:pt>
                <c:pt idx="93">
                  <c:v>0.87572128303455499</c:v>
                </c:pt>
                <c:pt idx="94">
                  <c:v>0.87715293814779993</c:v>
                </c:pt>
                <c:pt idx="95">
                  <c:v>0.87844512422010479</c:v>
                </c:pt>
                <c:pt idx="96">
                  <c:v>0.87960288516937013</c:v>
                </c:pt>
                <c:pt idx="97">
                  <c:v>0.8806310909821593</c:v>
                </c:pt>
                <c:pt idx="98">
                  <c:v>0.88153444329929642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87-4E7D-B33A-2EB98E6457EC}"/>
            </c:ext>
          </c:extLst>
        </c:ser>
        <c:ser>
          <c:idx val="7"/>
          <c:order val="7"/>
          <c:tx>
            <c:strRef>
              <c:f>dynamicR!$BJ$10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dynamicR!$BJ$13:$BJ$112</c:f>
              <c:numCache>
                <c:formatCode>0.0%</c:formatCode>
                <c:ptCount val="100"/>
                <c:pt idx="0">
                  <c:v>1.7731223169286701E-8</c:v>
                </c:pt>
                <c:pt idx="1">
                  <c:v>1.3401611103590684E-7</c:v>
                </c:pt>
                <c:pt idx="2">
                  <c:v>4.2847849481282047E-7</c:v>
                </c:pt>
                <c:pt idx="3">
                  <c:v>9.6457739152095542E-7</c:v>
                </c:pt>
                <c:pt idx="4">
                  <c:v>1.7934117393913046E-6</c:v>
                </c:pt>
                <c:pt idx="5">
                  <c:v>2.9565763123198191E-6</c:v>
                </c:pt>
                <c:pt idx="6">
                  <c:v>4.4883083092096155E-6</c:v>
                </c:pt>
                <c:pt idx="7">
                  <c:v>6.4171025159964079E-6</c:v>
                </c:pt>
                <c:pt idx="8">
                  <c:v>8.7669307528468267E-6</c:v>
                </c:pt>
                <c:pt idx="9">
                  <c:v>1.1558163566433669E-5</c:v>
                </c:pt>
                <c:pt idx="10">
                  <c:v>1.480826923266462E-5</c:v>
                </c:pt>
                <c:pt idx="11">
                  <c:v>1.8532346724496758E-5</c:v>
                </c:pt>
                <c:pt idx="12">
                  <c:v>2.2743530706162107E-5</c:v>
                </c:pt>
                <c:pt idx="13">
                  <c:v>2.745330596100222E-5</c:v>
                </c:pt>
                <c:pt idx="14">
                  <c:v>3.2671749474707203E-5</c:v>
                </c:pt>
                <c:pt idx="15">
                  <c:v>3.8407719459671513E-5</c:v>
                </c:pt>
                <c:pt idx="16">
                  <c:v>4.4669001778370218E-5</c:v>
                </c:pt>
                <c:pt idx="17">
                  <c:v>5.1462436068312335E-5</c:v>
                </c:pt>
                <c:pt idx="18">
                  <c:v>5.879400977421706E-5</c:v>
                </c:pt>
                <c:pt idx="19">
                  <c:v>6.6668922938348149E-5</c:v>
                </c:pt>
                <c:pt idx="20">
                  <c:v>7.5091667157716282E-5</c:v>
                </c:pt>
                <c:pt idx="21">
                  <c:v>8.4066079948533922E-5</c:v>
                </c:pt>
                <c:pt idx="22">
                  <c:v>9.3595387120776056E-5</c:v>
                </c:pt>
                <c:pt idx="23">
                  <c:v>1.0368224322681151E-4</c:v>
                </c:pt>
                <c:pt idx="24">
                  <c:v>1.1432877015429E-4</c:v>
                </c:pt>
                <c:pt idx="25">
                  <c:v>1.2553658769379669E-4</c:v>
                </c:pt>
                <c:pt idx="26">
                  <c:v>1.373068427681376E-4</c:v>
                </c:pt>
                <c:pt idx="27">
                  <c:v>1.4964023607863639E-4</c:v>
                </c:pt>
                <c:pt idx="28">
                  <c:v>1.6253704651868916E-4</c:v>
                </c:pt>
                <c:pt idx="29">
                  <c:v>1.7599715395979966E-4</c:v>
                </c:pt>
                <c:pt idx="30">
                  <c:v>1.9002006053731935E-4</c:v>
                </c:pt>
                <c:pt idx="31">
                  <c:v>2.0460491083918833E-4</c:v>
                </c:pt>
                <c:pt idx="32">
                  <c:v>2.1975051009759193E-4</c:v>
                </c:pt>
                <c:pt idx="33">
                  <c:v>2.3545534402712328E-4</c:v>
                </c:pt>
                <c:pt idx="34">
                  <c:v>2.5171759434482416E-4</c:v>
                </c:pt>
                <c:pt idx="35">
                  <c:v>2.6853515499657724E-4</c:v>
                </c:pt>
                <c:pt idx="36">
                  <c:v>2.8590564834722767E-4</c:v>
                </c:pt>
                <c:pt idx="37">
                  <c:v>3.0382643969243902E-4</c:v>
                </c:pt>
                <c:pt idx="38">
                  <c:v>3.2229465175546328E-4</c:v>
                </c:pt>
                <c:pt idx="39">
                  <c:v>3.4130717774950175E-4</c:v>
                </c:pt>
                <c:pt idx="40">
                  <c:v>3.6086063697395628E-4</c:v>
                </c:pt>
                <c:pt idx="41">
                  <c:v>3.809516409263178E-4</c:v>
                </c:pt>
                <c:pt idx="42">
                  <c:v>4.0157630115504302E-4</c:v>
                </c:pt>
                <c:pt idx="43">
                  <c:v>4.2273094490293179E-4</c:v>
                </c:pt>
                <c:pt idx="44">
                  <c:v>4.4441129892356122E-4</c:v>
                </c:pt>
                <c:pt idx="45">
                  <c:v>4.6661320902934798E-4</c:v>
                </c:pt>
                <c:pt idx="46">
                  <c:v>4.8933229998734484E-4</c:v>
                </c:pt>
                <c:pt idx="47">
                  <c:v>5.125640583720191E-4</c:v>
                </c:pt>
                <c:pt idx="48">
                  <c:v>5.3630384067118438E-4</c:v>
                </c:pt>
                <c:pt idx="49">
                  <c:v>5.3630384067118438E-4</c:v>
                </c:pt>
                <c:pt idx="50">
                  <c:v>5.6052915695113485E-4</c:v>
                </c:pt>
                <c:pt idx="51">
                  <c:v>5.851543007130731E-4</c:v>
                </c:pt>
                <c:pt idx="52">
                  <c:v>6.1009466900217499E-4</c:v>
                </c:pt>
                <c:pt idx="53">
                  <c:v>6.3528172597502989E-4</c:v>
                </c:pt>
                <c:pt idx="54">
                  <c:v>6.6065920705899958E-4</c:v>
                </c:pt>
                <c:pt idx="55">
                  <c:v>6.8618027014789201E-4</c:v>
                </c:pt>
                <c:pt idx="56">
                  <c:v>7.1180535623918283E-4</c:v>
                </c:pt>
                <c:pt idx="57">
                  <c:v>7.3750058031121833E-4</c:v>
                </c:pt>
                <c:pt idx="58">
                  <c:v>7.6323651834058913E-4</c:v>
                </c:pt>
                <c:pt idx="59">
                  <c:v>7.8898729216720102E-4</c:v>
                </c:pt>
                <c:pt idx="60">
                  <c:v>8.1472987404365271E-4</c:v>
                </c:pt>
                <c:pt idx="61">
                  <c:v>8.4044356339217923E-4</c:v>
                </c:pt>
                <c:pt idx="62">
                  <c:v>8.6610958286184212E-4</c:v>
                </c:pt>
                <c:pt idx="63">
                  <c:v>8.9171077085279759E-4</c:v>
                </c:pt>
                <c:pt idx="64">
                  <c:v>9.1723134402488357E-4</c:v>
                </c:pt>
                <c:pt idx="65">
                  <c:v>9.4265671279476543E-4</c:v>
                </c:pt>
                <c:pt idx="66">
                  <c:v>9.6797333649675593E-4</c:v>
                </c:pt>
                <c:pt idx="67">
                  <c:v>9.9316860905645783E-4</c:v>
                </c:pt>
                <c:pt idx="68">
                  <c:v>1.0182307670319282E-3</c:v>
                </c:pt>
                <c:pt idx="69">
                  <c:v>1.043148815036449E-3</c:v>
                </c:pt>
                <c:pt idx="70">
                  <c:v>1.0679124652235186E-3</c:v>
                </c:pt>
                <c:pt idx="71">
                  <c:v>1.092512084014223E-3</c:v>
                </c:pt>
                <c:pt idx="72">
                  <c:v>1.1169386508512822E-3</c:v>
                </c:pt>
                <c:pt idx="73">
                  <c:v>1.1411837191973376E-3</c:v>
                </c:pt>
                <c:pt idx="74">
                  <c:v>1.1652393839779833E-3</c:v>
                </c:pt>
                <c:pt idx="75">
                  <c:v>1.1890982522890186E-3</c:v>
                </c:pt>
                <c:pt idx="76">
                  <c:v>1.2127534170071565E-3</c:v>
                </c:pt>
                <c:pt idx="77">
                  <c:v>1.2361984328121763E-3</c:v>
                </c:pt>
                <c:pt idx="78">
                  <c:v>1.2594272940780625E-3</c:v>
                </c:pt>
                <c:pt idx="79">
                  <c:v>1.2824344143709421E-3</c:v>
                </c:pt>
                <c:pt idx="80">
                  <c:v>1.3052146075247686E-3</c:v>
                </c:pt>
                <c:pt idx="81">
                  <c:v>1.3277630700732281E-3</c:v>
                </c:pt>
                <c:pt idx="82">
                  <c:v>1.3500753607859379E-3</c:v>
                </c:pt>
                <c:pt idx="83">
                  <c:v>1.3721473874907368E-3</c:v>
                </c:pt>
                <c:pt idx="84">
                  <c:v>1.3939753960425822E-3</c:v>
                </c:pt>
                <c:pt idx="85">
                  <c:v>1.4155559476419163E-3</c:v>
                </c:pt>
                <c:pt idx="86">
                  <c:v>1.4368859081578319E-3</c:v>
                </c:pt>
                <c:pt idx="87">
                  <c:v>1.4579624353489612E-3</c:v>
                </c:pt>
                <c:pt idx="88">
                  <c:v>1.4787829653166319E-3</c:v>
                </c:pt>
                <c:pt idx="89">
                  <c:v>1.4993451998909415E-3</c:v>
                </c:pt>
                <c:pt idx="90">
                  <c:v>1.5196470956828465E-3</c:v>
                </c:pt>
                <c:pt idx="91">
                  <c:v>1.5396868519869501E-3</c:v>
                </c:pt>
                <c:pt idx="92">
                  <c:v>1.559462900222817E-3</c:v>
                </c:pt>
                <c:pt idx="93">
                  <c:v>1.5789738929679784E-3</c:v>
                </c:pt>
                <c:pt idx="94">
                  <c:v>1.5982186942760344E-3</c:v>
                </c:pt>
                <c:pt idx="95">
                  <c:v>1.617196370470575E-3</c:v>
                </c:pt>
                <c:pt idx="96">
                  <c:v>1.63590617929337E-3</c:v>
                </c:pt>
                <c:pt idx="97">
                  <c:v>1.6543475617098839E-3</c:v>
                </c:pt>
                <c:pt idx="98">
                  <c:v>1.6725201336985076E-3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87-4E7D-B33A-2EB98E645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32128"/>
        <c:axId val="325246976"/>
      </c:scatterChart>
      <c:valAx>
        <c:axId val="325232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246976"/>
        <c:crosses val="autoZero"/>
        <c:crossBetween val="midCat"/>
      </c:valAx>
      <c:valAx>
        <c:axId val="3252469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32523212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609600</xdr:colOff>
      <xdr:row>1</xdr:row>
      <xdr:rowOff>56057</xdr:rowOff>
    </xdr:from>
    <xdr:to>
      <xdr:col>15</xdr:col>
      <xdr:colOff>352949</xdr:colOff>
      <xdr:row>5</xdr:row>
      <xdr:rowOff>126764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 noChangeAspect="1"/>
        </xdr:cNvGrpSpPr>
      </xdr:nvGrpSpPr>
      <xdr:grpSpPr>
        <a:xfrm>
          <a:off x="8267700" y="214807"/>
          <a:ext cx="2689749" cy="705707"/>
          <a:chOff x="4581525" y="56057"/>
          <a:chExt cx="2829449" cy="778489"/>
        </a:xfrm>
      </xdr:grpSpPr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0559" y="56057"/>
            <a:ext cx="680415" cy="531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81525" y="57151"/>
            <a:ext cx="2664000" cy="77739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657225</xdr:colOff>
      <xdr:row>25</xdr:row>
      <xdr:rowOff>28575</xdr:rowOff>
    </xdr:from>
    <xdr:to>
      <xdr:col>78</xdr:col>
      <xdr:colOff>657225</xdr:colOff>
      <xdr:row>44</xdr:row>
      <xdr:rowOff>38100</xdr:rowOff>
    </xdr:to>
    <xdr:sp macro="" textlink="">
      <xdr:nvSpPr>
        <xdr:cNvPr id="12298715" name="Line 1117">
          <a:extLst>
            <a:ext uri="{FF2B5EF4-FFF2-40B4-BE49-F238E27FC236}">
              <a16:creationId xmlns:a16="http://schemas.microsoft.com/office/drawing/2014/main" id="{00000000-0008-0000-0D00-0000DBA9BB00}"/>
            </a:ext>
          </a:extLst>
        </xdr:cNvPr>
        <xdr:cNvSpPr>
          <a:spLocks noChangeShapeType="1"/>
        </xdr:cNvSpPr>
      </xdr:nvSpPr>
      <xdr:spPr bwMode="auto">
        <a:xfrm>
          <a:off x="32889825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25</xdr:row>
      <xdr:rowOff>28575</xdr:rowOff>
    </xdr:from>
    <xdr:to>
      <xdr:col>78</xdr:col>
      <xdr:colOff>666750</xdr:colOff>
      <xdr:row>44</xdr:row>
      <xdr:rowOff>95250</xdr:rowOff>
    </xdr:to>
    <xdr:sp macro="" textlink="">
      <xdr:nvSpPr>
        <xdr:cNvPr id="12298716" name="Line 1118">
          <a:extLst>
            <a:ext uri="{FF2B5EF4-FFF2-40B4-BE49-F238E27FC236}">
              <a16:creationId xmlns:a16="http://schemas.microsoft.com/office/drawing/2014/main" id="{00000000-0008-0000-0D00-0000DCA9BB00}"/>
            </a:ext>
          </a:extLst>
        </xdr:cNvPr>
        <xdr:cNvSpPr>
          <a:spLocks noChangeShapeType="1"/>
        </xdr:cNvSpPr>
      </xdr:nvSpPr>
      <xdr:spPr bwMode="auto">
        <a:xfrm>
          <a:off x="3289935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657225</xdr:colOff>
      <xdr:row>85</xdr:row>
      <xdr:rowOff>28575</xdr:rowOff>
    </xdr:from>
    <xdr:to>
      <xdr:col>78</xdr:col>
      <xdr:colOff>657225</xdr:colOff>
      <xdr:row>104</xdr:row>
      <xdr:rowOff>38100</xdr:rowOff>
    </xdr:to>
    <xdr:sp macro="" textlink="">
      <xdr:nvSpPr>
        <xdr:cNvPr id="12298717" name="Line 1117">
          <a:extLst>
            <a:ext uri="{FF2B5EF4-FFF2-40B4-BE49-F238E27FC236}">
              <a16:creationId xmlns:a16="http://schemas.microsoft.com/office/drawing/2014/main" id="{00000000-0008-0000-0D00-0000DDA9BB00}"/>
            </a:ext>
          </a:extLst>
        </xdr:cNvPr>
        <xdr:cNvSpPr>
          <a:spLocks noChangeShapeType="1"/>
        </xdr:cNvSpPr>
      </xdr:nvSpPr>
      <xdr:spPr bwMode="auto">
        <a:xfrm>
          <a:off x="32889825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85</xdr:row>
      <xdr:rowOff>28575</xdr:rowOff>
    </xdr:from>
    <xdr:to>
      <xdr:col>78</xdr:col>
      <xdr:colOff>666750</xdr:colOff>
      <xdr:row>104</xdr:row>
      <xdr:rowOff>95250</xdr:rowOff>
    </xdr:to>
    <xdr:sp macro="" textlink="">
      <xdr:nvSpPr>
        <xdr:cNvPr id="12298718" name="Line 1118">
          <a:extLst>
            <a:ext uri="{FF2B5EF4-FFF2-40B4-BE49-F238E27FC236}">
              <a16:creationId xmlns:a16="http://schemas.microsoft.com/office/drawing/2014/main" id="{00000000-0008-0000-0D00-0000DEA9BB00}"/>
            </a:ext>
          </a:extLst>
        </xdr:cNvPr>
        <xdr:cNvSpPr>
          <a:spLocks noChangeShapeType="1"/>
        </xdr:cNvSpPr>
      </xdr:nvSpPr>
      <xdr:spPr bwMode="auto">
        <a:xfrm>
          <a:off x="3289935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72</xdr:col>
      <xdr:colOff>9525</xdr:colOff>
      <xdr:row>142</xdr:row>
      <xdr:rowOff>95250</xdr:rowOff>
    </xdr:from>
    <xdr:to>
      <xdr:col>72</xdr:col>
      <xdr:colOff>438150</xdr:colOff>
      <xdr:row>145</xdr:row>
      <xdr:rowOff>95250</xdr:rowOff>
    </xdr:to>
    <xdr:sp macro="" textlink="">
      <xdr:nvSpPr>
        <xdr:cNvPr id="12298719" name="Freeform 2190">
          <a:extLst>
            <a:ext uri="{FF2B5EF4-FFF2-40B4-BE49-F238E27FC236}">
              <a16:creationId xmlns:a16="http://schemas.microsoft.com/office/drawing/2014/main" id="{00000000-0008-0000-0D00-0000DFA9BB00}"/>
            </a:ext>
          </a:extLst>
        </xdr:cNvPr>
        <xdr:cNvSpPr>
          <a:spLocks/>
        </xdr:cNvSpPr>
      </xdr:nvSpPr>
      <xdr:spPr bwMode="auto">
        <a:xfrm>
          <a:off x="2795587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47625</xdr:colOff>
      <xdr:row>133</xdr:row>
      <xdr:rowOff>28575</xdr:rowOff>
    </xdr:from>
    <xdr:to>
      <xdr:col>73</xdr:col>
      <xdr:colOff>666750</xdr:colOff>
      <xdr:row>164</xdr:row>
      <xdr:rowOff>9525</xdr:rowOff>
    </xdr:to>
    <xdr:grpSp>
      <xdr:nvGrpSpPr>
        <xdr:cNvPr id="12298720" name="Group 2">
          <a:extLst>
            <a:ext uri="{FF2B5EF4-FFF2-40B4-BE49-F238E27FC236}">
              <a16:creationId xmlns:a16="http://schemas.microsoft.com/office/drawing/2014/main" id="{00000000-0008-0000-0D00-0000E0A9BB00}"/>
            </a:ext>
          </a:extLst>
        </xdr:cNvPr>
        <xdr:cNvGrpSpPr>
          <a:grpSpLocks/>
        </xdr:cNvGrpSpPr>
      </xdr:nvGrpSpPr>
      <xdr:grpSpPr bwMode="auto">
        <a:xfrm>
          <a:off x="26450925" y="21142325"/>
          <a:ext cx="3311525" cy="4902200"/>
          <a:chOff x="26729531" y="21566981"/>
          <a:chExt cx="3476625" cy="4963716"/>
        </a:xfrm>
      </xdr:grpSpPr>
      <xdr:sp macro="" textlink="">
        <xdr:nvSpPr>
          <xdr:cNvPr id="12299236" name="Line 2130">
            <a:extLst>
              <a:ext uri="{FF2B5EF4-FFF2-40B4-BE49-F238E27FC236}">
                <a16:creationId xmlns:a16="http://schemas.microsoft.com/office/drawing/2014/main" id="{00000000-0008-0000-0D00-0000E4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7" name="Rectangle 2131">
            <a:extLst>
              <a:ext uri="{FF2B5EF4-FFF2-40B4-BE49-F238E27FC236}">
                <a16:creationId xmlns:a16="http://schemas.microsoft.com/office/drawing/2014/main" id="{00000000-0008-0000-0D00-0000E5AB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9238" name="Line 2132">
            <a:extLst>
              <a:ext uri="{FF2B5EF4-FFF2-40B4-BE49-F238E27FC236}">
                <a16:creationId xmlns:a16="http://schemas.microsoft.com/office/drawing/2014/main" id="{00000000-0008-0000-0D00-0000E6AB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9" name="Line 2133">
            <a:extLst>
              <a:ext uri="{FF2B5EF4-FFF2-40B4-BE49-F238E27FC236}">
                <a16:creationId xmlns:a16="http://schemas.microsoft.com/office/drawing/2014/main" id="{00000000-0008-0000-0D00-0000E7AB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0" name="Line 2134">
            <a:extLst>
              <a:ext uri="{FF2B5EF4-FFF2-40B4-BE49-F238E27FC236}">
                <a16:creationId xmlns:a16="http://schemas.microsoft.com/office/drawing/2014/main" id="{00000000-0008-0000-0D00-0000E8AB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1" name="Line 2132">
            <a:extLst>
              <a:ext uri="{FF2B5EF4-FFF2-40B4-BE49-F238E27FC236}">
                <a16:creationId xmlns:a16="http://schemas.microsoft.com/office/drawing/2014/main" id="{00000000-0008-0000-0D00-0000E9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457200</xdr:colOff>
      <xdr:row>5</xdr:row>
      <xdr:rowOff>142875</xdr:rowOff>
    </xdr:from>
    <xdr:to>
      <xdr:col>80</xdr:col>
      <xdr:colOff>533400</xdr:colOff>
      <xdr:row>12</xdr:row>
      <xdr:rowOff>142875</xdr:rowOff>
    </xdr:to>
    <xdr:grpSp>
      <xdr:nvGrpSpPr>
        <xdr:cNvPr id="12298721" name="Group 680">
          <a:extLst>
            <a:ext uri="{FF2B5EF4-FFF2-40B4-BE49-F238E27FC236}">
              <a16:creationId xmlns:a16="http://schemas.microsoft.com/office/drawing/2014/main" id="{00000000-0008-0000-0D00-0000E1A9BB00}"/>
            </a:ext>
          </a:extLst>
        </xdr:cNvPr>
        <xdr:cNvGrpSpPr>
          <a:grpSpLocks/>
        </xdr:cNvGrpSpPr>
      </xdr:nvGrpSpPr>
      <xdr:grpSpPr bwMode="auto">
        <a:xfrm>
          <a:off x="32245300" y="936625"/>
          <a:ext cx="2095500" cy="1111250"/>
          <a:chOff x="5741064" y="463829"/>
          <a:chExt cx="1554221" cy="788339"/>
        </a:xfrm>
      </xdr:grpSpPr>
      <xdr:sp macro="" textlink="">
        <xdr:nvSpPr>
          <xdr:cNvPr id="12299216" name="Line 1465">
            <a:extLst>
              <a:ext uri="{FF2B5EF4-FFF2-40B4-BE49-F238E27FC236}">
                <a16:creationId xmlns:a16="http://schemas.microsoft.com/office/drawing/2014/main" id="{00000000-0008-0000-0D00-0000D0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7" name="Line 1466">
            <a:extLst>
              <a:ext uri="{FF2B5EF4-FFF2-40B4-BE49-F238E27FC236}">
                <a16:creationId xmlns:a16="http://schemas.microsoft.com/office/drawing/2014/main" id="{00000000-0008-0000-0D00-0000D1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8" name="Line 1467">
            <a:extLst>
              <a:ext uri="{FF2B5EF4-FFF2-40B4-BE49-F238E27FC236}">
                <a16:creationId xmlns:a16="http://schemas.microsoft.com/office/drawing/2014/main" id="{00000000-0008-0000-0D00-0000D2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9" name="Line 1468">
            <a:extLst>
              <a:ext uri="{FF2B5EF4-FFF2-40B4-BE49-F238E27FC236}">
                <a16:creationId xmlns:a16="http://schemas.microsoft.com/office/drawing/2014/main" id="{00000000-0008-0000-0D00-0000D3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0" name="Line 1469">
            <a:extLst>
              <a:ext uri="{FF2B5EF4-FFF2-40B4-BE49-F238E27FC236}">
                <a16:creationId xmlns:a16="http://schemas.microsoft.com/office/drawing/2014/main" id="{00000000-0008-0000-0D00-0000D4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1" name="Oval 686">
            <a:extLst>
              <a:ext uri="{FF2B5EF4-FFF2-40B4-BE49-F238E27FC236}">
                <a16:creationId xmlns:a16="http://schemas.microsoft.com/office/drawing/2014/main" id="{00000000-0008-0000-0D00-0000D5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222" name="Group 687">
            <a:extLst>
              <a:ext uri="{FF2B5EF4-FFF2-40B4-BE49-F238E27FC236}">
                <a16:creationId xmlns:a16="http://schemas.microsoft.com/office/drawing/2014/main" id="{00000000-0008-0000-0D00-0000D6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223" name="Arc 1475">
              <a:extLst>
                <a:ext uri="{FF2B5EF4-FFF2-40B4-BE49-F238E27FC236}">
                  <a16:creationId xmlns:a16="http://schemas.microsoft.com/office/drawing/2014/main" id="{00000000-0008-0000-0D00-0000D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4" name="Arc 1476">
              <a:extLst>
                <a:ext uri="{FF2B5EF4-FFF2-40B4-BE49-F238E27FC236}">
                  <a16:creationId xmlns:a16="http://schemas.microsoft.com/office/drawing/2014/main" id="{00000000-0008-0000-0D00-0000D8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5" name="Arc 1477">
              <a:extLst>
                <a:ext uri="{FF2B5EF4-FFF2-40B4-BE49-F238E27FC236}">
                  <a16:creationId xmlns:a16="http://schemas.microsoft.com/office/drawing/2014/main" id="{00000000-0008-0000-0D00-0000D9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6" name="Arc 1478">
              <a:extLst>
                <a:ext uri="{FF2B5EF4-FFF2-40B4-BE49-F238E27FC236}">
                  <a16:creationId xmlns:a16="http://schemas.microsoft.com/office/drawing/2014/main" id="{00000000-0008-0000-0D00-0000DA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7" name="Arc 1479">
              <a:extLst>
                <a:ext uri="{FF2B5EF4-FFF2-40B4-BE49-F238E27FC236}">
                  <a16:creationId xmlns:a16="http://schemas.microsoft.com/office/drawing/2014/main" id="{00000000-0008-0000-0D00-0000DB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4" name="Rectangle 693">
              <a:extLst>
                <a:ext uri="{FF2B5EF4-FFF2-40B4-BE49-F238E27FC236}">
                  <a16:creationId xmlns:a16="http://schemas.microsoft.com/office/drawing/2014/main" id="{00000000-0008-0000-0D00-0000B602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5" name="Rectangle 694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6" name="Rectangle 695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1" name="Arc 1473">
              <a:extLst>
                <a:ext uri="{FF2B5EF4-FFF2-40B4-BE49-F238E27FC236}">
                  <a16:creationId xmlns:a16="http://schemas.microsoft.com/office/drawing/2014/main" id="{00000000-0008-0000-0D00-0000DF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2" name="Arc 1474">
              <a:extLst>
                <a:ext uri="{FF2B5EF4-FFF2-40B4-BE49-F238E27FC236}">
                  <a16:creationId xmlns:a16="http://schemas.microsoft.com/office/drawing/2014/main" id="{00000000-0008-0000-0D00-0000E0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9" name="Rectangle 698">
              <a:extLst>
                <a:ext uri="{FF2B5EF4-FFF2-40B4-BE49-F238E27FC236}">
                  <a16:creationId xmlns:a16="http://schemas.microsoft.com/office/drawing/2014/main" id="{00000000-0008-0000-0D00-0000BB02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4" name="Arc 1481">
              <a:extLst>
                <a:ext uri="{FF2B5EF4-FFF2-40B4-BE49-F238E27FC236}">
                  <a16:creationId xmlns:a16="http://schemas.microsoft.com/office/drawing/2014/main" id="{00000000-0008-0000-0D00-0000E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5" name="Arc 1480">
              <a:extLst>
                <a:ext uri="{FF2B5EF4-FFF2-40B4-BE49-F238E27FC236}">
                  <a16:creationId xmlns:a16="http://schemas.microsoft.com/office/drawing/2014/main" id="{00000000-0008-0000-0D00-0000E3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69</xdr:col>
      <xdr:colOff>371475</xdr:colOff>
      <xdr:row>4</xdr:row>
      <xdr:rowOff>9525</xdr:rowOff>
    </xdr:from>
    <xdr:to>
      <xdr:col>84</xdr:col>
      <xdr:colOff>314325</xdr:colOff>
      <xdr:row>44</xdr:row>
      <xdr:rowOff>9525</xdr:rowOff>
    </xdr:to>
    <xdr:grpSp>
      <xdr:nvGrpSpPr>
        <xdr:cNvPr id="12298722" name="Group 595">
          <a:extLst>
            <a:ext uri="{FF2B5EF4-FFF2-40B4-BE49-F238E27FC236}">
              <a16:creationId xmlns:a16="http://schemas.microsoft.com/office/drawing/2014/main" id="{00000000-0008-0000-0D00-0000E2A9BB00}"/>
            </a:ext>
          </a:extLst>
        </xdr:cNvPr>
        <xdr:cNvGrpSpPr>
          <a:grpSpLocks/>
        </xdr:cNvGrpSpPr>
      </xdr:nvGrpSpPr>
      <xdr:grpSpPr bwMode="auto">
        <a:xfrm>
          <a:off x="26774775" y="644525"/>
          <a:ext cx="10039350" cy="6350000"/>
          <a:chOff x="26969974" y="793937"/>
          <a:chExt cx="10706389" cy="6272366"/>
        </a:xfrm>
      </xdr:grpSpPr>
      <xdr:cxnSp macro="">
        <xdr:nvCxnSpPr>
          <xdr:cNvPr id="549" name="Straight Connector 548">
            <a:extLst>
              <a:ext uri="{FF2B5EF4-FFF2-40B4-BE49-F238E27FC236}">
                <a16:creationId xmlns:a16="http://schemas.microsoft.com/office/drawing/2014/main" id="{00000000-0008-0000-0D00-00002502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99197" name="Rectangle 762">
            <a:extLst>
              <a:ext uri="{FF2B5EF4-FFF2-40B4-BE49-F238E27FC236}">
                <a16:creationId xmlns:a16="http://schemas.microsoft.com/office/drawing/2014/main" id="{00000000-0008-0000-0D00-0000BDABBB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533" name="Straight Connector 532">
            <a:extLst>
              <a:ext uri="{FF2B5EF4-FFF2-40B4-BE49-F238E27FC236}">
                <a16:creationId xmlns:a16="http://schemas.microsoft.com/office/drawing/2014/main" id="{00000000-0008-0000-0D00-00001502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4" name="Straight Connector 533">
            <a:extLst>
              <a:ext uri="{FF2B5EF4-FFF2-40B4-BE49-F238E27FC236}">
                <a16:creationId xmlns:a16="http://schemas.microsoft.com/office/drawing/2014/main" id="{00000000-0008-0000-0D00-00001602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D00-00001802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7" name="Straight Connector 536">
            <a:extLst>
              <a:ext uri="{FF2B5EF4-FFF2-40B4-BE49-F238E27FC236}">
                <a16:creationId xmlns:a16="http://schemas.microsoft.com/office/drawing/2014/main" id="{00000000-0008-0000-0D00-00001902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2" name="Straight Connector 541">
            <a:extLst>
              <a:ext uri="{FF2B5EF4-FFF2-40B4-BE49-F238E27FC236}">
                <a16:creationId xmlns:a16="http://schemas.microsoft.com/office/drawing/2014/main" id="{00000000-0008-0000-0D00-00001E02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3" name="Straight Connector 542">
            <a:extLst>
              <a:ext uri="{FF2B5EF4-FFF2-40B4-BE49-F238E27FC236}">
                <a16:creationId xmlns:a16="http://schemas.microsoft.com/office/drawing/2014/main" id="{00000000-0008-0000-0D00-00001F02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5" name="Straight Connector 544">
            <a:extLst>
              <a:ext uri="{FF2B5EF4-FFF2-40B4-BE49-F238E27FC236}">
                <a16:creationId xmlns:a16="http://schemas.microsoft.com/office/drawing/2014/main" id="{00000000-0008-0000-0D00-00002102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6" name="Straight Connector 545">
            <a:extLst>
              <a:ext uri="{FF2B5EF4-FFF2-40B4-BE49-F238E27FC236}">
                <a16:creationId xmlns:a16="http://schemas.microsoft.com/office/drawing/2014/main" id="{00000000-0008-0000-0D00-00002202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7" name="Straight Connector 546">
            <a:extLst>
              <a:ext uri="{FF2B5EF4-FFF2-40B4-BE49-F238E27FC236}">
                <a16:creationId xmlns:a16="http://schemas.microsoft.com/office/drawing/2014/main" id="{00000000-0008-0000-0D00-00002302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7" name="Straight Connector 566">
            <a:extLst>
              <a:ext uri="{FF2B5EF4-FFF2-40B4-BE49-F238E27FC236}">
                <a16:creationId xmlns:a16="http://schemas.microsoft.com/office/drawing/2014/main" id="{00000000-0008-0000-0D00-00003702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99208" name="Straight Connector 515">
            <a:extLst>
              <a:ext uri="{FF2B5EF4-FFF2-40B4-BE49-F238E27FC236}">
                <a16:creationId xmlns:a16="http://schemas.microsoft.com/office/drawing/2014/main" id="{00000000-0008-0000-0D00-0000C8ABBB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9" name="Straight Connector 588">
            <a:extLst>
              <a:ext uri="{FF2B5EF4-FFF2-40B4-BE49-F238E27FC236}">
                <a16:creationId xmlns:a16="http://schemas.microsoft.com/office/drawing/2014/main" id="{00000000-0008-0000-0D00-00004D02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5" name="Straight Connector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0" name="Straight Connector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Straight Connector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9" name="Straight Connector 638">
            <a:extLst>
              <a:ext uri="{FF2B5EF4-FFF2-40B4-BE49-F238E27FC236}">
                <a16:creationId xmlns:a16="http://schemas.microsoft.com/office/drawing/2014/main" id="{00000000-0008-0000-0D00-00007F02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0" name="Straight Connector 639">
            <a:extLst>
              <a:ext uri="{FF2B5EF4-FFF2-40B4-BE49-F238E27FC236}">
                <a16:creationId xmlns:a16="http://schemas.microsoft.com/office/drawing/2014/main" id="{00000000-0008-0000-0D00-00008002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1" name="Straight Connector 640">
            <a:extLst>
              <a:ext uri="{FF2B5EF4-FFF2-40B4-BE49-F238E27FC236}">
                <a16:creationId xmlns:a16="http://schemas.microsoft.com/office/drawing/2014/main" id="{00000000-0008-0000-0D00-00008102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209550</xdr:colOff>
      <xdr:row>24</xdr:row>
      <xdr:rowOff>66675</xdr:rowOff>
    </xdr:from>
    <xdr:to>
      <xdr:col>70</xdr:col>
      <xdr:colOff>66675</xdr:colOff>
      <xdr:row>24</xdr:row>
      <xdr:rowOff>66675</xdr:rowOff>
    </xdr:to>
    <xdr:sp macro="" textlink="">
      <xdr:nvSpPr>
        <xdr:cNvPr id="12298723" name="Line 1548">
          <a:extLst>
            <a:ext uri="{FF2B5EF4-FFF2-40B4-BE49-F238E27FC236}">
              <a16:creationId xmlns:a16="http://schemas.microsoft.com/office/drawing/2014/main" id="{00000000-0008-0000-0D00-0000E3A9BB00}"/>
            </a:ext>
          </a:extLst>
        </xdr:cNvPr>
        <xdr:cNvSpPr>
          <a:spLocks noChangeShapeType="1"/>
        </xdr:cNvSpPr>
      </xdr:nvSpPr>
      <xdr:spPr bwMode="auto">
        <a:xfrm>
          <a:off x="26012775" y="4114800"/>
          <a:ext cx="571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24</xdr:row>
      <xdr:rowOff>114300</xdr:rowOff>
    </xdr:from>
    <xdr:to>
      <xdr:col>69</xdr:col>
      <xdr:colOff>657225</xdr:colOff>
      <xdr:row>24</xdr:row>
      <xdr:rowOff>114300</xdr:rowOff>
    </xdr:to>
    <xdr:sp macro="" textlink="">
      <xdr:nvSpPr>
        <xdr:cNvPr id="12298724" name="Line 1549">
          <a:extLst>
            <a:ext uri="{FF2B5EF4-FFF2-40B4-BE49-F238E27FC236}">
              <a16:creationId xmlns:a16="http://schemas.microsoft.com/office/drawing/2014/main" id="{00000000-0008-0000-0D00-0000E4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4162425"/>
          <a:ext cx="638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9</xdr:row>
      <xdr:rowOff>85725</xdr:rowOff>
    </xdr:from>
    <xdr:to>
      <xdr:col>69</xdr:col>
      <xdr:colOff>676275</xdr:colOff>
      <xdr:row>9</xdr:row>
      <xdr:rowOff>85725</xdr:rowOff>
    </xdr:to>
    <xdr:sp macro="" textlink="">
      <xdr:nvSpPr>
        <xdr:cNvPr id="12298725" name="Line 1493">
          <a:extLst>
            <a:ext uri="{FF2B5EF4-FFF2-40B4-BE49-F238E27FC236}">
              <a16:creationId xmlns:a16="http://schemas.microsoft.com/office/drawing/2014/main" id="{00000000-0008-0000-0D00-0000E5A9BB00}"/>
            </a:ext>
          </a:extLst>
        </xdr:cNvPr>
        <xdr:cNvSpPr>
          <a:spLocks noChangeShapeType="1"/>
        </xdr:cNvSpPr>
      </xdr:nvSpPr>
      <xdr:spPr bwMode="auto">
        <a:xfrm flipV="1">
          <a:off x="25831800" y="1704975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27</xdr:row>
      <xdr:rowOff>76200</xdr:rowOff>
    </xdr:from>
    <xdr:to>
      <xdr:col>72</xdr:col>
      <xdr:colOff>447675</xdr:colOff>
      <xdr:row>27</xdr:row>
      <xdr:rowOff>76200</xdr:rowOff>
    </xdr:to>
    <xdr:sp macro="" textlink="">
      <xdr:nvSpPr>
        <xdr:cNvPr id="12298726" name="Line 1633">
          <a:extLst>
            <a:ext uri="{FF2B5EF4-FFF2-40B4-BE49-F238E27FC236}">
              <a16:creationId xmlns:a16="http://schemas.microsoft.com/office/drawing/2014/main" id="{00000000-0008-0000-0D00-0000E6A9BB00}"/>
            </a:ext>
          </a:extLst>
        </xdr:cNvPr>
        <xdr:cNvSpPr>
          <a:spLocks noChangeShapeType="1"/>
        </xdr:cNvSpPr>
      </xdr:nvSpPr>
      <xdr:spPr bwMode="auto">
        <a:xfrm>
          <a:off x="25822275" y="4610100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7</xdr:row>
      <xdr:rowOff>85725</xdr:rowOff>
    </xdr:from>
    <xdr:to>
      <xdr:col>70</xdr:col>
      <xdr:colOff>47625</xdr:colOff>
      <xdr:row>7</xdr:row>
      <xdr:rowOff>85725</xdr:rowOff>
    </xdr:to>
    <xdr:sp macro="" textlink="">
      <xdr:nvSpPr>
        <xdr:cNvPr id="12298727" name="Line 1658">
          <a:extLst>
            <a:ext uri="{FF2B5EF4-FFF2-40B4-BE49-F238E27FC236}">
              <a16:creationId xmlns:a16="http://schemas.microsoft.com/office/drawing/2014/main" id="{00000000-0008-0000-0D00-0000E7A9BB00}"/>
            </a:ext>
          </a:extLst>
        </xdr:cNvPr>
        <xdr:cNvSpPr>
          <a:spLocks noChangeShapeType="1"/>
        </xdr:cNvSpPr>
      </xdr:nvSpPr>
      <xdr:spPr bwMode="auto">
        <a:xfrm flipV="1">
          <a:off x="25831800" y="1381125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</xdr:row>
      <xdr:rowOff>85725</xdr:rowOff>
    </xdr:from>
    <xdr:to>
      <xdr:col>69</xdr:col>
      <xdr:colOff>704850</xdr:colOff>
      <xdr:row>8</xdr:row>
      <xdr:rowOff>85725</xdr:rowOff>
    </xdr:to>
    <xdr:sp macro="" textlink="">
      <xdr:nvSpPr>
        <xdr:cNvPr id="12298728" name="Line 1659">
          <a:extLst>
            <a:ext uri="{FF2B5EF4-FFF2-40B4-BE49-F238E27FC236}">
              <a16:creationId xmlns:a16="http://schemas.microsoft.com/office/drawing/2014/main" id="{00000000-0008-0000-0D00-0000E8A9BB00}"/>
            </a:ext>
          </a:extLst>
        </xdr:cNvPr>
        <xdr:cNvSpPr>
          <a:spLocks noChangeShapeType="1"/>
        </xdr:cNvSpPr>
      </xdr:nvSpPr>
      <xdr:spPr bwMode="auto">
        <a:xfrm flipH="1">
          <a:off x="25803225" y="1543050"/>
          <a:ext cx="70485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285750</xdr:colOff>
      <xdr:row>32</xdr:row>
      <xdr:rowOff>95250</xdr:rowOff>
    </xdr:from>
    <xdr:to>
      <xdr:col>84</xdr:col>
      <xdr:colOff>590550</xdr:colOff>
      <xdr:row>32</xdr:row>
      <xdr:rowOff>95250</xdr:rowOff>
    </xdr:to>
    <xdr:sp macro="" textlink="">
      <xdr:nvSpPr>
        <xdr:cNvPr id="12298729" name="Line 1757">
          <a:extLst>
            <a:ext uri="{FF2B5EF4-FFF2-40B4-BE49-F238E27FC236}">
              <a16:creationId xmlns:a16="http://schemas.microsoft.com/office/drawing/2014/main" id="{00000000-0008-0000-0D00-0000E9A9BB00}"/>
            </a:ext>
          </a:extLst>
        </xdr:cNvPr>
        <xdr:cNvSpPr>
          <a:spLocks noChangeShapeType="1"/>
        </xdr:cNvSpPr>
      </xdr:nvSpPr>
      <xdr:spPr bwMode="auto">
        <a:xfrm flipH="1">
          <a:off x="36090225" y="54387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171450</xdr:colOff>
      <xdr:row>33</xdr:row>
      <xdr:rowOff>95250</xdr:rowOff>
    </xdr:from>
    <xdr:to>
      <xdr:col>84</xdr:col>
      <xdr:colOff>590550</xdr:colOff>
      <xdr:row>33</xdr:row>
      <xdr:rowOff>95250</xdr:rowOff>
    </xdr:to>
    <xdr:sp macro="" textlink="">
      <xdr:nvSpPr>
        <xdr:cNvPr id="12298730" name="Line 1758">
          <a:extLst>
            <a:ext uri="{FF2B5EF4-FFF2-40B4-BE49-F238E27FC236}">
              <a16:creationId xmlns:a16="http://schemas.microsoft.com/office/drawing/2014/main" id="{00000000-0008-0000-0D00-0000EAA9BB00}"/>
            </a:ext>
          </a:extLst>
        </xdr:cNvPr>
        <xdr:cNvSpPr>
          <a:spLocks noChangeShapeType="1"/>
        </xdr:cNvSpPr>
      </xdr:nvSpPr>
      <xdr:spPr bwMode="auto">
        <a:xfrm flipH="1" flipV="1">
          <a:off x="34547175" y="56007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247650</xdr:colOff>
      <xdr:row>34</xdr:row>
      <xdr:rowOff>104775</xdr:rowOff>
    </xdr:from>
    <xdr:to>
      <xdr:col>84</xdr:col>
      <xdr:colOff>590550</xdr:colOff>
      <xdr:row>34</xdr:row>
      <xdr:rowOff>104775</xdr:rowOff>
    </xdr:to>
    <xdr:sp macro="" textlink="">
      <xdr:nvSpPr>
        <xdr:cNvPr id="12298731" name="Line 1759">
          <a:extLst>
            <a:ext uri="{FF2B5EF4-FFF2-40B4-BE49-F238E27FC236}">
              <a16:creationId xmlns:a16="http://schemas.microsoft.com/office/drawing/2014/main" id="{00000000-0008-0000-0D00-0000EBA9BB00}"/>
            </a:ext>
          </a:extLst>
        </xdr:cNvPr>
        <xdr:cNvSpPr>
          <a:spLocks noChangeShapeType="1"/>
        </xdr:cNvSpPr>
      </xdr:nvSpPr>
      <xdr:spPr bwMode="auto">
        <a:xfrm flipH="1">
          <a:off x="31765875" y="57721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219075</xdr:colOff>
      <xdr:row>3</xdr:row>
      <xdr:rowOff>57150</xdr:rowOff>
    </xdr:from>
    <xdr:to>
      <xdr:col>75</xdr:col>
      <xdr:colOff>485775</xdr:colOff>
      <xdr:row>5</xdr:row>
      <xdr:rowOff>19050</xdr:rowOff>
    </xdr:to>
    <xdr:sp macro="" textlink="">
      <xdr:nvSpPr>
        <xdr:cNvPr id="12298732" name="Line 2552">
          <a:extLst>
            <a:ext uri="{FF2B5EF4-FFF2-40B4-BE49-F238E27FC236}">
              <a16:creationId xmlns:a16="http://schemas.microsoft.com/office/drawing/2014/main" id="{00000000-0008-0000-0D00-0000ECA9BB00}"/>
            </a:ext>
          </a:extLst>
        </xdr:cNvPr>
        <xdr:cNvSpPr>
          <a:spLocks noChangeShapeType="1"/>
        </xdr:cNvSpPr>
      </xdr:nvSpPr>
      <xdr:spPr bwMode="auto">
        <a:xfrm rot="18953249" flipV="1">
          <a:off x="30308550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161925</xdr:colOff>
      <xdr:row>23</xdr:row>
      <xdr:rowOff>47625</xdr:rowOff>
    </xdr:from>
    <xdr:to>
      <xdr:col>73</xdr:col>
      <xdr:colOff>38100</xdr:colOff>
      <xdr:row>23</xdr:row>
      <xdr:rowOff>47625</xdr:rowOff>
    </xdr:to>
    <xdr:sp macro="" textlink="">
      <xdr:nvSpPr>
        <xdr:cNvPr id="12298733" name="Line 1636">
          <a:extLst>
            <a:ext uri="{FF2B5EF4-FFF2-40B4-BE49-F238E27FC236}">
              <a16:creationId xmlns:a16="http://schemas.microsoft.com/office/drawing/2014/main" id="{00000000-0008-0000-0D00-0000EDA9BB00}"/>
            </a:ext>
          </a:extLst>
        </xdr:cNvPr>
        <xdr:cNvSpPr>
          <a:spLocks noChangeShapeType="1"/>
        </xdr:cNvSpPr>
      </xdr:nvSpPr>
      <xdr:spPr bwMode="auto">
        <a:xfrm flipV="1">
          <a:off x="25965150" y="393382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23</xdr:row>
      <xdr:rowOff>95250</xdr:rowOff>
    </xdr:from>
    <xdr:to>
      <xdr:col>72</xdr:col>
      <xdr:colOff>638175</xdr:colOff>
      <xdr:row>23</xdr:row>
      <xdr:rowOff>104775</xdr:rowOff>
    </xdr:to>
    <xdr:sp macro="" textlink="">
      <xdr:nvSpPr>
        <xdr:cNvPr id="12298734" name="Line 1549">
          <a:extLst>
            <a:ext uri="{FF2B5EF4-FFF2-40B4-BE49-F238E27FC236}">
              <a16:creationId xmlns:a16="http://schemas.microsoft.com/office/drawing/2014/main" id="{00000000-0008-0000-0D00-0000EE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981450"/>
          <a:ext cx="27622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22</xdr:row>
      <xdr:rowOff>76200</xdr:rowOff>
    </xdr:from>
    <xdr:to>
      <xdr:col>75</xdr:col>
      <xdr:colOff>571500</xdr:colOff>
      <xdr:row>22</xdr:row>
      <xdr:rowOff>76200</xdr:rowOff>
    </xdr:to>
    <xdr:sp macro="" textlink="">
      <xdr:nvSpPr>
        <xdr:cNvPr id="12298735" name="Line 1549">
          <a:extLst>
            <a:ext uri="{FF2B5EF4-FFF2-40B4-BE49-F238E27FC236}">
              <a16:creationId xmlns:a16="http://schemas.microsoft.com/office/drawing/2014/main" id="{00000000-0008-0000-0D00-0000EF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800475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26</xdr:row>
      <xdr:rowOff>66675</xdr:rowOff>
    </xdr:from>
    <xdr:to>
      <xdr:col>75</xdr:col>
      <xdr:colOff>581025</xdr:colOff>
      <xdr:row>26</xdr:row>
      <xdr:rowOff>76200</xdr:rowOff>
    </xdr:to>
    <xdr:sp macro="" textlink="">
      <xdr:nvSpPr>
        <xdr:cNvPr id="12298736" name="Line 1633">
          <a:extLst>
            <a:ext uri="{FF2B5EF4-FFF2-40B4-BE49-F238E27FC236}">
              <a16:creationId xmlns:a16="http://schemas.microsoft.com/office/drawing/2014/main" id="{00000000-0008-0000-0D00-0000F0A9BB00}"/>
            </a:ext>
          </a:extLst>
        </xdr:cNvPr>
        <xdr:cNvSpPr>
          <a:spLocks noChangeShapeType="1"/>
        </xdr:cNvSpPr>
      </xdr:nvSpPr>
      <xdr:spPr bwMode="auto">
        <a:xfrm flipV="1">
          <a:off x="25822275" y="4438650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504825</xdr:colOff>
      <xdr:row>28</xdr:row>
      <xdr:rowOff>133350</xdr:rowOff>
    </xdr:from>
    <xdr:to>
      <xdr:col>72</xdr:col>
      <xdr:colOff>695325</xdr:colOff>
      <xdr:row>30</xdr:row>
      <xdr:rowOff>19050</xdr:rowOff>
    </xdr:to>
    <xdr:grpSp>
      <xdr:nvGrpSpPr>
        <xdr:cNvPr id="12298737" name="Group 599">
          <a:extLst>
            <a:ext uri="{FF2B5EF4-FFF2-40B4-BE49-F238E27FC236}">
              <a16:creationId xmlns:a16="http://schemas.microsoft.com/office/drawing/2014/main" id="{00000000-0008-0000-0D00-0000F1A9BB00}"/>
            </a:ext>
          </a:extLst>
        </xdr:cNvPr>
        <xdr:cNvGrpSpPr>
          <a:grpSpLocks noChangeAspect="1"/>
        </xdr:cNvGrpSpPr>
      </xdr:nvGrpSpPr>
      <xdr:grpSpPr bwMode="auto">
        <a:xfrm>
          <a:off x="28927425" y="4578350"/>
          <a:ext cx="165100" cy="203200"/>
          <a:chOff x="1022492" y="5877272"/>
          <a:chExt cx="474280" cy="474280"/>
        </a:xfrm>
      </xdr:grpSpPr>
      <xdr:grpSp>
        <xdr:nvGrpSpPr>
          <xdr:cNvPr id="725" name="Group 600">
            <a:extLst>
              <a:ext uri="{FF2B5EF4-FFF2-40B4-BE49-F238E27FC236}">
                <a16:creationId xmlns:a16="http://schemas.microsoft.com/office/drawing/2014/main" id="{00000000-0008-0000-0D00-0000D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3" name="Arc 602">
              <a:extLst>
                <a:ext uri="{FF2B5EF4-FFF2-40B4-BE49-F238E27FC236}">
                  <a16:creationId xmlns:a16="http://schemas.microsoft.com/office/drawing/2014/main" id="{00000000-0008-0000-0D00-00005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4" name="Straight Connector 603">
              <a:extLst>
                <a:ext uri="{FF2B5EF4-FFF2-40B4-BE49-F238E27FC236}">
                  <a16:creationId xmlns:a16="http://schemas.microsoft.com/office/drawing/2014/main" id="{00000000-0008-0000-0D00-00005C020000}"/>
                </a:ext>
              </a:extLst>
            </xdr:cNvPr>
            <xdr:cNvCxnSpPr>
              <a:endCxn id="60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5" name="Straight Connector 604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CxnSpPr>
              <a:endCxn id="60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2" name="Oval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24</xdr:row>
      <xdr:rowOff>133350</xdr:rowOff>
    </xdr:from>
    <xdr:to>
      <xdr:col>76</xdr:col>
      <xdr:colOff>114300</xdr:colOff>
      <xdr:row>26</xdr:row>
      <xdr:rowOff>9525</xdr:rowOff>
    </xdr:to>
    <xdr:grpSp>
      <xdr:nvGrpSpPr>
        <xdr:cNvPr id="12298738" name="Group 605">
          <a:extLst>
            <a:ext uri="{FF2B5EF4-FFF2-40B4-BE49-F238E27FC236}">
              <a16:creationId xmlns:a16="http://schemas.microsoft.com/office/drawing/2014/main" id="{00000000-0008-0000-0D00-0000F2A9BB00}"/>
            </a:ext>
          </a:extLst>
        </xdr:cNvPr>
        <xdr:cNvGrpSpPr>
          <a:grpSpLocks noChangeAspect="1"/>
        </xdr:cNvGrpSpPr>
      </xdr:nvGrpSpPr>
      <xdr:grpSpPr bwMode="auto">
        <a:xfrm>
          <a:off x="31061025" y="3943350"/>
          <a:ext cx="168275" cy="193675"/>
          <a:chOff x="1022492" y="5877272"/>
          <a:chExt cx="474280" cy="474280"/>
        </a:xfrm>
      </xdr:grpSpPr>
      <xdr:grpSp>
        <xdr:nvGrpSpPr>
          <xdr:cNvPr id="724" name="Group 606">
            <a:extLst>
              <a:ext uri="{FF2B5EF4-FFF2-40B4-BE49-F238E27FC236}">
                <a16:creationId xmlns:a16="http://schemas.microsoft.com/office/drawing/2014/main" id="{00000000-0008-0000-0D00-0000D4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9" name="Arc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0" name="Straight Connector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CxnSpPr>
              <a:endCxn id="60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1" name="Straight Connector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CxnSpPr>
              <a:endCxn id="60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8" name="Oval 607">
            <a:extLst>
              <a:ext uri="{FF2B5EF4-FFF2-40B4-BE49-F238E27FC236}">
                <a16:creationId xmlns:a16="http://schemas.microsoft.com/office/drawing/2014/main" id="{00000000-0008-0000-0D00-000060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590550</xdr:colOff>
      <xdr:row>24</xdr:row>
      <xdr:rowOff>142875</xdr:rowOff>
    </xdr:from>
    <xdr:to>
      <xdr:col>79</xdr:col>
      <xdr:colOff>85725</xdr:colOff>
      <xdr:row>26</xdr:row>
      <xdr:rowOff>19050</xdr:rowOff>
    </xdr:to>
    <xdr:grpSp>
      <xdr:nvGrpSpPr>
        <xdr:cNvPr id="12298739" name="Group 611">
          <a:extLst>
            <a:ext uri="{FF2B5EF4-FFF2-40B4-BE49-F238E27FC236}">
              <a16:creationId xmlns:a16="http://schemas.microsoft.com/office/drawing/2014/main" id="{00000000-0008-0000-0D00-0000F3A9BB00}"/>
            </a:ext>
          </a:extLst>
        </xdr:cNvPr>
        <xdr:cNvGrpSpPr>
          <a:grpSpLocks noChangeAspect="1"/>
        </xdr:cNvGrpSpPr>
      </xdr:nvGrpSpPr>
      <xdr:grpSpPr bwMode="auto">
        <a:xfrm>
          <a:off x="33051750" y="3952875"/>
          <a:ext cx="168275" cy="193675"/>
          <a:chOff x="1022492" y="5877272"/>
          <a:chExt cx="474280" cy="474280"/>
        </a:xfrm>
      </xdr:grpSpPr>
      <xdr:grpSp>
        <xdr:nvGrpSpPr>
          <xdr:cNvPr id="723" name="Group 612">
            <a:extLst>
              <a:ext uri="{FF2B5EF4-FFF2-40B4-BE49-F238E27FC236}">
                <a16:creationId xmlns:a16="http://schemas.microsoft.com/office/drawing/2014/main" id="{00000000-0008-0000-0D00-0000D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15" name="Arc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6" name="Straight Connector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CxnSpPr>
              <a:endCxn id="6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7" name="Straight Connector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CxnSpPr>
              <a:endCxn id="6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4" name="Oval 613">
            <a:extLst>
              <a:ext uri="{FF2B5EF4-FFF2-40B4-BE49-F238E27FC236}">
                <a16:creationId xmlns:a16="http://schemas.microsoft.com/office/drawing/2014/main" id="{00000000-0008-0000-0D00-000066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476250</xdr:colOff>
      <xdr:row>32</xdr:row>
      <xdr:rowOff>133350</xdr:rowOff>
    </xdr:from>
    <xdr:to>
      <xdr:col>72</xdr:col>
      <xdr:colOff>676275</xdr:colOff>
      <xdr:row>34</xdr:row>
      <xdr:rowOff>9525</xdr:rowOff>
    </xdr:to>
    <xdr:grpSp>
      <xdr:nvGrpSpPr>
        <xdr:cNvPr id="12298740" name="Group 617">
          <a:extLst>
            <a:ext uri="{FF2B5EF4-FFF2-40B4-BE49-F238E27FC236}">
              <a16:creationId xmlns:a16="http://schemas.microsoft.com/office/drawing/2014/main" id="{00000000-0008-0000-0D00-0000F4A9BB00}"/>
            </a:ext>
          </a:extLst>
        </xdr:cNvPr>
        <xdr:cNvGrpSpPr>
          <a:grpSpLocks noChangeAspect="1"/>
        </xdr:cNvGrpSpPr>
      </xdr:nvGrpSpPr>
      <xdr:grpSpPr bwMode="auto">
        <a:xfrm>
          <a:off x="28898850" y="5213350"/>
          <a:ext cx="193675" cy="193675"/>
          <a:chOff x="1022492" y="5877272"/>
          <a:chExt cx="474280" cy="474280"/>
        </a:xfrm>
      </xdr:grpSpPr>
      <xdr:grpSp>
        <xdr:nvGrpSpPr>
          <xdr:cNvPr id="722" name="Group 618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1" name="Arc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2" name="Straight Connector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CxnSpPr>
              <a:endCxn id="62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3" name="Straight Connector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CxnSpPr>
              <a:endCxn id="62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0" name="Oval 619">
            <a:extLst>
              <a:ext uri="{FF2B5EF4-FFF2-40B4-BE49-F238E27FC236}">
                <a16:creationId xmlns:a16="http://schemas.microsoft.com/office/drawing/2014/main" id="{00000000-0008-0000-0D00-00006C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581025</xdr:colOff>
      <xdr:row>24</xdr:row>
      <xdr:rowOff>133350</xdr:rowOff>
    </xdr:from>
    <xdr:to>
      <xdr:col>83</xdr:col>
      <xdr:colOff>66675</xdr:colOff>
      <xdr:row>26</xdr:row>
      <xdr:rowOff>9525</xdr:rowOff>
    </xdr:to>
    <xdr:grpSp>
      <xdr:nvGrpSpPr>
        <xdr:cNvPr id="12298741" name="Group 623">
          <a:extLst>
            <a:ext uri="{FF2B5EF4-FFF2-40B4-BE49-F238E27FC236}">
              <a16:creationId xmlns:a16="http://schemas.microsoft.com/office/drawing/2014/main" id="{00000000-0008-0000-0D00-0000F5A9BB00}"/>
            </a:ext>
          </a:extLst>
        </xdr:cNvPr>
        <xdr:cNvGrpSpPr>
          <a:grpSpLocks noChangeAspect="1"/>
        </xdr:cNvGrpSpPr>
      </xdr:nvGrpSpPr>
      <xdr:grpSpPr bwMode="auto">
        <a:xfrm>
          <a:off x="35734625" y="3943350"/>
          <a:ext cx="158750" cy="193675"/>
          <a:chOff x="1022492" y="5877272"/>
          <a:chExt cx="474280" cy="474280"/>
        </a:xfrm>
      </xdr:grpSpPr>
      <xdr:grpSp>
        <xdr:nvGrpSpPr>
          <xdr:cNvPr id="721" name="Group 624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7" name="Arc 626">
              <a:extLst>
                <a:ext uri="{FF2B5EF4-FFF2-40B4-BE49-F238E27FC236}">
                  <a16:creationId xmlns:a16="http://schemas.microsoft.com/office/drawing/2014/main" id="{00000000-0008-0000-0D00-00007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8" name="Straight Connector 627">
              <a:extLst>
                <a:ext uri="{FF2B5EF4-FFF2-40B4-BE49-F238E27FC236}">
                  <a16:creationId xmlns:a16="http://schemas.microsoft.com/office/drawing/2014/main" id="{00000000-0008-0000-0D00-000074020000}"/>
                </a:ext>
              </a:extLst>
            </xdr:cNvPr>
            <xdr:cNvCxnSpPr>
              <a:endCxn id="62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9" name="Straight Connector 628">
              <a:extLst>
                <a:ext uri="{FF2B5EF4-FFF2-40B4-BE49-F238E27FC236}">
                  <a16:creationId xmlns:a16="http://schemas.microsoft.com/office/drawing/2014/main" id="{00000000-0008-0000-0D00-000075020000}"/>
                </a:ext>
              </a:extLst>
            </xdr:cNvPr>
            <xdr:cNvCxnSpPr>
              <a:endCxn id="62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6" name="Oval 625">
            <a:extLst>
              <a:ext uri="{FF2B5EF4-FFF2-40B4-BE49-F238E27FC236}">
                <a16:creationId xmlns:a16="http://schemas.microsoft.com/office/drawing/2014/main" id="{00000000-0008-0000-0D00-000072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600075</xdr:colOff>
      <xdr:row>24</xdr:row>
      <xdr:rowOff>142875</xdr:rowOff>
    </xdr:from>
    <xdr:to>
      <xdr:col>81</xdr:col>
      <xdr:colOff>95250</xdr:colOff>
      <xdr:row>26</xdr:row>
      <xdr:rowOff>28575</xdr:rowOff>
    </xdr:to>
    <xdr:grpSp>
      <xdr:nvGrpSpPr>
        <xdr:cNvPr id="12298742" name="Group 629">
          <a:extLst>
            <a:ext uri="{FF2B5EF4-FFF2-40B4-BE49-F238E27FC236}">
              <a16:creationId xmlns:a16="http://schemas.microsoft.com/office/drawing/2014/main" id="{00000000-0008-0000-0D00-0000F6A9BB00}"/>
            </a:ext>
          </a:extLst>
        </xdr:cNvPr>
        <xdr:cNvGrpSpPr>
          <a:grpSpLocks noChangeAspect="1"/>
        </xdr:cNvGrpSpPr>
      </xdr:nvGrpSpPr>
      <xdr:grpSpPr bwMode="auto">
        <a:xfrm>
          <a:off x="34407475" y="3952875"/>
          <a:ext cx="168275" cy="203200"/>
          <a:chOff x="1022492" y="5877272"/>
          <a:chExt cx="474280" cy="474280"/>
        </a:xfrm>
      </xdr:grpSpPr>
      <xdr:grpSp>
        <xdr:nvGrpSpPr>
          <xdr:cNvPr id="720" name="Group 630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D00-00007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34" name="Straight Connector 633">
              <a:extLst>
                <a:ext uri="{FF2B5EF4-FFF2-40B4-BE49-F238E27FC236}">
                  <a16:creationId xmlns:a16="http://schemas.microsoft.com/office/drawing/2014/main" id="{00000000-0008-0000-0D00-00007A020000}"/>
                </a:ext>
              </a:extLst>
            </xdr:cNvPr>
            <xdr:cNvCxnSpPr>
              <a:endCxn id="63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5" name="Straight Connector 634">
              <a:extLst>
                <a:ext uri="{FF2B5EF4-FFF2-40B4-BE49-F238E27FC236}">
                  <a16:creationId xmlns:a16="http://schemas.microsoft.com/office/drawing/2014/main" id="{00000000-0008-0000-0D00-00007B020000}"/>
                </a:ext>
              </a:extLst>
            </xdr:cNvPr>
            <xdr:cNvCxnSpPr>
              <a:endCxn id="63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32" name="Oval 631">
            <a:extLst>
              <a:ext uri="{FF2B5EF4-FFF2-40B4-BE49-F238E27FC236}">
                <a16:creationId xmlns:a16="http://schemas.microsoft.com/office/drawing/2014/main" id="{00000000-0008-0000-0D00-000078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73</xdr:col>
      <xdr:colOff>28575</xdr:colOff>
      <xdr:row>5</xdr:row>
      <xdr:rowOff>133350</xdr:rowOff>
    </xdr:from>
    <xdr:to>
      <xdr:col>73</xdr:col>
      <xdr:colOff>238125</xdr:colOff>
      <xdr:row>7</xdr:row>
      <xdr:rowOff>28575</xdr:rowOff>
    </xdr:to>
    <xdr:grpSp>
      <xdr:nvGrpSpPr>
        <xdr:cNvPr id="12298743" name="Group 653">
          <a:extLst>
            <a:ext uri="{FF2B5EF4-FFF2-40B4-BE49-F238E27FC236}">
              <a16:creationId xmlns:a16="http://schemas.microsoft.com/office/drawing/2014/main" id="{00000000-0008-0000-0D00-0000F7A9BB00}"/>
            </a:ext>
          </a:extLst>
        </xdr:cNvPr>
        <xdr:cNvGrpSpPr>
          <a:grpSpLocks noChangeAspect="1"/>
        </xdr:cNvGrpSpPr>
      </xdr:nvGrpSpPr>
      <xdr:grpSpPr bwMode="auto">
        <a:xfrm>
          <a:off x="29124275" y="927100"/>
          <a:ext cx="209550" cy="212725"/>
          <a:chOff x="1022492" y="5877272"/>
          <a:chExt cx="474280" cy="474280"/>
        </a:xfrm>
      </xdr:grpSpPr>
      <xdr:grpSp>
        <xdr:nvGrpSpPr>
          <xdr:cNvPr id="719" name="Group 654">
            <a:extLst>
              <a:ext uri="{FF2B5EF4-FFF2-40B4-BE49-F238E27FC236}">
                <a16:creationId xmlns:a16="http://schemas.microsoft.com/office/drawing/2014/main" id="{00000000-0008-0000-0D00-0000CF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57" name="Arc 656">
              <a:extLst>
                <a:ext uri="{FF2B5EF4-FFF2-40B4-BE49-F238E27FC236}">
                  <a16:creationId xmlns:a16="http://schemas.microsoft.com/office/drawing/2014/main" id="{00000000-0008-0000-0D00-00009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D00-000092020000}"/>
                </a:ext>
              </a:extLst>
            </xdr:cNvPr>
            <xdr:cNvCxnSpPr>
              <a:endCxn id="657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D00-000093020000}"/>
                </a:ext>
              </a:extLst>
            </xdr:cNvPr>
            <xdr:cNvCxnSpPr>
              <a:endCxn id="657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56" name="Oval 655">
            <a:extLst>
              <a:ext uri="{FF2B5EF4-FFF2-40B4-BE49-F238E27FC236}">
                <a16:creationId xmlns:a16="http://schemas.microsoft.com/office/drawing/2014/main" id="{00000000-0008-0000-0D00-00009002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30</xdr:row>
      <xdr:rowOff>133350</xdr:rowOff>
    </xdr:from>
    <xdr:to>
      <xdr:col>69</xdr:col>
      <xdr:colOff>695325</xdr:colOff>
      <xdr:row>32</xdr:row>
      <xdr:rowOff>9525</xdr:rowOff>
    </xdr:to>
    <xdr:grpSp>
      <xdr:nvGrpSpPr>
        <xdr:cNvPr id="12298744" name="Group 668">
          <a:extLst>
            <a:ext uri="{FF2B5EF4-FFF2-40B4-BE49-F238E27FC236}">
              <a16:creationId xmlns:a16="http://schemas.microsoft.com/office/drawing/2014/main" id="{00000000-0008-0000-0D00-0000F8A9BB00}"/>
            </a:ext>
          </a:extLst>
        </xdr:cNvPr>
        <xdr:cNvGrpSpPr>
          <a:grpSpLocks noChangeAspect="1"/>
        </xdr:cNvGrpSpPr>
      </xdr:nvGrpSpPr>
      <xdr:grpSpPr bwMode="auto">
        <a:xfrm>
          <a:off x="26889075" y="4895850"/>
          <a:ext cx="184150" cy="193675"/>
          <a:chOff x="1022492" y="5877272"/>
          <a:chExt cx="474280" cy="474280"/>
        </a:xfrm>
      </xdr:grpSpPr>
      <xdr:grpSp>
        <xdr:nvGrpSpPr>
          <xdr:cNvPr id="718" name="Group 669">
            <a:extLst>
              <a:ext uri="{FF2B5EF4-FFF2-40B4-BE49-F238E27FC236}">
                <a16:creationId xmlns:a16="http://schemas.microsoft.com/office/drawing/2014/main" id="{00000000-0008-0000-0D00-0000C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2" name="Arc 671">
              <a:extLst>
                <a:ext uri="{FF2B5EF4-FFF2-40B4-BE49-F238E27FC236}">
                  <a16:creationId xmlns:a16="http://schemas.microsoft.com/office/drawing/2014/main" id="{00000000-0008-0000-0D00-0000A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D00-0000A1020000}"/>
                </a:ext>
              </a:extLst>
            </xdr:cNvPr>
            <xdr:cNvCxnSpPr>
              <a:endCxn id="672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D00-0000A2020000}"/>
                </a:ext>
              </a:extLst>
            </xdr:cNvPr>
            <xdr:cNvCxnSpPr>
              <a:endCxn id="67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1" name="Oval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41</xdr:row>
      <xdr:rowOff>133350</xdr:rowOff>
    </xdr:from>
    <xdr:to>
      <xdr:col>69</xdr:col>
      <xdr:colOff>695325</xdr:colOff>
      <xdr:row>43</xdr:row>
      <xdr:rowOff>19050</xdr:rowOff>
    </xdr:to>
    <xdr:grpSp>
      <xdr:nvGrpSpPr>
        <xdr:cNvPr id="12298745" name="Group 674">
          <a:extLst>
            <a:ext uri="{FF2B5EF4-FFF2-40B4-BE49-F238E27FC236}">
              <a16:creationId xmlns:a16="http://schemas.microsoft.com/office/drawing/2014/main" id="{00000000-0008-0000-0D00-0000F9A9BB00}"/>
            </a:ext>
          </a:extLst>
        </xdr:cNvPr>
        <xdr:cNvGrpSpPr>
          <a:grpSpLocks noChangeAspect="1"/>
        </xdr:cNvGrpSpPr>
      </xdr:nvGrpSpPr>
      <xdr:grpSpPr bwMode="auto">
        <a:xfrm>
          <a:off x="26889075" y="6642100"/>
          <a:ext cx="184150" cy="203200"/>
          <a:chOff x="1022492" y="5877272"/>
          <a:chExt cx="474280" cy="474280"/>
        </a:xfrm>
      </xdr:grpSpPr>
      <xdr:grpSp>
        <xdr:nvGrpSpPr>
          <xdr:cNvPr id="717" name="Group 675">
            <a:extLst>
              <a:ext uri="{FF2B5EF4-FFF2-40B4-BE49-F238E27FC236}">
                <a16:creationId xmlns:a16="http://schemas.microsoft.com/office/drawing/2014/main" id="{00000000-0008-0000-0D00-0000C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8" name="Arc 677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CxnSpPr>
              <a:endCxn id="67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0" name="Straight Connector 679">
              <a:extLst>
                <a:ext uri="{FF2B5EF4-FFF2-40B4-BE49-F238E27FC236}">
                  <a16:creationId xmlns:a16="http://schemas.microsoft.com/office/drawing/2014/main" id="{00000000-0008-0000-0D00-0000A8020000}"/>
                </a:ext>
              </a:extLst>
            </xdr:cNvPr>
            <xdr:cNvCxnSpPr>
              <a:endCxn id="67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7" name="Oval 676">
            <a:extLst>
              <a:ext uri="{FF2B5EF4-FFF2-40B4-BE49-F238E27FC236}">
                <a16:creationId xmlns:a16="http://schemas.microsoft.com/office/drawing/2014/main" id="{00000000-0008-0000-0D00-0000A5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657225</xdr:colOff>
      <xdr:row>19</xdr:row>
      <xdr:rowOff>9525</xdr:rowOff>
    </xdr:from>
    <xdr:to>
      <xdr:col>69</xdr:col>
      <xdr:colOff>657225</xdr:colOff>
      <xdr:row>22</xdr:row>
      <xdr:rowOff>9525</xdr:rowOff>
    </xdr:to>
    <xdr:cxnSp macro="">
      <xdr:nvCxnSpPr>
        <xdr:cNvPr id="12298746" name="Straight Arrow Connector 2">
          <a:extLst>
            <a:ext uri="{FF2B5EF4-FFF2-40B4-BE49-F238E27FC236}">
              <a16:creationId xmlns:a16="http://schemas.microsoft.com/office/drawing/2014/main" id="{00000000-0008-0000-0D00-0000FAA9BB00}"/>
            </a:ext>
          </a:extLst>
        </xdr:cNvPr>
        <xdr:cNvCxnSpPr>
          <a:cxnSpLocks/>
        </xdr:cNvCxnSpPr>
      </xdr:nvCxnSpPr>
      <xdr:spPr bwMode="auto">
        <a:xfrm>
          <a:off x="264604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542925</xdr:colOff>
      <xdr:row>19</xdr:row>
      <xdr:rowOff>9525</xdr:rowOff>
    </xdr:from>
    <xdr:to>
      <xdr:col>73</xdr:col>
      <xdr:colOff>542925</xdr:colOff>
      <xdr:row>22</xdr:row>
      <xdr:rowOff>9525</xdr:rowOff>
    </xdr:to>
    <xdr:cxnSp macro="">
      <xdr:nvCxnSpPr>
        <xdr:cNvPr id="12298747" name="Straight Arrow Connector 561">
          <a:extLst>
            <a:ext uri="{FF2B5EF4-FFF2-40B4-BE49-F238E27FC236}">
              <a16:creationId xmlns:a16="http://schemas.microsoft.com/office/drawing/2014/main" id="{00000000-0008-0000-0D00-0000FBA9BB00}"/>
            </a:ext>
          </a:extLst>
        </xdr:cNvPr>
        <xdr:cNvCxnSpPr>
          <a:cxnSpLocks/>
        </xdr:cNvCxnSpPr>
      </xdr:nvCxnSpPr>
      <xdr:spPr bwMode="auto">
        <a:xfrm>
          <a:off x="292036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666750</xdr:colOff>
      <xdr:row>19</xdr:row>
      <xdr:rowOff>9525</xdr:rowOff>
    </xdr:from>
    <xdr:to>
      <xdr:col>76</xdr:col>
      <xdr:colOff>666750</xdr:colOff>
      <xdr:row>21</xdr:row>
      <xdr:rowOff>152400</xdr:rowOff>
    </xdr:to>
    <xdr:cxnSp macro="">
      <xdr:nvCxnSpPr>
        <xdr:cNvPr id="12298748" name="Straight Arrow Connector 562">
          <a:extLst>
            <a:ext uri="{FF2B5EF4-FFF2-40B4-BE49-F238E27FC236}">
              <a16:creationId xmlns:a16="http://schemas.microsoft.com/office/drawing/2014/main" id="{00000000-0008-0000-0D00-0000FCA9BB00}"/>
            </a:ext>
          </a:extLst>
        </xdr:cNvPr>
        <xdr:cNvCxnSpPr>
          <a:cxnSpLocks/>
        </xdr:cNvCxnSpPr>
      </xdr:nvCxnSpPr>
      <xdr:spPr bwMode="auto">
        <a:xfrm>
          <a:off x="314706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19050</xdr:colOff>
      <xdr:row>28</xdr:row>
      <xdr:rowOff>85725</xdr:rowOff>
    </xdr:from>
    <xdr:to>
      <xdr:col>69</xdr:col>
      <xdr:colOff>600075</xdr:colOff>
      <xdr:row>28</xdr:row>
      <xdr:rowOff>85725</xdr:rowOff>
    </xdr:to>
    <xdr:sp macro="" textlink="">
      <xdr:nvSpPr>
        <xdr:cNvPr id="12298749" name="Line 1493">
          <a:extLst>
            <a:ext uri="{FF2B5EF4-FFF2-40B4-BE49-F238E27FC236}">
              <a16:creationId xmlns:a16="http://schemas.microsoft.com/office/drawing/2014/main" id="{00000000-0008-0000-0D00-0000FDA9BB00}"/>
            </a:ext>
          </a:extLst>
        </xdr:cNvPr>
        <xdr:cNvSpPr>
          <a:spLocks noChangeShapeType="1"/>
        </xdr:cNvSpPr>
      </xdr:nvSpPr>
      <xdr:spPr bwMode="auto">
        <a:xfrm>
          <a:off x="25822275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428625</xdr:colOff>
      <xdr:row>36</xdr:row>
      <xdr:rowOff>95250</xdr:rowOff>
    </xdr:from>
    <xdr:to>
      <xdr:col>74</xdr:col>
      <xdr:colOff>85725</xdr:colOff>
      <xdr:row>43</xdr:row>
      <xdr:rowOff>104775</xdr:rowOff>
    </xdr:to>
    <xdr:sp macro="" textlink="">
      <xdr:nvSpPr>
        <xdr:cNvPr id="12298750" name="Line 2552">
          <a:extLst>
            <a:ext uri="{FF2B5EF4-FFF2-40B4-BE49-F238E27FC236}">
              <a16:creationId xmlns:a16="http://schemas.microsoft.com/office/drawing/2014/main" id="{00000000-0008-0000-0D00-0000FEA9BB00}"/>
            </a:ext>
          </a:extLst>
        </xdr:cNvPr>
        <xdr:cNvSpPr>
          <a:spLocks noChangeShapeType="1"/>
        </xdr:cNvSpPr>
      </xdr:nvSpPr>
      <xdr:spPr bwMode="auto">
        <a:xfrm rot="18953249" flipH="1">
          <a:off x="28374975" y="60864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114300</xdr:colOff>
      <xdr:row>43</xdr:row>
      <xdr:rowOff>0</xdr:rowOff>
    </xdr:from>
    <xdr:to>
      <xdr:col>71</xdr:col>
      <xdr:colOff>390525</xdr:colOff>
      <xdr:row>44</xdr:row>
      <xdr:rowOff>123825</xdr:rowOff>
    </xdr:to>
    <xdr:sp macro="" textlink="">
      <xdr:nvSpPr>
        <xdr:cNvPr id="12298751" name="Line 2552">
          <a:extLst>
            <a:ext uri="{FF2B5EF4-FFF2-40B4-BE49-F238E27FC236}">
              <a16:creationId xmlns:a16="http://schemas.microsoft.com/office/drawing/2014/main" id="{00000000-0008-0000-0D00-0000FFA9BB00}"/>
            </a:ext>
          </a:extLst>
        </xdr:cNvPr>
        <xdr:cNvSpPr>
          <a:spLocks noChangeShapeType="1"/>
        </xdr:cNvSpPr>
      </xdr:nvSpPr>
      <xdr:spPr bwMode="auto">
        <a:xfrm rot="18953249" flipH="1">
          <a:off x="27346275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39</xdr:row>
      <xdr:rowOff>0</xdr:rowOff>
    </xdr:from>
    <xdr:to>
      <xdr:col>82</xdr:col>
      <xdr:colOff>9525</xdr:colOff>
      <xdr:row>44</xdr:row>
      <xdr:rowOff>9525</xdr:rowOff>
    </xdr:to>
    <xdr:sp macro="" textlink="">
      <xdr:nvSpPr>
        <xdr:cNvPr id="12298752" name="Line 2552">
          <a:extLst>
            <a:ext uri="{FF2B5EF4-FFF2-40B4-BE49-F238E27FC236}">
              <a16:creationId xmlns:a16="http://schemas.microsoft.com/office/drawing/2014/main" id="{00000000-0008-0000-0D00-000000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32810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104775</xdr:colOff>
      <xdr:row>39</xdr:row>
      <xdr:rowOff>19050</xdr:rowOff>
    </xdr:from>
    <xdr:to>
      <xdr:col>84</xdr:col>
      <xdr:colOff>161925</xdr:colOff>
      <xdr:row>44</xdr:row>
      <xdr:rowOff>28575</xdr:rowOff>
    </xdr:to>
    <xdr:sp macro="" textlink="">
      <xdr:nvSpPr>
        <xdr:cNvPr id="12298753" name="Line 2552">
          <a:extLst>
            <a:ext uri="{FF2B5EF4-FFF2-40B4-BE49-F238E27FC236}">
              <a16:creationId xmlns:a16="http://schemas.microsoft.com/office/drawing/2014/main" id="{00000000-0008-0000-0D00-000001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909250" y="64960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704850</xdr:colOff>
      <xdr:row>39</xdr:row>
      <xdr:rowOff>0</xdr:rowOff>
    </xdr:from>
    <xdr:to>
      <xdr:col>80</xdr:col>
      <xdr:colOff>47625</xdr:colOff>
      <xdr:row>44</xdr:row>
      <xdr:rowOff>9525</xdr:rowOff>
    </xdr:to>
    <xdr:sp macro="" textlink="">
      <xdr:nvSpPr>
        <xdr:cNvPr id="12298754" name="Line 2552">
          <a:extLst>
            <a:ext uri="{FF2B5EF4-FFF2-40B4-BE49-F238E27FC236}">
              <a16:creationId xmlns:a16="http://schemas.microsoft.com/office/drawing/2014/main" id="{00000000-0008-0000-0D00-000002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93745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190500</xdr:colOff>
      <xdr:row>30</xdr:row>
      <xdr:rowOff>19050</xdr:rowOff>
    </xdr:from>
    <xdr:to>
      <xdr:col>74</xdr:col>
      <xdr:colOff>190500</xdr:colOff>
      <xdr:row>33</xdr:row>
      <xdr:rowOff>19050</xdr:rowOff>
    </xdr:to>
    <xdr:cxnSp macro="">
      <xdr:nvCxnSpPr>
        <xdr:cNvPr id="12298755" name="Straight Arrow Connector 588">
          <a:extLst>
            <a:ext uri="{FF2B5EF4-FFF2-40B4-BE49-F238E27FC236}">
              <a16:creationId xmlns:a16="http://schemas.microsoft.com/office/drawing/2014/main" id="{00000000-0008-0000-0D00-000003AABB00}"/>
            </a:ext>
          </a:extLst>
        </xdr:cNvPr>
        <xdr:cNvCxnSpPr>
          <a:cxnSpLocks/>
        </xdr:cNvCxnSpPr>
      </xdr:nvCxnSpPr>
      <xdr:spPr bwMode="auto">
        <a:xfrm>
          <a:off x="295656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666750</xdr:colOff>
      <xdr:row>38</xdr:row>
      <xdr:rowOff>9525</xdr:rowOff>
    </xdr:from>
    <xdr:to>
      <xdr:col>69</xdr:col>
      <xdr:colOff>666750</xdr:colOff>
      <xdr:row>41</xdr:row>
      <xdr:rowOff>9525</xdr:rowOff>
    </xdr:to>
    <xdr:cxnSp macro="">
      <xdr:nvCxnSpPr>
        <xdr:cNvPr id="12298756" name="Straight Arrow Connector 589">
          <a:extLst>
            <a:ext uri="{FF2B5EF4-FFF2-40B4-BE49-F238E27FC236}">
              <a16:creationId xmlns:a16="http://schemas.microsoft.com/office/drawing/2014/main" id="{00000000-0008-0000-0D00-000004AABB00}"/>
            </a:ext>
          </a:extLst>
        </xdr:cNvPr>
        <xdr:cNvCxnSpPr>
          <a:cxnSpLocks/>
        </xdr:cNvCxnSpPr>
      </xdr:nvCxnSpPr>
      <xdr:spPr bwMode="auto">
        <a:xfrm>
          <a:off x="26469975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628650</xdr:colOff>
      <xdr:row>18</xdr:row>
      <xdr:rowOff>9525</xdr:rowOff>
    </xdr:from>
    <xdr:to>
      <xdr:col>79</xdr:col>
      <xdr:colOff>628650</xdr:colOff>
      <xdr:row>20</xdr:row>
      <xdr:rowOff>152400</xdr:rowOff>
    </xdr:to>
    <xdr:cxnSp macro="">
      <xdr:nvCxnSpPr>
        <xdr:cNvPr id="12298757" name="Straight Arrow Connector 723">
          <a:extLst>
            <a:ext uri="{FF2B5EF4-FFF2-40B4-BE49-F238E27FC236}">
              <a16:creationId xmlns:a16="http://schemas.microsoft.com/office/drawing/2014/main" id="{00000000-0008-0000-0D00-000005AABB00}"/>
            </a:ext>
          </a:extLst>
        </xdr:cNvPr>
        <xdr:cNvCxnSpPr>
          <a:cxnSpLocks/>
        </xdr:cNvCxnSpPr>
      </xdr:nvCxnSpPr>
      <xdr:spPr bwMode="auto">
        <a:xfrm>
          <a:off x="33575625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619125</xdr:colOff>
      <xdr:row>18</xdr:row>
      <xdr:rowOff>19050</xdr:rowOff>
    </xdr:from>
    <xdr:to>
      <xdr:col>81</xdr:col>
      <xdr:colOff>619125</xdr:colOff>
      <xdr:row>20</xdr:row>
      <xdr:rowOff>152400</xdr:rowOff>
    </xdr:to>
    <xdr:cxnSp macro="">
      <xdr:nvCxnSpPr>
        <xdr:cNvPr id="12298758" name="Straight Arrow Connector 724">
          <a:extLst>
            <a:ext uri="{FF2B5EF4-FFF2-40B4-BE49-F238E27FC236}">
              <a16:creationId xmlns:a16="http://schemas.microsoft.com/office/drawing/2014/main" id="{00000000-0008-0000-0D00-000006AABB00}"/>
            </a:ext>
          </a:extLst>
        </xdr:cNvPr>
        <xdr:cNvCxnSpPr>
          <a:cxnSpLocks/>
        </xdr:cNvCxnSpPr>
      </xdr:nvCxnSpPr>
      <xdr:spPr bwMode="auto">
        <a:xfrm>
          <a:off x="349948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638175</xdr:colOff>
      <xdr:row>18</xdr:row>
      <xdr:rowOff>19050</xdr:rowOff>
    </xdr:from>
    <xdr:to>
      <xdr:col>83</xdr:col>
      <xdr:colOff>638175</xdr:colOff>
      <xdr:row>20</xdr:row>
      <xdr:rowOff>152400</xdr:rowOff>
    </xdr:to>
    <xdr:cxnSp macro="">
      <xdr:nvCxnSpPr>
        <xdr:cNvPr id="12298759" name="Straight Arrow Connector 725">
          <a:extLst>
            <a:ext uri="{FF2B5EF4-FFF2-40B4-BE49-F238E27FC236}">
              <a16:creationId xmlns:a16="http://schemas.microsoft.com/office/drawing/2014/main" id="{00000000-0008-0000-0D00-000007AABB00}"/>
            </a:ext>
          </a:extLst>
        </xdr:cNvPr>
        <xdr:cNvCxnSpPr>
          <a:cxnSpLocks/>
        </xdr:cNvCxnSpPr>
      </xdr:nvCxnSpPr>
      <xdr:spPr bwMode="auto">
        <a:xfrm>
          <a:off x="364426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9525</xdr:colOff>
      <xdr:row>17</xdr:row>
      <xdr:rowOff>85725</xdr:rowOff>
    </xdr:from>
    <xdr:to>
      <xdr:col>82</xdr:col>
      <xdr:colOff>619125</xdr:colOff>
      <xdr:row>22</xdr:row>
      <xdr:rowOff>19050</xdr:rowOff>
    </xdr:to>
    <xdr:grpSp>
      <xdr:nvGrpSpPr>
        <xdr:cNvPr id="12298760" name="Group 591">
          <a:extLst>
            <a:ext uri="{FF2B5EF4-FFF2-40B4-BE49-F238E27FC236}">
              <a16:creationId xmlns:a16="http://schemas.microsoft.com/office/drawing/2014/main" id="{00000000-0008-0000-0D00-000008AABB00}"/>
            </a:ext>
          </a:extLst>
        </xdr:cNvPr>
        <xdr:cNvGrpSpPr>
          <a:grpSpLocks/>
        </xdr:cNvGrpSpPr>
      </xdr:nvGrpSpPr>
      <xdr:grpSpPr bwMode="auto">
        <a:xfrm>
          <a:off x="30451425" y="2784475"/>
          <a:ext cx="5321300" cy="727075"/>
          <a:chOff x="31034338" y="3014113"/>
          <a:chExt cx="5622222" cy="740602"/>
        </a:xfrm>
      </xdr:grpSpPr>
      <xdr:cxnSp macro="">
        <xdr:nvCxnSpPr>
          <xdr:cNvPr id="12299146" name="Straight Arrow Connector 2">
            <a:extLst>
              <a:ext uri="{FF2B5EF4-FFF2-40B4-BE49-F238E27FC236}">
                <a16:creationId xmlns:a16="http://schemas.microsoft.com/office/drawing/2014/main" id="{00000000-0008-0000-0D00-00008AABBB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147" name="Straight Arrow Connector 2">
            <a:extLst>
              <a:ext uri="{FF2B5EF4-FFF2-40B4-BE49-F238E27FC236}">
                <a16:creationId xmlns:a16="http://schemas.microsoft.com/office/drawing/2014/main" id="{00000000-0008-0000-0D00-00008BABBB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580" name="Arc 579">
            <a:extLst>
              <a:ext uri="{FF2B5EF4-FFF2-40B4-BE49-F238E27FC236}">
                <a16:creationId xmlns:a16="http://schemas.microsoft.com/office/drawing/2014/main" id="{00000000-0008-0000-0D00-00004402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4" name="Arc 653">
            <a:extLst>
              <a:ext uri="{FF2B5EF4-FFF2-40B4-BE49-F238E27FC236}">
                <a16:creationId xmlns:a16="http://schemas.microsoft.com/office/drawing/2014/main" id="{00000000-0008-0000-0D00-00008E02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5" name="Arc 654">
            <a:extLst>
              <a:ext uri="{FF2B5EF4-FFF2-40B4-BE49-F238E27FC236}">
                <a16:creationId xmlns:a16="http://schemas.microsoft.com/office/drawing/2014/main" id="{00000000-0008-0000-0D00-00008F02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72</xdr:col>
      <xdr:colOff>685800</xdr:colOff>
      <xdr:row>46</xdr:row>
      <xdr:rowOff>142875</xdr:rowOff>
    </xdr:from>
    <xdr:to>
      <xdr:col>76</xdr:col>
      <xdr:colOff>581025</xdr:colOff>
      <xdr:row>58</xdr:row>
      <xdr:rowOff>104775</xdr:rowOff>
    </xdr:to>
    <xdr:sp macro="" textlink="">
      <xdr:nvSpPr>
        <xdr:cNvPr id="12298761" name="Rectangle 663">
          <a:extLst>
            <a:ext uri="{FF2B5EF4-FFF2-40B4-BE49-F238E27FC236}">
              <a16:creationId xmlns:a16="http://schemas.microsoft.com/office/drawing/2014/main" id="{00000000-0008-0000-0D00-000009AABB00}"/>
            </a:ext>
          </a:extLst>
        </xdr:cNvPr>
        <xdr:cNvSpPr>
          <a:spLocks noChangeArrowheads="1"/>
        </xdr:cNvSpPr>
      </xdr:nvSpPr>
      <xdr:spPr bwMode="auto">
        <a:xfrm>
          <a:off x="28632150" y="7753350"/>
          <a:ext cx="27527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114</xdr:row>
      <xdr:rowOff>85725</xdr:rowOff>
    </xdr:from>
    <xdr:to>
      <xdr:col>69</xdr:col>
      <xdr:colOff>600075</xdr:colOff>
      <xdr:row>114</xdr:row>
      <xdr:rowOff>95250</xdr:rowOff>
    </xdr:to>
    <xdr:sp macro="" textlink="">
      <xdr:nvSpPr>
        <xdr:cNvPr id="12298762" name="Line 1552">
          <a:extLst>
            <a:ext uri="{FF2B5EF4-FFF2-40B4-BE49-F238E27FC236}">
              <a16:creationId xmlns:a16="http://schemas.microsoft.com/office/drawing/2014/main" id="{00000000-0008-0000-0D00-00000AAABB00}"/>
            </a:ext>
          </a:extLst>
        </xdr:cNvPr>
        <xdr:cNvSpPr>
          <a:spLocks noChangeShapeType="1"/>
        </xdr:cNvSpPr>
      </xdr:nvSpPr>
      <xdr:spPr bwMode="auto">
        <a:xfrm flipV="1">
          <a:off x="25936575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119</xdr:row>
      <xdr:rowOff>133350</xdr:rowOff>
    </xdr:from>
    <xdr:to>
      <xdr:col>69</xdr:col>
      <xdr:colOff>438150</xdr:colOff>
      <xdr:row>121</xdr:row>
      <xdr:rowOff>19050</xdr:rowOff>
    </xdr:to>
    <xdr:grpSp>
      <xdr:nvGrpSpPr>
        <xdr:cNvPr id="12298763" name="Group 711">
          <a:extLst>
            <a:ext uri="{FF2B5EF4-FFF2-40B4-BE49-F238E27FC236}">
              <a16:creationId xmlns:a16="http://schemas.microsoft.com/office/drawing/2014/main" id="{00000000-0008-0000-0D00-00000BAABB00}"/>
            </a:ext>
          </a:extLst>
        </xdr:cNvPr>
        <xdr:cNvGrpSpPr>
          <a:grpSpLocks noChangeAspect="1"/>
        </xdr:cNvGrpSpPr>
      </xdr:nvGrpSpPr>
      <xdr:grpSpPr bwMode="auto">
        <a:xfrm>
          <a:off x="26631900" y="19024600"/>
          <a:ext cx="209550" cy="203200"/>
          <a:chOff x="1022492" y="5877272"/>
          <a:chExt cx="474280" cy="474280"/>
        </a:xfrm>
      </xdr:grpSpPr>
      <xdr:grpSp>
        <xdr:nvGrpSpPr>
          <xdr:cNvPr id="716" name="Group 712">
            <a:extLst>
              <a:ext uri="{FF2B5EF4-FFF2-40B4-BE49-F238E27FC236}">
                <a16:creationId xmlns:a16="http://schemas.microsoft.com/office/drawing/2014/main" id="{00000000-0008-0000-0D00-0000C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7" name="Arc 686">
              <a:extLst>
                <a:ext uri="{FF2B5EF4-FFF2-40B4-BE49-F238E27FC236}">
                  <a16:creationId xmlns:a16="http://schemas.microsoft.com/office/drawing/2014/main" id="{00000000-0008-0000-0D00-0000AF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D00-0000B0020000}"/>
                </a:ext>
              </a:extLst>
            </xdr:cNvPr>
            <xdr:cNvCxnSpPr>
              <a:endCxn id="68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D00-0000B1020000}"/>
                </a:ext>
              </a:extLst>
            </xdr:cNvPr>
            <xdr:cNvCxnSpPr>
              <a:endCxn id="68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86" name="Oval 685">
            <a:extLst>
              <a:ext uri="{FF2B5EF4-FFF2-40B4-BE49-F238E27FC236}">
                <a16:creationId xmlns:a16="http://schemas.microsoft.com/office/drawing/2014/main" id="{00000000-0008-0000-0D00-0000AE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119</xdr:row>
      <xdr:rowOff>85725</xdr:rowOff>
    </xdr:from>
    <xdr:to>
      <xdr:col>69</xdr:col>
      <xdr:colOff>552450</xdr:colOff>
      <xdr:row>121</xdr:row>
      <xdr:rowOff>85725</xdr:rowOff>
    </xdr:to>
    <xdr:sp macro="" textlink="">
      <xdr:nvSpPr>
        <xdr:cNvPr id="12298764" name="Line 2552">
          <a:extLst>
            <a:ext uri="{FF2B5EF4-FFF2-40B4-BE49-F238E27FC236}">
              <a16:creationId xmlns:a16="http://schemas.microsoft.com/office/drawing/2014/main" id="{00000000-0008-0000-0D00-00000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118</xdr:row>
      <xdr:rowOff>85725</xdr:rowOff>
    </xdr:from>
    <xdr:to>
      <xdr:col>69</xdr:col>
      <xdr:colOff>619125</xdr:colOff>
      <xdr:row>118</xdr:row>
      <xdr:rowOff>85725</xdr:rowOff>
    </xdr:to>
    <xdr:sp macro="" textlink="">
      <xdr:nvSpPr>
        <xdr:cNvPr id="12298765" name="Line 26">
          <a:extLst>
            <a:ext uri="{FF2B5EF4-FFF2-40B4-BE49-F238E27FC236}">
              <a16:creationId xmlns:a16="http://schemas.microsoft.com/office/drawing/2014/main" id="{00000000-0008-0000-0D00-00000DAABB00}"/>
            </a:ext>
          </a:extLst>
        </xdr:cNvPr>
        <xdr:cNvSpPr>
          <a:spLocks noChangeShapeType="1"/>
        </xdr:cNvSpPr>
      </xdr:nvSpPr>
      <xdr:spPr bwMode="auto">
        <a:xfrm flipV="1">
          <a:off x="25917525" y="193548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116</xdr:row>
      <xdr:rowOff>57150</xdr:rowOff>
    </xdr:from>
    <xdr:to>
      <xdr:col>69</xdr:col>
      <xdr:colOff>619125</xdr:colOff>
      <xdr:row>116</xdr:row>
      <xdr:rowOff>57150</xdr:rowOff>
    </xdr:to>
    <xdr:sp macro="" textlink="">
      <xdr:nvSpPr>
        <xdr:cNvPr id="12298766" name="Line 1548">
          <a:extLst>
            <a:ext uri="{FF2B5EF4-FFF2-40B4-BE49-F238E27FC236}">
              <a16:creationId xmlns:a16="http://schemas.microsoft.com/office/drawing/2014/main" id="{00000000-0008-0000-0D00-00000EAABB00}"/>
            </a:ext>
          </a:extLst>
        </xdr:cNvPr>
        <xdr:cNvSpPr>
          <a:spLocks noChangeShapeType="1"/>
        </xdr:cNvSpPr>
      </xdr:nvSpPr>
      <xdr:spPr bwMode="auto">
        <a:xfrm>
          <a:off x="25984200" y="19002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116</xdr:row>
      <xdr:rowOff>133350</xdr:rowOff>
    </xdr:from>
    <xdr:to>
      <xdr:col>69</xdr:col>
      <xdr:colOff>504825</xdr:colOff>
      <xdr:row>116</xdr:row>
      <xdr:rowOff>133350</xdr:rowOff>
    </xdr:to>
    <xdr:sp macro="" textlink="">
      <xdr:nvSpPr>
        <xdr:cNvPr id="12298767" name="Line 1549">
          <a:extLst>
            <a:ext uri="{FF2B5EF4-FFF2-40B4-BE49-F238E27FC236}">
              <a16:creationId xmlns:a16="http://schemas.microsoft.com/office/drawing/2014/main" id="{00000000-0008-0000-0D00-00000FAABB00}"/>
            </a:ext>
          </a:extLst>
        </xdr:cNvPr>
        <xdr:cNvSpPr>
          <a:spLocks noChangeShapeType="1"/>
        </xdr:cNvSpPr>
      </xdr:nvSpPr>
      <xdr:spPr bwMode="auto">
        <a:xfrm flipH="1">
          <a:off x="25869900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111</xdr:row>
      <xdr:rowOff>142875</xdr:rowOff>
    </xdr:from>
    <xdr:to>
      <xdr:col>72</xdr:col>
      <xdr:colOff>342900</xdr:colOff>
      <xdr:row>123</xdr:row>
      <xdr:rowOff>114300</xdr:rowOff>
    </xdr:to>
    <xdr:sp macro="" textlink="">
      <xdr:nvSpPr>
        <xdr:cNvPr id="12298768" name="Rectangle 696">
          <a:extLst>
            <a:ext uri="{FF2B5EF4-FFF2-40B4-BE49-F238E27FC236}">
              <a16:creationId xmlns:a16="http://schemas.microsoft.com/office/drawing/2014/main" id="{00000000-0008-0000-0D00-000010AABB00}"/>
            </a:ext>
          </a:extLst>
        </xdr:cNvPr>
        <xdr:cNvSpPr>
          <a:spLocks noChangeArrowheads="1"/>
        </xdr:cNvSpPr>
      </xdr:nvSpPr>
      <xdr:spPr bwMode="auto">
        <a:xfrm>
          <a:off x="25793700" y="182784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685800</xdr:colOff>
      <xdr:row>111</xdr:row>
      <xdr:rowOff>142875</xdr:rowOff>
    </xdr:from>
    <xdr:to>
      <xdr:col>76</xdr:col>
      <xdr:colOff>600075</xdr:colOff>
      <xdr:row>123</xdr:row>
      <xdr:rowOff>104775</xdr:rowOff>
    </xdr:to>
    <xdr:sp macro="" textlink="">
      <xdr:nvSpPr>
        <xdr:cNvPr id="12298769" name="Rectangle 697">
          <a:extLst>
            <a:ext uri="{FF2B5EF4-FFF2-40B4-BE49-F238E27FC236}">
              <a16:creationId xmlns:a16="http://schemas.microsoft.com/office/drawing/2014/main" id="{00000000-0008-0000-0D00-000011AABB00}"/>
            </a:ext>
          </a:extLst>
        </xdr:cNvPr>
        <xdr:cNvSpPr>
          <a:spLocks noChangeArrowheads="1"/>
        </xdr:cNvSpPr>
      </xdr:nvSpPr>
      <xdr:spPr bwMode="auto">
        <a:xfrm>
          <a:off x="28632150" y="18278475"/>
          <a:ext cx="27717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199657</xdr:colOff>
      <xdr:row>100</xdr:row>
      <xdr:rowOff>20012</xdr:rowOff>
    </xdr:from>
    <xdr:to>
      <xdr:col>74</xdr:col>
      <xdr:colOff>601138</xdr:colOff>
      <xdr:row>100</xdr:row>
      <xdr:rowOff>29451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00000000-0008-0000-0D00-0000E2020000}"/>
            </a:ext>
          </a:extLst>
        </xdr:cNvPr>
        <xdr:cNvCxnSpPr/>
      </xdr:nvCxnSpPr>
      <xdr:spPr bwMode="auto">
        <a:xfrm>
          <a:off x="29170696" y="16222538"/>
          <a:ext cx="1835245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68</xdr:row>
      <xdr:rowOff>0</xdr:rowOff>
    </xdr:from>
    <xdr:to>
      <xdr:col>84</xdr:col>
      <xdr:colOff>266700</xdr:colOff>
      <xdr:row>107</xdr:row>
      <xdr:rowOff>142875</xdr:rowOff>
    </xdr:to>
    <xdr:sp macro="" textlink="">
      <xdr:nvSpPr>
        <xdr:cNvPr id="12298771" name="Rectangle 738">
          <a:extLst>
            <a:ext uri="{FF2B5EF4-FFF2-40B4-BE49-F238E27FC236}">
              <a16:creationId xmlns:a16="http://schemas.microsoft.com/office/drawing/2014/main" id="{00000000-0008-0000-0D00-000013AABB00}"/>
            </a:ext>
          </a:extLst>
        </xdr:cNvPr>
        <xdr:cNvSpPr>
          <a:spLocks noChangeArrowheads="1"/>
        </xdr:cNvSpPr>
      </xdr:nvSpPr>
      <xdr:spPr bwMode="auto">
        <a:xfrm>
          <a:off x="26117550" y="11172825"/>
          <a:ext cx="10668000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323883</xdr:colOff>
      <xdr:row>84</xdr:row>
      <xdr:rowOff>76077</xdr:rowOff>
    </xdr:from>
    <xdr:to>
      <xdr:col>78</xdr:col>
      <xdr:colOff>371777</xdr:colOff>
      <xdr:row>84</xdr:row>
      <xdr:rowOff>76077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00000000-0008-0000-0D00-0000E4020000}"/>
            </a:ext>
          </a:extLst>
        </xdr:cNvPr>
        <xdr:cNvCxnSpPr/>
      </xdr:nvCxnSpPr>
      <xdr:spPr bwMode="auto">
        <a:xfrm flipV="1">
          <a:off x="27144278" y="13711866"/>
          <a:ext cx="6499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496083</xdr:colOff>
      <xdr:row>83</xdr:row>
      <xdr:rowOff>123235</xdr:rowOff>
    </xdr:from>
    <xdr:to>
      <xdr:col>84</xdr:col>
      <xdr:colOff>266700</xdr:colOff>
      <xdr:row>83</xdr:row>
      <xdr:rowOff>123235</xdr:rowOff>
    </xdr:to>
    <xdr:cxnSp macro="">
      <xdr:nvCxnSpPr>
        <xdr:cNvPr id="741" name="Straight Connector 740">
          <a:extLst>
            <a:ext uri="{FF2B5EF4-FFF2-40B4-BE49-F238E27FC236}">
              <a16:creationId xmlns:a16="http://schemas.microsoft.com/office/drawing/2014/main" id="{00000000-0008-0000-0D00-0000E5020000}"/>
            </a:ext>
          </a:extLst>
        </xdr:cNvPr>
        <xdr:cNvCxnSpPr/>
      </xdr:nvCxnSpPr>
      <xdr:spPr bwMode="auto">
        <a:xfrm>
          <a:off x="36635938" y="13598603"/>
          <a:ext cx="120438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84</xdr:row>
      <xdr:rowOff>113831</xdr:rowOff>
    </xdr:from>
    <xdr:to>
      <xdr:col>80</xdr:col>
      <xdr:colOff>324007</xdr:colOff>
      <xdr:row>107</xdr:row>
      <xdr:rowOff>142961</xdr:rowOff>
    </xdr:to>
    <xdr:cxnSp macro="">
      <xdr:nvCxnSpPr>
        <xdr:cNvPr id="742" name="Straight Connector 741">
          <a:extLst>
            <a:ext uri="{FF2B5EF4-FFF2-40B4-BE49-F238E27FC236}">
              <a16:creationId xmlns:a16="http://schemas.microsoft.com/office/drawing/2014/main" id="{00000000-0008-0000-0D00-0000E6020000}"/>
            </a:ext>
          </a:extLst>
        </xdr:cNvPr>
        <xdr:cNvCxnSpPr/>
      </xdr:nvCxnSpPr>
      <xdr:spPr bwMode="auto">
        <a:xfrm flipH="1" flipV="1">
          <a:off x="35030099" y="13749620"/>
          <a:ext cx="0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37227</xdr:colOff>
      <xdr:row>83</xdr:row>
      <xdr:rowOff>123235</xdr:rowOff>
    </xdr:from>
    <xdr:to>
      <xdr:col>78</xdr:col>
      <xdr:colOff>410011</xdr:colOff>
      <xdr:row>91</xdr:row>
      <xdr:rowOff>95202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00000000-0008-0000-0D00-0000E7020000}"/>
            </a:ext>
          </a:extLst>
        </xdr:cNvPr>
        <xdr:cNvCxnSpPr/>
      </xdr:nvCxnSpPr>
      <xdr:spPr bwMode="auto">
        <a:xfrm flipV="1">
          <a:off x="33309556" y="13598603"/>
          <a:ext cx="372784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467385</xdr:colOff>
      <xdr:row>83</xdr:row>
      <xdr:rowOff>123235</xdr:rowOff>
    </xdr:from>
    <xdr:to>
      <xdr:col>82</xdr:col>
      <xdr:colOff>209326</xdr:colOff>
      <xdr:row>83</xdr:row>
      <xdr:rowOff>123235</xdr:rowOff>
    </xdr:to>
    <xdr:cxnSp macro="">
      <xdr:nvCxnSpPr>
        <xdr:cNvPr id="744" name="Straight Connector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CxnSpPr/>
      </xdr:nvCxnSpPr>
      <xdr:spPr bwMode="auto">
        <a:xfrm>
          <a:off x="35173477" y="13598603"/>
          <a:ext cx="117570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410011</xdr:colOff>
      <xdr:row>83</xdr:row>
      <xdr:rowOff>123235</xdr:rowOff>
    </xdr:from>
    <xdr:to>
      <xdr:col>80</xdr:col>
      <xdr:colOff>171069</xdr:colOff>
      <xdr:row>83</xdr:row>
      <xdr:rowOff>123235</xdr:rowOff>
    </xdr:to>
    <xdr:cxnSp macro="">
      <xdr:nvCxnSpPr>
        <xdr:cNvPr id="745" name="Straight Connector 744">
          <a:extLst>
            <a:ext uri="{FF2B5EF4-FFF2-40B4-BE49-F238E27FC236}">
              <a16:creationId xmlns:a16="http://schemas.microsoft.com/office/drawing/2014/main" id="{00000000-0008-0000-0D00-0000E9020000}"/>
            </a:ext>
          </a:extLst>
        </xdr:cNvPr>
        <xdr:cNvCxnSpPr/>
      </xdr:nvCxnSpPr>
      <xdr:spPr bwMode="auto">
        <a:xfrm>
          <a:off x="33682340" y="13598603"/>
          <a:ext cx="11948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304834</xdr:colOff>
      <xdr:row>84</xdr:row>
      <xdr:rowOff>76077</xdr:rowOff>
    </xdr:from>
    <xdr:to>
      <xdr:col>75</xdr:col>
      <xdr:colOff>314392</xdr:colOff>
      <xdr:row>91</xdr:row>
      <xdr:rowOff>85763</xdr:rowOff>
    </xdr:to>
    <xdr:cxnSp macro="">
      <xdr:nvCxnSpPr>
        <xdr:cNvPr id="746" name="Straight Connector 745">
          <a:extLst>
            <a:ext uri="{FF2B5EF4-FFF2-40B4-BE49-F238E27FC236}">
              <a16:creationId xmlns:a16="http://schemas.microsoft.com/office/drawing/2014/main" id="{00000000-0008-0000-0D00-0000EA020000}"/>
            </a:ext>
          </a:extLst>
        </xdr:cNvPr>
        <xdr:cNvCxnSpPr/>
      </xdr:nvCxnSpPr>
      <xdr:spPr bwMode="auto">
        <a:xfrm flipV="1">
          <a:off x="31426518" y="13711866"/>
          <a:ext cx="9558" cy="11326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84</xdr:row>
      <xdr:rowOff>85515</xdr:rowOff>
    </xdr:from>
    <xdr:to>
      <xdr:col>72</xdr:col>
      <xdr:colOff>199657</xdr:colOff>
      <xdr:row>100</xdr:row>
      <xdr:rowOff>20012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CxnSpPr/>
      </xdr:nvCxnSpPr>
      <xdr:spPr bwMode="auto">
        <a:xfrm flipV="1">
          <a:off x="29170696" y="13721304"/>
          <a:ext cx="0" cy="25012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103</xdr:row>
      <xdr:rowOff>76750</xdr:rowOff>
    </xdr:from>
    <xdr:to>
      <xdr:col>72</xdr:col>
      <xdr:colOff>75395</xdr:colOff>
      <xdr:row>103</xdr:row>
      <xdr:rowOff>86189</xdr:rowOff>
    </xdr:to>
    <xdr:cxnSp macro="">
      <xdr:nvCxnSpPr>
        <xdr:cNvPr id="748" name="Straight Connector 747">
          <a:extLst>
            <a:ext uri="{FF2B5EF4-FFF2-40B4-BE49-F238E27FC236}">
              <a16:creationId xmlns:a16="http://schemas.microsoft.com/office/drawing/2014/main" id="{00000000-0008-0000-0D00-0000EC020000}"/>
            </a:ext>
          </a:extLst>
        </xdr:cNvPr>
        <xdr:cNvCxnSpPr/>
      </xdr:nvCxnSpPr>
      <xdr:spPr bwMode="auto">
        <a:xfrm>
          <a:off x="27134720" y="16760539"/>
          <a:ext cx="1911714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95</xdr:row>
      <xdr:rowOff>76467</xdr:rowOff>
    </xdr:from>
    <xdr:to>
      <xdr:col>75</xdr:col>
      <xdr:colOff>113663</xdr:colOff>
      <xdr:row>95</xdr:row>
      <xdr:rowOff>76467</xdr:rowOff>
    </xdr:to>
    <xdr:cxnSp macro="">
      <xdr:nvCxnSpPr>
        <xdr:cNvPr id="749" name="Straight Connector 748">
          <a:extLst>
            <a:ext uri="{FF2B5EF4-FFF2-40B4-BE49-F238E27FC236}">
              <a16:creationId xmlns:a16="http://schemas.microsoft.com/office/drawing/2014/main" id="{00000000-0008-0000-0D00-0000ED020000}"/>
            </a:ext>
          </a:extLst>
        </xdr:cNvPr>
        <xdr:cNvCxnSpPr/>
      </xdr:nvCxnSpPr>
      <xdr:spPr bwMode="auto">
        <a:xfrm>
          <a:off x="29170696" y="15476888"/>
          <a:ext cx="20646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304800</xdr:colOff>
      <xdr:row>91</xdr:row>
      <xdr:rowOff>85725</xdr:rowOff>
    </xdr:from>
    <xdr:to>
      <xdr:col>78</xdr:col>
      <xdr:colOff>38100</xdr:colOff>
      <xdr:row>91</xdr:row>
      <xdr:rowOff>85725</xdr:rowOff>
    </xdr:to>
    <xdr:cxnSp macro="">
      <xdr:nvCxnSpPr>
        <xdr:cNvPr id="12298782" name="Straight Connector 749">
          <a:extLst>
            <a:ext uri="{FF2B5EF4-FFF2-40B4-BE49-F238E27FC236}">
              <a16:creationId xmlns:a16="http://schemas.microsoft.com/office/drawing/2014/main" id="{00000000-0008-0000-0D00-00001EAABB00}"/>
            </a:ext>
          </a:extLst>
        </xdr:cNvPr>
        <xdr:cNvCxnSpPr>
          <a:cxnSpLocks noChangeShapeType="1"/>
        </xdr:cNvCxnSpPr>
      </xdr:nvCxnSpPr>
      <xdr:spPr bwMode="auto">
        <a:xfrm>
          <a:off x="30394275" y="14982825"/>
          <a:ext cx="1876425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601138</xdr:colOff>
      <xdr:row>91</xdr:row>
      <xdr:rowOff>85763</xdr:rowOff>
    </xdr:from>
    <xdr:to>
      <xdr:col>75</xdr:col>
      <xdr:colOff>304834</xdr:colOff>
      <xdr:row>100</xdr:row>
      <xdr:rowOff>29451</xdr:rowOff>
    </xdr:to>
    <xdr:cxnSp macro="">
      <xdr:nvCxnSpPr>
        <xdr:cNvPr id="751" name="Straight Connector 750">
          <a:extLst>
            <a:ext uri="{FF2B5EF4-FFF2-40B4-BE49-F238E27FC236}">
              <a16:creationId xmlns:a16="http://schemas.microsoft.com/office/drawing/2014/main" id="{00000000-0008-0000-0D00-0000EF020000}"/>
            </a:ext>
          </a:extLst>
        </xdr:cNvPr>
        <xdr:cNvCxnSpPr/>
      </xdr:nvCxnSpPr>
      <xdr:spPr bwMode="auto">
        <a:xfrm flipV="1">
          <a:off x="31005941" y="14844500"/>
          <a:ext cx="420577" cy="13874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639339</xdr:colOff>
      <xdr:row>100</xdr:row>
      <xdr:rowOff>10574</xdr:rowOff>
    </xdr:from>
    <xdr:to>
      <xdr:col>72</xdr:col>
      <xdr:colOff>199657</xdr:colOff>
      <xdr:row>107</xdr:row>
      <xdr:rowOff>142962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00000000-0008-0000-0D00-0000F0020000}"/>
            </a:ext>
          </a:extLst>
        </xdr:cNvPr>
        <xdr:cNvCxnSpPr/>
      </xdr:nvCxnSpPr>
      <xdr:spPr bwMode="auto">
        <a:xfrm flipV="1">
          <a:off x="28893497" y="16213100"/>
          <a:ext cx="277199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171069</xdr:colOff>
      <xdr:row>83</xdr:row>
      <xdr:rowOff>123235</xdr:rowOff>
    </xdr:from>
    <xdr:to>
      <xdr:col>80</xdr:col>
      <xdr:colOff>324006</xdr:colOff>
      <xdr:row>84</xdr:row>
      <xdr:rowOff>123270</xdr:rowOff>
    </xdr:to>
    <xdr:cxnSp macro="">
      <xdr:nvCxnSpPr>
        <xdr:cNvPr id="753" name="Straight Connector 752">
          <a:extLst>
            <a:ext uri="{FF2B5EF4-FFF2-40B4-BE49-F238E27FC236}">
              <a16:creationId xmlns:a16="http://schemas.microsoft.com/office/drawing/2014/main" id="{00000000-0008-0000-0D00-0000F1020000}"/>
            </a:ext>
          </a:extLst>
        </xdr:cNvPr>
        <xdr:cNvCxnSpPr/>
      </xdr:nvCxnSpPr>
      <xdr:spPr bwMode="auto">
        <a:xfrm>
          <a:off x="34877161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83</xdr:row>
      <xdr:rowOff>123235</xdr:rowOff>
    </xdr:from>
    <xdr:to>
      <xdr:col>80</xdr:col>
      <xdr:colOff>457827</xdr:colOff>
      <xdr:row>84</xdr:row>
      <xdr:rowOff>123270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00000000-0008-0000-0D00-0000F2020000}"/>
            </a:ext>
          </a:extLst>
        </xdr:cNvPr>
        <xdr:cNvCxnSpPr/>
      </xdr:nvCxnSpPr>
      <xdr:spPr bwMode="auto">
        <a:xfrm flipH="1">
          <a:off x="35030099" y="13598603"/>
          <a:ext cx="133820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84</xdr:row>
      <xdr:rowOff>123270</xdr:rowOff>
    </xdr:from>
    <xdr:to>
      <xdr:col>82</xdr:col>
      <xdr:colOff>362263</xdr:colOff>
      <xdr:row>107</xdr:row>
      <xdr:rowOff>152400</xdr:rowOff>
    </xdr:to>
    <xdr:cxnSp macro="">
      <xdr:nvCxnSpPr>
        <xdr:cNvPr id="755" name="Straight Connector 754">
          <a:extLst>
            <a:ext uri="{FF2B5EF4-FFF2-40B4-BE49-F238E27FC236}">
              <a16:creationId xmlns:a16="http://schemas.microsoft.com/office/drawing/2014/main" id="{00000000-0008-0000-0D00-0000F3020000}"/>
            </a:ext>
          </a:extLst>
        </xdr:cNvPr>
        <xdr:cNvCxnSpPr/>
      </xdr:nvCxnSpPr>
      <xdr:spPr bwMode="auto">
        <a:xfrm flipH="1" flipV="1">
          <a:off x="36492560" y="13759059"/>
          <a:ext cx="9558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209326</xdr:colOff>
      <xdr:row>83</xdr:row>
      <xdr:rowOff>123235</xdr:rowOff>
    </xdr:from>
    <xdr:to>
      <xdr:col>82</xdr:col>
      <xdr:colOff>352704</xdr:colOff>
      <xdr:row>84</xdr:row>
      <xdr:rowOff>132709</xdr:rowOff>
    </xdr:to>
    <xdr:cxnSp macro="">
      <xdr:nvCxnSpPr>
        <xdr:cNvPr id="756" name="Straight Connector 755">
          <a:extLst>
            <a:ext uri="{FF2B5EF4-FFF2-40B4-BE49-F238E27FC236}">
              <a16:creationId xmlns:a16="http://schemas.microsoft.com/office/drawing/2014/main" id="{00000000-0008-0000-0D00-0000F4020000}"/>
            </a:ext>
          </a:extLst>
        </xdr:cNvPr>
        <xdr:cNvCxnSpPr/>
      </xdr:nvCxnSpPr>
      <xdr:spPr bwMode="auto">
        <a:xfrm>
          <a:off x="36349181" y="13598603"/>
          <a:ext cx="143378" cy="16989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83</xdr:row>
      <xdr:rowOff>123235</xdr:rowOff>
    </xdr:from>
    <xdr:to>
      <xdr:col>82</xdr:col>
      <xdr:colOff>505642</xdr:colOff>
      <xdr:row>84</xdr:row>
      <xdr:rowOff>123270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00000000-0008-0000-0D00-0000F5020000}"/>
            </a:ext>
          </a:extLst>
        </xdr:cNvPr>
        <xdr:cNvCxnSpPr/>
      </xdr:nvCxnSpPr>
      <xdr:spPr bwMode="auto">
        <a:xfrm flipH="1">
          <a:off x="36492560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161925</xdr:colOff>
      <xdr:row>88</xdr:row>
      <xdr:rowOff>57150</xdr:rowOff>
    </xdr:from>
    <xdr:to>
      <xdr:col>70</xdr:col>
      <xdr:colOff>28575</xdr:colOff>
      <xdr:row>88</xdr:row>
      <xdr:rowOff>57150</xdr:rowOff>
    </xdr:to>
    <xdr:sp macro="" textlink="">
      <xdr:nvSpPr>
        <xdr:cNvPr id="12298790" name="Line 1548">
          <a:extLst>
            <a:ext uri="{FF2B5EF4-FFF2-40B4-BE49-F238E27FC236}">
              <a16:creationId xmlns:a16="http://schemas.microsoft.com/office/drawing/2014/main" id="{00000000-0008-0000-0D00-000026AABB00}"/>
            </a:ext>
          </a:extLst>
        </xdr:cNvPr>
        <xdr:cNvSpPr>
          <a:spLocks noChangeShapeType="1"/>
        </xdr:cNvSpPr>
      </xdr:nvSpPr>
      <xdr:spPr bwMode="auto">
        <a:xfrm flipV="1">
          <a:off x="25965150" y="14468475"/>
          <a:ext cx="5810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88</xdr:row>
      <xdr:rowOff>114300</xdr:rowOff>
    </xdr:from>
    <xdr:to>
      <xdr:col>69</xdr:col>
      <xdr:colOff>638175</xdr:colOff>
      <xdr:row>88</xdr:row>
      <xdr:rowOff>123825</xdr:rowOff>
    </xdr:to>
    <xdr:sp macro="" textlink="">
      <xdr:nvSpPr>
        <xdr:cNvPr id="12298791" name="Line 1549">
          <a:extLst>
            <a:ext uri="{FF2B5EF4-FFF2-40B4-BE49-F238E27FC236}">
              <a16:creationId xmlns:a16="http://schemas.microsoft.com/office/drawing/2014/main" id="{00000000-0008-0000-0D00-000027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525625"/>
          <a:ext cx="638175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73</xdr:row>
      <xdr:rowOff>95250</xdr:rowOff>
    </xdr:from>
    <xdr:to>
      <xdr:col>69</xdr:col>
      <xdr:colOff>666750</xdr:colOff>
      <xdr:row>73</xdr:row>
      <xdr:rowOff>95250</xdr:rowOff>
    </xdr:to>
    <xdr:sp macro="" textlink="">
      <xdr:nvSpPr>
        <xdr:cNvPr id="12298792" name="Line 1493">
          <a:extLst>
            <a:ext uri="{FF2B5EF4-FFF2-40B4-BE49-F238E27FC236}">
              <a16:creationId xmlns:a16="http://schemas.microsoft.com/office/drawing/2014/main" id="{00000000-0008-0000-0D00-000028AABB00}"/>
            </a:ext>
          </a:extLst>
        </xdr:cNvPr>
        <xdr:cNvSpPr>
          <a:spLocks noChangeShapeType="1"/>
        </xdr:cNvSpPr>
      </xdr:nvSpPr>
      <xdr:spPr bwMode="auto">
        <a:xfrm flipV="1">
          <a:off x="25822275" y="12077700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91</xdr:row>
      <xdr:rowOff>85725</xdr:rowOff>
    </xdr:from>
    <xdr:to>
      <xdr:col>72</xdr:col>
      <xdr:colOff>428625</xdr:colOff>
      <xdr:row>91</xdr:row>
      <xdr:rowOff>85725</xdr:rowOff>
    </xdr:to>
    <xdr:sp macro="" textlink="">
      <xdr:nvSpPr>
        <xdr:cNvPr id="12298793" name="Line 1633">
          <a:extLst>
            <a:ext uri="{FF2B5EF4-FFF2-40B4-BE49-F238E27FC236}">
              <a16:creationId xmlns:a16="http://schemas.microsoft.com/office/drawing/2014/main" id="{00000000-0008-0000-0D00-000029AABB00}"/>
            </a:ext>
          </a:extLst>
        </xdr:cNvPr>
        <xdr:cNvSpPr>
          <a:spLocks noChangeShapeType="1"/>
        </xdr:cNvSpPr>
      </xdr:nvSpPr>
      <xdr:spPr bwMode="auto">
        <a:xfrm>
          <a:off x="25803225" y="14982825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38100</xdr:colOff>
      <xdr:row>71</xdr:row>
      <xdr:rowOff>95250</xdr:rowOff>
    </xdr:from>
    <xdr:to>
      <xdr:col>70</xdr:col>
      <xdr:colOff>57150</xdr:colOff>
      <xdr:row>71</xdr:row>
      <xdr:rowOff>95250</xdr:rowOff>
    </xdr:to>
    <xdr:sp macro="" textlink="">
      <xdr:nvSpPr>
        <xdr:cNvPr id="12298794" name="Line 1658">
          <a:extLst>
            <a:ext uri="{FF2B5EF4-FFF2-40B4-BE49-F238E27FC236}">
              <a16:creationId xmlns:a16="http://schemas.microsoft.com/office/drawing/2014/main" id="{00000000-0008-0000-0D00-00002AAABB00}"/>
            </a:ext>
          </a:extLst>
        </xdr:cNvPr>
        <xdr:cNvSpPr>
          <a:spLocks noChangeShapeType="1"/>
        </xdr:cNvSpPr>
      </xdr:nvSpPr>
      <xdr:spPr bwMode="auto">
        <a:xfrm flipV="1">
          <a:off x="25841325" y="11753850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9525</xdr:colOff>
      <xdr:row>72</xdr:row>
      <xdr:rowOff>85725</xdr:rowOff>
    </xdr:from>
    <xdr:to>
      <xdr:col>69</xdr:col>
      <xdr:colOff>714375</xdr:colOff>
      <xdr:row>72</xdr:row>
      <xdr:rowOff>95250</xdr:rowOff>
    </xdr:to>
    <xdr:sp macro="" textlink="">
      <xdr:nvSpPr>
        <xdr:cNvPr id="12298795" name="Line 1659">
          <a:extLst>
            <a:ext uri="{FF2B5EF4-FFF2-40B4-BE49-F238E27FC236}">
              <a16:creationId xmlns:a16="http://schemas.microsoft.com/office/drawing/2014/main" id="{00000000-0008-0000-0D00-00002BAABB00}"/>
            </a:ext>
          </a:extLst>
        </xdr:cNvPr>
        <xdr:cNvSpPr>
          <a:spLocks noChangeShapeType="1"/>
        </xdr:cNvSpPr>
      </xdr:nvSpPr>
      <xdr:spPr bwMode="auto">
        <a:xfrm flipH="1">
          <a:off x="25812750" y="11906250"/>
          <a:ext cx="70485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247650</xdr:colOff>
      <xdr:row>96</xdr:row>
      <xdr:rowOff>95250</xdr:rowOff>
    </xdr:from>
    <xdr:to>
      <xdr:col>84</xdr:col>
      <xdr:colOff>552450</xdr:colOff>
      <xdr:row>96</xdr:row>
      <xdr:rowOff>95250</xdr:rowOff>
    </xdr:to>
    <xdr:sp macro="" textlink="">
      <xdr:nvSpPr>
        <xdr:cNvPr id="12298796" name="Line 1757">
          <a:extLst>
            <a:ext uri="{FF2B5EF4-FFF2-40B4-BE49-F238E27FC236}">
              <a16:creationId xmlns:a16="http://schemas.microsoft.com/office/drawing/2014/main" id="{00000000-0008-0000-0D00-00002CAABB00}"/>
            </a:ext>
          </a:extLst>
        </xdr:cNvPr>
        <xdr:cNvSpPr>
          <a:spLocks noChangeShapeType="1"/>
        </xdr:cNvSpPr>
      </xdr:nvSpPr>
      <xdr:spPr bwMode="auto">
        <a:xfrm flipH="1">
          <a:off x="36052125" y="158019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133350</xdr:colOff>
      <xdr:row>97</xdr:row>
      <xdr:rowOff>95250</xdr:rowOff>
    </xdr:from>
    <xdr:to>
      <xdr:col>84</xdr:col>
      <xdr:colOff>552450</xdr:colOff>
      <xdr:row>97</xdr:row>
      <xdr:rowOff>95250</xdr:rowOff>
    </xdr:to>
    <xdr:sp macro="" textlink="">
      <xdr:nvSpPr>
        <xdr:cNvPr id="12298797" name="Line 1758">
          <a:extLst>
            <a:ext uri="{FF2B5EF4-FFF2-40B4-BE49-F238E27FC236}">
              <a16:creationId xmlns:a16="http://schemas.microsoft.com/office/drawing/2014/main" id="{00000000-0008-0000-0D00-00002DAABB00}"/>
            </a:ext>
          </a:extLst>
        </xdr:cNvPr>
        <xdr:cNvSpPr>
          <a:spLocks noChangeShapeType="1"/>
        </xdr:cNvSpPr>
      </xdr:nvSpPr>
      <xdr:spPr bwMode="auto">
        <a:xfrm flipH="1" flipV="1">
          <a:off x="34509075" y="159639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209550</xdr:colOff>
      <xdr:row>98</xdr:row>
      <xdr:rowOff>104775</xdr:rowOff>
    </xdr:from>
    <xdr:to>
      <xdr:col>84</xdr:col>
      <xdr:colOff>552450</xdr:colOff>
      <xdr:row>98</xdr:row>
      <xdr:rowOff>104775</xdr:rowOff>
    </xdr:to>
    <xdr:sp macro="" textlink="">
      <xdr:nvSpPr>
        <xdr:cNvPr id="12298798" name="Line 1759">
          <a:extLst>
            <a:ext uri="{FF2B5EF4-FFF2-40B4-BE49-F238E27FC236}">
              <a16:creationId xmlns:a16="http://schemas.microsoft.com/office/drawing/2014/main" id="{00000000-0008-0000-0D00-00002EAABB00}"/>
            </a:ext>
          </a:extLst>
        </xdr:cNvPr>
        <xdr:cNvSpPr>
          <a:spLocks noChangeShapeType="1"/>
        </xdr:cNvSpPr>
      </xdr:nvSpPr>
      <xdr:spPr bwMode="auto">
        <a:xfrm flipH="1">
          <a:off x="31727775" y="161353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180975</xdr:colOff>
      <xdr:row>67</xdr:row>
      <xdr:rowOff>9525</xdr:rowOff>
    </xdr:from>
    <xdr:to>
      <xdr:col>75</xdr:col>
      <xdr:colOff>447675</xdr:colOff>
      <xdr:row>68</xdr:row>
      <xdr:rowOff>133350</xdr:rowOff>
    </xdr:to>
    <xdr:sp macro="" textlink="">
      <xdr:nvSpPr>
        <xdr:cNvPr id="12298799" name="Line 2552">
          <a:extLst>
            <a:ext uri="{FF2B5EF4-FFF2-40B4-BE49-F238E27FC236}">
              <a16:creationId xmlns:a16="http://schemas.microsoft.com/office/drawing/2014/main" id="{00000000-0008-0000-0D00-00002FAABB00}"/>
            </a:ext>
          </a:extLst>
        </xdr:cNvPr>
        <xdr:cNvSpPr>
          <a:spLocks noChangeShapeType="1"/>
        </xdr:cNvSpPr>
      </xdr:nvSpPr>
      <xdr:spPr bwMode="auto">
        <a:xfrm rot="18953249" flipV="1">
          <a:off x="30270450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152400</xdr:colOff>
      <xdr:row>87</xdr:row>
      <xdr:rowOff>66675</xdr:rowOff>
    </xdr:from>
    <xdr:to>
      <xdr:col>73</xdr:col>
      <xdr:colOff>28575</xdr:colOff>
      <xdr:row>87</xdr:row>
      <xdr:rowOff>66675</xdr:rowOff>
    </xdr:to>
    <xdr:sp macro="" textlink="">
      <xdr:nvSpPr>
        <xdr:cNvPr id="12298800" name="Line 1636">
          <a:extLst>
            <a:ext uri="{FF2B5EF4-FFF2-40B4-BE49-F238E27FC236}">
              <a16:creationId xmlns:a16="http://schemas.microsoft.com/office/drawing/2014/main" id="{00000000-0008-0000-0D00-000030AABB00}"/>
            </a:ext>
          </a:extLst>
        </xdr:cNvPr>
        <xdr:cNvSpPr>
          <a:spLocks noChangeShapeType="1"/>
        </xdr:cNvSpPr>
      </xdr:nvSpPr>
      <xdr:spPr bwMode="auto">
        <a:xfrm flipV="1">
          <a:off x="25955625" y="1431607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87</xdr:row>
      <xdr:rowOff>114300</xdr:rowOff>
    </xdr:from>
    <xdr:to>
      <xdr:col>72</xdr:col>
      <xdr:colOff>619125</xdr:colOff>
      <xdr:row>87</xdr:row>
      <xdr:rowOff>114300</xdr:rowOff>
    </xdr:to>
    <xdr:sp macro="" textlink="">
      <xdr:nvSpPr>
        <xdr:cNvPr id="12298801" name="Line 1549">
          <a:extLst>
            <a:ext uri="{FF2B5EF4-FFF2-40B4-BE49-F238E27FC236}">
              <a16:creationId xmlns:a16="http://schemas.microsoft.com/office/drawing/2014/main" id="{00000000-0008-0000-0D00-000031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363700"/>
          <a:ext cx="27622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86</xdr:row>
      <xdr:rowOff>85725</xdr:rowOff>
    </xdr:from>
    <xdr:to>
      <xdr:col>75</xdr:col>
      <xdr:colOff>552450</xdr:colOff>
      <xdr:row>86</xdr:row>
      <xdr:rowOff>85725</xdr:rowOff>
    </xdr:to>
    <xdr:sp macro="" textlink="">
      <xdr:nvSpPr>
        <xdr:cNvPr id="12298802" name="Line 1549">
          <a:extLst>
            <a:ext uri="{FF2B5EF4-FFF2-40B4-BE49-F238E27FC236}">
              <a16:creationId xmlns:a16="http://schemas.microsoft.com/office/drawing/2014/main" id="{00000000-0008-0000-0D00-000032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173200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90</xdr:row>
      <xdr:rowOff>76200</xdr:rowOff>
    </xdr:from>
    <xdr:to>
      <xdr:col>75</xdr:col>
      <xdr:colOff>561975</xdr:colOff>
      <xdr:row>90</xdr:row>
      <xdr:rowOff>85725</xdr:rowOff>
    </xdr:to>
    <xdr:sp macro="" textlink="">
      <xdr:nvSpPr>
        <xdr:cNvPr id="12298803" name="Line 1633">
          <a:extLst>
            <a:ext uri="{FF2B5EF4-FFF2-40B4-BE49-F238E27FC236}">
              <a16:creationId xmlns:a16="http://schemas.microsoft.com/office/drawing/2014/main" id="{00000000-0008-0000-0D00-000033AABB00}"/>
            </a:ext>
          </a:extLst>
        </xdr:cNvPr>
        <xdr:cNvSpPr>
          <a:spLocks noChangeShapeType="1"/>
        </xdr:cNvSpPr>
      </xdr:nvSpPr>
      <xdr:spPr bwMode="auto">
        <a:xfrm flipV="1">
          <a:off x="25803225" y="14811375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447675</xdr:colOff>
      <xdr:row>92</xdr:row>
      <xdr:rowOff>142875</xdr:rowOff>
    </xdr:from>
    <xdr:to>
      <xdr:col>72</xdr:col>
      <xdr:colOff>638175</xdr:colOff>
      <xdr:row>94</xdr:row>
      <xdr:rowOff>19050</xdr:rowOff>
    </xdr:to>
    <xdr:grpSp>
      <xdr:nvGrpSpPr>
        <xdr:cNvPr id="12298804" name="Group 783">
          <a:extLst>
            <a:ext uri="{FF2B5EF4-FFF2-40B4-BE49-F238E27FC236}">
              <a16:creationId xmlns:a16="http://schemas.microsoft.com/office/drawing/2014/main" id="{00000000-0008-0000-0D00-000034AABB00}"/>
            </a:ext>
          </a:extLst>
        </xdr:cNvPr>
        <xdr:cNvGrpSpPr>
          <a:grpSpLocks noChangeAspect="1"/>
        </xdr:cNvGrpSpPr>
      </xdr:nvGrpSpPr>
      <xdr:grpSpPr bwMode="auto">
        <a:xfrm>
          <a:off x="28870275" y="14747875"/>
          <a:ext cx="190500" cy="193675"/>
          <a:chOff x="2707905" y="4003582"/>
          <a:chExt cx="474280" cy="474280"/>
        </a:xfrm>
      </xdr:grpSpPr>
      <xdr:grpSp>
        <xdr:nvGrpSpPr>
          <xdr:cNvPr id="715" name="Group 852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5" name="Arc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6" name="Straight Connector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CxnSpPr>
              <a:endCxn id="85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7" name="Straight Connector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CxnSpPr>
              <a:endCxn id="85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54" name="Oval 853">
            <a:extLst>
              <a:ext uri="{FF2B5EF4-FFF2-40B4-BE49-F238E27FC236}">
                <a16:creationId xmlns:a16="http://schemas.microsoft.com/office/drawing/2014/main" id="{00000000-0008-0000-0D00-00005603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88</xdr:row>
      <xdr:rowOff>133350</xdr:rowOff>
    </xdr:from>
    <xdr:to>
      <xdr:col>76</xdr:col>
      <xdr:colOff>114300</xdr:colOff>
      <xdr:row>90</xdr:row>
      <xdr:rowOff>9525</xdr:rowOff>
    </xdr:to>
    <xdr:grpSp>
      <xdr:nvGrpSpPr>
        <xdr:cNvPr id="12298805" name="Group 784">
          <a:extLst>
            <a:ext uri="{FF2B5EF4-FFF2-40B4-BE49-F238E27FC236}">
              <a16:creationId xmlns:a16="http://schemas.microsoft.com/office/drawing/2014/main" id="{00000000-0008-0000-0D00-000035AABB00}"/>
            </a:ext>
          </a:extLst>
        </xdr:cNvPr>
        <xdr:cNvGrpSpPr>
          <a:grpSpLocks noChangeAspect="1"/>
        </xdr:cNvGrpSpPr>
      </xdr:nvGrpSpPr>
      <xdr:grpSpPr bwMode="auto">
        <a:xfrm>
          <a:off x="31061025" y="14103350"/>
          <a:ext cx="168275" cy="193675"/>
          <a:chOff x="5029763" y="3374153"/>
          <a:chExt cx="474280" cy="474280"/>
        </a:xfrm>
      </xdr:grpSpPr>
      <xdr:grpSp>
        <xdr:nvGrpSpPr>
          <xdr:cNvPr id="714" name="Group 847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0" name="Arc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1" name="Straight Connector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CxnSpPr>
              <a:endCxn id="850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2" name="Straight Connector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CxnSpPr>
              <a:endCxn id="850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9" name="Oval 848">
            <a:extLst>
              <a:ext uri="{FF2B5EF4-FFF2-40B4-BE49-F238E27FC236}">
                <a16:creationId xmlns:a16="http://schemas.microsoft.com/office/drawing/2014/main" id="{00000000-0008-0000-0D00-00005103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533400</xdr:colOff>
      <xdr:row>88</xdr:row>
      <xdr:rowOff>142875</xdr:rowOff>
    </xdr:from>
    <xdr:to>
      <xdr:col>79</xdr:col>
      <xdr:colOff>28575</xdr:colOff>
      <xdr:row>90</xdr:row>
      <xdr:rowOff>19050</xdr:rowOff>
    </xdr:to>
    <xdr:grpSp>
      <xdr:nvGrpSpPr>
        <xdr:cNvPr id="12298806" name="Group 785">
          <a:extLst>
            <a:ext uri="{FF2B5EF4-FFF2-40B4-BE49-F238E27FC236}">
              <a16:creationId xmlns:a16="http://schemas.microsoft.com/office/drawing/2014/main" id="{00000000-0008-0000-0D00-000036AABB00}"/>
            </a:ext>
          </a:extLst>
        </xdr:cNvPr>
        <xdr:cNvGrpSpPr>
          <a:grpSpLocks noChangeAspect="1"/>
        </xdr:cNvGrpSpPr>
      </xdr:nvGrpSpPr>
      <xdr:grpSpPr bwMode="auto">
        <a:xfrm>
          <a:off x="32994600" y="14112875"/>
          <a:ext cx="168275" cy="193675"/>
          <a:chOff x="7095567" y="3383678"/>
          <a:chExt cx="474280" cy="474280"/>
        </a:xfrm>
      </xdr:grpSpPr>
      <xdr:grpSp>
        <xdr:nvGrpSpPr>
          <xdr:cNvPr id="713" name="Group 84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5" name="Arc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6" name="Straight Connector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CxnSpPr>
              <a:endCxn id="845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7" name="Straight Connector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CxnSpPr>
              <a:endCxn id="845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4" name="Oval 843">
            <a:extLst>
              <a:ext uri="{FF2B5EF4-FFF2-40B4-BE49-F238E27FC236}">
                <a16:creationId xmlns:a16="http://schemas.microsoft.com/office/drawing/2014/main" id="{00000000-0008-0000-0D00-00004C03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428625</xdr:colOff>
      <xdr:row>96</xdr:row>
      <xdr:rowOff>142875</xdr:rowOff>
    </xdr:from>
    <xdr:to>
      <xdr:col>72</xdr:col>
      <xdr:colOff>628650</xdr:colOff>
      <xdr:row>98</xdr:row>
      <xdr:rowOff>19050</xdr:rowOff>
    </xdr:to>
    <xdr:grpSp>
      <xdr:nvGrpSpPr>
        <xdr:cNvPr id="12298807" name="Group 786">
          <a:extLst>
            <a:ext uri="{FF2B5EF4-FFF2-40B4-BE49-F238E27FC236}">
              <a16:creationId xmlns:a16="http://schemas.microsoft.com/office/drawing/2014/main" id="{00000000-0008-0000-0D00-000037AABB00}"/>
            </a:ext>
          </a:extLst>
        </xdr:cNvPr>
        <xdr:cNvGrpSpPr>
          <a:grpSpLocks noChangeAspect="1"/>
        </xdr:cNvGrpSpPr>
      </xdr:nvGrpSpPr>
      <xdr:grpSpPr bwMode="auto">
        <a:xfrm>
          <a:off x="28851225" y="15382875"/>
          <a:ext cx="200025" cy="193675"/>
          <a:chOff x="2687733" y="4634257"/>
          <a:chExt cx="474280" cy="474280"/>
        </a:xfrm>
      </xdr:grpSpPr>
      <xdr:grpSp>
        <xdr:nvGrpSpPr>
          <xdr:cNvPr id="712" name="Group 837">
            <a:extLst>
              <a:ext uri="{FF2B5EF4-FFF2-40B4-BE49-F238E27FC236}">
                <a16:creationId xmlns:a16="http://schemas.microsoft.com/office/drawing/2014/main" id="{00000000-0008-0000-0D00-0000C802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0" name="Arc 839">
              <a:extLst>
                <a:ext uri="{FF2B5EF4-FFF2-40B4-BE49-F238E27FC236}">
                  <a16:creationId xmlns:a16="http://schemas.microsoft.com/office/drawing/2014/main" id="{00000000-0008-0000-0D00-00004803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1" name="Straight Connector 840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CxnSpPr>
              <a:endCxn id="840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2" name="Straight Connector 841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CxnSpPr>
              <a:endCxn id="840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9" name="Oval 838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542925</xdr:colOff>
      <xdr:row>88</xdr:row>
      <xdr:rowOff>133350</xdr:rowOff>
    </xdr:from>
    <xdr:to>
      <xdr:col>83</xdr:col>
      <xdr:colOff>28575</xdr:colOff>
      <xdr:row>90</xdr:row>
      <xdr:rowOff>9525</xdr:rowOff>
    </xdr:to>
    <xdr:grpSp>
      <xdr:nvGrpSpPr>
        <xdr:cNvPr id="12298808" name="Group 787">
          <a:extLst>
            <a:ext uri="{FF2B5EF4-FFF2-40B4-BE49-F238E27FC236}">
              <a16:creationId xmlns:a16="http://schemas.microsoft.com/office/drawing/2014/main" id="{00000000-0008-0000-0D00-000038AABB00}"/>
            </a:ext>
          </a:extLst>
        </xdr:cNvPr>
        <xdr:cNvGrpSpPr>
          <a:grpSpLocks noChangeAspect="1"/>
        </xdr:cNvGrpSpPr>
      </xdr:nvGrpSpPr>
      <xdr:grpSpPr bwMode="auto">
        <a:xfrm>
          <a:off x="35696525" y="14103350"/>
          <a:ext cx="158750" cy="193675"/>
          <a:chOff x="9973798" y="3374153"/>
          <a:chExt cx="474280" cy="474280"/>
        </a:xfrm>
      </xdr:grpSpPr>
      <xdr:grpSp>
        <xdr:nvGrpSpPr>
          <xdr:cNvPr id="711" name="Group 832">
            <a:extLst>
              <a:ext uri="{FF2B5EF4-FFF2-40B4-BE49-F238E27FC236}">
                <a16:creationId xmlns:a16="http://schemas.microsoft.com/office/drawing/2014/main" id="{00000000-0008-0000-0D00-0000C702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5" name="Arc 834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6" name="Straight Connector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CxnSpPr>
              <a:endCxn id="835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7" name="Straight Connector 836">
              <a:extLst>
                <a:ext uri="{FF2B5EF4-FFF2-40B4-BE49-F238E27FC236}">
                  <a16:creationId xmlns:a16="http://schemas.microsoft.com/office/drawing/2014/main" id="{00000000-0008-0000-0D00-000045030000}"/>
                </a:ext>
              </a:extLst>
            </xdr:cNvPr>
            <xdr:cNvCxnSpPr>
              <a:endCxn id="835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4" name="Oval 833">
            <a:extLst>
              <a:ext uri="{FF2B5EF4-FFF2-40B4-BE49-F238E27FC236}">
                <a16:creationId xmlns:a16="http://schemas.microsoft.com/office/drawing/2014/main" id="{00000000-0008-0000-0D00-00004203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523875</xdr:colOff>
      <xdr:row>88</xdr:row>
      <xdr:rowOff>142875</xdr:rowOff>
    </xdr:from>
    <xdr:to>
      <xdr:col>81</xdr:col>
      <xdr:colOff>19050</xdr:colOff>
      <xdr:row>90</xdr:row>
      <xdr:rowOff>28575</xdr:rowOff>
    </xdr:to>
    <xdr:grpSp>
      <xdr:nvGrpSpPr>
        <xdr:cNvPr id="12298809" name="Group 788">
          <a:extLst>
            <a:ext uri="{FF2B5EF4-FFF2-40B4-BE49-F238E27FC236}">
              <a16:creationId xmlns:a16="http://schemas.microsoft.com/office/drawing/2014/main" id="{00000000-0008-0000-0D00-000039AABB00}"/>
            </a:ext>
          </a:extLst>
        </xdr:cNvPr>
        <xdr:cNvGrpSpPr>
          <a:grpSpLocks noChangeAspect="1"/>
        </xdr:cNvGrpSpPr>
      </xdr:nvGrpSpPr>
      <xdr:grpSpPr bwMode="auto">
        <a:xfrm>
          <a:off x="34331275" y="14112875"/>
          <a:ext cx="168275" cy="203200"/>
          <a:chOff x="8520395" y="3383678"/>
          <a:chExt cx="474280" cy="474280"/>
        </a:xfrm>
      </xdr:grpSpPr>
      <xdr:grpSp>
        <xdr:nvGrpSpPr>
          <xdr:cNvPr id="710" name="Group 827">
            <a:extLst>
              <a:ext uri="{FF2B5EF4-FFF2-40B4-BE49-F238E27FC236}">
                <a16:creationId xmlns:a16="http://schemas.microsoft.com/office/drawing/2014/main" id="{00000000-0008-0000-0D00-0000C602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0" name="Arc 829">
              <a:extLst>
                <a:ext uri="{FF2B5EF4-FFF2-40B4-BE49-F238E27FC236}">
                  <a16:creationId xmlns:a16="http://schemas.microsoft.com/office/drawing/2014/main" id="{00000000-0008-0000-0D00-00003E03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1" name="Straight Connector 830">
              <a:extLst>
                <a:ext uri="{FF2B5EF4-FFF2-40B4-BE49-F238E27FC236}">
                  <a16:creationId xmlns:a16="http://schemas.microsoft.com/office/drawing/2014/main" id="{00000000-0008-0000-0D00-00003F030000}"/>
                </a:ext>
              </a:extLst>
            </xdr:cNvPr>
            <xdr:cNvCxnSpPr>
              <a:endCxn id="830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2" name="Straight Connector 831">
              <a:extLst>
                <a:ext uri="{FF2B5EF4-FFF2-40B4-BE49-F238E27FC236}">
                  <a16:creationId xmlns:a16="http://schemas.microsoft.com/office/drawing/2014/main" id="{00000000-0008-0000-0D00-000040030000}"/>
                </a:ext>
              </a:extLst>
            </xdr:cNvPr>
            <xdr:cNvCxnSpPr>
              <a:endCxn id="830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9" name="Oval 828">
            <a:extLst>
              <a:ext uri="{FF2B5EF4-FFF2-40B4-BE49-F238E27FC236}">
                <a16:creationId xmlns:a16="http://schemas.microsoft.com/office/drawing/2014/main" id="{00000000-0008-0000-0D00-00003D03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609600</xdr:colOff>
      <xdr:row>69</xdr:row>
      <xdr:rowOff>133350</xdr:rowOff>
    </xdr:from>
    <xdr:to>
      <xdr:col>73</xdr:col>
      <xdr:colOff>95250</xdr:colOff>
      <xdr:row>71</xdr:row>
      <xdr:rowOff>19050</xdr:rowOff>
    </xdr:to>
    <xdr:grpSp>
      <xdr:nvGrpSpPr>
        <xdr:cNvPr id="12298810" name="Group 789">
          <a:extLst>
            <a:ext uri="{FF2B5EF4-FFF2-40B4-BE49-F238E27FC236}">
              <a16:creationId xmlns:a16="http://schemas.microsoft.com/office/drawing/2014/main" id="{00000000-0008-0000-0D00-00003AAABB00}"/>
            </a:ext>
          </a:extLst>
        </xdr:cNvPr>
        <xdr:cNvGrpSpPr>
          <a:grpSpLocks noChangeAspect="1"/>
        </xdr:cNvGrpSpPr>
      </xdr:nvGrpSpPr>
      <xdr:grpSpPr bwMode="auto">
        <a:xfrm>
          <a:off x="29032200" y="11087100"/>
          <a:ext cx="158750" cy="203200"/>
          <a:chOff x="2864226" y="390588"/>
          <a:chExt cx="474280" cy="474280"/>
        </a:xfrm>
      </xdr:grpSpPr>
      <xdr:grpSp>
        <xdr:nvGrpSpPr>
          <xdr:cNvPr id="705" name="Group 822">
            <a:extLst>
              <a:ext uri="{FF2B5EF4-FFF2-40B4-BE49-F238E27FC236}">
                <a16:creationId xmlns:a16="http://schemas.microsoft.com/office/drawing/2014/main" id="{00000000-0008-0000-0D00-0000C102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5" name="Arc 824">
              <a:extLst>
                <a:ext uri="{FF2B5EF4-FFF2-40B4-BE49-F238E27FC236}">
                  <a16:creationId xmlns:a16="http://schemas.microsoft.com/office/drawing/2014/main" id="{00000000-0008-0000-0D00-00003903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6" name="Straight Connector 825">
              <a:extLst>
                <a:ext uri="{FF2B5EF4-FFF2-40B4-BE49-F238E27FC236}">
                  <a16:creationId xmlns:a16="http://schemas.microsoft.com/office/drawing/2014/main" id="{00000000-0008-0000-0D00-00003A030000}"/>
                </a:ext>
              </a:extLst>
            </xdr:cNvPr>
            <xdr:cNvCxnSpPr>
              <a:endCxn id="825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7" name="Straight Connector 826">
              <a:extLst>
                <a:ext uri="{FF2B5EF4-FFF2-40B4-BE49-F238E27FC236}">
                  <a16:creationId xmlns:a16="http://schemas.microsoft.com/office/drawing/2014/main" id="{00000000-0008-0000-0D00-00003B030000}"/>
                </a:ext>
              </a:extLst>
            </xdr:cNvPr>
            <xdr:cNvCxnSpPr>
              <a:endCxn id="825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4" name="Oval 823">
            <a:extLst>
              <a:ext uri="{FF2B5EF4-FFF2-40B4-BE49-F238E27FC236}">
                <a16:creationId xmlns:a16="http://schemas.microsoft.com/office/drawing/2014/main" id="{00000000-0008-0000-0D00-00003803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94</xdr:row>
      <xdr:rowOff>133350</xdr:rowOff>
    </xdr:from>
    <xdr:to>
      <xdr:col>69</xdr:col>
      <xdr:colOff>638175</xdr:colOff>
      <xdr:row>96</xdr:row>
      <xdr:rowOff>9525</xdr:rowOff>
    </xdr:to>
    <xdr:grpSp>
      <xdr:nvGrpSpPr>
        <xdr:cNvPr id="12298811" name="Group 790">
          <a:extLst>
            <a:ext uri="{FF2B5EF4-FFF2-40B4-BE49-F238E27FC236}">
              <a16:creationId xmlns:a16="http://schemas.microsoft.com/office/drawing/2014/main" id="{00000000-0008-0000-0D00-00003BAABB00}"/>
            </a:ext>
          </a:extLst>
        </xdr:cNvPr>
        <xdr:cNvGrpSpPr>
          <a:grpSpLocks noChangeAspect="1"/>
        </xdr:cNvGrpSpPr>
      </xdr:nvGrpSpPr>
      <xdr:grpSpPr bwMode="auto">
        <a:xfrm>
          <a:off x="26831925" y="15055850"/>
          <a:ext cx="209550" cy="193675"/>
          <a:chOff x="538587" y="4315447"/>
          <a:chExt cx="474280" cy="474280"/>
        </a:xfrm>
      </xdr:grpSpPr>
      <xdr:grpSp>
        <xdr:nvGrpSpPr>
          <xdr:cNvPr id="704" name="Group 817">
            <a:extLst>
              <a:ext uri="{FF2B5EF4-FFF2-40B4-BE49-F238E27FC236}">
                <a16:creationId xmlns:a16="http://schemas.microsoft.com/office/drawing/2014/main" id="{00000000-0008-0000-0D00-0000C002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0" name="Arc 819">
              <a:extLst>
                <a:ext uri="{FF2B5EF4-FFF2-40B4-BE49-F238E27FC236}">
                  <a16:creationId xmlns:a16="http://schemas.microsoft.com/office/drawing/2014/main" id="{00000000-0008-0000-0D00-00003403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1" name="Straight Connector 820">
              <a:extLst>
                <a:ext uri="{FF2B5EF4-FFF2-40B4-BE49-F238E27FC236}">
                  <a16:creationId xmlns:a16="http://schemas.microsoft.com/office/drawing/2014/main" id="{00000000-0008-0000-0D00-000035030000}"/>
                </a:ext>
              </a:extLst>
            </xdr:cNvPr>
            <xdr:cNvCxnSpPr>
              <a:endCxn id="820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2" name="Straight Connector 821">
              <a:extLst>
                <a:ext uri="{FF2B5EF4-FFF2-40B4-BE49-F238E27FC236}">
                  <a16:creationId xmlns:a16="http://schemas.microsoft.com/office/drawing/2014/main" id="{00000000-0008-0000-0D00-000036030000}"/>
                </a:ext>
              </a:extLst>
            </xdr:cNvPr>
            <xdr:cNvCxnSpPr>
              <a:endCxn id="820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9" name="Oval 818">
            <a:extLst>
              <a:ext uri="{FF2B5EF4-FFF2-40B4-BE49-F238E27FC236}">
                <a16:creationId xmlns:a16="http://schemas.microsoft.com/office/drawing/2014/main" id="{00000000-0008-0000-0D00-00003303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105</xdr:row>
      <xdr:rowOff>133350</xdr:rowOff>
    </xdr:from>
    <xdr:to>
      <xdr:col>69</xdr:col>
      <xdr:colOff>638175</xdr:colOff>
      <xdr:row>107</xdr:row>
      <xdr:rowOff>19050</xdr:rowOff>
    </xdr:to>
    <xdr:grpSp>
      <xdr:nvGrpSpPr>
        <xdr:cNvPr id="12298812" name="Group 791">
          <a:extLst>
            <a:ext uri="{FF2B5EF4-FFF2-40B4-BE49-F238E27FC236}">
              <a16:creationId xmlns:a16="http://schemas.microsoft.com/office/drawing/2014/main" id="{00000000-0008-0000-0D00-00003CAABB00}"/>
            </a:ext>
          </a:extLst>
        </xdr:cNvPr>
        <xdr:cNvGrpSpPr>
          <a:grpSpLocks noChangeAspect="1"/>
        </xdr:cNvGrpSpPr>
      </xdr:nvGrpSpPr>
      <xdr:grpSpPr bwMode="auto">
        <a:xfrm>
          <a:off x="26831925" y="16802100"/>
          <a:ext cx="209550" cy="203200"/>
          <a:chOff x="533825" y="6041153"/>
          <a:chExt cx="474280" cy="474280"/>
        </a:xfrm>
      </xdr:grpSpPr>
      <xdr:grpSp>
        <xdr:nvGrpSpPr>
          <xdr:cNvPr id="698" name="Group 812">
            <a:extLst>
              <a:ext uri="{FF2B5EF4-FFF2-40B4-BE49-F238E27FC236}">
                <a16:creationId xmlns:a16="http://schemas.microsoft.com/office/drawing/2014/main" id="{00000000-0008-0000-0D00-0000BA02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15" name="Arc 814">
              <a:extLst>
                <a:ext uri="{FF2B5EF4-FFF2-40B4-BE49-F238E27FC236}">
                  <a16:creationId xmlns:a16="http://schemas.microsoft.com/office/drawing/2014/main" id="{00000000-0008-0000-0D00-00002F03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16" name="Straight Connector 815">
              <a:extLst>
                <a:ext uri="{FF2B5EF4-FFF2-40B4-BE49-F238E27FC236}">
                  <a16:creationId xmlns:a16="http://schemas.microsoft.com/office/drawing/2014/main" id="{00000000-0008-0000-0D00-000030030000}"/>
                </a:ext>
              </a:extLst>
            </xdr:cNvPr>
            <xdr:cNvCxnSpPr>
              <a:endCxn id="815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7" name="Straight Connector 816">
              <a:extLst>
                <a:ext uri="{FF2B5EF4-FFF2-40B4-BE49-F238E27FC236}">
                  <a16:creationId xmlns:a16="http://schemas.microsoft.com/office/drawing/2014/main" id="{00000000-0008-0000-0D00-000031030000}"/>
                </a:ext>
              </a:extLst>
            </xdr:cNvPr>
            <xdr:cNvCxnSpPr>
              <a:endCxn id="815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4" name="Oval 813">
            <a:extLst>
              <a:ext uri="{FF2B5EF4-FFF2-40B4-BE49-F238E27FC236}">
                <a16:creationId xmlns:a16="http://schemas.microsoft.com/office/drawing/2014/main" id="{00000000-0008-0000-0D00-00002E03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666750</xdr:colOff>
      <xdr:row>83</xdr:row>
      <xdr:rowOff>9525</xdr:rowOff>
    </xdr:from>
    <xdr:to>
      <xdr:col>69</xdr:col>
      <xdr:colOff>666750</xdr:colOff>
      <xdr:row>86</xdr:row>
      <xdr:rowOff>9525</xdr:rowOff>
    </xdr:to>
    <xdr:cxnSp macro="">
      <xdr:nvCxnSpPr>
        <xdr:cNvPr id="12298813" name="Straight Arrow Connector 792">
          <a:extLst>
            <a:ext uri="{FF2B5EF4-FFF2-40B4-BE49-F238E27FC236}">
              <a16:creationId xmlns:a16="http://schemas.microsoft.com/office/drawing/2014/main" id="{00000000-0008-0000-0D00-00003DAABB00}"/>
            </a:ext>
          </a:extLst>
        </xdr:cNvPr>
        <xdr:cNvCxnSpPr>
          <a:cxnSpLocks/>
        </xdr:cNvCxnSpPr>
      </xdr:nvCxnSpPr>
      <xdr:spPr bwMode="auto">
        <a:xfrm>
          <a:off x="264699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514350</xdr:colOff>
      <xdr:row>83</xdr:row>
      <xdr:rowOff>9525</xdr:rowOff>
    </xdr:from>
    <xdr:to>
      <xdr:col>73</xdr:col>
      <xdr:colOff>514350</xdr:colOff>
      <xdr:row>86</xdr:row>
      <xdr:rowOff>9525</xdr:rowOff>
    </xdr:to>
    <xdr:cxnSp macro="">
      <xdr:nvCxnSpPr>
        <xdr:cNvPr id="12298814" name="Straight Arrow Connector 793">
          <a:extLst>
            <a:ext uri="{FF2B5EF4-FFF2-40B4-BE49-F238E27FC236}">
              <a16:creationId xmlns:a16="http://schemas.microsoft.com/office/drawing/2014/main" id="{00000000-0008-0000-0D00-00003EAABB00}"/>
            </a:ext>
          </a:extLst>
        </xdr:cNvPr>
        <xdr:cNvCxnSpPr>
          <a:cxnSpLocks/>
        </xdr:cNvCxnSpPr>
      </xdr:nvCxnSpPr>
      <xdr:spPr bwMode="auto">
        <a:xfrm>
          <a:off x="291750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657225</xdr:colOff>
      <xdr:row>82</xdr:row>
      <xdr:rowOff>152400</xdr:rowOff>
    </xdr:from>
    <xdr:to>
      <xdr:col>76</xdr:col>
      <xdr:colOff>657225</xdr:colOff>
      <xdr:row>85</xdr:row>
      <xdr:rowOff>142875</xdr:rowOff>
    </xdr:to>
    <xdr:cxnSp macro="">
      <xdr:nvCxnSpPr>
        <xdr:cNvPr id="12298815" name="Straight Arrow Connector 794">
          <a:extLst>
            <a:ext uri="{FF2B5EF4-FFF2-40B4-BE49-F238E27FC236}">
              <a16:creationId xmlns:a16="http://schemas.microsoft.com/office/drawing/2014/main" id="{00000000-0008-0000-0D00-00003FAABB00}"/>
            </a:ext>
          </a:extLst>
        </xdr:cNvPr>
        <xdr:cNvCxnSpPr>
          <a:cxnSpLocks/>
        </xdr:cNvCxnSpPr>
      </xdr:nvCxnSpPr>
      <xdr:spPr bwMode="auto">
        <a:xfrm>
          <a:off x="31461075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68</xdr:col>
      <xdr:colOff>714375</xdr:colOff>
      <xdr:row>92</xdr:row>
      <xdr:rowOff>85725</xdr:rowOff>
    </xdr:from>
    <xdr:to>
      <xdr:col>69</xdr:col>
      <xdr:colOff>581025</xdr:colOff>
      <xdr:row>92</xdr:row>
      <xdr:rowOff>85725</xdr:rowOff>
    </xdr:to>
    <xdr:sp macro="" textlink="">
      <xdr:nvSpPr>
        <xdr:cNvPr id="12298816" name="Line 1493">
          <a:extLst>
            <a:ext uri="{FF2B5EF4-FFF2-40B4-BE49-F238E27FC236}">
              <a16:creationId xmlns:a16="http://schemas.microsoft.com/office/drawing/2014/main" id="{00000000-0008-0000-0D00-000040AABB00}"/>
            </a:ext>
          </a:extLst>
        </xdr:cNvPr>
        <xdr:cNvSpPr>
          <a:spLocks noChangeShapeType="1"/>
        </xdr:cNvSpPr>
      </xdr:nvSpPr>
      <xdr:spPr bwMode="auto">
        <a:xfrm>
          <a:off x="25803225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390525</xdr:colOff>
      <xdr:row>100</xdr:row>
      <xdr:rowOff>95250</xdr:rowOff>
    </xdr:from>
    <xdr:to>
      <xdr:col>74</xdr:col>
      <xdr:colOff>47625</xdr:colOff>
      <xdr:row>107</xdr:row>
      <xdr:rowOff>104775</xdr:rowOff>
    </xdr:to>
    <xdr:sp macro="" textlink="">
      <xdr:nvSpPr>
        <xdr:cNvPr id="12298817" name="Line 2552">
          <a:extLst>
            <a:ext uri="{FF2B5EF4-FFF2-40B4-BE49-F238E27FC236}">
              <a16:creationId xmlns:a16="http://schemas.microsoft.com/office/drawing/2014/main" id="{00000000-0008-0000-0D00-000041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336875" y="164496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107</xdr:row>
      <xdr:rowOff>0</xdr:rowOff>
    </xdr:from>
    <xdr:to>
      <xdr:col>71</xdr:col>
      <xdr:colOff>352425</xdr:colOff>
      <xdr:row>108</xdr:row>
      <xdr:rowOff>123825</xdr:rowOff>
    </xdr:to>
    <xdr:sp macro="" textlink="">
      <xdr:nvSpPr>
        <xdr:cNvPr id="12298818" name="Line 2552">
          <a:extLst>
            <a:ext uri="{FF2B5EF4-FFF2-40B4-BE49-F238E27FC236}">
              <a16:creationId xmlns:a16="http://schemas.microsoft.com/office/drawing/2014/main" id="{00000000-0008-0000-0D00-000042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628650</xdr:colOff>
      <xdr:row>102</xdr:row>
      <xdr:rowOff>161925</xdr:rowOff>
    </xdr:from>
    <xdr:to>
      <xdr:col>81</xdr:col>
      <xdr:colOff>685800</xdr:colOff>
      <xdr:row>108</xdr:row>
      <xdr:rowOff>9525</xdr:rowOff>
    </xdr:to>
    <xdr:sp macro="" textlink="">
      <xdr:nvSpPr>
        <xdr:cNvPr id="12298819" name="Line 2552">
          <a:extLst>
            <a:ext uri="{FF2B5EF4-FFF2-40B4-BE49-F238E27FC236}">
              <a16:creationId xmlns:a16="http://schemas.microsoft.com/office/drawing/2014/main" id="{00000000-0008-0000-0D00-000043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29000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66675</xdr:colOff>
      <xdr:row>103</xdr:row>
      <xdr:rowOff>19050</xdr:rowOff>
    </xdr:from>
    <xdr:to>
      <xdr:col>84</xdr:col>
      <xdr:colOff>123825</xdr:colOff>
      <xdr:row>108</xdr:row>
      <xdr:rowOff>28575</xdr:rowOff>
    </xdr:to>
    <xdr:sp macro="" textlink="">
      <xdr:nvSpPr>
        <xdr:cNvPr id="12298820" name="Line 2552">
          <a:extLst>
            <a:ext uri="{FF2B5EF4-FFF2-40B4-BE49-F238E27FC236}">
              <a16:creationId xmlns:a16="http://schemas.microsoft.com/office/drawing/2014/main" id="{00000000-0008-0000-0D00-000044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71150" y="168592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666750</xdr:colOff>
      <xdr:row>102</xdr:row>
      <xdr:rowOff>161925</xdr:rowOff>
    </xdr:from>
    <xdr:to>
      <xdr:col>80</xdr:col>
      <xdr:colOff>9525</xdr:colOff>
      <xdr:row>108</xdr:row>
      <xdr:rowOff>9525</xdr:rowOff>
    </xdr:to>
    <xdr:sp macro="" textlink="">
      <xdr:nvSpPr>
        <xdr:cNvPr id="12298821" name="Line 2552">
          <a:extLst>
            <a:ext uri="{FF2B5EF4-FFF2-40B4-BE49-F238E27FC236}">
              <a16:creationId xmlns:a16="http://schemas.microsoft.com/office/drawing/2014/main" id="{00000000-0008-0000-0D00-000045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89935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504825</xdr:colOff>
      <xdr:row>94</xdr:row>
      <xdr:rowOff>9525</xdr:rowOff>
    </xdr:from>
    <xdr:to>
      <xdr:col>74</xdr:col>
      <xdr:colOff>504825</xdr:colOff>
      <xdr:row>97</xdr:row>
      <xdr:rowOff>9525</xdr:rowOff>
    </xdr:to>
    <xdr:cxnSp macro="">
      <xdr:nvCxnSpPr>
        <xdr:cNvPr id="12298822" name="Straight Arrow Connector 801">
          <a:extLst>
            <a:ext uri="{FF2B5EF4-FFF2-40B4-BE49-F238E27FC236}">
              <a16:creationId xmlns:a16="http://schemas.microsoft.com/office/drawing/2014/main" id="{00000000-0008-0000-0D00-000046AABB00}"/>
            </a:ext>
          </a:extLst>
        </xdr:cNvPr>
        <xdr:cNvCxnSpPr>
          <a:cxnSpLocks/>
        </xdr:cNvCxnSpPr>
      </xdr:nvCxnSpPr>
      <xdr:spPr bwMode="auto">
        <a:xfrm>
          <a:off x="298799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542925</xdr:colOff>
      <xdr:row>102</xdr:row>
      <xdr:rowOff>9525</xdr:rowOff>
    </xdr:from>
    <xdr:to>
      <xdr:col>69</xdr:col>
      <xdr:colOff>542925</xdr:colOff>
      <xdr:row>105</xdr:row>
      <xdr:rowOff>9525</xdr:rowOff>
    </xdr:to>
    <xdr:cxnSp macro="">
      <xdr:nvCxnSpPr>
        <xdr:cNvPr id="12298823" name="Straight Arrow Connector 802">
          <a:extLst>
            <a:ext uri="{FF2B5EF4-FFF2-40B4-BE49-F238E27FC236}">
              <a16:creationId xmlns:a16="http://schemas.microsoft.com/office/drawing/2014/main" id="{00000000-0008-0000-0D00-000047AABB00}"/>
            </a:ext>
          </a:extLst>
        </xdr:cNvPr>
        <xdr:cNvCxnSpPr>
          <a:cxnSpLocks/>
        </xdr:cNvCxnSpPr>
      </xdr:nvCxnSpPr>
      <xdr:spPr bwMode="auto">
        <a:xfrm>
          <a:off x="26346150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657225</xdr:colOff>
      <xdr:row>82</xdr:row>
      <xdr:rowOff>19050</xdr:rowOff>
    </xdr:from>
    <xdr:to>
      <xdr:col>79</xdr:col>
      <xdr:colOff>657225</xdr:colOff>
      <xdr:row>85</xdr:row>
      <xdr:rowOff>9525</xdr:rowOff>
    </xdr:to>
    <xdr:cxnSp macro="">
      <xdr:nvCxnSpPr>
        <xdr:cNvPr id="12298824" name="Straight Arrow Connector 803">
          <a:extLst>
            <a:ext uri="{FF2B5EF4-FFF2-40B4-BE49-F238E27FC236}">
              <a16:creationId xmlns:a16="http://schemas.microsoft.com/office/drawing/2014/main" id="{00000000-0008-0000-0D00-000048AABB00}"/>
            </a:ext>
          </a:extLst>
        </xdr:cNvPr>
        <xdr:cNvCxnSpPr>
          <a:cxnSpLocks/>
        </xdr:cNvCxnSpPr>
      </xdr:nvCxnSpPr>
      <xdr:spPr bwMode="auto">
        <a:xfrm>
          <a:off x="336042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561975</xdr:colOff>
      <xdr:row>82</xdr:row>
      <xdr:rowOff>19050</xdr:rowOff>
    </xdr:from>
    <xdr:to>
      <xdr:col>81</xdr:col>
      <xdr:colOff>561975</xdr:colOff>
      <xdr:row>84</xdr:row>
      <xdr:rowOff>152400</xdr:rowOff>
    </xdr:to>
    <xdr:cxnSp macro="">
      <xdr:nvCxnSpPr>
        <xdr:cNvPr id="12298825" name="Straight Arrow Connector 804">
          <a:extLst>
            <a:ext uri="{FF2B5EF4-FFF2-40B4-BE49-F238E27FC236}">
              <a16:creationId xmlns:a16="http://schemas.microsoft.com/office/drawing/2014/main" id="{00000000-0008-0000-0D00-000049AABB00}"/>
            </a:ext>
          </a:extLst>
        </xdr:cNvPr>
        <xdr:cNvCxnSpPr>
          <a:cxnSpLocks/>
        </xdr:cNvCxnSpPr>
      </xdr:nvCxnSpPr>
      <xdr:spPr bwMode="auto">
        <a:xfrm>
          <a:off x="349377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666750</xdr:colOff>
      <xdr:row>82</xdr:row>
      <xdr:rowOff>19050</xdr:rowOff>
    </xdr:from>
    <xdr:to>
      <xdr:col>83</xdr:col>
      <xdr:colOff>666750</xdr:colOff>
      <xdr:row>84</xdr:row>
      <xdr:rowOff>152400</xdr:rowOff>
    </xdr:to>
    <xdr:cxnSp macro="">
      <xdr:nvCxnSpPr>
        <xdr:cNvPr id="12298826" name="Straight Arrow Connector 805">
          <a:extLst>
            <a:ext uri="{FF2B5EF4-FFF2-40B4-BE49-F238E27FC236}">
              <a16:creationId xmlns:a16="http://schemas.microsoft.com/office/drawing/2014/main" id="{00000000-0008-0000-0D00-00004AAABB00}"/>
            </a:ext>
          </a:extLst>
        </xdr:cNvPr>
        <xdr:cNvCxnSpPr>
          <a:cxnSpLocks/>
        </xdr:cNvCxnSpPr>
      </xdr:nvCxnSpPr>
      <xdr:spPr bwMode="auto">
        <a:xfrm>
          <a:off x="3647122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0</xdr:colOff>
      <xdr:row>81</xdr:row>
      <xdr:rowOff>85725</xdr:rowOff>
    </xdr:from>
    <xdr:to>
      <xdr:col>82</xdr:col>
      <xdr:colOff>619125</xdr:colOff>
      <xdr:row>86</xdr:row>
      <xdr:rowOff>19050</xdr:rowOff>
    </xdr:to>
    <xdr:grpSp>
      <xdr:nvGrpSpPr>
        <xdr:cNvPr id="12298827" name="Group 806">
          <a:extLst>
            <a:ext uri="{FF2B5EF4-FFF2-40B4-BE49-F238E27FC236}">
              <a16:creationId xmlns:a16="http://schemas.microsoft.com/office/drawing/2014/main" id="{00000000-0008-0000-0D00-00004BAABB00}"/>
            </a:ext>
          </a:extLst>
        </xdr:cNvPr>
        <xdr:cNvGrpSpPr>
          <a:grpSpLocks/>
        </xdr:cNvGrpSpPr>
      </xdr:nvGrpSpPr>
      <xdr:grpSpPr bwMode="auto">
        <a:xfrm>
          <a:off x="30441900" y="12944475"/>
          <a:ext cx="5330825" cy="727075"/>
          <a:chOff x="4378144" y="2229544"/>
          <a:chExt cx="5622221" cy="740602"/>
        </a:xfrm>
      </xdr:grpSpPr>
      <xdr:cxnSp macro="">
        <xdr:nvCxnSpPr>
          <xdr:cNvPr id="12299091" name="Straight Arrow Connector 807">
            <a:extLst>
              <a:ext uri="{FF2B5EF4-FFF2-40B4-BE49-F238E27FC236}">
                <a16:creationId xmlns:a16="http://schemas.microsoft.com/office/drawing/2014/main" id="{00000000-0008-0000-0D00-000053ABBB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092" name="Straight Arrow Connector 808">
            <a:extLst>
              <a:ext uri="{FF2B5EF4-FFF2-40B4-BE49-F238E27FC236}">
                <a16:creationId xmlns:a16="http://schemas.microsoft.com/office/drawing/2014/main" id="{00000000-0008-0000-0D00-000054ABBB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810" name="Arc 809">
            <a:extLst>
              <a:ext uri="{FF2B5EF4-FFF2-40B4-BE49-F238E27FC236}">
                <a16:creationId xmlns:a16="http://schemas.microsoft.com/office/drawing/2014/main" id="{00000000-0008-0000-0D00-00002A03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1" name="Arc 810">
            <a:extLst>
              <a:ext uri="{FF2B5EF4-FFF2-40B4-BE49-F238E27FC236}">
                <a16:creationId xmlns:a16="http://schemas.microsoft.com/office/drawing/2014/main" id="{00000000-0008-0000-0D00-00002B03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2" name="Arc 811">
            <a:extLst>
              <a:ext uri="{FF2B5EF4-FFF2-40B4-BE49-F238E27FC236}">
                <a16:creationId xmlns:a16="http://schemas.microsoft.com/office/drawing/2014/main" id="{00000000-0008-0000-0D00-00002C03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77</xdr:col>
      <xdr:colOff>495300</xdr:colOff>
      <xdr:row>69</xdr:row>
      <xdr:rowOff>85725</xdr:rowOff>
    </xdr:from>
    <xdr:to>
      <xdr:col>80</xdr:col>
      <xdr:colOff>571500</xdr:colOff>
      <xdr:row>76</xdr:row>
      <xdr:rowOff>85725</xdr:rowOff>
    </xdr:to>
    <xdr:grpSp>
      <xdr:nvGrpSpPr>
        <xdr:cNvPr id="12298828" name="Group 680">
          <a:extLst>
            <a:ext uri="{FF2B5EF4-FFF2-40B4-BE49-F238E27FC236}">
              <a16:creationId xmlns:a16="http://schemas.microsoft.com/office/drawing/2014/main" id="{00000000-0008-0000-0D00-00004CAABB00}"/>
            </a:ext>
          </a:extLst>
        </xdr:cNvPr>
        <xdr:cNvGrpSpPr>
          <a:grpSpLocks/>
        </xdr:cNvGrpSpPr>
      </xdr:nvGrpSpPr>
      <xdr:grpSpPr bwMode="auto">
        <a:xfrm>
          <a:off x="32283400" y="11039475"/>
          <a:ext cx="2095500" cy="1111250"/>
          <a:chOff x="5741064" y="463829"/>
          <a:chExt cx="1554221" cy="788339"/>
        </a:xfrm>
      </xdr:grpSpPr>
      <xdr:sp macro="" textlink="">
        <xdr:nvSpPr>
          <xdr:cNvPr id="12299071" name="Line 1465">
            <a:extLst>
              <a:ext uri="{FF2B5EF4-FFF2-40B4-BE49-F238E27FC236}">
                <a16:creationId xmlns:a16="http://schemas.microsoft.com/office/drawing/2014/main" id="{00000000-0008-0000-0D00-00003F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2" name="Line 1466">
            <a:extLst>
              <a:ext uri="{FF2B5EF4-FFF2-40B4-BE49-F238E27FC236}">
                <a16:creationId xmlns:a16="http://schemas.microsoft.com/office/drawing/2014/main" id="{00000000-0008-0000-0D00-000040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3" name="Line 1467">
            <a:extLst>
              <a:ext uri="{FF2B5EF4-FFF2-40B4-BE49-F238E27FC236}">
                <a16:creationId xmlns:a16="http://schemas.microsoft.com/office/drawing/2014/main" id="{00000000-0008-0000-0D00-000041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4" name="Line 1468">
            <a:extLst>
              <a:ext uri="{FF2B5EF4-FFF2-40B4-BE49-F238E27FC236}">
                <a16:creationId xmlns:a16="http://schemas.microsoft.com/office/drawing/2014/main" id="{00000000-0008-0000-0D00-000042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5" name="Line 1469">
            <a:extLst>
              <a:ext uri="{FF2B5EF4-FFF2-40B4-BE49-F238E27FC236}">
                <a16:creationId xmlns:a16="http://schemas.microsoft.com/office/drawing/2014/main" id="{00000000-0008-0000-0D00-000043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6" name="Oval 686">
            <a:extLst>
              <a:ext uri="{FF2B5EF4-FFF2-40B4-BE49-F238E27FC236}">
                <a16:creationId xmlns:a16="http://schemas.microsoft.com/office/drawing/2014/main" id="{00000000-0008-0000-0D00-000044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077" name="Group 687">
            <a:extLst>
              <a:ext uri="{FF2B5EF4-FFF2-40B4-BE49-F238E27FC236}">
                <a16:creationId xmlns:a16="http://schemas.microsoft.com/office/drawing/2014/main" id="{00000000-0008-0000-0D00-000045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078" name="Arc 1475">
              <a:extLst>
                <a:ext uri="{FF2B5EF4-FFF2-40B4-BE49-F238E27FC236}">
                  <a16:creationId xmlns:a16="http://schemas.microsoft.com/office/drawing/2014/main" id="{00000000-0008-0000-0D00-000046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79" name="Arc 1476">
              <a:extLst>
                <a:ext uri="{FF2B5EF4-FFF2-40B4-BE49-F238E27FC236}">
                  <a16:creationId xmlns:a16="http://schemas.microsoft.com/office/drawing/2014/main" id="{00000000-0008-0000-0D00-00004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0" name="Arc 1477">
              <a:extLst>
                <a:ext uri="{FF2B5EF4-FFF2-40B4-BE49-F238E27FC236}">
                  <a16:creationId xmlns:a16="http://schemas.microsoft.com/office/drawing/2014/main" id="{00000000-0008-0000-0D00-000048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1" name="Arc 1478">
              <a:extLst>
                <a:ext uri="{FF2B5EF4-FFF2-40B4-BE49-F238E27FC236}">
                  <a16:creationId xmlns:a16="http://schemas.microsoft.com/office/drawing/2014/main" id="{00000000-0008-0000-0D00-000049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2" name="Arc 1479">
              <a:extLst>
                <a:ext uri="{FF2B5EF4-FFF2-40B4-BE49-F238E27FC236}">
                  <a16:creationId xmlns:a16="http://schemas.microsoft.com/office/drawing/2014/main" id="{00000000-0008-0000-0D00-00004A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1" name="Rectangle 880">
              <a:extLst>
                <a:ext uri="{FF2B5EF4-FFF2-40B4-BE49-F238E27FC236}">
                  <a16:creationId xmlns:a16="http://schemas.microsoft.com/office/drawing/2014/main" id="{00000000-0008-0000-0D00-00007103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2" name="Rectangle 881">
              <a:extLst>
                <a:ext uri="{FF2B5EF4-FFF2-40B4-BE49-F238E27FC236}">
                  <a16:creationId xmlns:a16="http://schemas.microsoft.com/office/drawing/2014/main" id="{00000000-0008-0000-0D00-00007203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3" name="Rectangle 882">
              <a:extLst>
                <a:ext uri="{FF2B5EF4-FFF2-40B4-BE49-F238E27FC236}">
                  <a16:creationId xmlns:a16="http://schemas.microsoft.com/office/drawing/2014/main" id="{00000000-0008-0000-0D00-00007303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6" name="Arc 1473">
              <a:extLst>
                <a:ext uri="{FF2B5EF4-FFF2-40B4-BE49-F238E27FC236}">
                  <a16:creationId xmlns:a16="http://schemas.microsoft.com/office/drawing/2014/main" id="{00000000-0008-0000-0D00-00004E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7" name="Arc 1474">
              <a:extLst>
                <a:ext uri="{FF2B5EF4-FFF2-40B4-BE49-F238E27FC236}">
                  <a16:creationId xmlns:a16="http://schemas.microsoft.com/office/drawing/2014/main" id="{00000000-0008-0000-0D00-00004F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6" name="Rectangle 885">
              <a:extLst>
                <a:ext uri="{FF2B5EF4-FFF2-40B4-BE49-F238E27FC236}">
                  <a16:creationId xmlns:a16="http://schemas.microsoft.com/office/drawing/2014/main" id="{00000000-0008-0000-0D00-00007603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9" name="Arc 1481">
              <a:extLst>
                <a:ext uri="{FF2B5EF4-FFF2-40B4-BE49-F238E27FC236}">
                  <a16:creationId xmlns:a16="http://schemas.microsoft.com/office/drawing/2014/main" id="{00000000-0008-0000-0D00-000051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90" name="Arc 1480">
              <a:extLst>
                <a:ext uri="{FF2B5EF4-FFF2-40B4-BE49-F238E27FC236}">
                  <a16:creationId xmlns:a16="http://schemas.microsoft.com/office/drawing/2014/main" id="{00000000-0008-0000-0D00-00005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628650</xdr:colOff>
      <xdr:row>148</xdr:row>
      <xdr:rowOff>133350</xdr:rowOff>
    </xdr:from>
    <xdr:to>
      <xdr:col>73</xdr:col>
      <xdr:colOff>123825</xdr:colOff>
      <xdr:row>150</xdr:row>
      <xdr:rowOff>19050</xdr:rowOff>
    </xdr:to>
    <xdr:grpSp>
      <xdr:nvGrpSpPr>
        <xdr:cNvPr id="12298829" name="Group 711">
          <a:extLst>
            <a:ext uri="{FF2B5EF4-FFF2-40B4-BE49-F238E27FC236}">
              <a16:creationId xmlns:a16="http://schemas.microsoft.com/office/drawing/2014/main" id="{00000000-0008-0000-0D00-00004DAABB00}"/>
            </a:ext>
          </a:extLst>
        </xdr:cNvPr>
        <xdr:cNvGrpSpPr>
          <a:grpSpLocks noChangeAspect="1"/>
        </xdr:cNvGrpSpPr>
      </xdr:nvGrpSpPr>
      <xdr:grpSpPr bwMode="auto">
        <a:xfrm>
          <a:off x="29051250" y="23628350"/>
          <a:ext cx="168275" cy="203200"/>
          <a:chOff x="1022492" y="5877272"/>
          <a:chExt cx="474280" cy="474280"/>
        </a:xfrm>
      </xdr:grpSpPr>
      <xdr:grpSp>
        <xdr:nvGrpSpPr>
          <xdr:cNvPr id="697" name="Group 712">
            <a:extLst>
              <a:ext uri="{FF2B5EF4-FFF2-40B4-BE49-F238E27FC236}">
                <a16:creationId xmlns:a16="http://schemas.microsoft.com/office/drawing/2014/main" id="{00000000-0008-0000-0D00-0000B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35" name="Arc 534">
              <a:extLst>
                <a:ext uri="{FF2B5EF4-FFF2-40B4-BE49-F238E27FC236}">
                  <a16:creationId xmlns:a16="http://schemas.microsoft.com/office/drawing/2014/main" id="{00000000-0008-0000-0D00-00001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38" name="Straight Connector 537">
              <a:extLst>
                <a:ext uri="{FF2B5EF4-FFF2-40B4-BE49-F238E27FC236}">
                  <a16:creationId xmlns:a16="http://schemas.microsoft.com/office/drawing/2014/main" id="{00000000-0008-0000-0D00-00001A020000}"/>
                </a:ext>
              </a:extLst>
            </xdr:cNvPr>
            <xdr:cNvCxnSpPr>
              <a:endCxn id="53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9" name="Straight Connector 538">
              <a:extLst>
                <a:ext uri="{FF2B5EF4-FFF2-40B4-BE49-F238E27FC236}">
                  <a16:creationId xmlns:a16="http://schemas.microsoft.com/office/drawing/2014/main" id="{00000000-0008-0000-0D00-00001B020000}"/>
                </a:ext>
              </a:extLst>
            </xdr:cNvPr>
            <xdr:cNvCxnSpPr>
              <a:endCxn id="53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Oval 531">
            <a:extLst>
              <a:ext uri="{FF2B5EF4-FFF2-40B4-BE49-F238E27FC236}">
                <a16:creationId xmlns:a16="http://schemas.microsoft.com/office/drawing/2014/main" id="{00000000-0008-0000-0D00-000014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70</xdr:col>
      <xdr:colOff>638175</xdr:colOff>
      <xdr:row>155</xdr:row>
      <xdr:rowOff>152400</xdr:rowOff>
    </xdr:from>
    <xdr:to>
      <xdr:col>71</xdr:col>
      <xdr:colOff>133350</xdr:colOff>
      <xdr:row>157</xdr:row>
      <xdr:rowOff>38100</xdr:rowOff>
    </xdr:to>
    <xdr:grpSp>
      <xdr:nvGrpSpPr>
        <xdr:cNvPr id="12298830" name="Group 711">
          <a:extLst>
            <a:ext uri="{FF2B5EF4-FFF2-40B4-BE49-F238E27FC236}">
              <a16:creationId xmlns:a16="http://schemas.microsoft.com/office/drawing/2014/main" id="{00000000-0008-0000-0D00-00004EAABB00}"/>
            </a:ext>
          </a:extLst>
        </xdr:cNvPr>
        <xdr:cNvGrpSpPr>
          <a:grpSpLocks noChangeAspect="1"/>
        </xdr:cNvGrpSpPr>
      </xdr:nvGrpSpPr>
      <xdr:grpSpPr bwMode="auto">
        <a:xfrm>
          <a:off x="27714575" y="24758650"/>
          <a:ext cx="168275" cy="203200"/>
          <a:chOff x="1022492" y="5877272"/>
          <a:chExt cx="474280" cy="474280"/>
        </a:xfrm>
      </xdr:grpSpPr>
      <xdr:grpSp>
        <xdr:nvGrpSpPr>
          <xdr:cNvPr id="685" name="Group 712">
            <a:extLst>
              <a:ext uri="{FF2B5EF4-FFF2-40B4-BE49-F238E27FC236}">
                <a16:creationId xmlns:a16="http://schemas.microsoft.com/office/drawing/2014/main" id="{00000000-0008-0000-0D00-0000A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48" name="Arc 547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0" name="Straight Connector 549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CxnSpPr>
              <a:endCxn id="54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1" name="Straight Connector 550">
              <a:extLst>
                <a:ext uri="{FF2B5EF4-FFF2-40B4-BE49-F238E27FC236}">
                  <a16:creationId xmlns:a16="http://schemas.microsoft.com/office/drawing/2014/main" id="{00000000-0008-0000-0D00-000027020000}"/>
                </a:ext>
              </a:extLst>
            </xdr:cNvPr>
            <xdr:cNvCxnSpPr>
              <a:endCxn id="54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44" name="Oval 543">
            <a:extLst>
              <a:ext uri="{FF2B5EF4-FFF2-40B4-BE49-F238E27FC236}">
                <a16:creationId xmlns:a16="http://schemas.microsoft.com/office/drawing/2014/main" id="{00000000-0008-0000-0D00-000020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476250</xdr:colOff>
      <xdr:row>161</xdr:row>
      <xdr:rowOff>142875</xdr:rowOff>
    </xdr:from>
    <xdr:to>
      <xdr:col>69</xdr:col>
      <xdr:colOff>685800</xdr:colOff>
      <xdr:row>163</xdr:row>
      <xdr:rowOff>28575</xdr:rowOff>
    </xdr:to>
    <xdr:grpSp>
      <xdr:nvGrpSpPr>
        <xdr:cNvPr id="12298831" name="Group 711">
          <a:extLst>
            <a:ext uri="{FF2B5EF4-FFF2-40B4-BE49-F238E27FC236}">
              <a16:creationId xmlns:a16="http://schemas.microsoft.com/office/drawing/2014/main" id="{00000000-0008-0000-0D00-00004FAABB00}"/>
            </a:ext>
          </a:extLst>
        </xdr:cNvPr>
        <xdr:cNvGrpSpPr>
          <a:grpSpLocks noChangeAspect="1"/>
        </xdr:cNvGrpSpPr>
      </xdr:nvGrpSpPr>
      <xdr:grpSpPr bwMode="auto">
        <a:xfrm>
          <a:off x="26879550" y="25701625"/>
          <a:ext cx="196850" cy="203200"/>
          <a:chOff x="1022492" y="5877272"/>
          <a:chExt cx="474280" cy="474280"/>
        </a:xfrm>
      </xdr:grpSpPr>
      <xdr:grpSp>
        <xdr:nvGrpSpPr>
          <xdr:cNvPr id="684" name="Group 712">
            <a:extLst>
              <a:ext uri="{FF2B5EF4-FFF2-40B4-BE49-F238E27FC236}">
                <a16:creationId xmlns:a16="http://schemas.microsoft.com/office/drawing/2014/main" id="{00000000-0008-0000-0D00-0000A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D00-00002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6" name="Straight Connector 555">
              <a:extLst>
                <a:ext uri="{FF2B5EF4-FFF2-40B4-BE49-F238E27FC236}">
                  <a16:creationId xmlns:a16="http://schemas.microsoft.com/office/drawing/2014/main" id="{00000000-0008-0000-0D00-00002C020000}"/>
                </a:ext>
              </a:extLst>
            </xdr:cNvPr>
            <xdr:cNvCxnSpPr>
              <a:endCxn id="55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" name="Straight Connector 556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CxnSpPr>
              <a:endCxn id="55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54" name="Oval 553">
            <a:extLst>
              <a:ext uri="{FF2B5EF4-FFF2-40B4-BE49-F238E27FC236}">
                <a16:creationId xmlns:a16="http://schemas.microsoft.com/office/drawing/2014/main" id="{00000000-0008-0000-0D00-00002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466725</xdr:colOff>
      <xdr:row>138</xdr:row>
      <xdr:rowOff>142875</xdr:rowOff>
    </xdr:from>
    <xdr:to>
      <xdr:col>69</xdr:col>
      <xdr:colOff>685800</xdr:colOff>
      <xdr:row>140</xdr:row>
      <xdr:rowOff>28575</xdr:rowOff>
    </xdr:to>
    <xdr:grpSp>
      <xdr:nvGrpSpPr>
        <xdr:cNvPr id="12298832" name="Group 711">
          <a:extLst>
            <a:ext uri="{FF2B5EF4-FFF2-40B4-BE49-F238E27FC236}">
              <a16:creationId xmlns:a16="http://schemas.microsoft.com/office/drawing/2014/main" id="{00000000-0008-0000-0D00-000050AABB00}"/>
            </a:ext>
          </a:extLst>
        </xdr:cNvPr>
        <xdr:cNvGrpSpPr>
          <a:grpSpLocks noChangeAspect="1"/>
        </xdr:cNvGrpSpPr>
      </xdr:nvGrpSpPr>
      <xdr:grpSpPr bwMode="auto">
        <a:xfrm>
          <a:off x="26870025" y="22050375"/>
          <a:ext cx="206375" cy="203200"/>
          <a:chOff x="1022492" y="5877272"/>
          <a:chExt cx="474280" cy="474280"/>
        </a:xfrm>
      </xdr:grpSpPr>
      <xdr:grpSp>
        <xdr:nvGrpSpPr>
          <xdr:cNvPr id="675" name="Group 712">
            <a:extLst>
              <a:ext uri="{FF2B5EF4-FFF2-40B4-BE49-F238E27FC236}">
                <a16:creationId xmlns:a16="http://schemas.microsoft.com/office/drawing/2014/main" id="{00000000-0008-0000-0D00-0000A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1" name="Arc 560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2" name="Straight Connector 561">
              <a:extLst>
                <a:ext uri="{FF2B5EF4-FFF2-40B4-BE49-F238E27FC236}">
                  <a16:creationId xmlns:a16="http://schemas.microsoft.com/office/drawing/2014/main" id="{00000000-0008-0000-0D00-000032020000}"/>
                </a:ext>
              </a:extLst>
            </xdr:cNvPr>
            <xdr:cNvCxnSpPr>
              <a:endCxn id="561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3" name="Straight Connector 562">
              <a:extLst>
                <a:ext uri="{FF2B5EF4-FFF2-40B4-BE49-F238E27FC236}">
                  <a16:creationId xmlns:a16="http://schemas.microsoft.com/office/drawing/2014/main" id="{00000000-0008-0000-0D00-000033020000}"/>
                </a:ext>
              </a:extLst>
            </xdr:cNvPr>
            <xdr:cNvCxnSpPr>
              <a:endCxn id="561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0" name="Oval 559">
            <a:extLst>
              <a:ext uri="{FF2B5EF4-FFF2-40B4-BE49-F238E27FC236}">
                <a16:creationId xmlns:a16="http://schemas.microsoft.com/office/drawing/2014/main" id="{00000000-0008-0000-0D00-00003002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95250</xdr:colOff>
      <xdr:row>149</xdr:row>
      <xdr:rowOff>142875</xdr:rowOff>
    </xdr:from>
    <xdr:to>
      <xdr:col>71</xdr:col>
      <xdr:colOff>304800</xdr:colOff>
      <xdr:row>151</xdr:row>
      <xdr:rowOff>28575</xdr:rowOff>
    </xdr:to>
    <xdr:grpSp>
      <xdr:nvGrpSpPr>
        <xdr:cNvPr id="12298833" name="Group 711">
          <a:extLst>
            <a:ext uri="{FF2B5EF4-FFF2-40B4-BE49-F238E27FC236}">
              <a16:creationId xmlns:a16="http://schemas.microsoft.com/office/drawing/2014/main" id="{00000000-0008-0000-0D00-000051AABB00}"/>
            </a:ext>
          </a:extLst>
        </xdr:cNvPr>
        <xdr:cNvGrpSpPr>
          <a:grpSpLocks noChangeAspect="1"/>
        </xdr:cNvGrpSpPr>
      </xdr:nvGrpSpPr>
      <xdr:grpSpPr bwMode="auto">
        <a:xfrm>
          <a:off x="27844750" y="23796625"/>
          <a:ext cx="209550" cy="203200"/>
          <a:chOff x="1022492" y="5877272"/>
          <a:chExt cx="474280" cy="474280"/>
        </a:xfrm>
      </xdr:grpSpPr>
      <xdr:grpSp>
        <xdr:nvGrpSpPr>
          <xdr:cNvPr id="670" name="Group 712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8" name="Arc 567">
              <a:extLst>
                <a:ext uri="{FF2B5EF4-FFF2-40B4-BE49-F238E27FC236}">
                  <a16:creationId xmlns:a16="http://schemas.microsoft.com/office/drawing/2014/main" id="{00000000-0008-0000-0D00-00003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D00-000039020000}"/>
                </a:ext>
              </a:extLst>
            </xdr:cNvPr>
            <xdr:cNvCxnSpPr>
              <a:endCxn id="5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D00-00003A020000}"/>
                </a:ext>
              </a:extLst>
            </xdr:cNvPr>
            <xdr:cNvCxnSpPr>
              <a:endCxn id="5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6" name="Oval 565">
            <a:extLst>
              <a:ext uri="{FF2B5EF4-FFF2-40B4-BE49-F238E27FC236}">
                <a16:creationId xmlns:a16="http://schemas.microsoft.com/office/drawing/2014/main" id="{00000000-0008-0000-0D00-000036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647700</xdr:colOff>
      <xdr:row>148</xdr:row>
      <xdr:rowOff>142875</xdr:rowOff>
    </xdr:from>
    <xdr:to>
      <xdr:col>79</xdr:col>
      <xdr:colOff>142875</xdr:colOff>
      <xdr:row>150</xdr:row>
      <xdr:rowOff>28575</xdr:rowOff>
    </xdr:to>
    <xdr:grpSp>
      <xdr:nvGrpSpPr>
        <xdr:cNvPr id="12298834" name="Group 711">
          <a:extLst>
            <a:ext uri="{FF2B5EF4-FFF2-40B4-BE49-F238E27FC236}">
              <a16:creationId xmlns:a16="http://schemas.microsoft.com/office/drawing/2014/main" id="{00000000-0008-0000-0D00-000052AABB00}"/>
            </a:ext>
          </a:extLst>
        </xdr:cNvPr>
        <xdr:cNvGrpSpPr>
          <a:grpSpLocks noChangeAspect="1"/>
        </xdr:cNvGrpSpPr>
      </xdr:nvGrpSpPr>
      <xdr:grpSpPr bwMode="auto">
        <a:xfrm>
          <a:off x="33108900" y="23637875"/>
          <a:ext cx="168275" cy="203200"/>
          <a:chOff x="1022492" y="5877272"/>
          <a:chExt cx="474280" cy="474280"/>
        </a:xfrm>
      </xdr:grpSpPr>
      <xdr:grpSp>
        <xdr:nvGrpSpPr>
          <xdr:cNvPr id="665" name="Group 712">
            <a:extLst>
              <a:ext uri="{FF2B5EF4-FFF2-40B4-BE49-F238E27FC236}">
                <a16:creationId xmlns:a16="http://schemas.microsoft.com/office/drawing/2014/main" id="{00000000-0008-0000-0D00-00009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6" name="Arc 605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7" name="Straight Connector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CxnSpPr>
              <a:endCxn id="60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2" name="Straight Connector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CxnSpPr>
              <a:endCxn id="60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1" name="Oval 600">
            <a:extLst>
              <a:ext uri="{FF2B5EF4-FFF2-40B4-BE49-F238E27FC236}">
                <a16:creationId xmlns:a16="http://schemas.microsoft.com/office/drawing/2014/main" id="{00000000-0008-0000-0D00-000059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76</xdr:col>
      <xdr:colOff>666750</xdr:colOff>
      <xdr:row>155</xdr:row>
      <xdr:rowOff>152400</xdr:rowOff>
    </xdr:from>
    <xdr:to>
      <xdr:col>77</xdr:col>
      <xdr:colOff>161925</xdr:colOff>
      <xdr:row>157</xdr:row>
      <xdr:rowOff>38100</xdr:rowOff>
    </xdr:to>
    <xdr:grpSp>
      <xdr:nvGrpSpPr>
        <xdr:cNvPr id="12298835" name="Group 711">
          <a:extLst>
            <a:ext uri="{FF2B5EF4-FFF2-40B4-BE49-F238E27FC236}">
              <a16:creationId xmlns:a16="http://schemas.microsoft.com/office/drawing/2014/main" id="{00000000-0008-0000-0D00-000053AABB00}"/>
            </a:ext>
          </a:extLst>
        </xdr:cNvPr>
        <xdr:cNvGrpSpPr>
          <a:grpSpLocks noChangeAspect="1"/>
        </xdr:cNvGrpSpPr>
      </xdr:nvGrpSpPr>
      <xdr:grpSpPr bwMode="auto">
        <a:xfrm>
          <a:off x="31781750" y="24758650"/>
          <a:ext cx="168275" cy="203200"/>
          <a:chOff x="1022492" y="5877272"/>
          <a:chExt cx="474280" cy="474280"/>
        </a:xfrm>
      </xdr:grpSpPr>
      <xdr:grpSp>
        <xdr:nvGrpSpPr>
          <xdr:cNvPr id="664" name="Group 712">
            <a:extLst>
              <a:ext uri="{FF2B5EF4-FFF2-40B4-BE49-F238E27FC236}">
                <a16:creationId xmlns:a16="http://schemas.microsoft.com/office/drawing/2014/main" id="{00000000-0008-0000-0D00-00009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4" name="Arc 623">
              <a:extLst>
                <a:ext uri="{FF2B5EF4-FFF2-40B4-BE49-F238E27FC236}">
                  <a16:creationId xmlns:a16="http://schemas.microsoft.com/office/drawing/2014/main" id="{00000000-0008-0000-0D00-00007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5" name="Straight Connector 624">
              <a:extLst>
                <a:ext uri="{FF2B5EF4-FFF2-40B4-BE49-F238E27FC236}">
                  <a16:creationId xmlns:a16="http://schemas.microsoft.com/office/drawing/2014/main" id="{00000000-0008-0000-0D00-000071020000}"/>
                </a:ext>
              </a:extLst>
            </xdr:cNvPr>
            <xdr:cNvCxnSpPr>
              <a:endCxn id="62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6" name="Straight Connector 635">
              <a:extLst>
                <a:ext uri="{FF2B5EF4-FFF2-40B4-BE49-F238E27FC236}">
                  <a16:creationId xmlns:a16="http://schemas.microsoft.com/office/drawing/2014/main" id="{00000000-0008-0000-0D00-00007C020000}"/>
                </a:ext>
              </a:extLst>
            </xdr:cNvPr>
            <xdr:cNvCxnSpPr>
              <a:endCxn id="62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9" name="Oval 618">
            <a:extLst>
              <a:ext uri="{FF2B5EF4-FFF2-40B4-BE49-F238E27FC236}">
                <a16:creationId xmlns:a16="http://schemas.microsoft.com/office/drawing/2014/main" id="{00000000-0008-0000-0D00-00006B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485775</xdr:colOff>
      <xdr:row>161</xdr:row>
      <xdr:rowOff>161925</xdr:rowOff>
    </xdr:from>
    <xdr:to>
      <xdr:col>75</xdr:col>
      <xdr:colOff>695325</xdr:colOff>
      <xdr:row>163</xdr:row>
      <xdr:rowOff>38100</xdr:rowOff>
    </xdr:to>
    <xdr:grpSp>
      <xdr:nvGrpSpPr>
        <xdr:cNvPr id="12298836" name="Group 711">
          <a:extLst>
            <a:ext uri="{FF2B5EF4-FFF2-40B4-BE49-F238E27FC236}">
              <a16:creationId xmlns:a16="http://schemas.microsoft.com/office/drawing/2014/main" id="{00000000-0008-0000-0D00-000054AABB00}"/>
            </a:ext>
          </a:extLst>
        </xdr:cNvPr>
        <xdr:cNvGrpSpPr>
          <a:grpSpLocks noChangeAspect="1"/>
        </xdr:cNvGrpSpPr>
      </xdr:nvGrpSpPr>
      <xdr:grpSpPr bwMode="auto">
        <a:xfrm>
          <a:off x="30927675" y="25714325"/>
          <a:ext cx="184150" cy="200025"/>
          <a:chOff x="1022492" y="5877272"/>
          <a:chExt cx="474280" cy="474280"/>
        </a:xfrm>
      </xdr:grpSpPr>
      <xdr:grpSp>
        <xdr:nvGrpSpPr>
          <xdr:cNvPr id="653" name="Group 712">
            <a:extLst>
              <a:ext uri="{FF2B5EF4-FFF2-40B4-BE49-F238E27FC236}">
                <a16:creationId xmlns:a16="http://schemas.microsoft.com/office/drawing/2014/main" id="{00000000-0008-0000-0D00-00008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3" name="Arc 642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44" name="Straight Connector 643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CxnSpPr>
              <a:endCxn id="643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5" name="Straight Connector 644">
              <a:extLst>
                <a:ext uri="{FF2B5EF4-FFF2-40B4-BE49-F238E27FC236}">
                  <a16:creationId xmlns:a16="http://schemas.microsoft.com/office/drawing/2014/main" id="{00000000-0008-0000-0D00-000085020000}"/>
                </a:ext>
              </a:extLst>
            </xdr:cNvPr>
            <xdr:cNvCxnSpPr>
              <a:endCxn id="643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2" name="Oval 641">
            <a:extLst>
              <a:ext uri="{FF2B5EF4-FFF2-40B4-BE49-F238E27FC236}">
                <a16:creationId xmlns:a16="http://schemas.microsoft.com/office/drawing/2014/main" id="{00000000-0008-0000-0D00-00008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457200</xdr:colOff>
      <xdr:row>138</xdr:row>
      <xdr:rowOff>152400</xdr:rowOff>
    </xdr:from>
    <xdr:to>
      <xdr:col>75</xdr:col>
      <xdr:colOff>657225</xdr:colOff>
      <xdr:row>140</xdr:row>
      <xdr:rowOff>38100</xdr:rowOff>
    </xdr:to>
    <xdr:grpSp>
      <xdr:nvGrpSpPr>
        <xdr:cNvPr id="12298837" name="Group 711">
          <a:extLst>
            <a:ext uri="{FF2B5EF4-FFF2-40B4-BE49-F238E27FC236}">
              <a16:creationId xmlns:a16="http://schemas.microsoft.com/office/drawing/2014/main" id="{00000000-0008-0000-0D00-000055AABB00}"/>
            </a:ext>
          </a:extLst>
        </xdr:cNvPr>
        <xdr:cNvGrpSpPr>
          <a:grpSpLocks noChangeAspect="1"/>
        </xdr:cNvGrpSpPr>
      </xdr:nvGrpSpPr>
      <xdr:grpSpPr bwMode="auto">
        <a:xfrm>
          <a:off x="30899100" y="22059900"/>
          <a:ext cx="200025" cy="203200"/>
          <a:chOff x="1022492" y="5877272"/>
          <a:chExt cx="474280" cy="474280"/>
        </a:xfrm>
      </xdr:grpSpPr>
      <xdr:grpSp>
        <xdr:nvGrpSpPr>
          <xdr:cNvPr id="652" name="Group 712">
            <a:extLst>
              <a:ext uri="{FF2B5EF4-FFF2-40B4-BE49-F238E27FC236}">
                <a16:creationId xmlns:a16="http://schemas.microsoft.com/office/drawing/2014/main" id="{00000000-0008-0000-0D00-00008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9" name="Arc 648">
              <a:extLst>
                <a:ext uri="{FF2B5EF4-FFF2-40B4-BE49-F238E27FC236}">
                  <a16:creationId xmlns:a16="http://schemas.microsoft.com/office/drawing/2014/main" id="{00000000-0008-0000-0D00-00008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0" name="Straight Connector 649">
              <a:extLst>
                <a:ext uri="{FF2B5EF4-FFF2-40B4-BE49-F238E27FC236}">
                  <a16:creationId xmlns:a16="http://schemas.microsoft.com/office/drawing/2014/main" id="{00000000-0008-0000-0D00-00008A020000}"/>
                </a:ext>
              </a:extLst>
            </xdr:cNvPr>
            <xdr:cNvCxnSpPr>
              <a:endCxn id="649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1" name="Straight Connector 650">
              <a:extLst>
                <a:ext uri="{FF2B5EF4-FFF2-40B4-BE49-F238E27FC236}">
                  <a16:creationId xmlns:a16="http://schemas.microsoft.com/office/drawing/2014/main" id="{00000000-0008-0000-0D00-00008B020000}"/>
                </a:ext>
              </a:extLst>
            </xdr:cNvPr>
            <xdr:cNvCxnSpPr>
              <a:endCxn id="649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8" name="Oval 647">
            <a:extLst>
              <a:ext uri="{FF2B5EF4-FFF2-40B4-BE49-F238E27FC236}">
                <a16:creationId xmlns:a16="http://schemas.microsoft.com/office/drawing/2014/main" id="{00000000-0008-0000-0D00-000088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77</xdr:col>
      <xdr:colOff>114300</xdr:colOff>
      <xdr:row>149</xdr:row>
      <xdr:rowOff>142875</xdr:rowOff>
    </xdr:from>
    <xdr:to>
      <xdr:col>77</xdr:col>
      <xdr:colOff>314325</xdr:colOff>
      <xdr:row>151</xdr:row>
      <xdr:rowOff>28575</xdr:rowOff>
    </xdr:to>
    <xdr:grpSp>
      <xdr:nvGrpSpPr>
        <xdr:cNvPr id="12298838" name="Group 711">
          <a:extLst>
            <a:ext uri="{FF2B5EF4-FFF2-40B4-BE49-F238E27FC236}">
              <a16:creationId xmlns:a16="http://schemas.microsoft.com/office/drawing/2014/main" id="{00000000-0008-0000-0D00-000056AABB00}"/>
            </a:ext>
          </a:extLst>
        </xdr:cNvPr>
        <xdr:cNvGrpSpPr>
          <a:grpSpLocks noChangeAspect="1"/>
        </xdr:cNvGrpSpPr>
      </xdr:nvGrpSpPr>
      <xdr:grpSpPr bwMode="auto">
        <a:xfrm>
          <a:off x="31902400" y="23796625"/>
          <a:ext cx="200025" cy="203200"/>
          <a:chOff x="1022492" y="5877272"/>
          <a:chExt cx="474280" cy="474280"/>
        </a:xfrm>
      </xdr:grpSpPr>
      <xdr:grpSp>
        <xdr:nvGrpSpPr>
          <xdr:cNvPr id="647" name="Group 712">
            <a:extLst>
              <a:ext uri="{FF2B5EF4-FFF2-40B4-BE49-F238E27FC236}">
                <a16:creationId xmlns:a16="http://schemas.microsoft.com/office/drawing/2014/main" id="{00000000-0008-0000-0D00-00008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1" name="Arc 660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CxnSpPr>
              <a:endCxn id="661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CxnSpPr>
              <a:endCxn id="661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0" name="Oval 659">
            <a:extLst>
              <a:ext uri="{FF2B5EF4-FFF2-40B4-BE49-F238E27FC236}">
                <a16:creationId xmlns:a16="http://schemas.microsoft.com/office/drawing/2014/main" id="{00000000-0008-0000-0D00-000094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84</xdr:col>
      <xdr:colOff>552450</xdr:colOff>
      <xdr:row>148</xdr:row>
      <xdr:rowOff>142875</xdr:rowOff>
    </xdr:from>
    <xdr:to>
      <xdr:col>85</xdr:col>
      <xdr:colOff>152400</xdr:colOff>
      <xdr:row>150</xdr:row>
      <xdr:rowOff>28575</xdr:rowOff>
    </xdr:to>
    <xdr:grpSp>
      <xdr:nvGrpSpPr>
        <xdr:cNvPr id="12298839" name="Group 711">
          <a:extLst>
            <a:ext uri="{FF2B5EF4-FFF2-40B4-BE49-F238E27FC236}">
              <a16:creationId xmlns:a16="http://schemas.microsoft.com/office/drawing/2014/main" id="{00000000-0008-0000-0D00-000057AABB00}"/>
            </a:ext>
          </a:extLst>
        </xdr:cNvPr>
        <xdr:cNvGrpSpPr>
          <a:grpSpLocks noChangeAspect="1"/>
        </xdr:cNvGrpSpPr>
      </xdr:nvGrpSpPr>
      <xdr:grpSpPr bwMode="auto">
        <a:xfrm>
          <a:off x="37052250" y="23637875"/>
          <a:ext cx="177800" cy="203200"/>
          <a:chOff x="1022492" y="5877272"/>
          <a:chExt cx="474280" cy="474280"/>
        </a:xfrm>
      </xdr:grpSpPr>
      <xdr:grpSp>
        <xdr:nvGrpSpPr>
          <xdr:cNvPr id="646" name="Group 712">
            <a:extLst>
              <a:ext uri="{FF2B5EF4-FFF2-40B4-BE49-F238E27FC236}">
                <a16:creationId xmlns:a16="http://schemas.microsoft.com/office/drawing/2014/main" id="{00000000-0008-0000-0D00-00008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7" name="Arc 666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CxnSpPr>
              <a:endCxn id="66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D00-00009D020000}"/>
                </a:ext>
              </a:extLst>
            </xdr:cNvPr>
            <xdr:cNvCxnSpPr>
              <a:endCxn id="66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6" name="Oval 665">
            <a:extLst>
              <a:ext uri="{FF2B5EF4-FFF2-40B4-BE49-F238E27FC236}">
                <a16:creationId xmlns:a16="http://schemas.microsoft.com/office/drawing/2014/main" id="{00000000-0008-0000-0D00-00009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657225</xdr:colOff>
      <xdr:row>155</xdr:row>
      <xdr:rowOff>161925</xdr:rowOff>
    </xdr:from>
    <xdr:to>
      <xdr:col>83</xdr:col>
      <xdr:colOff>152400</xdr:colOff>
      <xdr:row>157</xdr:row>
      <xdr:rowOff>38100</xdr:rowOff>
    </xdr:to>
    <xdr:grpSp>
      <xdr:nvGrpSpPr>
        <xdr:cNvPr id="12298840" name="Group 711">
          <a:extLst>
            <a:ext uri="{FF2B5EF4-FFF2-40B4-BE49-F238E27FC236}">
              <a16:creationId xmlns:a16="http://schemas.microsoft.com/office/drawing/2014/main" id="{00000000-0008-0000-0D00-000058AABB00}"/>
            </a:ext>
          </a:extLst>
        </xdr:cNvPr>
        <xdr:cNvGrpSpPr>
          <a:grpSpLocks noChangeAspect="1"/>
        </xdr:cNvGrpSpPr>
      </xdr:nvGrpSpPr>
      <xdr:grpSpPr bwMode="auto">
        <a:xfrm>
          <a:off x="35810825" y="24761825"/>
          <a:ext cx="168275" cy="200025"/>
          <a:chOff x="1022492" y="5877272"/>
          <a:chExt cx="474280" cy="474280"/>
        </a:xfrm>
      </xdr:grpSpPr>
      <xdr:grpSp>
        <xdr:nvGrpSpPr>
          <xdr:cNvPr id="638" name="Group 712">
            <a:extLst>
              <a:ext uri="{FF2B5EF4-FFF2-40B4-BE49-F238E27FC236}">
                <a16:creationId xmlns:a16="http://schemas.microsoft.com/office/drawing/2014/main" id="{00000000-0008-0000-0D00-00007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1" name="Arc 680">
              <a:extLst>
                <a:ext uri="{FF2B5EF4-FFF2-40B4-BE49-F238E27FC236}">
                  <a16:creationId xmlns:a16="http://schemas.microsoft.com/office/drawing/2014/main" id="{00000000-0008-0000-0D00-0000A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D00-0000AA020000}"/>
                </a:ext>
              </a:extLst>
            </xdr:cNvPr>
            <xdr:cNvCxnSpPr>
              <a:endCxn id="68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D00-0000AB020000}"/>
                </a:ext>
              </a:extLst>
            </xdr:cNvPr>
            <xdr:cNvCxnSpPr>
              <a:endCxn id="68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6" name="Oval 675">
            <a:extLst>
              <a:ext uri="{FF2B5EF4-FFF2-40B4-BE49-F238E27FC236}">
                <a16:creationId xmlns:a16="http://schemas.microsoft.com/office/drawing/2014/main" id="{00000000-0008-0000-0D00-0000A4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466725</xdr:colOff>
      <xdr:row>161</xdr:row>
      <xdr:rowOff>161925</xdr:rowOff>
    </xdr:from>
    <xdr:to>
      <xdr:col>81</xdr:col>
      <xdr:colOff>676275</xdr:colOff>
      <xdr:row>163</xdr:row>
      <xdr:rowOff>38100</xdr:rowOff>
    </xdr:to>
    <xdr:grpSp>
      <xdr:nvGrpSpPr>
        <xdr:cNvPr id="12298841" name="Group 711">
          <a:extLst>
            <a:ext uri="{FF2B5EF4-FFF2-40B4-BE49-F238E27FC236}">
              <a16:creationId xmlns:a16="http://schemas.microsoft.com/office/drawing/2014/main" id="{00000000-0008-0000-0D00-000059AABB00}"/>
            </a:ext>
          </a:extLst>
        </xdr:cNvPr>
        <xdr:cNvGrpSpPr>
          <a:grpSpLocks noChangeAspect="1"/>
        </xdr:cNvGrpSpPr>
      </xdr:nvGrpSpPr>
      <xdr:grpSpPr bwMode="auto">
        <a:xfrm>
          <a:off x="34947225" y="25714325"/>
          <a:ext cx="203200" cy="200025"/>
          <a:chOff x="1022492" y="5877272"/>
          <a:chExt cx="474280" cy="474280"/>
        </a:xfrm>
      </xdr:grpSpPr>
      <xdr:grpSp>
        <xdr:nvGrpSpPr>
          <xdr:cNvPr id="637" name="Group 712">
            <a:extLst>
              <a:ext uri="{FF2B5EF4-FFF2-40B4-BE49-F238E27FC236}">
                <a16:creationId xmlns:a16="http://schemas.microsoft.com/office/drawing/2014/main" id="{00000000-0008-0000-0D00-00007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91" name="Arc 690">
              <a:extLst>
                <a:ext uri="{FF2B5EF4-FFF2-40B4-BE49-F238E27FC236}">
                  <a16:creationId xmlns:a16="http://schemas.microsoft.com/office/drawing/2014/main" id="{00000000-0008-0000-0D00-0000B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D00-0000B4020000}"/>
                </a:ext>
              </a:extLst>
            </xdr:cNvPr>
            <xdr:cNvCxnSpPr>
              <a:endCxn id="69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D00-0000B5020000}"/>
                </a:ext>
              </a:extLst>
            </xdr:cNvPr>
            <xdr:cNvCxnSpPr>
              <a:endCxn id="69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90" name="Oval 689">
            <a:extLst>
              <a:ext uri="{FF2B5EF4-FFF2-40B4-BE49-F238E27FC236}">
                <a16:creationId xmlns:a16="http://schemas.microsoft.com/office/drawing/2014/main" id="{00000000-0008-0000-0D00-0000B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485775</xdr:colOff>
      <xdr:row>138</xdr:row>
      <xdr:rowOff>152400</xdr:rowOff>
    </xdr:from>
    <xdr:to>
      <xdr:col>81</xdr:col>
      <xdr:colOff>695325</xdr:colOff>
      <xdr:row>140</xdr:row>
      <xdr:rowOff>38100</xdr:rowOff>
    </xdr:to>
    <xdr:grpSp>
      <xdr:nvGrpSpPr>
        <xdr:cNvPr id="12298842" name="Group 711">
          <a:extLst>
            <a:ext uri="{FF2B5EF4-FFF2-40B4-BE49-F238E27FC236}">
              <a16:creationId xmlns:a16="http://schemas.microsoft.com/office/drawing/2014/main" id="{00000000-0008-0000-0D00-00005AAABB00}"/>
            </a:ext>
          </a:extLst>
        </xdr:cNvPr>
        <xdr:cNvGrpSpPr>
          <a:grpSpLocks noChangeAspect="1"/>
        </xdr:cNvGrpSpPr>
      </xdr:nvGrpSpPr>
      <xdr:grpSpPr bwMode="auto">
        <a:xfrm>
          <a:off x="34966275" y="22059900"/>
          <a:ext cx="184150" cy="203200"/>
          <a:chOff x="1022492" y="5877272"/>
          <a:chExt cx="474280" cy="474280"/>
        </a:xfrm>
      </xdr:grpSpPr>
      <xdr:grpSp>
        <xdr:nvGrpSpPr>
          <xdr:cNvPr id="618" name="Group 712">
            <a:extLst>
              <a:ext uri="{FF2B5EF4-FFF2-40B4-BE49-F238E27FC236}">
                <a16:creationId xmlns:a16="http://schemas.microsoft.com/office/drawing/2014/main" id="{00000000-0008-0000-0D00-00006A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1" name="Arc 700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D00-0000BE020000}"/>
                </a:ext>
              </a:extLst>
            </xdr:cNvPr>
            <xdr:cNvCxnSpPr>
              <a:endCxn id="70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D00-0000BF020000}"/>
                </a:ext>
              </a:extLst>
            </xdr:cNvPr>
            <xdr:cNvCxnSpPr>
              <a:endCxn id="70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0" name="Oval 699">
            <a:extLst>
              <a:ext uri="{FF2B5EF4-FFF2-40B4-BE49-F238E27FC236}">
                <a16:creationId xmlns:a16="http://schemas.microsoft.com/office/drawing/2014/main" id="{00000000-0008-0000-0D00-0000BC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83</xdr:col>
      <xdr:colOff>66675</xdr:colOff>
      <xdr:row>149</xdr:row>
      <xdr:rowOff>152400</xdr:rowOff>
    </xdr:from>
    <xdr:to>
      <xdr:col>83</xdr:col>
      <xdr:colOff>276225</xdr:colOff>
      <xdr:row>151</xdr:row>
      <xdr:rowOff>38100</xdr:rowOff>
    </xdr:to>
    <xdr:grpSp>
      <xdr:nvGrpSpPr>
        <xdr:cNvPr id="12298843" name="Group 711">
          <a:extLst>
            <a:ext uri="{FF2B5EF4-FFF2-40B4-BE49-F238E27FC236}">
              <a16:creationId xmlns:a16="http://schemas.microsoft.com/office/drawing/2014/main" id="{00000000-0008-0000-0D00-00005BAABB00}"/>
            </a:ext>
          </a:extLst>
        </xdr:cNvPr>
        <xdr:cNvGrpSpPr>
          <a:grpSpLocks noChangeAspect="1"/>
        </xdr:cNvGrpSpPr>
      </xdr:nvGrpSpPr>
      <xdr:grpSpPr bwMode="auto">
        <a:xfrm>
          <a:off x="35893375" y="23806150"/>
          <a:ext cx="209550" cy="203200"/>
          <a:chOff x="1022492" y="5877272"/>
          <a:chExt cx="474280" cy="474280"/>
        </a:xfrm>
      </xdr:grpSpPr>
      <xdr:grpSp>
        <xdr:nvGrpSpPr>
          <xdr:cNvPr id="613" name="Group 712">
            <a:extLst>
              <a:ext uri="{FF2B5EF4-FFF2-40B4-BE49-F238E27FC236}">
                <a16:creationId xmlns:a16="http://schemas.microsoft.com/office/drawing/2014/main" id="{00000000-0008-0000-0D00-00006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7" name="Arc 706">
              <a:extLst>
                <a:ext uri="{FF2B5EF4-FFF2-40B4-BE49-F238E27FC236}">
                  <a16:creationId xmlns:a16="http://schemas.microsoft.com/office/drawing/2014/main" id="{00000000-0008-0000-0D00-0000C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D00-0000C4020000}"/>
                </a:ext>
              </a:extLst>
            </xdr:cNvPr>
            <xdr:cNvCxnSpPr>
              <a:endCxn id="70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D00-0000C5020000}"/>
                </a:ext>
              </a:extLst>
            </xdr:cNvPr>
            <xdr:cNvCxnSpPr>
              <a:endCxn id="70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6" name="Oval 705">
            <a:extLst>
              <a:ext uri="{FF2B5EF4-FFF2-40B4-BE49-F238E27FC236}">
                <a16:creationId xmlns:a16="http://schemas.microsoft.com/office/drawing/2014/main" id="{00000000-0008-0000-0D00-0000C2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142875</xdr:colOff>
      <xdr:row>134</xdr:row>
      <xdr:rowOff>0</xdr:rowOff>
    </xdr:from>
    <xdr:to>
      <xdr:col>73</xdr:col>
      <xdr:colOff>600075</xdr:colOff>
      <xdr:row>139</xdr:row>
      <xdr:rowOff>152400</xdr:rowOff>
    </xdr:to>
    <xdr:grpSp>
      <xdr:nvGrpSpPr>
        <xdr:cNvPr id="12298844" name="Group 680">
          <a:extLst>
            <a:ext uri="{FF2B5EF4-FFF2-40B4-BE49-F238E27FC236}">
              <a16:creationId xmlns:a16="http://schemas.microsoft.com/office/drawing/2014/main" id="{00000000-0008-0000-0D00-00005CAABB00}"/>
            </a:ext>
          </a:extLst>
        </xdr:cNvPr>
        <xdr:cNvGrpSpPr>
          <a:grpSpLocks noChangeAspect="1"/>
        </xdr:cNvGrpSpPr>
      </xdr:nvGrpSpPr>
      <xdr:grpSpPr bwMode="auto">
        <a:xfrm>
          <a:off x="27892375" y="21272500"/>
          <a:ext cx="1803400" cy="946150"/>
          <a:chOff x="5741064" y="463829"/>
          <a:chExt cx="1554221" cy="788339"/>
        </a:xfrm>
      </xdr:grpSpPr>
      <xdr:sp macro="" textlink="">
        <xdr:nvSpPr>
          <xdr:cNvPr id="12298976" name="Line 1465">
            <a:extLst>
              <a:ext uri="{FF2B5EF4-FFF2-40B4-BE49-F238E27FC236}">
                <a16:creationId xmlns:a16="http://schemas.microsoft.com/office/drawing/2014/main" id="{00000000-0008-0000-0D00-0000E0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7" name="Line 1466">
            <a:extLst>
              <a:ext uri="{FF2B5EF4-FFF2-40B4-BE49-F238E27FC236}">
                <a16:creationId xmlns:a16="http://schemas.microsoft.com/office/drawing/2014/main" id="{00000000-0008-0000-0D00-0000E1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8" name="Line 1467">
            <a:extLst>
              <a:ext uri="{FF2B5EF4-FFF2-40B4-BE49-F238E27FC236}">
                <a16:creationId xmlns:a16="http://schemas.microsoft.com/office/drawing/2014/main" id="{00000000-0008-0000-0D00-0000E2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9" name="Line 1468">
            <a:extLst>
              <a:ext uri="{FF2B5EF4-FFF2-40B4-BE49-F238E27FC236}">
                <a16:creationId xmlns:a16="http://schemas.microsoft.com/office/drawing/2014/main" id="{00000000-0008-0000-0D00-0000E3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0" name="Line 1469">
            <a:extLst>
              <a:ext uri="{FF2B5EF4-FFF2-40B4-BE49-F238E27FC236}">
                <a16:creationId xmlns:a16="http://schemas.microsoft.com/office/drawing/2014/main" id="{00000000-0008-0000-0D00-0000E4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1" name="Oval 686">
            <a:extLst>
              <a:ext uri="{FF2B5EF4-FFF2-40B4-BE49-F238E27FC236}">
                <a16:creationId xmlns:a16="http://schemas.microsoft.com/office/drawing/2014/main" id="{00000000-0008-0000-0D00-0000E5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82" name="Group 687">
            <a:extLst>
              <a:ext uri="{FF2B5EF4-FFF2-40B4-BE49-F238E27FC236}">
                <a16:creationId xmlns:a16="http://schemas.microsoft.com/office/drawing/2014/main" id="{00000000-0008-0000-0D00-0000E6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83" name="Arc 1475">
              <a:extLst>
                <a:ext uri="{FF2B5EF4-FFF2-40B4-BE49-F238E27FC236}">
                  <a16:creationId xmlns:a16="http://schemas.microsoft.com/office/drawing/2014/main" id="{00000000-0008-0000-0D00-0000E7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4" name="Arc 1476">
              <a:extLst>
                <a:ext uri="{FF2B5EF4-FFF2-40B4-BE49-F238E27FC236}">
                  <a16:creationId xmlns:a16="http://schemas.microsoft.com/office/drawing/2014/main" id="{00000000-0008-0000-0D00-0000E8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5" name="Arc 1477">
              <a:extLst>
                <a:ext uri="{FF2B5EF4-FFF2-40B4-BE49-F238E27FC236}">
                  <a16:creationId xmlns:a16="http://schemas.microsoft.com/office/drawing/2014/main" id="{00000000-0008-0000-0D00-0000E9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6" name="Arc 1478">
              <a:extLst>
                <a:ext uri="{FF2B5EF4-FFF2-40B4-BE49-F238E27FC236}">
                  <a16:creationId xmlns:a16="http://schemas.microsoft.com/office/drawing/2014/main" id="{00000000-0008-0000-0D00-0000E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7" name="Arc 1479">
              <a:extLst>
                <a:ext uri="{FF2B5EF4-FFF2-40B4-BE49-F238E27FC236}">
                  <a16:creationId xmlns:a16="http://schemas.microsoft.com/office/drawing/2014/main" id="{00000000-0008-0000-0D00-0000EB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Rectangl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8" name="Rectangl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9" name="Rectangl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1" name="Arc 1473">
              <a:extLst>
                <a:ext uri="{FF2B5EF4-FFF2-40B4-BE49-F238E27FC236}">
                  <a16:creationId xmlns:a16="http://schemas.microsoft.com/office/drawing/2014/main" id="{00000000-0008-0000-0D00-0000EF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2" name="Arc 1474">
              <a:extLst>
                <a:ext uri="{FF2B5EF4-FFF2-40B4-BE49-F238E27FC236}">
                  <a16:creationId xmlns:a16="http://schemas.microsoft.com/office/drawing/2014/main" id="{00000000-0008-0000-0D00-0000F0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Rectangl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4" name="Arc 1481">
              <a:extLst>
                <a:ext uri="{FF2B5EF4-FFF2-40B4-BE49-F238E27FC236}">
                  <a16:creationId xmlns:a16="http://schemas.microsoft.com/office/drawing/2014/main" id="{00000000-0008-0000-0D00-0000F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5" name="Arc 1480">
              <a:extLst>
                <a:ext uri="{FF2B5EF4-FFF2-40B4-BE49-F238E27FC236}">
                  <a16:creationId xmlns:a16="http://schemas.microsoft.com/office/drawing/2014/main" id="{00000000-0008-0000-0D00-0000F3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77</xdr:col>
      <xdr:colOff>104775</xdr:colOff>
      <xdr:row>133</xdr:row>
      <xdr:rowOff>152400</xdr:rowOff>
    </xdr:from>
    <xdr:to>
      <xdr:col>79</xdr:col>
      <xdr:colOff>561975</xdr:colOff>
      <xdr:row>139</xdr:row>
      <xdr:rowOff>142875</xdr:rowOff>
    </xdr:to>
    <xdr:grpSp>
      <xdr:nvGrpSpPr>
        <xdr:cNvPr id="12298845" name="Group 680">
          <a:extLst>
            <a:ext uri="{FF2B5EF4-FFF2-40B4-BE49-F238E27FC236}">
              <a16:creationId xmlns:a16="http://schemas.microsoft.com/office/drawing/2014/main" id="{00000000-0008-0000-0D00-00005DAABB00}"/>
            </a:ext>
          </a:extLst>
        </xdr:cNvPr>
        <xdr:cNvGrpSpPr>
          <a:grpSpLocks noChangeAspect="1"/>
        </xdr:cNvGrpSpPr>
      </xdr:nvGrpSpPr>
      <xdr:grpSpPr bwMode="auto">
        <a:xfrm>
          <a:off x="31892875" y="21266150"/>
          <a:ext cx="1803400" cy="942975"/>
          <a:chOff x="5741064" y="463829"/>
          <a:chExt cx="1554221" cy="788339"/>
        </a:xfrm>
      </xdr:grpSpPr>
      <xdr:sp macro="" textlink="">
        <xdr:nvSpPr>
          <xdr:cNvPr id="12298956" name="Line 1465">
            <a:extLst>
              <a:ext uri="{FF2B5EF4-FFF2-40B4-BE49-F238E27FC236}">
                <a16:creationId xmlns:a16="http://schemas.microsoft.com/office/drawing/2014/main" id="{00000000-0008-0000-0D00-0000CC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7" name="Line 1466">
            <a:extLst>
              <a:ext uri="{FF2B5EF4-FFF2-40B4-BE49-F238E27FC236}">
                <a16:creationId xmlns:a16="http://schemas.microsoft.com/office/drawing/2014/main" id="{00000000-0008-0000-0D00-0000CD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8" name="Line 1467">
            <a:extLst>
              <a:ext uri="{FF2B5EF4-FFF2-40B4-BE49-F238E27FC236}">
                <a16:creationId xmlns:a16="http://schemas.microsoft.com/office/drawing/2014/main" id="{00000000-0008-0000-0D00-0000CE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9" name="Line 1468">
            <a:extLst>
              <a:ext uri="{FF2B5EF4-FFF2-40B4-BE49-F238E27FC236}">
                <a16:creationId xmlns:a16="http://schemas.microsoft.com/office/drawing/2014/main" id="{00000000-0008-0000-0D00-0000CF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0" name="Line 1469">
            <a:extLst>
              <a:ext uri="{FF2B5EF4-FFF2-40B4-BE49-F238E27FC236}">
                <a16:creationId xmlns:a16="http://schemas.microsoft.com/office/drawing/2014/main" id="{00000000-0008-0000-0D00-0000D0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1" name="Oval 686">
            <a:extLst>
              <a:ext uri="{FF2B5EF4-FFF2-40B4-BE49-F238E27FC236}">
                <a16:creationId xmlns:a16="http://schemas.microsoft.com/office/drawing/2014/main" id="{00000000-0008-0000-0D00-0000D1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62" name="Group 687">
            <a:extLst>
              <a:ext uri="{FF2B5EF4-FFF2-40B4-BE49-F238E27FC236}">
                <a16:creationId xmlns:a16="http://schemas.microsoft.com/office/drawing/2014/main" id="{00000000-0008-0000-0D00-0000D2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63" name="Arc 1475">
              <a:extLst>
                <a:ext uri="{FF2B5EF4-FFF2-40B4-BE49-F238E27FC236}">
                  <a16:creationId xmlns:a16="http://schemas.microsoft.com/office/drawing/2014/main" id="{00000000-0008-0000-0D00-0000D3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4" name="Arc 1476">
              <a:extLst>
                <a:ext uri="{FF2B5EF4-FFF2-40B4-BE49-F238E27FC236}">
                  <a16:creationId xmlns:a16="http://schemas.microsoft.com/office/drawing/2014/main" id="{00000000-0008-0000-0D00-0000D4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5" name="Arc 1477">
              <a:extLst>
                <a:ext uri="{FF2B5EF4-FFF2-40B4-BE49-F238E27FC236}">
                  <a16:creationId xmlns:a16="http://schemas.microsoft.com/office/drawing/2014/main" id="{00000000-0008-0000-0D00-0000D5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6" name="Arc 1478">
              <a:extLst>
                <a:ext uri="{FF2B5EF4-FFF2-40B4-BE49-F238E27FC236}">
                  <a16:creationId xmlns:a16="http://schemas.microsoft.com/office/drawing/2014/main" id="{00000000-0008-0000-0D00-0000D6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7" name="Arc 1479">
              <a:extLst>
                <a:ext uri="{FF2B5EF4-FFF2-40B4-BE49-F238E27FC236}">
                  <a16:creationId xmlns:a16="http://schemas.microsoft.com/office/drawing/2014/main" id="{00000000-0008-0000-0D00-0000D7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66" name="Rectangle 765">
              <a:extLst>
                <a:ext uri="{FF2B5EF4-FFF2-40B4-BE49-F238E27FC236}">
                  <a16:creationId xmlns:a16="http://schemas.microsoft.com/office/drawing/2014/main" id="{00000000-0008-0000-0D00-0000FE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7" name="Rectangle 766">
              <a:extLst>
                <a:ext uri="{FF2B5EF4-FFF2-40B4-BE49-F238E27FC236}">
                  <a16:creationId xmlns:a16="http://schemas.microsoft.com/office/drawing/2014/main" id="{00000000-0008-0000-0D00-0000FF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8" name="Rectangle 767">
              <a:extLst>
                <a:ext uri="{FF2B5EF4-FFF2-40B4-BE49-F238E27FC236}">
                  <a16:creationId xmlns:a16="http://schemas.microsoft.com/office/drawing/2014/main" id="{00000000-0008-0000-0D00-000000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1" name="Arc 1473">
              <a:extLst>
                <a:ext uri="{FF2B5EF4-FFF2-40B4-BE49-F238E27FC236}">
                  <a16:creationId xmlns:a16="http://schemas.microsoft.com/office/drawing/2014/main" id="{00000000-0008-0000-0D00-0000DB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2" name="Arc 1474">
              <a:extLst>
                <a:ext uri="{FF2B5EF4-FFF2-40B4-BE49-F238E27FC236}">
                  <a16:creationId xmlns:a16="http://schemas.microsoft.com/office/drawing/2014/main" id="{00000000-0008-0000-0D00-0000DC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71" name="Rectangle 770">
              <a:extLst>
                <a:ext uri="{FF2B5EF4-FFF2-40B4-BE49-F238E27FC236}">
                  <a16:creationId xmlns:a16="http://schemas.microsoft.com/office/drawing/2014/main" id="{00000000-0008-0000-0D00-000003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4" name="Arc 1481">
              <a:extLst>
                <a:ext uri="{FF2B5EF4-FFF2-40B4-BE49-F238E27FC236}">
                  <a16:creationId xmlns:a16="http://schemas.microsoft.com/office/drawing/2014/main" id="{00000000-0008-0000-0D00-0000DE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5" name="Arc 1480">
              <a:extLst>
                <a:ext uri="{FF2B5EF4-FFF2-40B4-BE49-F238E27FC236}">
                  <a16:creationId xmlns:a16="http://schemas.microsoft.com/office/drawing/2014/main" id="{00000000-0008-0000-0D00-0000DF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83</xdr:col>
      <xdr:colOff>76200</xdr:colOff>
      <xdr:row>133</xdr:row>
      <xdr:rowOff>152400</xdr:rowOff>
    </xdr:from>
    <xdr:to>
      <xdr:col>85</xdr:col>
      <xdr:colOff>638175</xdr:colOff>
      <xdr:row>139</xdr:row>
      <xdr:rowOff>142875</xdr:rowOff>
    </xdr:to>
    <xdr:grpSp>
      <xdr:nvGrpSpPr>
        <xdr:cNvPr id="12298846" name="Group 680">
          <a:extLst>
            <a:ext uri="{FF2B5EF4-FFF2-40B4-BE49-F238E27FC236}">
              <a16:creationId xmlns:a16="http://schemas.microsoft.com/office/drawing/2014/main" id="{00000000-0008-0000-0D00-00005EAABB00}"/>
            </a:ext>
          </a:extLst>
        </xdr:cNvPr>
        <xdr:cNvGrpSpPr>
          <a:grpSpLocks noChangeAspect="1"/>
        </xdr:cNvGrpSpPr>
      </xdr:nvGrpSpPr>
      <xdr:grpSpPr bwMode="auto">
        <a:xfrm>
          <a:off x="35902900" y="21266150"/>
          <a:ext cx="1812925" cy="942975"/>
          <a:chOff x="5741064" y="463829"/>
          <a:chExt cx="1554221" cy="788339"/>
        </a:xfrm>
      </xdr:grpSpPr>
      <xdr:sp macro="" textlink="">
        <xdr:nvSpPr>
          <xdr:cNvPr id="12298936" name="Line 1465">
            <a:extLst>
              <a:ext uri="{FF2B5EF4-FFF2-40B4-BE49-F238E27FC236}">
                <a16:creationId xmlns:a16="http://schemas.microsoft.com/office/drawing/2014/main" id="{00000000-0008-0000-0D00-0000B8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7" name="Line 1466">
            <a:extLst>
              <a:ext uri="{FF2B5EF4-FFF2-40B4-BE49-F238E27FC236}">
                <a16:creationId xmlns:a16="http://schemas.microsoft.com/office/drawing/2014/main" id="{00000000-0008-0000-0D00-0000B9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8" name="Line 1467">
            <a:extLst>
              <a:ext uri="{FF2B5EF4-FFF2-40B4-BE49-F238E27FC236}">
                <a16:creationId xmlns:a16="http://schemas.microsoft.com/office/drawing/2014/main" id="{00000000-0008-0000-0D00-0000BA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9" name="Line 1468">
            <a:extLst>
              <a:ext uri="{FF2B5EF4-FFF2-40B4-BE49-F238E27FC236}">
                <a16:creationId xmlns:a16="http://schemas.microsoft.com/office/drawing/2014/main" id="{00000000-0008-0000-0D00-0000BB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0" name="Line 1469">
            <a:extLst>
              <a:ext uri="{FF2B5EF4-FFF2-40B4-BE49-F238E27FC236}">
                <a16:creationId xmlns:a16="http://schemas.microsoft.com/office/drawing/2014/main" id="{00000000-0008-0000-0D00-0000BC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1" name="Oval 686">
            <a:extLst>
              <a:ext uri="{FF2B5EF4-FFF2-40B4-BE49-F238E27FC236}">
                <a16:creationId xmlns:a16="http://schemas.microsoft.com/office/drawing/2014/main" id="{00000000-0008-0000-0D00-0000BD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42" name="Group 687">
            <a:extLst>
              <a:ext uri="{FF2B5EF4-FFF2-40B4-BE49-F238E27FC236}">
                <a16:creationId xmlns:a16="http://schemas.microsoft.com/office/drawing/2014/main" id="{00000000-0008-0000-0D00-0000BE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43" name="Arc 1475">
              <a:extLst>
                <a:ext uri="{FF2B5EF4-FFF2-40B4-BE49-F238E27FC236}">
                  <a16:creationId xmlns:a16="http://schemas.microsoft.com/office/drawing/2014/main" id="{00000000-0008-0000-0D00-0000BF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4" name="Arc 1476">
              <a:extLst>
                <a:ext uri="{FF2B5EF4-FFF2-40B4-BE49-F238E27FC236}">
                  <a16:creationId xmlns:a16="http://schemas.microsoft.com/office/drawing/2014/main" id="{00000000-0008-0000-0D00-0000C0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5" name="Arc 1477">
              <a:extLst>
                <a:ext uri="{FF2B5EF4-FFF2-40B4-BE49-F238E27FC236}">
                  <a16:creationId xmlns:a16="http://schemas.microsoft.com/office/drawing/2014/main" id="{00000000-0008-0000-0D00-0000C1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6" name="Arc 1478">
              <a:extLst>
                <a:ext uri="{FF2B5EF4-FFF2-40B4-BE49-F238E27FC236}">
                  <a16:creationId xmlns:a16="http://schemas.microsoft.com/office/drawing/2014/main" id="{00000000-0008-0000-0D00-0000C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7" name="Arc 1479">
              <a:extLst>
                <a:ext uri="{FF2B5EF4-FFF2-40B4-BE49-F238E27FC236}">
                  <a16:creationId xmlns:a16="http://schemas.microsoft.com/office/drawing/2014/main" id="{00000000-0008-0000-0D00-0000C3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87" name="Rectangle 786">
              <a:extLst>
                <a:ext uri="{FF2B5EF4-FFF2-40B4-BE49-F238E27FC236}">
                  <a16:creationId xmlns:a16="http://schemas.microsoft.com/office/drawing/2014/main" id="{00000000-0008-0000-0D00-00001303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8" name="Rectangle 787">
              <a:extLst>
                <a:ext uri="{FF2B5EF4-FFF2-40B4-BE49-F238E27FC236}">
                  <a16:creationId xmlns:a16="http://schemas.microsoft.com/office/drawing/2014/main" id="{00000000-0008-0000-0D00-00001403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9" name="Rectangle 788">
              <a:extLst>
                <a:ext uri="{FF2B5EF4-FFF2-40B4-BE49-F238E27FC236}">
                  <a16:creationId xmlns:a16="http://schemas.microsoft.com/office/drawing/2014/main" id="{00000000-0008-0000-0D00-000015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1" name="Arc 1473">
              <a:extLst>
                <a:ext uri="{FF2B5EF4-FFF2-40B4-BE49-F238E27FC236}">
                  <a16:creationId xmlns:a16="http://schemas.microsoft.com/office/drawing/2014/main" id="{00000000-0008-0000-0D00-0000C7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2" name="Arc 1474">
              <a:extLst>
                <a:ext uri="{FF2B5EF4-FFF2-40B4-BE49-F238E27FC236}">
                  <a16:creationId xmlns:a16="http://schemas.microsoft.com/office/drawing/2014/main" id="{00000000-0008-0000-0D00-0000C8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92" name="Rectangle 791">
              <a:extLst>
                <a:ext uri="{FF2B5EF4-FFF2-40B4-BE49-F238E27FC236}">
                  <a16:creationId xmlns:a16="http://schemas.microsoft.com/office/drawing/2014/main" id="{00000000-0008-0000-0D00-000018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4" name="Arc 1481">
              <a:extLst>
                <a:ext uri="{FF2B5EF4-FFF2-40B4-BE49-F238E27FC236}">
                  <a16:creationId xmlns:a16="http://schemas.microsoft.com/office/drawing/2014/main" id="{00000000-0008-0000-0D00-0000C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5" name="Arc 1480">
              <a:extLst>
                <a:ext uri="{FF2B5EF4-FFF2-40B4-BE49-F238E27FC236}">
                  <a16:creationId xmlns:a16="http://schemas.microsoft.com/office/drawing/2014/main" id="{00000000-0008-0000-0D00-0000CB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68</xdr:col>
      <xdr:colOff>600075</xdr:colOff>
      <xdr:row>136</xdr:row>
      <xdr:rowOff>95250</xdr:rowOff>
    </xdr:from>
    <xdr:to>
      <xdr:col>69</xdr:col>
      <xdr:colOff>238125</xdr:colOff>
      <xdr:row>136</xdr:row>
      <xdr:rowOff>95250</xdr:rowOff>
    </xdr:to>
    <xdr:sp macro="" textlink="">
      <xdr:nvSpPr>
        <xdr:cNvPr id="12298847" name="Line 1493">
          <a:extLst>
            <a:ext uri="{FF2B5EF4-FFF2-40B4-BE49-F238E27FC236}">
              <a16:creationId xmlns:a16="http://schemas.microsoft.com/office/drawing/2014/main" id="{00000000-0008-0000-0D00-00005FAABB00}"/>
            </a:ext>
          </a:extLst>
        </xdr:cNvPr>
        <xdr:cNvSpPr>
          <a:spLocks noChangeShapeType="1"/>
        </xdr:cNvSpPr>
      </xdr:nvSpPr>
      <xdr:spPr bwMode="auto">
        <a:xfrm flipV="1">
          <a:off x="25688925" y="22278975"/>
          <a:ext cx="352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428625</xdr:colOff>
      <xdr:row>131</xdr:row>
      <xdr:rowOff>114300</xdr:rowOff>
    </xdr:from>
    <xdr:to>
      <xdr:col>70</xdr:col>
      <xdr:colOff>695325</xdr:colOff>
      <xdr:row>133</xdr:row>
      <xdr:rowOff>66675</xdr:rowOff>
    </xdr:to>
    <xdr:sp macro="" textlink="">
      <xdr:nvSpPr>
        <xdr:cNvPr id="12298848" name="Line 2552">
          <a:extLst>
            <a:ext uri="{FF2B5EF4-FFF2-40B4-BE49-F238E27FC236}">
              <a16:creationId xmlns:a16="http://schemas.microsoft.com/office/drawing/2014/main" id="{00000000-0008-0000-0D00-000060AABB00}"/>
            </a:ext>
          </a:extLst>
        </xdr:cNvPr>
        <xdr:cNvSpPr>
          <a:spLocks noChangeShapeType="1"/>
        </xdr:cNvSpPr>
      </xdr:nvSpPr>
      <xdr:spPr bwMode="auto">
        <a:xfrm rot="18953249" flipV="1">
          <a:off x="26946225" y="2148840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114300</xdr:colOff>
      <xdr:row>142</xdr:row>
      <xdr:rowOff>28575</xdr:rowOff>
    </xdr:from>
    <xdr:to>
      <xdr:col>73</xdr:col>
      <xdr:colOff>114300</xdr:colOff>
      <xdr:row>144</xdr:row>
      <xdr:rowOff>152400</xdr:rowOff>
    </xdr:to>
    <xdr:cxnSp macro="">
      <xdr:nvCxnSpPr>
        <xdr:cNvPr id="12298849" name="Straight Arrow Connector 822">
          <a:extLst>
            <a:ext uri="{FF2B5EF4-FFF2-40B4-BE49-F238E27FC236}">
              <a16:creationId xmlns:a16="http://schemas.microsoft.com/office/drawing/2014/main" id="{00000000-0008-0000-0D00-000061AABB00}"/>
            </a:ext>
          </a:extLst>
        </xdr:cNvPr>
        <xdr:cNvCxnSpPr>
          <a:cxnSpLocks/>
        </xdr:cNvCxnSpPr>
      </xdr:nvCxnSpPr>
      <xdr:spPr bwMode="auto">
        <a:xfrm>
          <a:off x="28775025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400050</xdr:colOff>
      <xdr:row>159</xdr:row>
      <xdr:rowOff>85725</xdr:rowOff>
    </xdr:from>
    <xdr:to>
      <xdr:col>74</xdr:col>
      <xdr:colOff>123825</xdr:colOff>
      <xdr:row>159</xdr:row>
      <xdr:rowOff>85725</xdr:rowOff>
    </xdr:to>
    <xdr:sp macro="" textlink="">
      <xdr:nvSpPr>
        <xdr:cNvPr id="12298850" name="Line 1493">
          <a:extLst>
            <a:ext uri="{FF2B5EF4-FFF2-40B4-BE49-F238E27FC236}">
              <a16:creationId xmlns:a16="http://schemas.microsoft.com/office/drawing/2014/main" id="{00000000-0008-0000-0D00-000062AABB00}"/>
            </a:ext>
          </a:extLst>
        </xdr:cNvPr>
        <xdr:cNvSpPr>
          <a:spLocks noChangeShapeType="1"/>
        </xdr:cNvSpPr>
      </xdr:nvSpPr>
      <xdr:spPr bwMode="auto">
        <a:xfrm flipH="1" flipV="1">
          <a:off x="29060775" y="25993725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219075</xdr:colOff>
      <xdr:row>163</xdr:row>
      <xdr:rowOff>104775</xdr:rowOff>
    </xdr:from>
    <xdr:to>
      <xdr:col>73</xdr:col>
      <xdr:colOff>504825</xdr:colOff>
      <xdr:row>165</xdr:row>
      <xdr:rowOff>66675</xdr:rowOff>
    </xdr:to>
    <xdr:sp macro="" textlink="">
      <xdr:nvSpPr>
        <xdr:cNvPr id="12298851" name="Line 2552">
          <a:extLst>
            <a:ext uri="{FF2B5EF4-FFF2-40B4-BE49-F238E27FC236}">
              <a16:creationId xmlns:a16="http://schemas.microsoft.com/office/drawing/2014/main" id="{00000000-0008-0000-0D00-000063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8798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163</xdr:row>
      <xdr:rowOff>114300</xdr:rowOff>
    </xdr:from>
    <xdr:to>
      <xdr:col>71</xdr:col>
      <xdr:colOff>361950</xdr:colOff>
      <xdr:row>165</xdr:row>
      <xdr:rowOff>76200</xdr:rowOff>
    </xdr:to>
    <xdr:sp macro="" textlink="">
      <xdr:nvSpPr>
        <xdr:cNvPr id="12298852" name="Line 2552">
          <a:extLst>
            <a:ext uri="{FF2B5EF4-FFF2-40B4-BE49-F238E27FC236}">
              <a16:creationId xmlns:a16="http://schemas.microsoft.com/office/drawing/2014/main" id="{00000000-0008-0000-0D00-000064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628650</xdr:colOff>
      <xdr:row>143</xdr:row>
      <xdr:rowOff>28575</xdr:rowOff>
    </xdr:from>
    <xdr:to>
      <xdr:col>70</xdr:col>
      <xdr:colOff>628650</xdr:colOff>
      <xdr:row>145</xdr:row>
      <xdr:rowOff>152400</xdr:rowOff>
    </xdr:to>
    <xdr:cxnSp macro="">
      <xdr:nvCxnSpPr>
        <xdr:cNvPr id="12298853" name="Straight Arrow Connector 822">
          <a:extLst>
            <a:ext uri="{FF2B5EF4-FFF2-40B4-BE49-F238E27FC236}">
              <a16:creationId xmlns:a16="http://schemas.microsoft.com/office/drawing/2014/main" id="{00000000-0008-0000-0D00-000065AABB00}"/>
            </a:ext>
          </a:extLst>
        </xdr:cNvPr>
        <xdr:cNvCxnSpPr>
          <a:cxnSpLocks/>
        </xdr:cNvCxnSpPr>
      </xdr:nvCxnSpPr>
      <xdr:spPr bwMode="auto">
        <a:xfrm>
          <a:off x="2714625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151</xdr:row>
      <xdr:rowOff>28575</xdr:rowOff>
    </xdr:from>
    <xdr:to>
      <xdr:col>70</xdr:col>
      <xdr:colOff>76200</xdr:colOff>
      <xdr:row>153</xdr:row>
      <xdr:rowOff>142875</xdr:rowOff>
    </xdr:to>
    <xdr:cxnSp macro="">
      <xdr:nvCxnSpPr>
        <xdr:cNvPr id="12298854" name="Straight Arrow Connector 822">
          <a:extLst>
            <a:ext uri="{FF2B5EF4-FFF2-40B4-BE49-F238E27FC236}">
              <a16:creationId xmlns:a16="http://schemas.microsoft.com/office/drawing/2014/main" id="{00000000-0008-0000-0D00-000066AABB00}"/>
            </a:ext>
          </a:extLst>
        </xdr:cNvPr>
        <xdr:cNvCxnSpPr>
          <a:cxnSpLocks/>
        </xdr:cNvCxnSpPr>
      </xdr:nvCxnSpPr>
      <xdr:spPr bwMode="auto">
        <a:xfrm>
          <a:off x="26593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157</xdr:row>
      <xdr:rowOff>28575</xdr:rowOff>
    </xdr:from>
    <xdr:to>
      <xdr:col>70</xdr:col>
      <xdr:colOff>76200</xdr:colOff>
      <xdr:row>159</xdr:row>
      <xdr:rowOff>142875</xdr:rowOff>
    </xdr:to>
    <xdr:cxnSp macro="">
      <xdr:nvCxnSpPr>
        <xdr:cNvPr id="12298855" name="Straight Arrow Connector 822">
          <a:extLst>
            <a:ext uri="{FF2B5EF4-FFF2-40B4-BE49-F238E27FC236}">
              <a16:creationId xmlns:a16="http://schemas.microsoft.com/office/drawing/2014/main" id="{00000000-0008-0000-0D00-000067AABB00}"/>
            </a:ext>
          </a:extLst>
        </xdr:cNvPr>
        <xdr:cNvCxnSpPr>
          <a:cxnSpLocks/>
        </xdr:cNvCxnSpPr>
      </xdr:nvCxnSpPr>
      <xdr:spPr bwMode="auto">
        <a:xfrm>
          <a:off x="26593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136</xdr:row>
      <xdr:rowOff>95250</xdr:rowOff>
    </xdr:from>
    <xdr:to>
      <xdr:col>75</xdr:col>
      <xdr:colOff>247650</xdr:colOff>
      <xdr:row>136</xdr:row>
      <xdr:rowOff>95250</xdr:rowOff>
    </xdr:to>
    <xdr:sp macro="" textlink="">
      <xdr:nvSpPr>
        <xdr:cNvPr id="12298856" name="Line 1493">
          <a:extLst>
            <a:ext uri="{FF2B5EF4-FFF2-40B4-BE49-F238E27FC236}">
              <a16:creationId xmlns:a16="http://schemas.microsoft.com/office/drawing/2014/main" id="{00000000-0008-0000-0D00-000068AABB00}"/>
            </a:ext>
          </a:extLst>
        </xdr:cNvPr>
        <xdr:cNvSpPr>
          <a:spLocks noChangeShapeType="1"/>
        </xdr:cNvSpPr>
      </xdr:nvSpPr>
      <xdr:spPr bwMode="auto">
        <a:xfrm flipV="1">
          <a:off x="29975175" y="222789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628650</xdr:colOff>
      <xdr:row>147</xdr:row>
      <xdr:rowOff>104775</xdr:rowOff>
    </xdr:from>
    <xdr:to>
      <xdr:col>69</xdr:col>
      <xdr:colOff>276225</xdr:colOff>
      <xdr:row>147</xdr:row>
      <xdr:rowOff>104775</xdr:rowOff>
    </xdr:to>
    <xdr:sp macro="" textlink="">
      <xdr:nvSpPr>
        <xdr:cNvPr id="12298857" name="Line 1493">
          <a:extLst>
            <a:ext uri="{FF2B5EF4-FFF2-40B4-BE49-F238E27FC236}">
              <a16:creationId xmlns:a16="http://schemas.microsoft.com/office/drawing/2014/main" id="{00000000-0008-0000-0D00-000069AABB00}"/>
            </a:ext>
          </a:extLst>
        </xdr:cNvPr>
        <xdr:cNvSpPr>
          <a:spLocks noChangeShapeType="1"/>
        </xdr:cNvSpPr>
      </xdr:nvSpPr>
      <xdr:spPr bwMode="auto">
        <a:xfrm flipV="1">
          <a:off x="25717500" y="240696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647700</xdr:colOff>
      <xdr:row>134</xdr:row>
      <xdr:rowOff>66675</xdr:rowOff>
    </xdr:from>
    <xdr:to>
      <xdr:col>69</xdr:col>
      <xdr:colOff>295275</xdr:colOff>
      <xdr:row>134</xdr:row>
      <xdr:rowOff>66675</xdr:rowOff>
    </xdr:to>
    <xdr:sp macro="" textlink="">
      <xdr:nvSpPr>
        <xdr:cNvPr id="12298858" name="Line 1548">
          <a:extLst>
            <a:ext uri="{FF2B5EF4-FFF2-40B4-BE49-F238E27FC236}">
              <a16:creationId xmlns:a16="http://schemas.microsoft.com/office/drawing/2014/main" id="{00000000-0008-0000-0D00-00006AAABB00}"/>
            </a:ext>
          </a:extLst>
        </xdr:cNvPr>
        <xdr:cNvSpPr>
          <a:spLocks noChangeShapeType="1"/>
        </xdr:cNvSpPr>
      </xdr:nvSpPr>
      <xdr:spPr bwMode="auto">
        <a:xfrm flipV="1">
          <a:off x="25736550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542925</xdr:colOff>
      <xdr:row>134</xdr:row>
      <xdr:rowOff>123825</xdr:rowOff>
    </xdr:from>
    <xdr:to>
      <xdr:col>69</xdr:col>
      <xdr:colOff>190500</xdr:colOff>
      <xdr:row>134</xdr:row>
      <xdr:rowOff>123825</xdr:rowOff>
    </xdr:to>
    <xdr:sp macro="" textlink="">
      <xdr:nvSpPr>
        <xdr:cNvPr id="12298859" name="Line 1549">
          <a:extLst>
            <a:ext uri="{FF2B5EF4-FFF2-40B4-BE49-F238E27FC236}">
              <a16:creationId xmlns:a16="http://schemas.microsoft.com/office/drawing/2014/main" id="{00000000-0008-0000-0D00-00006BAABB00}"/>
            </a:ext>
          </a:extLst>
        </xdr:cNvPr>
        <xdr:cNvSpPr>
          <a:spLocks noChangeShapeType="1"/>
        </xdr:cNvSpPr>
      </xdr:nvSpPr>
      <xdr:spPr bwMode="auto">
        <a:xfrm flipH="1">
          <a:off x="25631775" y="219837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666750</xdr:colOff>
      <xdr:row>145</xdr:row>
      <xdr:rowOff>66675</xdr:rowOff>
    </xdr:from>
    <xdr:to>
      <xdr:col>69</xdr:col>
      <xdr:colOff>314325</xdr:colOff>
      <xdr:row>145</xdr:row>
      <xdr:rowOff>66675</xdr:rowOff>
    </xdr:to>
    <xdr:sp macro="" textlink="">
      <xdr:nvSpPr>
        <xdr:cNvPr id="12298860" name="Line 1548">
          <a:extLst>
            <a:ext uri="{FF2B5EF4-FFF2-40B4-BE49-F238E27FC236}">
              <a16:creationId xmlns:a16="http://schemas.microsoft.com/office/drawing/2014/main" id="{00000000-0008-0000-0D00-00006CAABB00}"/>
            </a:ext>
          </a:extLst>
        </xdr:cNvPr>
        <xdr:cNvSpPr>
          <a:spLocks noChangeShapeType="1"/>
        </xdr:cNvSpPr>
      </xdr:nvSpPr>
      <xdr:spPr bwMode="auto">
        <a:xfrm flipV="1">
          <a:off x="25755600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561975</xdr:colOff>
      <xdr:row>145</xdr:row>
      <xdr:rowOff>114300</xdr:rowOff>
    </xdr:from>
    <xdr:to>
      <xdr:col>69</xdr:col>
      <xdr:colOff>209550</xdr:colOff>
      <xdr:row>145</xdr:row>
      <xdr:rowOff>114300</xdr:rowOff>
    </xdr:to>
    <xdr:sp macro="" textlink="">
      <xdr:nvSpPr>
        <xdr:cNvPr id="12298861" name="Line 1549">
          <a:extLst>
            <a:ext uri="{FF2B5EF4-FFF2-40B4-BE49-F238E27FC236}">
              <a16:creationId xmlns:a16="http://schemas.microsoft.com/office/drawing/2014/main" id="{00000000-0008-0000-0D00-00006DAABB00}"/>
            </a:ext>
          </a:extLst>
        </xdr:cNvPr>
        <xdr:cNvSpPr>
          <a:spLocks noChangeShapeType="1"/>
        </xdr:cNvSpPr>
      </xdr:nvSpPr>
      <xdr:spPr bwMode="auto">
        <a:xfrm flipH="1">
          <a:off x="25650825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657225</xdr:colOff>
      <xdr:row>155</xdr:row>
      <xdr:rowOff>57150</xdr:rowOff>
    </xdr:from>
    <xdr:to>
      <xdr:col>69</xdr:col>
      <xdr:colOff>304800</xdr:colOff>
      <xdr:row>155</xdr:row>
      <xdr:rowOff>57150</xdr:rowOff>
    </xdr:to>
    <xdr:sp macro="" textlink="">
      <xdr:nvSpPr>
        <xdr:cNvPr id="12298862" name="Line 1548">
          <a:extLst>
            <a:ext uri="{FF2B5EF4-FFF2-40B4-BE49-F238E27FC236}">
              <a16:creationId xmlns:a16="http://schemas.microsoft.com/office/drawing/2014/main" id="{00000000-0008-0000-0D00-00006EAABB00}"/>
            </a:ext>
          </a:extLst>
        </xdr:cNvPr>
        <xdr:cNvSpPr>
          <a:spLocks noChangeShapeType="1"/>
        </xdr:cNvSpPr>
      </xdr:nvSpPr>
      <xdr:spPr bwMode="auto">
        <a:xfrm flipV="1">
          <a:off x="25746075" y="253174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552450</xdr:colOff>
      <xdr:row>155</xdr:row>
      <xdr:rowOff>114300</xdr:rowOff>
    </xdr:from>
    <xdr:to>
      <xdr:col>69</xdr:col>
      <xdr:colOff>200025</xdr:colOff>
      <xdr:row>155</xdr:row>
      <xdr:rowOff>114300</xdr:rowOff>
    </xdr:to>
    <xdr:sp macro="" textlink="">
      <xdr:nvSpPr>
        <xdr:cNvPr id="12298863" name="Line 1549">
          <a:extLst>
            <a:ext uri="{FF2B5EF4-FFF2-40B4-BE49-F238E27FC236}">
              <a16:creationId xmlns:a16="http://schemas.microsoft.com/office/drawing/2014/main" id="{00000000-0008-0000-0D00-00006FAABB00}"/>
            </a:ext>
          </a:extLst>
        </xdr:cNvPr>
        <xdr:cNvSpPr>
          <a:spLocks noChangeShapeType="1"/>
        </xdr:cNvSpPr>
      </xdr:nvSpPr>
      <xdr:spPr bwMode="auto">
        <a:xfrm flipH="1">
          <a:off x="256413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400050</xdr:colOff>
      <xdr:row>131</xdr:row>
      <xdr:rowOff>142875</xdr:rowOff>
    </xdr:from>
    <xdr:to>
      <xdr:col>76</xdr:col>
      <xdr:colOff>666750</xdr:colOff>
      <xdr:row>133</xdr:row>
      <xdr:rowOff>95250</xdr:rowOff>
    </xdr:to>
    <xdr:sp macro="" textlink="">
      <xdr:nvSpPr>
        <xdr:cNvPr id="12298864" name="Line 2552">
          <a:extLst>
            <a:ext uri="{FF2B5EF4-FFF2-40B4-BE49-F238E27FC236}">
              <a16:creationId xmlns:a16="http://schemas.microsoft.com/office/drawing/2014/main" id="{00000000-0008-0000-0D00-000070AABB00}"/>
            </a:ext>
          </a:extLst>
        </xdr:cNvPr>
        <xdr:cNvSpPr>
          <a:spLocks noChangeShapeType="1"/>
        </xdr:cNvSpPr>
      </xdr:nvSpPr>
      <xdr:spPr bwMode="auto">
        <a:xfrm rot="18953249" flipV="1">
          <a:off x="31203900" y="21516975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657225</xdr:colOff>
      <xdr:row>145</xdr:row>
      <xdr:rowOff>66675</xdr:rowOff>
    </xdr:from>
    <xdr:to>
      <xdr:col>75</xdr:col>
      <xdr:colOff>304800</xdr:colOff>
      <xdr:row>145</xdr:row>
      <xdr:rowOff>66675</xdr:rowOff>
    </xdr:to>
    <xdr:sp macro="" textlink="">
      <xdr:nvSpPr>
        <xdr:cNvPr id="12298865" name="Line 1548">
          <a:extLst>
            <a:ext uri="{FF2B5EF4-FFF2-40B4-BE49-F238E27FC236}">
              <a16:creationId xmlns:a16="http://schemas.microsoft.com/office/drawing/2014/main" id="{00000000-0008-0000-0D00-000071AABB00}"/>
            </a:ext>
          </a:extLst>
        </xdr:cNvPr>
        <xdr:cNvSpPr>
          <a:spLocks noChangeShapeType="1"/>
        </xdr:cNvSpPr>
      </xdr:nvSpPr>
      <xdr:spPr bwMode="auto">
        <a:xfrm flipV="1">
          <a:off x="30032325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552450</xdr:colOff>
      <xdr:row>145</xdr:row>
      <xdr:rowOff>123825</xdr:rowOff>
    </xdr:from>
    <xdr:to>
      <xdr:col>75</xdr:col>
      <xdr:colOff>200025</xdr:colOff>
      <xdr:row>145</xdr:row>
      <xdr:rowOff>123825</xdr:rowOff>
    </xdr:to>
    <xdr:sp macro="" textlink="">
      <xdr:nvSpPr>
        <xdr:cNvPr id="12298866" name="Line 1549">
          <a:extLst>
            <a:ext uri="{FF2B5EF4-FFF2-40B4-BE49-F238E27FC236}">
              <a16:creationId xmlns:a16="http://schemas.microsoft.com/office/drawing/2014/main" id="{00000000-0008-0000-0D00-000072AABB00}"/>
            </a:ext>
          </a:extLst>
        </xdr:cNvPr>
        <xdr:cNvSpPr>
          <a:spLocks noChangeShapeType="1"/>
        </xdr:cNvSpPr>
      </xdr:nvSpPr>
      <xdr:spPr bwMode="auto">
        <a:xfrm flipH="1">
          <a:off x="29927550" y="237648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647700</xdr:colOff>
      <xdr:row>155</xdr:row>
      <xdr:rowOff>57150</xdr:rowOff>
    </xdr:from>
    <xdr:to>
      <xdr:col>75</xdr:col>
      <xdr:colOff>285750</xdr:colOff>
      <xdr:row>155</xdr:row>
      <xdr:rowOff>57150</xdr:rowOff>
    </xdr:to>
    <xdr:sp macro="" textlink="">
      <xdr:nvSpPr>
        <xdr:cNvPr id="12298867" name="Line 1548">
          <a:extLst>
            <a:ext uri="{FF2B5EF4-FFF2-40B4-BE49-F238E27FC236}">
              <a16:creationId xmlns:a16="http://schemas.microsoft.com/office/drawing/2014/main" id="{00000000-0008-0000-0D00-000073AABB00}"/>
            </a:ext>
          </a:extLst>
        </xdr:cNvPr>
        <xdr:cNvSpPr>
          <a:spLocks noChangeShapeType="1"/>
        </xdr:cNvSpPr>
      </xdr:nvSpPr>
      <xdr:spPr bwMode="auto">
        <a:xfrm flipV="1">
          <a:off x="30022800" y="25317450"/>
          <a:ext cx="3524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155</xdr:row>
      <xdr:rowOff>114300</xdr:rowOff>
    </xdr:from>
    <xdr:to>
      <xdr:col>75</xdr:col>
      <xdr:colOff>180975</xdr:colOff>
      <xdr:row>155</xdr:row>
      <xdr:rowOff>114300</xdr:rowOff>
    </xdr:to>
    <xdr:sp macro="" textlink="">
      <xdr:nvSpPr>
        <xdr:cNvPr id="12298868" name="Line 1549">
          <a:extLst>
            <a:ext uri="{FF2B5EF4-FFF2-40B4-BE49-F238E27FC236}">
              <a16:creationId xmlns:a16="http://schemas.microsoft.com/office/drawing/2014/main" id="{00000000-0008-0000-0D00-000074AABB00}"/>
            </a:ext>
          </a:extLst>
        </xdr:cNvPr>
        <xdr:cNvSpPr>
          <a:spLocks noChangeShapeType="1"/>
        </xdr:cNvSpPr>
      </xdr:nvSpPr>
      <xdr:spPr bwMode="auto">
        <a:xfrm flipH="1">
          <a:off x="299085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638175</xdr:colOff>
      <xdr:row>134</xdr:row>
      <xdr:rowOff>66675</xdr:rowOff>
    </xdr:from>
    <xdr:to>
      <xdr:col>75</xdr:col>
      <xdr:colOff>285750</xdr:colOff>
      <xdr:row>134</xdr:row>
      <xdr:rowOff>66675</xdr:rowOff>
    </xdr:to>
    <xdr:sp macro="" textlink="">
      <xdr:nvSpPr>
        <xdr:cNvPr id="12298869" name="Line 1548">
          <a:extLst>
            <a:ext uri="{FF2B5EF4-FFF2-40B4-BE49-F238E27FC236}">
              <a16:creationId xmlns:a16="http://schemas.microsoft.com/office/drawing/2014/main" id="{00000000-0008-0000-0D00-000075AABB00}"/>
            </a:ext>
          </a:extLst>
        </xdr:cNvPr>
        <xdr:cNvSpPr>
          <a:spLocks noChangeShapeType="1"/>
        </xdr:cNvSpPr>
      </xdr:nvSpPr>
      <xdr:spPr bwMode="auto">
        <a:xfrm flipV="1">
          <a:off x="30013275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134</xdr:row>
      <xdr:rowOff>114300</xdr:rowOff>
    </xdr:from>
    <xdr:to>
      <xdr:col>75</xdr:col>
      <xdr:colOff>180975</xdr:colOff>
      <xdr:row>134</xdr:row>
      <xdr:rowOff>114300</xdr:rowOff>
    </xdr:to>
    <xdr:sp macro="" textlink="">
      <xdr:nvSpPr>
        <xdr:cNvPr id="12298870" name="Line 1549">
          <a:extLst>
            <a:ext uri="{FF2B5EF4-FFF2-40B4-BE49-F238E27FC236}">
              <a16:creationId xmlns:a16="http://schemas.microsoft.com/office/drawing/2014/main" id="{00000000-0008-0000-0D00-000076AABB00}"/>
            </a:ext>
          </a:extLst>
        </xdr:cNvPr>
        <xdr:cNvSpPr>
          <a:spLocks noChangeShapeType="1"/>
        </xdr:cNvSpPr>
      </xdr:nvSpPr>
      <xdr:spPr bwMode="auto">
        <a:xfrm flipH="1">
          <a:off x="29908500" y="219741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66675</xdr:colOff>
      <xdr:row>157</xdr:row>
      <xdr:rowOff>28575</xdr:rowOff>
    </xdr:from>
    <xdr:to>
      <xdr:col>76</xdr:col>
      <xdr:colOff>66675</xdr:colOff>
      <xdr:row>159</xdr:row>
      <xdr:rowOff>142875</xdr:rowOff>
    </xdr:to>
    <xdr:cxnSp macro="">
      <xdr:nvCxnSpPr>
        <xdr:cNvPr id="12298871" name="Straight Arrow Connector 822">
          <a:extLst>
            <a:ext uri="{FF2B5EF4-FFF2-40B4-BE49-F238E27FC236}">
              <a16:creationId xmlns:a16="http://schemas.microsoft.com/office/drawing/2014/main" id="{00000000-0008-0000-0D00-000077AABB00}"/>
            </a:ext>
          </a:extLst>
        </xdr:cNvPr>
        <xdr:cNvCxnSpPr>
          <a:cxnSpLocks/>
        </xdr:cNvCxnSpPr>
      </xdr:nvCxnSpPr>
      <xdr:spPr bwMode="auto">
        <a:xfrm>
          <a:off x="3087052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</xdr:colOff>
      <xdr:row>151</xdr:row>
      <xdr:rowOff>38100</xdr:rowOff>
    </xdr:from>
    <xdr:to>
      <xdr:col>76</xdr:col>
      <xdr:colOff>66675</xdr:colOff>
      <xdr:row>153</xdr:row>
      <xdr:rowOff>152400</xdr:rowOff>
    </xdr:to>
    <xdr:cxnSp macro="">
      <xdr:nvCxnSpPr>
        <xdr:cNvPr id="12298872" name="Straight Arrow Connector 822">
          <a:extLst>
            <a:ext uri="{FF2B5EF4-FFF2-40B4-BE49-F238E27FC236}">
              <a16:creationId xmlns:a16="http://schemas.microsoft.com/office/drawing/2014/main" id="{00000000-0008-0000-0D00-000078AABB00}"/>
            </a:ext>
          </a:extLst>
        </xdr:cNvPr>
        <xdr:cNvCxnSpPr>
          <a:cxnSpLocks/>
        </xdr:cNvCxnSpPr>
      </xdr:nvCxnSpPr>
      <xdr:spPr bwMode="auto">
        <a:xfrm>
          <a:off x="3087052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600075</xdr:colOff>
      <xdr:row>143</xdr:row>
      <xdr:rowOff>28575</xdr:rowOff>
    </xdr:from>
    <xdr:to>
      <xdr:col>76</xdr:col>
      <xdr:colOff>600075</xdr:colOff>
      <xdr:row>145</xdr:row>
      <xdr:rowOff>142875</xdr:rowOff>
    </xdr:to>
    <xdr:cxnSp macro="">
      <xdr:nvCxnSpPr>
        <xdr:cNvPr id="12298873" name="Straight Arrow Connector 822">
          <a:extLst>
            <a:ext uri="{FF2B5EF4-FFF2-40B4-BE49-F238E27FC236}">
              <a16:creationId xmlns:a16="http://schemas.microsoft.com/office/drawing/2014/main" id="{00000000-0008-0000-0D00-000079AABB00}"/>
            </a:ext>
          </a:extLst>
        </xdr:cNvPr>
        <xdr:cNvCxnSpPr>
          <a:cxnSpLocks/>
        </xdr:cNvCxnSpPr>
      </xdr:nvCxnSpPr>
      <xdr:spPr bwMode="auto">
        <a:xfrm>
          <a:off x="3140392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147</xdr:row>
      <xdr:rowOff>95250</xdr:rowOff>
    </xdr:from>
    <xdr:to>
      <xdr:col>75</xdr:col>
      <xdr:colOff>247650</xdr:colOff>
      <xdr:row>147</xdr:row>
      <xdr:rowOff>95250</xdr:rowOff>
    </xdr:to>
    <xdr:sp macro="" textlink="">
      <xdr:nvSpPr>
        <xdr:cNvPr id="12298874" name="Line 1493">
          <a:extLst>
            <a:ext uri="{FF2B5EF4-FFF2-40B4-BE49-F238E27FC236}">
              <a16:creationId xmlns:a16="http://schemas.microsoft.com/office/drawing/2014/main" id="{00000000-0008-0000-0D00-00007AAABB00}"/>
            </a:ext>
          </a:extLst>
        </xdr:cNvPr>
        <xdr:cNvSpPr>
          <a:spLocks noChangeShapeType="1"/>
        </xdr:cNvSpPr>
      </xdr:nvSpPr>
      <xdr:spPr bwMode="auto">
        <a:xfrm flipV="1">
          <a:off x="29975175" y="240601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219075</xdr:colOff>
      <xdr:row>163</xdr:row>
      <xdr:rowOff>95250</xdr:rowOff>
    </xdr:from>
    <xdr:to>
      <xdr:col>79</xdr:col>
      <xdr:colOff>504825</xdr:colOff>
      <xdr:row>165</xdr:row>
      <xdr:rowOff>57150</xdr:rowOff>
    </xdr:to>
    <xdr:sp macro="" textlink="">
      <xdr:nvSpPr>
        <xdr:cNvPr id="12298875" name="Line 2552">
          <a:extLst>
            <a:ext uri="{FF2B5EF4-FFF2-40B4-BE49-F238E27FC236}">
              <a16:creationId xmlns:a16="http://schemas.microsoft.com/office/drawing/2014/main" id="{00000000-0008-0000-0D00-00007BAABB00}"/>
            </a:ext>
          </a:extLst>
        </xdr:cNvPr>
        <xdr:cNvSpPr>
          <a:spLocks noChangeShapeType="1"/>
        </xdr:cNvSpPr>
      </xdr:nvSpPr>
      <xdr:spPr bwMode="auto">
        <a:xfrm rot="18953249" flipH="1">
          <a:off x="3316605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76200</xdr:colOff>
      <xdr:row>163</xdr:row>
      <xdr:rowOff>104775</xdr:rowOff>
    </xdr:from>
    <xdr:to>
      <xdr:col>77</xdr:col>
      <xdr:colOff>361950</xdr:colOff>
      <xdr:row>165</xdr:row>
      <xdr:rowOff>66675</xdr:rowOff>
    </xdr:to>
    <xdr:sp macro="" textlink="">
      <xdr:nvSpPr>
        <xdr:cNvPr id="12298876" name="Line 2552">
          <a:extLst>
            <a:ext uri="{FF2B5EF4-FFF2-40B4-BE49-F238E27FC236}">
              <a16:creationId xmlns:a16="http://schemas.microsoft.com/office/drawing/2014/main" id="{00000000-0008-0000-0D00-00007CAABB00}"/>
            </a:ext>
          </a:extLst>
        </xdr:cNvPr>
        <xdr:cNvSpPr>
          <a:spLocks noChangeShapeType="1"/>
        </xdr:cNvSpPr>
      </xdr:nvSpPr>
      <xdr:spPr bwMode="auto">
        <a:xfrm rot="18953249" flipH="1">
          <a:off x="3159442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381000</xdr:colOff>
      <xdr:row>159</xdr:row>
      <xdr:rowOff>76200</xdr:rowOff>
    </xdr:from>
    <xdr:to>
      <xdr:col>80</xdr:col>
      <xdr:colOff>104775</xdr:colOff>
      <xdr:row>159</xdr:row>
      <xdr:rowOff>76200</xdr:rowOff>
    </xdr:to>
    <xdr:sp macro="" textlink="">
      <xdr:nvSpPr>
        <xdr:cNvPr id="12298877" name="Line 1493">
          <a:extLst>
            <a:ext uri="{FF2B5EF4-FFF2-40B4-BE49-F238E27FC236}">
              <a16:creationId xmlns:a16="http://schemas.microsoft.com/office/drawing/2014/main" id="{00000000-0008-0000-0D00-00007DAABB00}"/>
            </a:ext>
          </a:extLst>
        </xdr:cNvPr>
        <xdr:cNvSpPr>
          <a:spLocks noChangeShapeType="1"/>
        </xdr:cNvSpPr>
      </xdr:nvSpPr>
      <xdr:spPr bwMode="auto">
        <a:xfrm flipH="1" flipV="1">
          <a:off x="33327975" y="25984200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38100</xdr:colOff>
      <xdr:row>133</xdr:row>
      <xdr:rowOff>0</xdr:rowOff>
    </xdr:from>
    <xdr:to>
      <xdr:col>79</xdr:col>
      <xdr:colOff>657225</xdr:colOff>
      <xdr:row>163</xdr:row>
      <xdr:rowOff>142875</xdr:rowOff>
    </xdr:to>
    <xdr:grpSp>
      <xdr:nvGrpSpPr>
        <xdr:cNvPr id="12298878" name="Group 636">
          <a:extLst>
            <a:ext uri="{FF2B5EF4-FFF2-40B4-BE49-F238E27FC236}">
              <a16:creationId xmlns:a16="http://schemas.microsoft.com/office/drawing/2014/main" id="{00000000-0008-0000-0D00-00007EAABB00}"/>
            </a:ext>
          </a:extLst>
        </xdr:cNvPr>
        <xdr:cNvGrpSpPr>
          <a:grpSpLocks/>
        </xdr:cNvGrpSpPr>
      </xdr:nvGrpSpPr>
      <xdr:grpSpPr bwMode="auto">
        <a:xfrm>
          <a:off x="30480000" y="21113750"/>
          <a:ext cx="3311525" cy="4905375"/>
          <a:chOff x="26729531" y="21566981"/>
          <a:chExt cx="3476625" cy="4963716"/>
        </a:xfrm>
      </xdr:grpSpPr>
      <xdr:sp macro="" textlink="">
        <xdr:nvSpPr>
          <xdr:cNvPr id="12298930" name="Line 2130">
            <a:extLst>
              <a:ext uri="{FF2B5EF4-FFF2-40B4-BE49-F238E27FC236}">
                <a16:creationId xmlns:a16="http://schemas.microsoft.com/office/drawing/2014/main" id="{00000000-0008-0000-0D00-0000B2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1" name="Rectangle 2131">
            <a:extLst>
              <a:ext uri="{FF2B5EF4-FFF2-40B4-BE49-F238E27FC236}">
                <a16:creationId xmlns:a16="http://schemas.microsoft.com/office/drawing/2014/main" id="{00000000-0008-0000-0D00-0000B3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32" name="Line 2132">
            <a:extLst>
              <a:ext uri="{FF2B5EF4-FFF2-40B4-BE49-F238E27FC236}">
                <a16:creationId xmlns:a16="http://schemas.microsoft.com/office/drawing/2014/main" id="{00000000-0008-0000-0D00-0000B4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3" name="Line 2133">
            <a:extLst>
              <a:ext uri="{FF2B5EF4-FFF2-40B4-BE49-F238E27FC236}">
                <a16:creationId xmlns:a16="http://schemas.microsoft.com/office/drawing/2014/main" id="{00000000-0008-0000-0D00-0000B5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4" name="Line 2134">
            <a:extLst>
              <a:ext uri="{FF2B5EF4-FFF2-40B4-BE49-F238E27FC236}">
                <a16:creationId xmlns:a16="http://schemas.microsoft.com/office/drawing/2014/main" id="{00000000-0008-0000-0D00-0000B6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5" name="Line 2132">
            <a:extLst>
              <a:ext uri="{FF2B5EF4-FFF2-40B4-BE49-F238E27FC236}">
                <a16:creationId xmlns:a16="http://schemas.microsoft.com/office/drawing/2014/main" id="{00000000-0008-0000-0D00-0000B7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714375</xdr:colOff>
      <xdr:row>142</xdr:row>
      <xdr:rowOff>66675</xdr:rowOff>
    </xdr:from>
    <xdr:to>
      <xdr:col>78</xdr:col>
      <xdr:colOff>428625</xdr:colOff>
      <xdr:row>145</xdr:row>
      <xdr:rowOff>66675</xdr:rowOff>
    </xdr:to>
    <xdr:sp macro="" textlink="">
      <xdr:nvSpPr>
        <xdr:cNvPr id="12298879" name="Freeform 2190">
          <a:extLst>
            <a:ext uri="{FF2B5EF4-FFF2-40B4-BE49-F238E27FC236}">
              <a16:creationId xmlns:a16="http://schemas.microsoft.com/office/drawing/2014/main" id="{00000000-0008-0000-0D00-00007FAABB00}"/>
            </a:ext>
          </a:extLst>
        </xdr:cNvPr>
        <xdr:cNvSpPr>
          <a:spLocks/>
        </xdr:cNvSpPr>
      </xdr:nvSpPr>
      <xdr:spPr bwMode="auto">
        <a:xfrm>
          <a:off x="322326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79</xdr:col>
      <xdr:colOff>133350</xdr:colOff>
      <xdr:row>142</xdr:row>
      <xdr:rowOff>38100</xdr:rowOff>
    </xdr:from>
    <xdr:to>
      <xdr:col>79</xdr:col>
      <xdr:colOff>133350</xdr:colOff>
      <xdr:row>144</xdr:row>
      <xdr:rowOff>161925</xdr:rowOff>
    </xdr:to>
    <xdr:cxnSp macro="">
      <xdr:nvCxnSpPr>
        <xdr:cNvPr id="12298880" name="Straight Arrow Connector 822">
          <a:extLst>
            <a:ext uri="{FF2B5EF4-FFF2-40B4-BE49-F238E27FC236}">
              <a16:creationId xmlns:a16="http://schemas.microsoft.com/office/drawing/2014/main" id="{00000000-0008-0000-0D00-000080AABB00}"/>
            </a:ext>
          </a:extLst>
        </xdr:cNvPr>
        <xdr:cNvCxnSpPr>
          <a:cxnSpLocks/>
        </xdr:cNvCxnSpPr>
      </xdr:nvCxnSpPr>
      <xdr:spPr bwMode="auto">
        <a:xfrm>
          <a:off x="33080325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38100</xdr:colOff>
      <xdr:row>133</xdr:row>
      <xdr:rowOff>0</xdr:rowOff>
    </xdr:from>
    <xdr:to>
      <xdr:col>85</xdr:col>
      <xdr:colOff>771525</xdr:colOff>
      <xdr:row>163</xdr:row>
      <xdr:rowOff>142875</xdr:rowOff>
    </xdr:to>
    <xdr:grpSp>
      <xdr:nvGrpSpPr>
        <xdr:cNvPr id="12298881" name="Group 704">
          <a:extLst>
            <a:ext uri="{FF2B5EF4-FFF2-40B4-BE49-F238E27FC236}">
              <a16:creationId xmlns:a16="http://schemas.microsoft.com/office/drawing/2014/main" id="{00000000-0008-0000-0D00-000081AABB00}"/>
            </a:ext>
          </a:extLst>
        </xdr:cNvPr>
        <xdr:cNvGrpSpPr>
          <a:grpSpLocks/>
        </xdr:cNvGrpSpPr>
      </xdr:nvGrpSpPr>
      <xdr:grpSpPr bwMode="auto">
        <a:xfrm>
          <a:off x="34518600" y="21113750"/>
          <a:ext cx="3292475" cy="4905375"/>
          <a:chOff x="26729531" y="21566981"/>
          <a:chExt cx="3476625" cy="4963716"/>
        </a:xfrm>
      </xdr:grpSpPr>
      <xdr:sp macro="" textlink="">
        <xdr:nvSpPr>
          <xdr:cNvPr id="12298924" name="Line 2130">
            <a:extLst>
              <a:ext uri="{FF2B5EF4-FFF2-40B4-BE49-F238E27FC236}">
                <a16:creationId xmlns:a16="http://schemas.microsoft.com/office/drawing/2014/main" id="{00000000-0008-0000-0D00-0000AC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5" name="Rectangle 2131">
            <a:extLst>
              <a:ext uri="{FF2B5EF4-FFF2-40B4-BE49-F238E27FC236}">
                <a16:creationId xmlns:a16="http://schemas.microsoft.com/office/drawing/2014/main" id="{00000000-0008-0000-0D00-0000AD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26" name="Line 2132">
            <a:extLst>
              <a:ext uri="{FF2B5EF4-FFF2-40B4-BE49-F238E27FC236}">
                <a16:creationId xmlns:a16="http://schemas.microsoft.com/office/drawing/2014/main" id="{00000000-0008-0000-0D00-0000AE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7" name="Line 2133">
            <a:extLst>
              <a:ext uri="{FF2B5EF4-FFF2-40B4-BE49-F238E27FC236}">
                <a16:creationId xmlns:a16="http://schemas.microsoft.com/office/drawing/2014/main" id="{00000000-0008-0000-0D00-0000AF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8" name="Line 2134">
            <a:extLst>
              <a:ext uri="{FF2B5EF4-FFF2-40B4-BE49-F238E27FC236}">
                <a16:creationId xmlns:a16="http://schemas.microsoft.com/office/drawing/2014/main" id="{00000000-0008-0000-0D00-0000B0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9" name="Line 2132">
            <a:extLst>
              <a:ext uri="{FF2B5EF4-FFF2-40B4-BE49-F238E27FC236}">
                <a16:creationId xmlns:a16="http://schemas.microsoft.com/office/drawing/2014/main" id="{00000000-0008-0000-0D00-0000B1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409575</xdr:colOff>
      <xdr:row>131</xdr:row>
      <xdr:rowOff>133350</xdr:rowOff>
    </xdr:from>
    <xdr:to>
      <xdr:col>82</xdr:col>
      <xdr:colOff>676275</xdr:colOff>
      <xdr:row>133</xdr:row>
      <xdr:rowOff>85725</xdr:rowOff>
    </xdr:to>
    <xdr:sp macro="" textlink="">
      <xdr:nvSpPr>
        <xdr:cNvPr id="12298882" name="Line 2552">
          <a:extLst>
            <a:ext uri="{FF2B5EF4-FFF2-40B4-BE49-F238E27FC236}">
              <a16:creationId xmlns:a16="http://schemas.microsoft.com/office/drawing/2014/main" id="{00000000-0008-0000-0D00-000082AABB00}"/>
            </a:ext>
          </a:extLst>
        </xdr:cNvPr>
        <xdr:cNvSpPr>
          <a:spLocks noChangeShapeType="1"/>
        </xdr:cNvSpPr>
      </xdr:nvSpPr>
      <xdr:spPr bwMode="auto">
        <a:xfrm rot="18953249" flipV="1">
          <a:off x="35499675" y="2150745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619125</xdr:colOff>
      <xdr:row>136</xdr:row>
      <xdr:rowOff>85725</xdr:rowOff>
    </xdr:from>
    <xdr:to>
      <xdr:col>81</xdr:col>
      <xdr:colOff>266700</xdr:colOff>
      <xdr:row>136</xdr:row>
      <xdr:rowOff>85725</xdr:rowOff>
    </xdr:to>
    <xdr:sp macro="" textlink="">
      <xdr:nvSpPr>
        <xdr:cNvPr id="12298883" name="Line 1493">
          <a:extLst>
            <a:ext uri="{FF2B5EF4-FFF2-40B4-BE49-F238E27FC236}">
              <a16:creationId xmlns:a16="http://schemas.microsoft.com/office/drawing/2014/main" id="{00000000-0008-0000-0D00-000083AABB00}"/>
            </a:ext>
          </a:extLst>
        </xdr:cNvPr>
        <xdr:cNvSpPr>
          <a:spLocks noChangeShapeType="1"/>
        </xdr:cNvSpPr>
      </xdr:nvSpPr>
      <xdr:spPr bwMode="auto">
        <a:xfrm flipV="1">
          <a:off x="34280475" y="222694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676275</xdr:colOff>
      <xdr:row>145</xdr:row>
      <xdr:rowOff>57150</xdr:rowOff>
    </xdr:from>
    <xdr:to>
      <xdr:col>81</xdr:col>
      <xdr:colOff>323850</xdr:colOff>
      <xdr:row>145</xdr:row>
      <xdr:rowOff>57150</xdr:rowOff>
    </xdr:to>
    <xdr:sp macro="" textlink="">
      <xdr:nvSpPr>
        <xdr:cNvPr id="12298884" name="Line 1548">
          <a:extLst>
            <a:ext uri="{FF2B5EF4-FFF2-40B4-BE49-F238E27FC236}">
              <a16:creationId xmlns:a16="http://schemas.microsoft.com/office/drawing/2014/main" id="{00000000-0008-0000-0D00-000084AABB00}"/>
            </a:ext>
          </a:extLst>
        </xdr:cNvPr>
        <xdr:cNvSpPr>
          <a:spLocks noChangeShapeType="1"/>
        </xdr:cNvSpPr>
      </xdr:nvSpPr>
      <xdr:spPr bwMode="auto">
        <a:xfrm flipV="1">
          <a:off x="34337625" y="236982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571500</xdr:colOff>
      <xdr:row>145</xdr:row>
      <xdr:rowOff>114300</xdr:rowOff>
    </xdr:from>
    <xdr:to>
      <xdr:col>81</xdr:col>
      <xdr:colOff>219075</xdr:colOff>
      <xdr:row>145</xdr:row>
      <xdr:rowOff>114300</xdr:rowOff>
    </xdr:to>
    <xdr:sp macro="" textlink="">
      <xdr:nvSpPr>
        <xdr:cNvPr id="12298885" name="Line 1549">
          <a:extLst>
            <a:ext uri="{FF2B5EF4-FFF2-40B4-BE49-F238E27FC236}">
              <a16:creationId xmlns:a16="http://schemas.microsoft.com/office/drawing/2014/main" id="{00000000-0008-0000-0D00-000085AABB00}"/>
            </a:ext>
          </a:extLst>
        </xdr:cNvPr>
        <xdr:cNvSpPr>
          <a:spLocks noChangeShapeType="1"/>
        </xdr:cNvSpPr>
      </xdr:nvSpPr>
      <xdr:spPr bwMode="auto">
        <a:xfrm flipH="1">
          <a:off x="34232850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155</xdr:row>
      <xdr:rowOff>47625</xdr:rowOff>
    </xdr:from>
    <xdr:to>
      <xdr:col>81</xdr:col>
      <xdr:colOff>314325</xdr:colOff>
      <xdr:row>155</xdr:row>
      <xdr:rowOff>47625</xdr:rowOff>
    </xdr:to>
    <xdr:sp macro="" textlink="">
      <xdr:nvSpPr>
        <xdr:cNvPr id="12298886" name="Line 1548">
          <a:extLst>
            <a:ext uri="{FF2B5EF4-FFF2-40B4-BE49-F238E27FC236}">
              <a16:creationId xmlns:a16="http://schemas.microsoft.com/office/drawing/2014/main" id="{00000000-0008-0000-0D00-000086AABB00}"/>
            </a:ext>
          </a:extLst>
        </xdr:cNvPr>
        <xdr:cNvSpPr>
          <a:spLocks noChangeShapeType="1"/>
        </xdr:cNvSpPr>
      </xdr:nvSpPr>
      <xdr:spPr bwMode="auto">
        <a:xfrm flipV="1">
          <a:off x="34328100" y="253079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561975</xdr:colOff>
      <xdr:row>155</xdr:row>
      <xdr:rowOff>104775</xdr:rowOff>
    </xdr:from>
    <xdr:to>
      <xdr:col>81</xdr:col>
      <xdr:colOff>209550</xdr:colOff>
      <xdr:row>155</xdr:row>
      <xdr:rowOff>104775</xdr:rowOff>
    </xdr:to>
    <xdr:sp macro="" textlink="">
      <xdr:nvSpPr>
        <xdr:cNvPr id="12298887" name="Line 1549">
          <a:extLst>
            <a:ext uri="{FF2B5EF4-FFF2-40B4-BE49-F238E27FC236}">
              <a16:creationId xmlns:a16="http://schemas.microsoft.com/office/drawing/2014/main" id="{00000000-0008-0000-0D00-000087AABB00}"/>
            </a:ext>
          </a:extLst>
        </xdr:cNvPr>
        <xdr:cNvSpPr>
          <a:spLocks noChangeShapeType="1"/>
        </xdr:cNvSpPr>
      </xdr:nvSpPr>
      <xdr:spPr bwMode="auto">
        <a:xfrm flipH="1">
          <a:off x="34223325" y="253650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657225</xdr:colOff>
      <xdr:row>134</xdr:row>
      <xdr:rowOff>57150</xdr:rowOff>
    </xdr:from>
    <xdr:to>
      <xdr:col>81</xdr:col>
      <xdr:colOff>304800</xdr:colOff>
      <xdr:row>134</xdr:row>
      <xdr:rowOff>57150</xdr:rowOff>
    </xdr:to>
    <xdr:sp macro="" textlink="">
      <xdr:nvSpPr>
        <xdr:cNvPr id="12298888" name="Line 1548">
          <a:extLst>
            <a:ext uri="{FF2B5EF4-FFF2-40B4-BE49-F238E27FC236}">
              <a16:creationId xmlns:a16="http://schemas.microsoft.com/office/drawing/2014/main" id="{00000000-0008-0000-0D00-000088AABB00}"/>
            </a:ext>
          </a:extLst>
        </xdr:cNvPr>
        <xdr:cNvSpPr>
          <a:spLocks noChangeShapeType="1"/>
        </xdr:cNvSpPr>
      </xdr:nvSpPr>
      <xdr:spPr bwMode="auto">
        <a:xfrm flipV="1">
          <a:off x="34318575" y="219170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552450</xdr:colOff>
      <xdr:row>134</xdr:row>
      <xdr:rowOff>104775</xdr:rowOff>
    </xdr:from>
    <xdr:to>
      <xdr:col>81</xdr:col>
      <xdr:colOff>200025</xdr:colOff>
      <xdr:row>134</xdr:row>
      <xdr:rowOff>104775</xdr:rowOff>
    </xdr:to>
    <xdr:sp macro="" textlink="">
      <xdr:nvSpPr>
        <xdr:cNvPr id="12298889" name="Line 1549">
          <a:extLst>
            <a:ext uri="{FF2B5EF4-FFF2-40B4-BE49-F238E27FC236}">
              <a16:creationId xmlns:a16="http://schemas.microsoft.com/office/drawing/2014/main" id="{00000000-0008-0000-0D00-000089AABB00}"/>
            </a:ext>
          </a:extLst>
        </xdr:cNvPr>
        <xdr:cNvSpPr>
          <a:spLocks noChangeShapeType="1"/>
        </xdr:cNvSpPr>
      </xdr:nvSpPr>
      <xdr:spPr bwMode="auto">
        <a:xfrm flipH="1">
          <a:off x="34213800" y="219646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82</xdr:col>
      <xdr:colOff>85725</xdr:colOff>
      <xdr:row>157</xdr:row>
      <xdr:rowOff>19050</xdr:rowOff>
    </xdr:from>
    <xdr:to>
      <xdr:col>82</xdr:col>
      <xdr:colOff>85725</xdr:colOff>
      <xdr:row>159</xdr:row>
      <xdr:rowOff>133350</xdr:rowOff>
    </xdr:to>
    <xdr:cxnSp macro="">
      <xdr:nvCxnSpPr>
        <xdr:cNvPr id="12298890" name="Straight Arrow Connector 822">
          <a:extLst>
            <a:ext uri="{FF2B5EF4-FFF2-40B4-BE49-F238E27FC236}">
              <a16:creationId xmlns:a16="http://schemas.microsoft.com/office/drawing/2014/main" id="{00000000-0008-0000-0D00-00008AAABB00}"/>
            </a:ext>
          </a:extLst>
        </xdr:cNvPr>
        <xdr:cNvCxnSpPr>
          <a:cxnSpLocks/>
        </xdr:cNvCxnSpPr>
      </xdr:nvCxnSpPr>
      <xdr:spPr bwMode="auto">
        <a:xfrm>
          <a:off x="351758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85725</xdr:colOff>
      <xdr:row>151</xdr:row>
      <xdr:rowOff>28575</xdr:rowOff>
    </xdr:from>
    <xdr:to>
      <xdr:col>82</xdr:col>
      <xdr:colOff>85725</xdr:colOff>
      <xdr:row>153</xdr:row>
      <xdr:rowOff>142875</xdr:rowOff>
    </xdr:to>
    <xdr:cxnSp macro="">
      <xdr:nvCxnSpPr>
        <xdr:cNvPr id="12298891" name="Straight Arrow Connector 822">
          <a:extLst>
            <a:ext uri="{FF2B5EF4-FFF2-40B4-BE49-F238E27FC236}">
              <a16:creationId xmlns:a16="http://schemas.microsoft.com/office/drawing/2014/main" id="{00000000-0008-0000-0D00-00008BAABB00}"/>
            </a:ext>
          </a:extLst>
        </xdr:cNvPr>
        <xdr:cNvCxnSpPr>
          <a:cxnSpLocks/>
        </xdr:cNvCxnSpPr>
      </xdr:nvCxnSpPr>
      <xdr:spPr bwMode="auto">
        <a:xfrm>
          <a:off x="351758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619125</xdr:colOff>
      <xdr:row>143</xdr:row>
      <xdr:rowOff>19050</xdr:rowOff>
    </xdr:from>
    <xdr:to>
      <xdr:col>82</xdr:col>
      <xdr:colOff>619125</xdr:colOff>
      <xdr:row>145</xdr:row>
      <xdr:rowOff>133350</xdr:rowOff>
    </xdr:to>
    <xdr:cxnSp macro="">
      <xdr:nvCxnSpPr>
        <xdr:cNvPr id="12298892" name="Straight Arrow Connector 822">
          <a:extLst>
            <a:ext uri="{FF2B5EF4-FFF2-40B4-BE49-F238E27FC236}">
              <a16:creationId xmlns:a16="http://schemas.microsoft.com/office/drawing/2014/main" id="{00000000-0008-0000-0D00-00008CAABB00}"/>
            </a:ext>
          </a:extLst>
        </xdr:cNvPr>
        <xdr:cNvCxnSpPr>
          <a:cxnSpLocks/>
        </xdr:cNvCxnSpPr>
      </xdr:nvCxnSpPr>
      <xdr:spPr bwMode="auto">
        <a:xfrm>
          <a:off x="35709225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80</xdr:col>
      <xdr:colOff>619125</xdr:colOff>
      <xdr:row>147</xdr:row>
      <xdr:rowOff>85725</xdr:rowOff>
    </xdr:from>
    <xdr:to>
      <xdr:col>81</xdr:col>
      <xdr:colOff>266700</xdr:colOff>
      <xdr:row>147</xdr:row>
      <xdr:rowOff>85725</xdr:rowOff>
    </xdr:to>
    <xdr:sp macro="" textlink="">
      <xdr:nvSpPr>
        <xdr:cNvPr id="12298893" name="Line 1493">
          <a:extLst>
            <a:ext uri="{FF2B5EF4-FFF2-40B4-BE49-F238E27FC236}">
              <a16:creationId xmlns:a16="http://schemas.microsoft.com/office/drawing/2014/main" id="{00000000-0008-0000-0D00-00008DAABB00}"/>
            </a:ext>
          </a:extLst>
        </xdr:cNvPr>
        <xdr:cNvSpPr>
          <a:spLocks noChangeShapeType="1"/>
        </xdr:cNvSpPr>
      </xdr:nvSpPr>
      <xdr:spPr bwMode="auto">
        <a:xfrm flipV="1">
          <a:off x="34280475" y="2405062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276225</xdr:colOff>
      <xdr:row>163</xdr:row>
      <xdr:rowOff>85725</xdr:rowOff>
    </xdr:from>
    <xdr:to>
      <xdr:col>85</xdr:col>
      <xdr:colOff>561975</xdr:colOff>
      <xdr:row>165</xdr:row>
      <xdr:rowOff>47625</xdr:rowOff>
    </xdr:to>
    <xdr:sp macro="" textlink="">
      <xdr:nvSpPr>
        <xdr:cNvPr id="12298894" name="Line 2552">
          <a:extLst>
            <a:ext uri="{FF2B5EF4-FFF2-40B4-BE49-F238E27FC236}">
              <a16:creationId xmlns:a16="http://schemas.microsoft.com/office/drawing/2014/main" id="{00000000-0008-0000-0D00-00008EAABB00}"/>
            </a:ext>
          </a:extLst>
        </xdr:cNvPr>
        <xdr:cNvSpPr>
          <a:spLocks noChangeShapeType="1"/>
        </xdr:cNvSpPr>
      </xdr:nvSpPr>
      <xdr:spPr bwMode="auto">
        <a:xfrm rot="18953249" flipH="1">
          <a:off x="3740467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85725</xdr:colOff>
      <xdr:row>163</xdr:row>
      <xdr:rowOff>95250</xdr:rowOff>
    </xdr:from>
    <xdr:to>
      <xdr:col>83</xdr:col>
      <xdr:colOff>371475</xdr:colOff>
      <xdr:row>165</xdr:row>
      <xdr:rowOff>57150</xdr:rowOff>
    </xdr:to>
    <xdr:sp macro="" textlink="">
      <xdr:nvSpPr>
        <xdr:cNvPr id="12298895" name="Line 2552">
          <a:extLst>
            <a:ext uri="{FF2B5EF4-FFF2-40B4-BE49-F238E27FC236}">
              <a16:creationId xmlns:a16="http://schemas.microsoft.com/office/drawing/2014/main" id="{00000000-0008-0000-0D00-00008F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9020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447675</xdr:colOff>
      <xdr:row>159</xdr:row>
      <xdr:rowOff>76200</xdr:rowOff>
    </xdr:from>
    <xdr:to>
      <xdr:col>86</xdr:col>
      <xdr:colOff>123825</xdr:colOff>
      <xdr:row>159</xdr:row>
      <xdr:rowOff>76200</xdr:rowOff>
    </xdr:to>
    <xdr:sp macro="" textlink="">
      <xdr:nvSpPr>
        <xdr:cNvPr id="12298896" name="Line 1493">
          <a:extLst>
            <a:ext uri="{FF2B5EF4-FFF2-40B4-BE49-F238E27FC236}">
              <a16:creationId xmlns:a16="http://schemas.microsoft.com/office/drawing/2014/main" id="{00000000-0008-0000-0D00-000090AABB00}"/>
            </a:ext>
          </a:extLst>
        </xdr:cNvPr>
        <xdr:cNvSpPr>
          <a:spLocks noChangeShapeType="1"/>
        </xdr:cNvSpPr>
      </xdr:nvSpPr>
      <xdr:spPr bwMode="auto">
        <a:xfrm flipH="1" flipV="1">
          <a:off x="37576125" y="25984200"/>
          <a:ext cx="4476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9525</xdr:colOff>
      <xdr:row>142</xdr:row>
      <xdr:rowOff>57150</xdr:rowOff>
    </xdr:from>
    <xdr:to>
      <xdr:col>84</xdr:col>
      <xdr:colOff>447675</xdr:colOff>
      <xdr:row>145</xdr:row>
      <xdr:rowOff>57150</xdr:rowOff>
    </xdr:to>
    <xdr:sp macro="" textlink="">
      <xdr:nvSpPr>
        <xdr:cNvPr id="12298897" name="Freeform 2190">
          <a:extLst>
            <a:ext uri="{FF2B5EF4-FFF2-40B4-BE49-F238E27FC236}">
              <a16:creationId xmlns:a16="http://schemas.microsoft.com/office/drawing/2014/main" id="{00000000-0008-0000-0D00-000091AABB00}"/>
            </a:ext>
          </a:extLst>
        </xdr:cNvPr>
        <xdr:cNvSpPr>
          <a:spLocks/>
        </xdr:cNvSpPr>
      </xdr:nvSpPr>
      <xdr:spPr bwMode="auto">
        <a:xfrm>
          <a:off x="3652837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85</xdr:col>
      <xdr:colOff>152400</xdr:colOff>
      <xdr:row>142</xdr:row>
      <xdr:rowOff>38100</xdr:rowOff>
    </xdr:from>
    <xdr:to>
      <xdr:col>85</xdr:col>
      <xdr:colOff>152400</xdr:colOff>
      <xdr:row>144</xdr:row>
      <xdr:rowOff>152400</xdr:rowOff>
    </xdr:to>
    <xdr:cxnSp macro="">
      <xdr:nvCxnSpPr>
        <xdr:cNvPr id="12298898" name="Straight Arrow Connector 822">
          <a:extLst>
            <a:ext uri="{FF2B5EF4-FFF2-40B4-BE49-F238E27FC236}">
              <a16:creationId xmlns:a16="http://schemas.microsoft.com/office/drawing/2014/main" id="{00000000-0008-0000-0D00-000092AABB00}"/>
            </a:ext>
          </a:extLst>
        </xdr:cNvPr>
        <xdr:cNvCxnSpPr>
          <a:cxnSpLocks/>
        </xdr:cNvCxnSpPr>
      </xdr:nvCxnSpPr>
      <xdr:spPr bwMode="auto">
        <a:xfrm>
          <a:off x="3728085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133350</xdr:colOff>
      <xdr:row>170</xdr:row>
      <xdr:rowOff>85725</xdr:rowOff>
    </xdr:from>
    <xdr:to>
      <xdr:col>69</xdr:col>
      <xdr:colOff>600075</xdr:colOff>
      <xdr:row>170</xdr:row>
      <xdr:rowOff>95250</xdr:rowOff>
    </xdr:to>
    <xdr:sp macro="" textlink="">
      <xdr:nvSpPr>
        <xdr:cNvPr id="12298899" name="Line 1552">
          <a:extLst>
            <a:ext uri="{FF2B5EF4-FFF2-40B4-BE49-F238E27FC236}">
              <a16:creationId xmlns:a16="http://schemas.microsoft.com/office/drawing/2014/main" id="{00000000-0008-0000-0D00-000093AABB00}"/>
            </a:ext>
          </a:extLst>
        </xdr:cNvPr>
        <xdr:cNvSpPr>
          <a:spLocks noChangeShapeType="1"/>
        </xdr:cNvSpPr>
      </xdr:nvSpPr>
      <xdr:spPr bwMode="auto">
        <a:xfrm flipV="1">
          <a:off x="25936575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175</xdr:row>
      <xdr:rowOff>133350</xdr:rowOff>
    </xdr:from>
    <xdr:to>
      <xdr:col>69</xdr:col>
      <xdr:colOff>438150</xdr:colOff>
      <xdr:row>177</xdr:row>
      <xdr:rowOff>19050</xdr:rowOff>
    </xdr:to>
    <xdr:grpSp>
      <xdr:nvGrpSpPr>
        <xdr:cNvPr id="12298900" name="Group 711">
          <a:extLst>
            <a:ext uri="{FF2B5EF4-FFF2-40B4-BE49-F238E27FC236}">
              <a16:creationId xmlns:a16="http://schemas.microsoft.com/office/drawing/2014/main" id="{00000000-0008-0000-0D00-000094AABB00}"/>
            </a:ext>
          </a:extLst>
        </xdr:cNvPr>
        <xdr:cNvGrpSpPr>
          <a:grpSpLocks noChangeAspect="1"/>
        </xdr:cNvGrpSpPr>
      </xdr:nvGrpSpPr>
      <xdr:grpSpPr bwMode="auto">
        <a:xfrm>
          <a:off x="26631900" y="27914600"/>
          <a:ext cx="209550" cy="203200"/>
          <a:chOff x="1022492" y="5877272"/>
          <a:chExt cx="474280" cy="474280"/>
        </a:xfrm>
      </xdr:grpSpPr>
      <xdr:grpSp>
        <xdr:nvGrpSpPr>
          <xdr:cNvPr id="600" name="Group 712">
            <a:extLst>
              <a:ext uri="{FF2B5EF4-FFF2-40B4-BE49-F238E27FC236}">
                <a16:creationId xmlns:a16="http://schemas.microsoft.com/office/drawing/2014/main" id="{00000000-0008-0000-0D00-00005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79" name="Arc 778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80" name="Straight Connector 779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CxnSpPr>
              <a:endCxn id="77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1" name="Straight Connector 780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CxnSpPr>
              <a:endCxn id="77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78" name="Oval 777">
            <a:extLst>
              <a:ext uri="{FF2B5EF4-FFF2-40B4-BE49-F238E27FC236}">
                <a16:creationId xmlns:a16="http://schemas.microsoft.com/office/drawing/2014/main" id="{00000000-0008-0000-0D00-00000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175</xdr:row>
      <xdr:rowOff>85725</xdr:rowOff>
    </xdr:from>
    <xdr:to>
      <xdr:col>69</xdr:col>
      <xdr:colOff>552450</xdr:colOff>
      <xdr:row>177</xdr:row>
      <xdr:rowOff>85725</xdr:rowOff>
    </xdr:to>
    <xdr:sp macro="" textlink="">
      <xdr:nvSpPr>
        <xdr:cNvPr id="12298901" name="Line 2552">
          <a:extLst>
            <a:ext uri="{FF2B5EF4-FFF2-40B4-BE49-F238E27FC236}">
              <a16:creationId xmlns:a16="http://schemas.microsoft.com/office/drawing/2014/main" id="{00000000-0008-0000-0D00-000095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174</xdr:row>
      <xdr:rowOff>85725</xdr:rowOff>
    </xdr:from>
    <xdr:to>
      <xdr:col>69</xdr:col>
      <xdr:colOff>619125</xdr:colOff>
      <xdr:row>174</xdr:row>
      <xdr:rowOff>85725</xdr:rowOff>
    </xdr:to>
    <xdr:sp macro="" textlink="">
      <xdr:nvSpPr>
        <xdr:cNvPr id="12298902" name="Line 26">
          <a:extLst>
            <a:ext uri="{FF2B5EF4-FFF2-40B4-BE49-F238E27FC236}">
              <a16:creationId xmlns:a16="http://schemas.microsoft.com/office/drawing/2014/main" id="{00000000-0008-0000-0D00-000096AABB00}"/>
            </a:ext>
          </a:extLst>
        </xdr:cNvPr>
        <xdr:cNvSpPr>
          <a:spLocks noChangeShapeType="1"/>
        </xdr:cNvSpPr>
      </xdr:nvSpPr>
      <xdr:spPr bwMode="auto">
        <a:xfrm flipV="1">
          <a:off x="25917525" y="284226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172</xdr:row>
      <xdr:rowOff>57150</xdr:rowOff>
    </xdr:from>
    <xdr:to>
      <xdr:col>69</xdr:col>
      <xdr:colOff>619125</xdr:colOff>
      <xdr:row>172</xdr:row>
      <xdr:rowOff>57150</xdr:rowOff>
    </xdr:to>
    <xdr:sp macro="" textlink="">
      <xdr:nvSpPr>
        <xdr:cNvPr id="12298903" name="Line 1548">
          <a:extLst>
            <a:ext uri="{FF2B5EF4-FFF2-40B4-BE49-F238E27FC236}">
              <a16:creationId xmlns:a16="http://schemas.microsoft.com/office/drawing/2014/main" id="{00000000-0008-0000-0D00-000097AABB00}"/>
            </a:ext>
          </a:extLst>
        </xdr:cNvPr>
        <xdr:cNvSpPr>
          <a:spLocks noChangeShapeType="1"/>
        </xdr:cNvSpPr>
      </xdr:nvSpPr>
      <xdr:spPr bwMode="auto">
        <a:xfrm>
          <a:off x="25984200" y="280701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172</xdr:row>
      <xdr:rowOff>133350</xdr:rowOff>
    </xdr:from>
    <xdr:to>
      <xdr:col>69</xdr:col>
      <xdr:colOff>504825</xdr:colOff>
      <xdr:row>172</xdr:row>
      <xdr:rowOff>133350</xdr:rowOff>
    </xdr:to>
    <xdr:sp macro="" textlink="">
      <xdr:nvSpPr>
        <xdr:cNvPr id="12298904" name="Line 1549">
          <a:extLst>
            <a:ext uri="{FF2B5EF4-FFF2-40B4-BE49-F238E27FC236}">
              <a16:creationId xmlns:a16="http://schemas.microsoft.com/office/drawing/2014/main" id="{00000000-0008-0000-0D00-000098AABB00}"/>
            </a:ext>
          </a:extLst>
        </xdr:cNvPr>
        <xdr:cNvSpPr>
          <a:spLocks noChangeShapeType="1"/>
        </xdr:cNvSpPr>
      </xdr:nvSpPr>
      <xdr:spPr bwMode="auto">
        <a:xfrm flipH="1">
          <a:off x="25869900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167</xdr:row>
      <xdr:rowOff>142875</xdr:rowOff>
    </xdr:from>
    <xdr:to>
      <xdr:col>72</xdr:col>
      <xdr:colOff>342900</xdr:colOff>
      <xdr:row>179</xdr:row>
      <xdr:rowOff>114300</xdr:rowOff>
    </xdr:to>
    <xdr:sp macro="" textlink="">
      <xdr:nvSpPr>
        <xdr:cNvPr id="12298905" name="Rectangle 696">
          <a:extLst>
            <a:ext uri="{FF2B5EF4-FFF2-40B4-BE49-F238E27FC236}">
              <a16:creationId xmlns:a16="http://schemas.microsoft.com/office/drawing/2014/main" id="{00000000-0008-0000-0D00-000099AABB00}"/>
            </a:ext>
          </a:extLst>
        </xdr:cNvPr>
        <xdr:cNvSpPr>
          <a:spLocks noChangeArrowheads="1"/>
        </xdr:cNvSpPr>
      </xdr:nvSpPr>
      <xdr:spPr bwMode="auto">
        <a:xfrm>
          <a:off x="25793700" y="273462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49</xdr:row>
      <xdr:rowOff>85725</xdr:rowOff>
    </xdr:from>
    <xdr:to>
      <xdr:col>69</xdr:col>
      <xdr:colOff>600075</xdr:colOff>
      <xdr:row>49</xdr:row>
      <xdr:rowOff>95250</xdr:rowOff>
    </xdr:to>
    <xdr:sp macro="" textlink="">
      <xdr:nvSpPr>
        <xdr:cNvPr id="12298906" name="Line 1552">
          <a:extLst>
            <a:ext uri="{FF2B5EF4-FFF2-40B4-BE49-F238E27FC236}">
              <a16:creationId xmlns:a16="http://schemas.microsoft.com/office/drawing/2014/main" id="{00000000-0008-0000-0D00-00009AAABB00}"/>
            </a:ext>
          </a:extLst>
        </xdr:cNvPr>
        <xdr:cNvSpPr>
          <a:spLocks noChangeShapeType="1"/>
        </xdr:cNvSpPr>
      </xdr:nvSpPr>
      <xdr:spPr bwMode="auto">
        <a:xfrm flipV="1">
          <a:off x="25936575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54</xdr:row>
      <xdr:rowOff>133350</xdr:rowOff>
    </xdr:from>
    <xdr:to>
      <xdr:col>69</xdr:col>
      <xdr:colOff>438150</xdr:colOff>
      <xdr:row>56</xdr:row>
      <xdr:rowOff>19050</xdr:rowOff>
    </xdr:to>
    <xdr:grpSp>
      <xdr:nvGrpSpPr>
        <xdr:cNvPr id="12298907" name="Group 711">
          <a:extLst>
            <a:ext uri="{FF2B5EF4-FFF2-40B4-BE49-F238E27FC236}">
              <a16:creationId xmlns:a16="http://schemas.microsoft.com/office/drawing/2014/main" id="{00000000-0008-0000-0D00-00009BAABB00}"/>
            </a:ext>
          </a:extLst>
        </xdr:cNvPr>
        <xdr:cNvGrpSpPr>
          <a:grpSpLocks noChangeAspect="1"/>
        </xdr:cNvGrpSpPr>
      </xdr:nvGrpSpPr>
      <xdr:grpSpPr bwMode="auto">
        <a:xfrm>
          <a:off x="26631900" y="8705850"/>
          <a:ext cx="209550" cy="203200"/>
          <a:chOff x="1022492" y="5877272"/>
          <a:chExt cx="474280" cy="474280"/>
        </a:xfrm>
      </xdr:grpSpPr>
      <xdr:grpSp>
        <xdr:nvGrpSpPr>
          <xdr:cNvPr id="599" name="Group 712">
            <a:extLst>
              <a:ext uri="{FF2B5EF4-FFF2-40B4-BE49-F238E27FC236}">
                <a16:creationId xmlns:a16="http://schemas.microsoft.com/office/drawing/2014/main" id="{00000000-0008-0000-0D00-00005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5" name="Arc 794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96" name="Straight Connector 795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CxnSpPr>
              <a:endCxn id="79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7" name="Straight Connector 796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CxnSpPr>
              <a:endCxn id="79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94" name="Oval 793">
            <a:extLst>
              <a:ext uri="{FF2B5EF4-FFF2-40B4-BE49-F238E27FC236}">
                <a16:creationId xmlns:a16="http://schemas.microsoft.com/office/drawing/2014/main" id="{00000000-0008-0000-0D00-00001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54</xdr:row>
      <xdr:rowOff>85725</xdr:rowOff>
    </xdr:from>
    <xdr:to>
      <xdr:col>69</xdr:col>
      <xdr:colOff>552450</xdr:colOff>
      <xdr:row>56</xdr:row>
      <xdr:rowOff>85725</xdr:rowOff>
    </xdr:to>
    <xdr:sp macro="" textlink="">
      <xdr:nvSpPr>
        <xdr:cNvPr id="12298908" name="Line 2552">
          <a:extLst>
            <a:ext uri="{FF2B5EF4-FFF2-40B4-BE49-F238E27FC236}">
              <a16:creationId xmlns:a16="http://schemas.microsoft.com/office/drawing/2014/main" id="{00000000-0008-0000-0D00-00009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53</xdr:row>
      <xdr:rowOff>85725</xdr:rowOff>
    </xdr:from>
    <xdr:to>
      <xdr:col>69</xdr:col>
      <xdr:colOff>619125</xdr:colOff>
      <xdr:row>53</xdr:row>
      <xdr:rowOff>85725</xdr:rowOff>
    </xdr:to>
    <xdr:sp macro="" textlink="">
      <xdr:nvSpPr>
        <xdr:cNvPr id="12298909" name="Line 26">
          <a:extLst>
            <a:ext uri="{FF2B5EF4-FFF2-40B4-BE49-F238E27FC236}">
              <a16:creationId xmlns:a16="http://schemas.microsoft.com/office/drawing/2014/main" id="{00000000-0008-0000-0D00-00009DAABB00}"/>
            </a:ext>
          </a:extLst>
        </xdr:cNvPr>
        <xdr:cNvSpPr>
          <a:spLocks noChangeShapeType="1"/>
        </xdr:cNvSpPr>
      </xdr:nvSpPr>
      <xdr:spPr bwMode="auto">
        <a:xfrm flipV="1">
          <a:off x="25917525" y="8829675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51</xdr:row>
      <xdr:rowOff>57150</xdr:rowOff>
    </xdr:from>
    <xdr:to>
      <xdr:col>69</xdr:col>
      <xdr:colOff>619125</xdr:colOff>
      <xdr:row>51</xdr:row>
      <xdr:rowOff>57150</xdr:rowOff>
    </xdr:to>
    <xdr:sp macro="" textlink="">
      <xdr:nvSpPr>
        <xdr:cNvPr id="12298910" name="Line 1548">
          <a:extLst>
            <a:ext uri="{FF2B5EF4-FFF2-40B4-BE49-F238E27FC236}">
              <a16:creationId xmlns:a16="http://schemas.microsoft.com/office/drawing/2014/main" id="{00000000-0008-0000-0D00-00009EAABB00}"/>
            </a:ext>
          </a:extLst>
        </xdr:cNvPr>
        <xdr:cNvSpPr>
          <a:spLocks noChangeShapeType="1"/>
        </xdr:cNvSpPr>
      </xdr:nvSpPr>
      <xdr:spPr bwMode="auto">
        <a:xfrm>
          <a:off x="25984200" y="84772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51</xdr:row>
      <xdr:rowOff>133350</xdr:rowOff>
    </xdr:from>
    <xdr:to>
      <xdr:col>69</xdr:col>
      <xdr:colOff>504825</xdr:colOff>
      <xdr:row>51</xdr:row>
      <xdr:rowOff>133350</xdr:rowOff>
    </xdr:to>
    <xdr:sp macro="" textlink="">
      <xdr:nvSpPr>
        <xdr:cNvPr id="12298911" name="Line 1549">
          <a:extLst>
            <a:ext uri="{FF2B5EF4-FFF2-40B4-BE49-F238E27FC236}">
              <a16:creationId xmlns:a16="http://schemas.microsoft.com/office/drawing/2014/main" id="{00000000-0008-0000-0D00-00009FAABB00}"/>
            </a:ext>
          </a:extLst>
        </xdr:cNvPr>
        <xdr:cNvSpPr>
          <a:spLocks noChangeShapeType="1"/>
        </xdr:cNvSpPr>
      </xdr:nvSpPr>
      <xdr:spPr bwMode="auto">
        <a:xfrm flipH="1">
          <a:off x="25869900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46</xdr:row>
      <xdr:rowOff>142875</xdr:rowOff>
    </xdr:from>
    <xdr:to>
      <xdr:col>72</xdr:col>
      <xdr:colOff>342900</xdr:colOff>
      <xdr:row>58</xdr:row>
      <xdr:rowOff>114300</xdr:rowOff>
    </xdr:to>
    <xdr:sp macro="" textlink="">
      <xdr:nvSpPr>
        <xdr:cNvPr id="12298912" name="Rectangle 696">
          <a:extLst>
            <a:ext uri="{FF2B5EF4-FFF2-40B4-BE49-F238E27FC236}">
              <a16:creationId xmlns:a16="http://schemas.microsoft.com/office/drawing/2014/main" id="{00000000-0008-0000-0D00-0000A0AABB00}"/>
            </a:ext>
          </a:extLst>
        </xdr:cNvPr>
        <xdr:cNvSpPr>
          <a:spLocks noChangeArrowheads="1"/>
        </xdr:cNvSpPr>
      </xdr:nvSpPr>
      <xdr:spPr bwMode="auto">
        <a:xfrm>
          <a:off x="25793700" y="7753350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73</xdr:col>
      <xdr:colOff>0</xdr:colOff>
      <xdr:row>167</xdr:row>
      <xdr:rowOff>152400</xdr:rowOff>
    </xdr:from>
    <xdr:to>
      <xdr:col>78</xdr:col>
      <xdr:colOff>590550</xdr:colOff>
      <xdr:row>175</xdr:row>
      <xdr:rowOff>133350</xdr:rowOff>
    </xdr:to>
    <xdr:sp macro="" textlink="">
      <xdr:nvSpPr>
        <xdr:cNvPr id="12298913" name="Rectangle 697">
          <a:extLst>
            <a:ext uri="{FF2B5EF4-FFF2-40B4-BE49-F238E27FC236}">
              <a16:creationId xmlns:a16="http://schemas.microsoft.com/office/drawing/2014/main" id="{00000000-0008-0000-0D00-0000A1AABB00}"/>
            </a:ext>
          </a:extLst>
        </xdr:cNvPr>
        <xdr:cNvSpPr>
          <a:spLocks noChangeArrowheads="1"/>
        </xdr:cNvSpPr>
      </xdr:nvSpPr>
      <xdr:spPr bwMode="auto">
        <a:xfrm>
          <a:off x="28660725" y="27355800"/>
          <a:ext cx="4162425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3276600</xdr:colOff>
      <xdr:row>18</xdr:row>
      <xdr:rowOff>0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E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3</xdr:col>
      <xdr:colOff>3276600</xdr:colOff>
      <xdr:row>89</xdr:row>
      <xdr:rowOff>152400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E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3</xdr:col>
      <xdr:colOff>3276600</xdr:colOff>
      <xdr:row>72</xdr:row>
      <xdr:rowOff>0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E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3</xdr:col>
      <xdr:colOff>3276600</xdr:colOff>
      <xdr:row>54</xdr:row>
      <xdr:rowOff>0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E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3</xdr:col>
      <xdr:colOff>3276600</xdr:colOff>
      <xdr:row>36</xdr:row>
      <xdr:rowOff>0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E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238125</xdr:colOff>
      <xdr:row>1</xdr:row>
      <xdr:rowOff>123826</xdr:rowOff>
    </xdr:from>
    <xdr:to>
      <xdr:col>5</xdr:col>
      <xdr:colOff>133350</xdr:colOff>
      <xdr:row>3</xdr:row>
      <xdr:rowOff>152400</xdr:rowOff>
    </xdr:to>
    <xdr:sp macro="[0]!DynamicCalculation" textlink="">
      <xdr:nvSpPr>
        <xdr:cNvPr id="11182607" name="Rounded Rectangle 6">
          <a:extLst>
            <a:ext uri="{FF2B5EF4-FFF2-40B4-BE49-F238E27FC236}">
              <a16:creationId xmlns:a16="http://schemas.microsoft.com/office/drawing/2014/main" id="{00000000-0008-0000-0E00-00000FA2AA00}"/>
            </a:ext>
          </a:extLst>
        </xdr:cNvPr>
        <xdr:cNvSpPr>
          <a:spLocks noChangeArrowheads="1"/>
        </xdr:cNvSpPr>
      </xdr:nvSpPr>
      <xdr:spPr bwMode="auto">
        <a:xfrm>
          <a:off x="4762500" y="285751"/>
          <a:ext cx="819150" cy="352424"/>
        </a:xfrm>
        <a:prstGeom prst="roundRect">
          <a:avLst>
            <a:gd name="adj" fmla="val 16667"/>
          </a:avLst>
        </a:prstGeom>
        <a:solidFill>
          <a:srgbClr val="D9D9D9"/>
        </a:solidFill>
        <a:ln w="0" algn="ctr">
          <a:solidFill>
            <a:srgbClr val="000000"/>
          </a:solidFill>
          <a:round/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r>
            <a:rPr lang="nl-NL" sz="1200" b="1" i="1" u="none" strike="noStrike" baseline="0">
              <a:solidFill>
                <a:srgbClr val="000000"/>
              </a:solidFill>
              <a:latin typeface="Calibri"/>
            </a:rPr>
            <a:t>SIMULATE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ltop14%20data\Workplace\RUNwork\Projectenwerk\2015%20Int%20ExposureModeling%20Course\Software\ecetocTRAM%202015JT\ecetocTR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osthuml\AppData\Local\Microsoft\Windows\INetCache\Content.Outlook\876RCCMT\Input\SI%20twinpap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CONTENTS"/>
      <sheetName val="DATABASE"/>
      <sheetName val="CSR"/>
      <sheetName val="datasheet1"/>
      <sheetName val="datasheet2"/>
      <sheetName val="datasheet3"/>
      <sheetName val="datasheet4"/>
      <sheetName val="datasheet5"/>
      <sheetName val="datasheet6"/>
      <sheetName val="datasheet7"/>
      <sheetName val="datasheet8"/>
      <sheetName val="datasheet9"/>
      <sheetName val="datasheet10"/>
      <sheetName val="datasheet11"/>
      <sheetName val="datasheet12"/>
      <sheetName val="datasheet13"/>
      <sheetName val="datasheet14"/>
      <sheetName val="datasheet15"/>
      <sheetName val="datasheet16"/>
      <sheetName val="datasheet17"/>
      <sheetName val="datasheet18"/>
      <sheetName val="datasheet19"/>
      <sheetName val="datasheet20"/>
      <sheetName val="Descriptors"/>
      <sheetName val="ENV RA"/>
      <sheetName val="ecetocTRA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272">
          <cell r="D272" t="str">
            <v>ERC1</v>
          </cell>
        </row>
        <row r="273">
          <cell r="D273" t="str">
            <v>ERC2</v>
          </cell>
        </row>
        <row r="274">
          <cell r="D274" t="str">
            <v>ERC3</v>
          </cell>
        </row>
        <row r="275">
          <cell r="D275" t="str">
            <v>ERC4</v>
          </cell>
        </row>
        <row r="276">
          <cell r="D276" t="str">
            <v>ERC5</v>
          </cell>
        </row>
        <row r="277">
          <cell r="D277" t="str">
            <v>ERC6a</v>
          </cell>
        </row>
        <row r="278">
          <cell r="D278" t="str">
            <v>ERC6b</v>
          </cell>
        </row>
        <row r="279">
          <cell r="D279" t="str">
            <v>ERC6c</v>
          </cell>
        </row>
        <row r="280">
          <cell r="D280" t="str">
            <v>ERC6d</v>
          </cell>
        </row>
        <row r="281">
          <cell r="D281" t="str">
            <v>ERC7</v>
          </cell>
        </row>
        <row r="282">
          <cell r="D282" t="str">
            <v>ERC8a</v>
          </cell>
        </row>
        <row r="283">
          <cell r="D283" t="str">
            <v>ERC8b</v>
          </cell>
        </row>
        <row r="284">
          <cell r="D284" t="str">
            <v>ERC8c</v>
          </cell>
        </row>
        <row r="285">
          <cell r="D285" t="str">
            <v>ERC8d</v>
          </cell>
        </row>
        <row r="286">
          <cell r="D286" t="str">
            <v>ERC8e</v>
          </cell>
        </row>
        <row r="287">
          <cell r="D287" t="str">
            <v>ERC8f</v>
          </cell>
        </row>
        <row r="288">
          <cell r="D288" t="str">
            <v>ERC9a</v>
          </cell>
        </row>
        <row r="289">
          <cell r="D289" t="str">
            <v>ERC9b</v>
          </cell>
        </row>
        <row r="290">
          <cell r="D290" t="str">
            <v>ERC10a</v>
          </cell>
        </row>
        <row r="291">
          <cell r="D291" t="str">
            <v>ERC10b</v>
          </cell>
        </row>
        <row r="292">
          <cell r="D292" t="str">
            <v>ERC11a</v>
          </cell>
        </row>
        <row r="293">
          <cell r="D293" t="str">
            <v>ERC11b</v>
          </cell>
        </row>
        <row r="294">
          <cell r="D294" t="str">
            <v>ERC12a</v>
          </cell>
        </row>
        <row r="295">
          <cell r="D295" t="str">
            <v>ERC12b</v>
          </cell>
        </row>
        <row r="301">
          <cell r="C301" t="str">
            <v>AISE</v>
          </cell>
          <cell r="D301" t="str">
            <v>CEPE</v>
          </cell>
          <cell r="E301" t="str">
            <v>EMPAC</v>
          </cell>
          <cell r="F301" t="str">
            <v>ECCA</v>
          </cell>
          <cell r="G301" t="str">
            <v>ACEA</v>
          </cell>
          <cell r="H301" t="str">
            <v>AIRC</v>
          </cell>
          <cell r="I301" t="str">
            <v>COLIPA</v>
          </cell>
          <cell r="J301" t="str">
            <v>EFCC</v>
          </cell>
          <cell r="K301" t="str">
            <v>ESVOC</v>
          </cell>
          <cell r="L301" t="str">
            <v>FEICA</v>
          </cell>
          <cell r="M301" t="str">
            <v>TEGEWA</v>
          </cell>
          <cell r="N301" t="str">
            <v>ECPA</v>
          </cell>
          <cell r="O301" t="str">
            <v>ETRMA</v>
          </cell>
        </row>
      </sheetData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Out Data twinpapers"/>
      <sheetName val="MLoS"/>
      <sheetName val="REACH"/>
      <sheetName val="PHARMA"/>
      <sheetName val="PEST"/>
      <sheetName val="MUSIGMA"/>
      <sheetName val="SBTout"/>
      <sheetName val="Table 1"/>
      <sheetName val="Table 2"/>
      <sheetName val="Table SI-2"/>
      <sheetName val="Table SI-3"/>
    </sheetNames>
    <sheetDataSet>
      <sheetData sheetId="0" refreshError="1">
        <row r="11">
          <cell r="D11" t="str">
            <v>74-85-1</v>
          </cell>
          <cell r="E11">
            <v>74851</v>
          </cell>
          <cell r="F11">
            <v>3647</v>
          </cell>
          <cell r="G11" t="str">
            <v>Reach_111</v>
          </cell>
          <cell r="H11">
            <v>3</v>
          </cell>
          <cell r="J11">
            <v>28.053999999999998</v>
          </cell>
          <cell r="K11">
            <v>-150.85</v>
          </cell>
          <cell r="L11">
            <v>4185620.0000000005</v>
          </cell>
          <cell r="M11">
            <v>3585.6</v>
          </cell>
          <cell r="N11">
            <v>18.62087136662868</v>
          </cell>
          <cell r="Q11">
            <v>14</v>
          </cell>
        </row>
        <row r="12">
          <cell r="D12" t="str">
            <v>115-07-1</v>
          </cell>
          <cell r="E12">
            <v>115071</v>
          </cell>
          <cell r="F12">
            <v>1629</v>
          </cell>
          <cell r="G12" t="str">
            <v>Reach_935</v>
          </cell>
          <cell r="H12">
            <v>4</v>
          </cell>
          <cell r="J12">
            <v>42.081000000000003</v>
          </cell>
          <cell r="K12">
            <v>-135.38</v>
          </cell>
          <cell r="L12">
            <v>938432.00000000012</v>
          </cell>
          <cell r="M12">
            <v>2090.5</v>
          </cell>
          <cell r="N12">
            <v>47.863009232263856</v>
          </cell>
          <cell r="Q12">
            <v>14</v>
          </cell>
        </row>
        <row r="13">
          <cell r="D13" t="str">
            <v>71-43-2</v>
          </cell>
          <cell r="E13">
            <v>71432</v>
          </cell>
          <cell r="F13">
            <v>821</v>
          </cell>
          <cell r="G13" t="str">
            <v>Reach_103</v>
          </cell>
          <cell r="H13">
            <v>5</v>
          </cell>
          <cell r="J13">
            <v>78.114000000000004</v>
          </cell>
          <cell r="K13">
            <v>-77.92</v>
          </cell>
          <cell r="L13">
            <v>11623.760000000002</v>
          </cell>
          <cell r="M13">
            <v>1093.3</v>
          </cell>
          <cell r="N13">
            <v>97.723722095581124</v>
          </cell>
          <cell r="Q13">
            <v>14</v>
          </cell>
        </row>
        <row r="14">
          <cell r="D14" t="str">
            <v>57-13-6</v>
          </cell>
          <cell r="E14">
            <v>57136</v>
          </cell>
          <cell r="F14">
            <v>719</v>
          </cell>
          <cell r="G14" t="str">
            <v>Reach_39</v>
          </cell>
          <cell r="H14">
            <v>6</v>
          </cell>
          <cell r="J14">
            <v>60.058</v>
          </cell>
          <cell r="K14">
            <v>28.99</v>
          </cell>
          <cell r="L14">
            <v>27.726400000000002</v>
          </cell>
          <cell r="M14">
            <v>421000</v>
          </cell>
          <cell r="N14">
            <v>2.7542287033381647E-2</v>
          </cell>
          <cell r="O14">
            <v>14.3</v>
          </cell>
          <cell r="P14">
            <v>14</v>
          </cell>
          <cell r="Q14">
            <v>0</v>
          </cell>
        </row>
        <row r="15">
          <cell r="D15" t="str">
            <v>67-56-1</v>
          </cell>
          <cell r="E15">
            <v>67561</v>
          </cell>
          <cell r="F15">
            <v>793</v>
          </cell>
          <cell r="G15" t="str">
            <v>Reach_84</v>
          </cell>
          <cell r="H15">
            <v>7</v>
          </cell>
          <cell r="J15">
            <v>32.042000000000002</v>
          </cell>
          <cell r="K15">
            <v>-101</v>
          </cell>
          <cell r="L15">
            <v>15862.7</v>
          </cell>
          <cell r="M15">
            <v>803000</v>
          </cell>
          <cell r="N15">
            <v>0.23442288153199217</v>
          </cell>
          <cell r="O15">
            <v>15.9</v>
          </cell>
          <cell r="Q15">
            <v>14</v>
          </cell>
        </row>
        <row r="16">
          <cell r="D16" t="str">
            <v>75-01-4</v>
          </cell>
          <cell r="E16">
            <v>75014</v>
          </cell>
          <cell r="F16">
            <v>845</v>
          </cell>
          <cell r="G16" t="str">
            <v>Reach_123</v>
          </cell>
          <cell r="H16">
            <v>8</v>
          </cell>
          <cell r="J16">
            <v>62.499000000000002</v>
          </cell>
          <cell r="K16">
            <v>-122.02</v>
          </cell>
          <cell r="L16">
            <v>362576.00000000006</v>
          </cell>
          <cell r="M16">
            <v>4837.5</v>
          </cell>
          <cell r="N16">
            <v>41.686938347033561</v>
          </cell>
          <cell r="Q16">
            <v>14</v>
          </cell>
        </row>
        <row r="17">
          <cell r="D17" t="str">
            <v>64-17-5</v>
          </cell>
          <cell r="E17">
            <v>64175</v>
          </cell>
          <cell r="F17">
            <v>776</v>
          </cell>
          <cell r="G17" t="str">
            <v>Reach_70</v>
          </cell>
          <cell r="H17">
            <v>9</v>
          </cell>
          <cell r="J17">
            <v>46.069000000000003</v>
          </cell>
          <cell r="K17">
            <v>-87.84</v>
          </cell>
          <cell r="L17">
            <v>8117.97</v>
          </cell>
          <cell r="M17">
            <v>626000</v>
          </cell>
          <cell r="N17">
            <v>0.72443596007499</v>
          </cell>
          <cell r="O17">
            <v>15.9</v>
          </cell>
          <cell r="Q17">
            <v>14</v>
          </cell>
        </row>
        <row r="18">
          <cell r="D18" t="str">
            <v>107-06-2</v>
          </cell>
          <cell r="E18">
            <v>107062</v>
          </cell>
          <cell r="F18">
            <v>206</v>
          </cell>
          <cell r="G18" t="str">
            <v>Reach_691</v>
          </cell>
          <cell r="H18">
            <v>10</v>
          </cell>
          <cell r="J18">
            <v>98.96</v>
          </cell>
          <cell r="K18">
            <v>-76.77</v>
          </cell>
          <cell r="L18">
            <v>10050.820000000002</v>
          </cell>
          <cell r="M18">
            <v>9887.6</v>
          </cell>
          <cell r="N18">
            <v>67.60829753919819</v>
          </cell>
          <cell r="Q18">
            <v>14</v>
          </cell>
        </row>
        <row r="19">
          <cell r="D19" t="str">
            <v>74-98-6</v>
          </cell>
          <cell r="E19">
            <v>74986</v>
          </cell>
          <cell r="F19">
            <v>3653</v>
          </cell>
          <cell r="G19" t="str">
            <v>Reach_121</v>
          </cell>
          <cell r="H19">
            <v>11</v>
          </cell>
          <cell r="J19">
            <v>44.097000000000001</v>
          </cell>
          <cell r="K19">
            <v>-133.88999999999999</v>
          </cell>
          <cell r="L19">
            <v>818462.00000000012</v>
          </cell>
          <cell r="M19">
            <v>1479.7</v>
          </cell>
          <cell r="N19">
            <v>64.565422903465588</v>
          </cell>
          <cell r="Q19">
            <v>14</v>
          </cell>
        </row>
        <row r="20">
          <cell r="D20" t="str">
            <v>106-97-8</v>
          </cell>
          <cell r="E20">
            <v>106978</v>
          </cell>
          <cell r="F20">
            <v>1451</v>
          </cell>
          <cell r="G20" t="str">
            <v>Reach_686</v>
          </cell>
          <cell r="H20">
            <v>12</v>
          </cell>
          <cell r="J20">
            <v>58.124000000000002</v>
          </cell>
          <cell r="K20">
            <v>-120.28</v>
          </cell>
          <cell r="L20">
            <v>241273.00000000003</v>
          </cell>
          <cell r="M20">
            <v>563.91999999999996</v>
          </cell>
          <cell r="N20">
            <v>204.17379446695315</v>
          </cell>
          <cell r="Q20">
            <v>14</v>
          </cell>
        </row>
        <row r="21">
          <cell r="D21" t="str">
            <v>100-42-5</v>
          </cell>
          <cell r="E21">
            <v>100425</v>
          </cell>
          <cell r="F21">
            <v>125</v>
          </cell>
          <cell r="G21" t="str">
            <v>Reach_557</v>
          </cell>
          <cell r="H21">
            <v>13</v>
          </cell>
          <cell r="J21">
            <v>104.15</v>
          </cell>
          <cell r="K21">
            <v>-48.31</v>
          </cell>
          <cell r="L21">
            <v>673.16500000000008</v>
          </cell>
          <cell r="M21">
            <v>292.60000000000002</v>
          </cell>
          <cell r="N21">
            <v>776.24711662869231</v>
          </cell>
          <cell r="Q21">
            <v>14</v>
          </cell>
        </row>
        <row r="22">
          <cell r="D22" t="str">
            <v>100-41-4</v>
          </cell>
          <cell r="E22">
            <v>100414</v>
          </cell>
          <cell r="F22">
            <v>124</v>
          </cell>
          <cell r="G22" t="str">
            <v>Reach_556</v>
          </cell>
          <cell r="H22">
            <v>14</v>
          </cell>
          <cell r="J22">
            <v>106.17</v>
          </cell>
          <cell r="K22">
            <v>-46.94</v>
          </cell>
          <cell r="L22">
            <v>1011.7470000000001</v>
          </cell>
          <cell r="M22">
            <v>166.69</v>
          </cell>
          <cell r="N22">
            <v>1071.5193052376069</v>
          </cell>
          <cell r="Q22">
            <v>14</v>
          </cell>
        </row>
        <row r="23">
          <cell r="D23" t="str">
            <v>1634-04-4</v>
          </cell>
          <cell r="E23">
            <v>1634044</v>
          </cell>
          <cell r="F23">
            <v>33</v>
          </cell>
          <cell r="G23" t="str">
            <v>Reach_1701</v>
          </cell>
          <cell r="H23">
            <v>15</v>
          </cell>
          <cell r="J23">
            <v>88.15</v>
          </cell>
          <cell r="K23">
            <v>-94.3</v>
          </cell>
          <cell r="L23">
            <v>33591.600000000006</v>
          </cell>
          <cell r="M23">
            <v>59200</v>
          </cell>
          <cell r="N23">
            <v>26.915348039269158</v>
          </cell>
          <cell r="Q23">
            <v>14</v>
          </cell>
        </row>
        <row r="24">
          <cell r="D24" t="str">
            <v>98-82-8</v>
          </cell>
          <cell r="E24">
            <v>98828</v>
          </cell>
          <cell r="F24">
            <v>1076</v>
          </cell>
          <cell r="G24" t="str">
            <v>Reach_518</v>
          </cell>
          <cell r="H24">
            <v>16</v>
          </cell>
          <cell r="J24">
            <v>120.19</v>
          </cell>
          <cell r="K24">
            <v>-46.26</v>
          </cell>
          <cell r="L24">
            <v>478.54700000000003</v>
          </cell>
          <cell r="M24">
            <v>89.149000000000001</v>
          </cell>
          <cell r="N24">
            <v>2818.3829312644561</v>
          </cell>
          <cell r="Q24">
            <v>14</v>
          </cell>
        </row>
        <row r="25">
          <cell r="D25" t="str">
            <v>637-92-3</v>
          </cell>
          <cell r="E25">
            <v>637923</v>
          </cell>
          <cell r="F25">
            <v>77</v>
          </cell>
          <cell r="G25" t="str">
            <v>Reach_1476</v>
          </cell>
          <cell r="H25">
            <v>17</v>
          </cell>
          <cell r="J25">
            <v>102.18</v>
          </cell>
          <cell r="K25">
            <v>-81.22</v>
          </cell>
          <cell r="L25">
            <v>16929.100000000002</v>
          </cell>
          <cell r="M25">
            <v>5580</v>
          </cell>
          <cell r="N25">
            <v>83.176377110267126</v>
          </cell>
          <cell r="Q25">
            <v>14</v>
          </cell>
        </row>
        <row r="26">
          <cell r="D26" t="str">
            <v>100-21-0</v>
          </cell>
          <cell r="E26">
            <v>100210</v>
          </cell>
          <cell r="F26">
            <v>122</v>
          </cell>
          <cell r="G26" t="str">
            <v>Reach_552</v>
          </cell>
          <cell r="H26">
            <v>18</v>
          </cell>
          <cell r="J26">
            <v>166.13</v>
          </cell>
          <cell r="K26">
            <v>126.58</v>
          </cell>
          <cell r="L26">
            <v>1.5862700000000001E-3</v>
          </cell>
          <cell r="M26">
            <v>2846.3</v>
          </cell>
          <cell r="N26">
            <v>57.543993733715695</v>
          </cell>
          <cell r="O26">
            <v>3.5</v>
          </cell>
          <cell r="Q26">
            <v>3.5</v>
          </cell>
        </row>
        <row r="27">
          <cell r="D27" t="str">
            <v>106-42-3</v>
          </cell>
          <cell r="E27">
            <v>106423</v>
          </cell>
          <cell r="F27">
            <v>189</v>
          </cell>
          <cell r="G27" t="str">
            <v>Reach_665</v>
          </cell>
          <cell r="H27">
            <v>19</v>
          </cell>
          <cell r="J27">
            <v>106.17</v>
          </cell>
          <cell r="K27">
            <v>-40.69</v>
          </cell>
          <cell r="L27">
            <v>915.77100000000007</v>
          </cell>
          <cell r="M27">
            <v>189.88</v>
          </cell>
          <cell r="N27">
            <v>1230.2687708123824</v>
          </cell>
          <cell r="Q27">
            <v>14</v>
          </cell>
        </row>
        <row r="28">
          <cell r="D28" t="str">
            <v>106-99-0</v>
          </cell>
          <cell r="E28">
            <v>106990</v>
          </cell>
          <cell r="F28">
            <v>1453</v>
          </cell>
          <cell r="G28" t="str">
            <v>Reach_688</v>
          </cell>
          <cell r="H28">
            <v>20</v>
          </cell>
          <cell r="J28">
            <v>54.091999999999999</v>
          </cell>
          <cell r="K28">
            <v>-123.21</v>
          </cell>
          <cell r="L28">
            <v>273265</v>
          </cell>
          <cell r="M28">
            <v>1055.5999999999999</v>
          </cell>
          <cell r="N28">
            <v>107.15193052376065</v>
          </cell>
          <cell r="Q28">
            <v>14</v>
          </cell>
        </row>
        <row r="29">
          <cell r="D29" t="str">
            <v>80-15-9</v>
          </cell>
          <cell r="E29">
            <v>80159</v>
          </cell>
          <cell r="F29">
            <v>932</v>
          </cell>
          <cell r="G29" t="str">
            <v>Reach_259</v>
          </cell>
          <cell r="H29">
            <v>21</v>
          </cell>
          <cell r="J29">
            <v>152.19</v>
          </cell>
          <cell r="K29">
            <v>38.71</v>
          </cell>
          <cell r="L29">
            <v>9.2643500000000021</v>
          </cell>
          <cell r="M29">
            <v>72584</v>
          </cell>
          <cell r="N29">
            <v>144.54397707459285</v>
          </cell>
          <cell r="O29">
            <v>12.3</v>
          </cell>
          <cell r="Q29">
            <v>12.3</v>
          </cell>
        </row>
        <row r="30">
          <cell r="D30" t="str">
            <v>108-95-2</v>
          </cell>
          <cell r="E30">
            <v>108952</v>
          </cell>
          <cell r="F30">
            <v>252</v>
          </cell>
          <cell r="G30" t="str">
            <v>Reach_765</v>
          </cell>
          <cell r="H30">
            <v>22</v>
          </cell>
          <cell r="J30">
            <v>94.113</v>
          </cell>
          <cell r="K30">
            <v>-2.27</v>
          </cell>
          <cell r="L30">
            <v>43.055900000000008</v>
          </cell>
          <cell r="M30">
            <v>35412</v>
          </cell>
          <cell r="N30">
            <v>32.359365692962832</v>
          </cell>
          <cell r="O30">
            <v>10</v>
          </cell>
          <cell r="Q30">
            <v>10</v>
          </cell>
        </row>
        <row r="31">
          <cell r="D31" t="str">
            <v>75-28-5</v>
          </cell>
          <cell r="E31">
            <v>75285</v>
          </cell>
          <cell r="F31">
            <v>3661</v>
          </cell>
          <cell r="G31" t="str">
            <v>Reach_136</v>
          </cell>
          <cell r="H31">
            <v>23</v>
          </cell>
          <cell r="J31">
            <v>58.124000000000002</v>
          </cell>
          <cell r="K31">
            <v>-132.55000000000001</v>
          </cell>
          <cell r="L31">
            <v>345247.00000000006</v>
          </cell>
          <cell r="M31">
            <v>857.93</v>
          </cell>
          <cell r="N31">
            <v>169.82436524617444</v>
          </cell>
          <cell r="Q31">
            <v>14</v>
          </cell>
        </row>
        <row r="32">
          <cell r="D32" t="str">
            <v>110-82-7</v>
          </cell>
          <cell r="E32">
            <v>110827</v>
          </cell>
          <cell r="F32">
            <v>285</v>
          </cell>
          <cell r="G32" t="str">
            <v>Reach_830</v>
          </cell>
          <cell r="H32">
            <v>24</v>
          </cell>
          <cell r="J32">
            <v>84.162000000000006</v>
          </cell>
          <cell r="K32">
            <v>-82.72</v>
          </cell>
          <cell r="L32">
            <v>12516.870000000003</v>
          </cell>
          <cell r="M32">
            <v>114.37</v>
          </cell>
          <cell r="N32">
            <v>1513.5612484362093</v>
          </cell>
          <cell r="Q32">
            <v>14</v>
          </cell>
        </row>
        <row r="33">
          <cell r="D33" t="str">
            <v>50-00-0</v>
          </cell>
          <cell r="E33">
            <v>50000</v>
          </cell>
          <cell r="F33">
            <v>651</v>
          </cell>
          <cell r="G33" t="str">
            <v>Reach_1</v>
          </cell>
          <cell r="H33">
            <v>25</v>
          </cell>
          <cell r="J33">
            <v>30.026</v>
          </cell>
          <cell r="K33">
            <v>-110.94</v>
          </cell>
          <cell r="L33">
            <v>465217.00000000006</v>
          </cell>
          <cell r="M33">
            <v>230000</v>
          </cell>
          <cell r="N33">
            <v>2.2387211385683394</v>
          </cell>
          <cell r="Q33">
            <v>14</v>
          </cell>
        </row>
        <row r="34">
          <cell r="D34" t="str">
            <v>74-84-0</v>
          </cell>
          <cell r="E34">
            <v>74840</v>
          </cell>
          <cell r="F34">
            <v>3646</v>
          </cell>
          <cell r="G34" t="str">
            <v>Reach_110</v>
          </cell>
          <cell r="H34">
            <v>26</v>
          </cell>
          <cell r="J34">
            <v>30.07</v>
          </cell>
          <cell r="K34">
            <v>-147.77000000000001</v>
          </cell>
          <cell r="L34">
            <v>2692660</v>
          </cell>
          <cell r="M34">
            <v>3389.5</v>
          </cell>
          <cell r="N34">
            <v>20.8929613085404</v>
          </cell>
          <cell r="Q34">
            <v>14</v>
          </cell>
        </row>
        <row r="35">
          <cell r="D35" t="str">
            <v>75-56-9</v>
          </cell>
          <cell r="E35">
            <v>75569</v>
          </cell>
          <cell r="F35">
            <v>861</v>
          </cell>
          <cell r="G35" t="str">
            <v>Reach_151</v>
          </cell>
          <cell r="H35">
            <v>27</v>
          </cell>
          <cell r="J35">
            <v>58.08</v>
          </cell>
          <cell r="K35">
            <v>-100.23</v>
          </cell>
          <cell r="L35">
            <v>70915.600000000006</v>
          </cell>
          <cell r="M35">
            <v>57869</v>
          </cell>
          <cell r="N35">
            <v>2.344228815319922</v>
          </cell>
          <cell r="Q35">
            <v>14</v>
          </cell>
        </row>
        <row r="36">
          <cell r="D36" t="str">
            <v>108-88-3</v>
          </cell>
          <cell r="E36">
            <v>108883</v>
          </cell>
          <cell r="F36">
            <v>247</v>
          </cell>
          <cell r="G36" t="str">
            <v>Reach_760</v>
          </cell>
          <cell r="H36">
            <v>28</v>
          </cell>
          <cell r="J36">
            <v>92.141000000000005</v>
          </cell>
          <cell r="K36">
            <v>-59.17</v>
          </cell>
          <cell r="L36">
            <v>3159.21</v>
          </cell>
          <cell r="M36">
            <v>461.36</v>
          </cell>
          <cell r="N36">
            <v>346.73685045253183</v>
          </cell>
          <cell r="Q36">
            <v>14</v>
          </cell>
        </row>
        <row r="37">
          <cell r="D37" t="str">
            <v>105-60-2</v>
          </cell>
          <cell r="E37">
            <v>105602</v>
          </cell>
          <cell r="F37">
            <v>180</v>
          </cell>
          <cell r="G37" t="str">
            <v>Reach_646</v>
          </cell>
          <cell r="H37">
            <v>29</v>
          </cell>
          <cell r="J37">
            <v>113.16</v>
          </cell>
          <cell r="K37">
            <v>66.739999999999995</v>
          </cell>
          <cell r="L37">
            <v>0.48254600000000003</v>
          </cell>
          <cell r="M37">
            <v>37423</v>
          </cell>
          <cell r="N37">
            <v>4.5708818961487507</v>
          </cell>
          <cell r="O37">
            <v>15.1</v>
          </cell>
          <cell r="P37">
            <v>14</v>
          </cell>
          <cell r="Q37">
            <v>0</v>
          </cell>
        </row>
        <row r="38">
          <cell r="D38" t="str">
            <v>75-21-8</v>
          </cell>
          <cell r="E38">
            <v>75218</v>
          </cell>
          <cell r="F38">
            <v>854</v>
          </cell>
          <cell r="G38" t="str">
            <v>Reach_134</v>
          </cell>
          <cell r="H38">
            <v>30</v>
          </cell>
          <cell r="J38">
            <v>44.052999999999997</v>
          </cell>
          <cell r="K38">
            <v>-109.3</v>
          </cell>
          <cell r="L38">
            <v>166625</v>
          </cell>
          <cell r="M38">
            <v>270000</v>
          </cell>
          <cell r="N38">
            <v>0.89125093813374545</v>
          </cell>
          <cell r="Q38">
            <v>14</v>
          </cell>
        </row>
        <row r="39">
          <cell r="D39" t="str">
            <v>107-21-1</v>
          </cell>
          <cell r="E39">
            <v>107211</v>
          </cell>
          <cell r="F39">
            <v>216</v>
          </cell>
          <cell r="G39" t="str">
            <v>Reach_700</v>
          </cell>
          <cell r="H39">
            <v>31</v>
          </cell>
          <cell r="J39">
            <v>62.067999999999998</v>
          </cell>
          <cell r="K39">
            <v>-31.62</v>
          </cell>
          <cell r="L39">
            <v>8.1179700000000015</v>
          </cell>
          <cell r="M39">
            <v>728000</v>
          </cell>
          <cell r="N39">
            <v>6.3095734448019317E-2</v>
          </cell>
          <cell r="O39">
            <v>14.81</v>
          </cell>
          <cell r="Q39">
            <v>14</v>
          </cell>
        </row>
        <row r="40">
          <cell r="D40" t="str">
            <v>67-64-1</v>
          </cell>
          <cell r="E40">
            <v>67641</v>
          </cell>
          <cell r="F40">
            <v>795</v>
          </cell>
          <cell r="G40" t="str">
            <v>Reach_86</v>
          </cell>
          <cell r="H40">
            <v>32</v>
          </cell>
          <cell r="J40">
            <v>58.08</v>
          </cell>
          <cell r="K40">
            <v>-93.58</v>
          </cell>
          <cell r="L40">
            <v>33191.700000000004</v>
          </cell>
          <cell r="M40">
            <v>129000</v>
          </cell>
          <cell r="N40">
            <v>0.57543993733715693</v>
          </cell>
          <cell r="Q40">
            <v>14</v>
          </cell>
        </row>
        <row r="41">
          <cell r="D41" t="str">
            <v>107-13-1</v>
          </cell>
          <cell r="E41">
            <v>107131</v>
          </cell>
          <cell r="F41">
            <v>210</v>
          </cell>
          <cell r="G41" t="str">
            <v>Reach_695</v>
          </cell>
          <cell r="H41">
            <v>33</v>
          </cell>
          <cell r="J41">
            <v>53.064999999999998</v>
          </cell>
          <cell r="K41">
            <v>-72.38</v>
          </cell>
          <cell r="L41">
            <v>12996.750000000002</v>
          </cell>
          <cell r="M41">
            <v>69155</v>
          </cell>
          <cell r="N41">
            <v>1.62181009735893</v>
          </cell>
          <cell r="Q41">
            <v>14</v>
          </cell>
        </row>
        <row r="42">
          <cell r="D42" t="str">
            <v>74-87-3</v>
          </cell>
          <cell r="E42">
            <v>74873</v>
          </cell>
          <cell r="F42">
            <v>838</v>
          </cell>
          <cell r="G42" t="str">
            <v>Reach_113</v>
          </cell>
          <cell r="H42">
            <v>34</v>
          </cell>
          <cell r="J42">
            <v>50.488</v>
          </cell>
          <cell r="K42">
            <v>-124.76</v>
          </cell>
          <cell r="L42">
            <v>542531</v>
          </cell>
          <cell r="M42">
            <v>11375</v>
          </cell>
          <cell r="N42">
            <v>12.302687708123818</v>
          </cell>
          <cell r="Q42">
            <v>14</v>
          </cell>
        </row>
        <row r="43">
          <cell r="D43" t="str">
            <v>80-05-7</v>
          </cell>
          <cell r="E43">
            <v>80057</v>
          </cell>
          <cell r="F43">
            <v>96</v>
          </cell>
          <cell r="G43" t="str">
            <v>Reach_254</v>
          </cell>
          <cell r="H43">
            <v>35</v>
          </cell>
          <cell r="J43">
            <v>228.29</v>
          </cell>
          <cell r="K43">
            <v>131.76</v>
          </cell>
          <cell r="L43">
            <v>3.0259100000000003E-5</v>
          </cell>
          <cell r="M43">
            <v>367.81</v>
          </cell>
          <cell r="N43">
            <v>4365.1583224016631</v>
          </cell>
          <cell r="O43">
            <v>9.6999999999999993</v>
          </cell>
          <cell r="Q43">
            <v>9.6999999999999993</v>
          </cell>
        </row>
        <row r="44">
          <cell r="D44" t="str">
            <v>115-11-7</v>
          </cell>
          <cell r="E44">
            <v>115117</v>
          </cell>
          <cell r="F44">
            <v>1631</v>
          </cell>
          <cell r="G44" t="str">
            <v>Reach_937</v>
          </cell>
          <cell r="H44">
            <v>36</v>
          </cell>
          <cell r="J44">
            <v>56.107999999999997</v>
          </cell>
          <cell r="K44">
            <v>-130.88</v>
          </cell>
          <cell r="L44">
            <v>297259</v>
          </cell>
          <cell r="M44">
            <v>1215.2</v>
          </cell>
          <cell r="N44">
            <v>169.82436524617444</v>
          </cell>
          <cell r="Q44">
            <v>14</v>
          </cell>
        </row>
        <row r="45">
          <cell r="D45" t="str">
            <v>75-65-0</v>
          </cell>
          <cell r="E45">
            <v>75650</v>
          </cell>
          <cell r="F45">
            <v>863</v>
          </cell>
          <cell r="G45" t="str">
            <v>Reach_156</v>
          </cell>
          <cell r="H45">
            <v>37</v>
          </cell>
          <cell r="J45">
            <v>74.123000000000005</v>
          </cell>
          <cell r="K45">
            <v>-73.81</v>
          </cell>
          <cell r="L45">
            <v>6251.77</v>
          </cell>
          <cell r="M45">
            <v>200000</v>
          </cell>
          <cell r="N45">
            <v>5.3703179637025285</v>
          </cell>
          <cell r="O45">
            <v>16</v>
          </cell>
          <cell r="Q45">
            <v>14</v>
          </cell>
        </row>
        <row r="46">
          <cell r="D46" t="str">
            <v>75-78-5</v>
          </cell>
          <cell r="E46">
            <v>75785</v>
          </cell>
          <cell r="F46">
            <v>3687</v>
          </cell>
          <cell r="G46" t="str">
            <v>Reach_162</v>
          </cell>
          <cell r="H46">
            <v>38</v>
          </cell>
          <cell r="J46">
            <v>129.06</v>
          </cell>
          <cell r="K46">
            <v>-90.16</v>
          </cell>
          <cell r="L46">
            <v>17329</v>
          </cell>
          <cell r="M46">
            <v>7055</v>
          </cell>
          <cell r="N46">
            <v>173.78008287493768</v>
          </cell>
          <cell r="Q46">
            <v>14</v>
          </cell>
        </row>
        <row r="47">
          <cell r="D47" t="str">
            <v>62-53-3</v>
          </cell>
          <cell r="E47">
            <v>62533</v>
          </cell>
          <cell r="F47">
            <v>765</v>
          </cell>
          <cell r="G47" t="str">
            <v>Reach_64</v>
          </cell>
          <cell r="H47">
            <v>39</v>
          </cell>
          <cell r="J47">
            <v>93.13</v>
          </cell>
          <cell r="K47">
            <v>-6.16</v>
          </cell>
          <cell r="L47">
            <v>105.44030000000001</v>
          </cell>
          <cell r="M47">
            <v>16744</v>
          </cell>
          <cell r="N47">
            <v>12.022644346174133</v>
          </cell>
          <cell r="P47">
            <v>9</v>
          </cell>
          <cell r="Q47">
            <v>5</v>
          </cell>
        </row>
        <row r="48">
          <cell r="D48" t="str">
            <v>64-19-7</v>
          </cell>
          <cell r="E48">
            <v>64197</v>
          </cell>
          <cell r="F48">
            <v>778</v>
          </cell>
          <cell r="G48" t="str">
            <v>Reach_72</v>
          </cell>
          <cell r="H48">
            <v>40</v>
          </cell>
          <cell r="J48">
            <v>60.052</v>
          </cell>
          <cell r="K48">
            <v>-21.26</v>
          </cell>
          <cell r="L48">
            <v>2292.7600000000002</v>
          </cell>
          <cell r="M48">
            <v>955000</v>
          </cell>
          <cell r="N48">
            <v>1.2302687708123816</v>
          </cell>
          <cell r="O48">
            <v>4.9000000000000004</v>
          </cell>
          <cell r="Q48">
            <v>4.9000000000000004</v>
          </cell>
        </row>
        <row r="49">
          <cell r="D49" t="str">
            <v>108-94-1</v>
          </cell>
          <cell r="E49">
            <v>108941</v>
          </cell>
          <cell r="F49">
            <v>251</v>
          </cell>
          <cell r="G49" t="str">
            <v>Reach_764</v>
          </cell>
          <cell r="H49">
            <v>41</v>
          </cell>
          <cell r="J49">
            <v>98.144999999999996</v>
          </cell>
          <cell r="K49">
            <v>-29.56</v>
          </cell>
          <cell r="L49">
            <v>538.53200000000004</v>
          </cell>
          <cell r="M49">
            <v>15394</v>
          </cell>
          <cell r="N49">
            <v>13.489628825916535</v>
          </cell>
          <cell r="Q49">
            <v>14</v>
          </cell>
        </row>
        <row r="50">
          <cell r="D50" t="str">
            <v>74-82-8</v>
          </cell>
          <cell r="E50">
            <v>74828</v>
          </cell>
          <cell r="F50">
            <v>3645</v>
          </cell>
          <cell r="G50" t="str">
            <v>Reach_108</v>
          </cell>
          <cell r="H50">
            <v>42</v>
          </cell>
          <cell r="J50">
            <v>16.042999999999999</v>
          </cell>
          <cell r="K50">
            <v>-152.93</v>
          </cell>
          <cell r="L50">
            <v>70782300</v>
          </cell>
          <cell r="M50">
            <v>2636.8</v>
          </cell>
          <cell r="N50">
            <v>6.0255958607435796</v>
          </cell>
          <cell r="Q50">
            <v>14</v>
          </cell>
        </row>
        <row r="51">
          <cell r="D51" t="str">
            <v>108-05-4</v>
          </cell>
          <cell r="E51">
            <v>108054</v>
          </cell>
          <cell r="F51">
            <v>228</v>
          </cell>
          <cell r="G51" t="str">
            <v>Reach_727</v>
          </cell>
          <cell r="H51">
            <v>43</v>
          </cell>
          <cell r="J51">
            <v>86.09</v>
          </cell>
          <cell r="K51">
            <v>-83.5</v>
          </cell>
          <cell r="L51">
            <v>15862.7</v>
          </cell>
          <cell r="M51">
            <v>27993</v>
          </cell>
          <cell r="N51">
            <v>5.3703179637025285</v>
          </cell>
          <cell r="Q51">
            <v>14</v>
          </cell>
        </row>
        <row r="52">
          <cell r="D52" t="str">
            <v>112-84-5</v>
          </cell>
          <cell r="E52">
            <v>112845</v>
          </cell>
          <cell r="F52">
            <v>1607</v>
          </cell>
          <cell r="G52" t="str">
            <v>Reach_926</v>
          </cell>
          <cell r="H52">
            <v>44</v>
          </cell>
          <cell r="J52">
            <v>337.59</v>
          </cell>
          <cell r="K52">
            <v>183.35</v>
          </cell>
          <cell r="L52">
            <v>1.1037240000000001E-5</v>
          </cell>
          <cell r="M52">
            <v>4.5800000000000002E-5</v>
          </cell>
          <cell r="N52">
            <v>275422870.33381695</v>
          </cell>
          <cell r="O52">
            <v>15.1</v>
          </cell>
          <cell r="P52">
            <v>14.3</v>
          </cell>
          <cell r="Q52">
            <v>-0.30000000000000071</v>
          </cell>
        </row>
        <row r="53">
          <cell r="D53" t="str">
            <v>79-10-7</v>
          </cell>
          <cell r="E53">
            <v>79107</v>
          </cell>
          <cell r="F53">
            <v>914</v>
          </cell>
          <cell r="G53" t="str">
            <v>Reach_230</v>
          </cell>
          <cell r="H53">
            <v>45</v>
          </cell>
          <cell r="J53">
            <v>72.063000000000002</v>
          </cell>
          <cell r="K53">
            <v>-10.35</v>
          </cell>
          <cell r="L53">
            <v>802.46600000000001</v>
          </cell>
          <cell r="M53">
            <v>151000</v>
          </cell>
          <cell r="N53">
            <v>2.7542287033381663</v>
          </cell>
          <cell r="O53">
            <v>4.5999999999999996</v>
          </cell>
          <cell r="Q53">
            <v>4.5999999999999996</v>
          </cell>
        </row>
        <row r="54">
          <cell r="D54" t="str">
            <v>78-78-4</v>
          </cell>
          <cell r="E54">
            <v>78784</v>
          </cell>
          <cell r="F54">
            <v>3758</v>
          </cell>
          <cell r="G54" t="str">
            <v>Reach_208</v>
          </cell>
          <cell r="H54">
            <v>46</v>
          </cell>
          <cell r="J54">
            <v>72.150999999999996</v>
          </cell>
          <cell r="K54">
            <v>-119.04</v>
          </cell>
          <cell r="L54">
            <v>91710.400000000009</v>
          </cell>
          <cell r="M54">
            <v>304.05</v>
          </cell>
          <cell r="N54">
            <v>524.80746024977293</v>
          </cell>
          <cell r="Q54">
            <v>14</v>
          </cell>
        </row>
        <row r="55">
          <cell r="D55" t="str">
            <v>95-47-6</v>
          </cell>
          <cell r="E55">
            <v>95476</v>
          </cell>
          <cell r="F55">
            <v>1028</v>
          </cell>
          <cell r="G55" t="str">
            <v>Reach_428</v>
          </cell>
          <cell r="H55">
            <v>47</v>
          </cell>
          <cell r="J55">
            <v>106.17</v>
          </cell>
          <cell r="K55">
            <v>-40.69</v>
          </cell>
          <cell r="L55">
            <v>907.77300000000002</v>
          </cell>
          <cell r="M55">
            <v>189.81</v>
          </cell>
          <cell r="N55">
            <v>1230.2687708123824</v>
          </cell>
          <cell r="Q55">
            <v>14</v>
          </cell>
        </row>
        <row r="56">
          <cell r="D56" t="str">
            <v>124-04-9</v>
          </cell>
          <cell r="E56">
            <v>124049</v>
          </cell>
          <cell r="F56">
            <v>400</v>
          </cell>
          <cell r="G56" t="str">
            <v>Reach_1065</v>
          </cell>
          <cell r="H56">
            <v>48</v>
          </cell>
          <cell r="J56">
            <v>146.13999999999999</v>
          </cell>
          <cell r="K56">
            <v>101.99</v>
          </cell>
          <cell r="L56">
            <v>1.7062400000000001E-3</v>
          </cell>
          <cell r="M56">
            <v>64744</v>
          </cell>
          <cell r="N56">
            <v>1.6982436524617444</v>
          </cell>
          <cell r="O56">
            <v>4.51</v>
          </cell>
          <cell r="Q56">
            <v>4.51</v>
          </cell>
        </row>
        <row r="57">
          <cell r="D57" t="str">
            <v>3323-53-3</v>
          </cell>
          <cell r="E57">
            <v>3323533</v>
          </cell>
          <cell r="F57">
            <v>5845</v>
          </cell>
          <cell r="G57" t="str">
            <v>Reach_1947</v>
          </cell>
          <cell r="H57">
            <v>49</v>
          </cell>
          <cell r="J57">
            <v>262.35000000000002</v>
          </cell>
          <cell r="K57">
            <v>0</v>
          </cell>
          <cell r="Q57">
            <v>14</v>
          </cell>
        </row>
        <row r="58">
          <cell r="D58" t="str">
            <v>109-66-0</v>
          </cell>
          <cell r="E58">
            <v>109660</v>
          </cell>
          <cell r="F58">
            <v>260</v>
          </cell>
          <cell r="G58" t="str">
            <v>Reach_783</v>
          </cell>
          <cell r="H58">
            <v>50</v>
          </cell>
          <cell r="J58">
            <v>72.150999999999996</v>
          </cell>
          <cell r="K58">
            <v>-106.92</v>
          </cell>
          <cell r="L58">
            <v>68382.900000000009</v>
          </cell>
          <cell r="M58">
            <v>318.5</v>
          </cell>
          <cell r="N58">
            <v>630.95734448019323</v>
          </cell>
          <cell r="Q58">
            <v>14</v>
          </cell>
        </row>
        <row r="59">
          <cell r="D59" t="str">
            <v>123-72-8</v>
          </cell>
          <cell r="E59">
            <v>123728</v>
          </cell>
          <cell r="F59">
            <v>396</v>
          </cell>
          <cell r="G59" t="str">
            <v>Reach_1056</v>
          </cell>
          <cell r="H59">
            <v>51</v>
          </cell>
          <cell r="J59">
            <v>72.106999999999999</v>
          </cell>
          <cell r="K59">
            <v>-80.23</v>
          </cell>
          <cell r="L59">
            <v>14396.400000000001</v>
          </cell>
          <cell r="M59">
            <v>50277</v>
          </cell>
          <cell r="N59">
            <v>6.6069344800759611</v>
          </cell>
          <cell r="Q59">
            <v>14</v>
          </cell>
        </row>
        <row r="60">
          <cell r="D60" t="str">
            <v>994-05-8</v>
          </cell>
          <cell r="E60">
            <v>994058</v>
          </cell>
          <cell r="F60">
            <v>4205</v>
          </cell>
          <cell r="G60" t="str">
            <v>Reach_1628</v>
          </cell>
          <cell r="H60">
            <v>52</v>
          </cell>
          <cell r="J60">
            <v>102.18</v>
          </cell>
          <cell r="K60">
            <v>-81.22</v>
          </cell>
          <cell r="L60">
            <v>10024.160000000002</v>
          </cell>
          <cell r="M60">
            <v>24698</v>
          </cell>
          <cell r="N60">
            <v>83.176377110267126</v>
          </cell>
          <cell r="Q60">
            <v>14</v>
          </cell>
        </row>
        <row r="61">
          <cell r="D61" t="str">
            <v>108-78-1</v>
          </cell>
          <cell r="E61">
            <v>108781</v>
          </cell>
          <cell r="F61">
            <v>4</v>
          </cell>
          <cell r="G61" t="str">
            <v>Reach_756</v>
          </cell>
          <cell r="H61">
            <v>53</v>
          </cell>
          <cell r="J61">
            <v>126.13</v>
          </cell>
          <cell r="K61">
            <v>133.08000000000001</v>
          </cell>
          <cell r="L61">
            <v>1.190369E-5</v>
          </cell>
          <cell r="M61">
            <v>911000</v>
          </cell>
          <cell r="N61">
            <v>0.41686938347033536</v>
          </cell>
          <cell r="P61">
            <v>8.6999999999999993</v>
          </cell>
          <cell r="Q61">
            <v>5.3000000000000007</v>
          </cell>
        </row>
        <row r="62">
          <cell r="D62" t="str">
            <v>104-76-7</v>
          </cell>
          <cell r="E62">
            <v>104767</v>
          </cell>
          <cell r="F62">
            <v>170</v>
          </cell>
          <cell r="G62" t="str">
            <v>Reach_629</v>
          </cell>
          <cell r="H62">
            <v>54</v>
          </cell>
          <cell r="J62">
            <v>144.26</v>
          </cell>
          <cell r="K62">
            <v>-14.04</v>
          </cell>
          <cell r="L62">
            <v>5.8785300000000005</v>
          </cell>
          <cell r="M62">
            <v>140.44</v>
          </cell>
          <cell r="N62">
            <v>1659.5869074375626</v>
          </cell>
          <cell r="O62">
            <v>15.9</v>
          </cell>
          <cell r="Q62">
            <v>14</v>
          </cell>
        </row>
        <row r="63">
          <cell r="D63" t="str">
            <v>28553-12-0</v>
          </cell>
          <cell r="E63">
            <v>28553120</v>
          </cell>
          <cell r="F63">
            <v>582</v>
          </cell>
          <cell r="G63" t="str">
            <v>Reach_2621</v>
          </cell>
          <cell r="H63">
            <v>55</v>
          </cell>
          <cell r="J63">
            <v>418.62</v>
          </cell>
          <cell r="K63">
            <v>84.91</v>
          </cell>
          <cell r="L63">
            <v>3.0658999999999999E-5</v>
          </cell>
          <cell r="M63">
            <v>2.7020999999999998E-3</v>
          </cell>
          <cell r="N63">
            <v>2344228815.3199205</v>
          </cell>
          <cell r="Q63">
            <v>14</v>
          </cell>
        </row>
        <row r="64">
          <cell r="D64" t="str">
            <v>80-62-6</v>
          </cell>
          <cell r="E64">
            <v>80626</v>
          </cell>
          <cell r="F64">
            <v>938</v>
          </cell>
          <cell r="G64" t="str">
            <v>Reach_268</v>
          </cell>
          <cell r="H64">
            <v>56</v>
          </cell>
          <cell r="J64">
            <v>100.12</v>
          </cell>
          <cell r="K64">
            <v>-79.63</v>
          </cell>
          <cell r="L64">
            <v>4892.1100000000006</v>
          </cell>
          <cell r="M64">
            <v>36303</v>
          </cell>
          <cell r="N64">
            <v>19.054607179632477</v>
          </cell>
          <cell r="Q64">
            <v>14</v>
          </cell>
        </row>
        <row r="65">
          <cell r="D65" t="str">
            <v>141-32-2</v>
          </cell>
          <cell r="E65">
            <v>141322</v>
          </cell>
          <cell r="F65">
            <v>455</v>
          </cell>
          <cell r="G65" t="str">
            <v>Reach_1161</v>
          </cell>
          <cell r="H65">
            <v>57</v>
          </cell>
          <cell r="J65">
            <v>128.16999999999999</v>
          </cell>
          <cell r="K65">
            <v>-45.97</v>
          </cell>
          <cell r="L65">
            <v>673.16500000000008</v>
          </cell>
          <cell r="M65">
            <v>1820.7</v>
          </cell>
          <cell r="N65">
            <v>158.48931924611153</v>
          </cell>
          <cell r="Q65">
            <v>14</v>
          </cell>
        </row>
        <row r="66">
          <cell r="D66" t="str">
            <v>141-43-5</v>
          </cell>
          <cell r="E66">
            <v>141435</v>
          </cell>
          <cell r="F66">
            <v>456</v>
          </cell>
          <cell r="G66" t="str">
            <v>Reach_1162</v>
          </cell>
          <cell r="H66">
            <v>58</v>
          </cell>
          <cell r="J66">
            <v>61.085000000000001</v>
          </cell>
          <cell r="K66">
            <v>-27.55</v>
          </cell>
          <cell r="L66">
            <v>54.5197</v>
          </cell>
          <cell r="M66">
            <v>1000000</v>
          </cell>
          <cell r="N66">
            <v>2.4547089156850287E-2</v>
          </cell>
          <cell r="O66">
            <v>15.03</v>
          </cell>
          <cell r="P66">
            <v>5</v>
          </cell>
          <cell r="Q66">
            <v>9</v>
          </cell>
        </row>
        <row r="67">
          <cell r="D67" t="str">
            <v>85-44-9</v>
          </cell>
          <cell r="E67">
            <v>85449</v>
          </cell>
          <cell r="F67">
            <v>966</v>
          </cell>
          <cell r="G67" t="str">
            <v>Reach_297</v>
          </cell>
          <cell r="H67">
            <v>59</v>
          </cell>
          <cell r="J67">
            <v>148.12</v>
          </cell>
          <cell r="K67">
            <v>21.79</v>
          </cell>
          <cell r="L67">
            <v>2.9592600000000004E-2</v>
          </cell>
          <cell r="M67">
            <v>528.92999999999995</v>
          </cell>
          <cell r="N67">
            <v>117.48975549395293</v>
          </cell>
          <cell r="Q67">
            <v>14</v>
          </cell>
        </row>
        <row r="68">
          <cell r="D68" t="str">
            <v>57-55-6</v>
          </cell>
          <cell r="E68">
            <v>57556</v>
          </cell>
          <cell r="F68">
            <v>722</v>
          </cell>
          <cell r="G68" t="str">
            <v>Reach_41</v>
          </cell>
          <cell r="H68">
            <v>60</v>
          </cell>
          <cell r="J68">
            <v>76.094999999999999</v>
          </cell>
          <cell r="K68">
            <v>-33.01</v>
          </cell>
          <cell r="L68">
            <v>14.796300000000002</v>
          </cell>
          <cell r="M68">
            <v>1720000</v>
          </cell>
          <cell r="N68">
            <v>0.16595869074375599</v>
          </cell>
          <cell r="O68">
            <v>14.86</v>
          </cell>
          <cell r="Q68">
            <v>14</v>
          </cell>
        </row>
        <row r="69">
          <cell r="D69" t="str">
            <v>106-98-9</v>
          </cell>
          <cell r="E69">
            <v>106989</v>
          </cell>
          <cell r="F69">
            <v>1452</v>
          </cell>
          <cell r="G69" t="str">
            <v>Reach_687</v>
          </cell>
          <cell r="H69">
            <v>61</v>
          </cell>
          <cell r="J69">
            <v>56.107999999999997</v>
          </cell>
          <cell r="K69">
            <v>-121.74</v>
          </cell>
          <cell r="L69">
            <v>247938.00000000003</v>
          </cell>
          <cell r="M69">
            <v>1102.4000000000001</v>
          </cell>
          <cell r="N69">
            <v>147.91083881682084</v>
          </cell>
          <cell r="Q69">
            <v>14</v>
          </cell>
        </row>
        <row r="70">
          <cell r="D70" t="str">
            <v>71-36-3</v>
          </cell>
          <cell r="E70">
            <v>71363</v>
          </cell>
          <cell r="F70">
            <v>819</v>
          </cell>
          <cell r="G70" t="str">
            <v>Reach_101</v>
          </cell>
          <cell r="H70">
            <v>62</v>
          </cell>
          <cell r="J70">
            <v>74.123000000000005</v>
          </cell>
          <cell r="K70">
            <v>-62.33</v>
          </cell>
          <cell r="L70">
            <v>1037.0740000000001</v>
          </cell>
          <cell r="M70">
            <v>74683</v>
          </cell>
          <cell r="N70">
            <v>6.9183097091893666</v>
          </cell>
          <cell r="O70">
            <v>15.9</v>
          </cell>
          <cell r="Q70">
            <v>14</v>
          </cell>
        </row>
        <row r="71">
          <cell r="D71" t="str">
            <v>98-85-1</v>
          </cell>
          <cell r="E71">
            <v>98851</v>
          </cell>
          <cell r="F71">
            <v>4194</v>
          </cell>
          <cell r="G71" t="str">
            <v>Reach_520</v>
          </cell>
          <cell r="H71">
            <v>63</v>
          </cell>
          <cell r="J71">
            <v>122.17</v>
          </cell>
          <cell r="K71">
            <v>-6.87</v>
          </cell>
          <cell r="L71">
            <v>7.2648500000000009</v>
          </cell>
          <cell r="M71">
            <v>10708</v>
          </cell>
          <cell r="N71">
            <v>30.902954325135919</v>
          </cell>
          <cell r="O71">
            <v>14.89</v>
          </cell>
          <cell r="Q71">
            <v>14</v>
          </cell>
        </row>
        <row r="72">
          <cell r="D72" t="str">
            <v>108-24-7</v>
          </cell>
          <cell r="E72">
            <v>108247</v>
          </cell>
          <cell r="F72">
            <v>234</v>
          </cell>
          <cell r="G72" t="str">
            <v>Reach_737</v>
          </cell>
          <cell r="H72">
            <v>64</v>
          </cell>
          <cell r="J72">
            <v>102.09</v>
          </cell>
          <cell r="K72">
            <v>-95.1</v>
          </cell>
          <cell r="L72">
            <v>866.45</v>
          </cell>
          <cell r="M72">
            <v>28573</v>
          </cell>
          <cell r="N72">
            <v>0.2630267991895382</v>
          </cell>
          <cell r="Q72">
            <v>14</v>
          </cell>
        </row>
        <row r="73">
          <cell r="D73" t="str">
            <v>111-66-0</v>
          </cell>
          <cell r="E73">
            <v>111660</v>
          </cell>
          <cell r="F73">
            <v>1553</v>
          </cell>
          <cell r="G73" t="str">
            <v>Reach_864</v>
          </cell>
          <cell r="H73">
            <v>65</v>
          </cell>
          <cell r="J73">
            <v>112.22</v>
          </cell>
          <cell r="K73">
            <v>-69.84</v>
          </cell>
          <cell r="L73">
            <v>2199.4500000000003</v>
          </cell>
          <cell r="M73">
            <v>9.9878</v>
          </cell>
          <cell r="N73">
            <v>13489.628825916556</v>
          </cell>
          <cell r="Q73">
            <v>14</v>
          </cell>
        </row>
        <row r="74">
          <cell r="D74" t="str">
            <v>78-79-5</v>
          </cell>
          <cell r="E74">
            <v>78795</v>
          </cell>
          <cell r="F74">
            <v>900</v>
          </cell>
          <cell r="G74" t="str">
            <v>Reach_209</v>
          </cell>
          <cell r="H74">
            <v>66</v>
          </cell>
          <cell r="J74">
            <v>68.119</v>
          </cell>
          <cell r="K74">
            <v>-118.89</v>
          </cell>
          <cell r="L74">
            <v>73448.3</v>
          </cell>
          <cell r="M74">
            <v>551.84</v>
          </cell>
          <cell r="N74">
            <v>380.18939632056163</v>
          </cell>
          <cell r="Q74">
            <v>14</v>
          </cell>
        </row>
        <row r="75">
          <cell r="D75" t="str">
            <v>27458-94-2</v>
          </cell>
          <cell r="E75">
            <v>27458942</v>
          </cell>
          <cell r="F75">
            <v>2507</v>
          </cell>
          <cell r="G75" t="str">
            <v>Reach_2605</v>
          </cell>
          <cell r="H75">
            <v>67</v>
          </cell>
          <cell r="J75">
            <v>144.26</v>
          </cell>
          <cell r="K75">
            <v>-14.04</v>
          </cell>
          <cell r="L75">
            <v>2.6393400000000002</v>
          </cell>
          <cell r="M75">
            <v>140.44</v>
          </cell>
          <cell r="N75">
            <v>1659.5869074375626</v>
          </cell>
          <cell r="O75">
            <v>15.9</v>
          </cell>
          <cell r="Q75">
            <v>14</v>
          </cell>
        </row>
        <row r="76">
          <cell r="D76" t="str">
            <v>112-53-8</v>
          </cell>
          <cell r="E76">
            <v>112538</v>
          </cell>
          <cell r="F76">
            <v>332</v>
          </cell>
          <cell r="G76" t="str">
            <v>Reach_911</v>
          </cell>
          <cell r="H76">
            <v>68</v>
          </cell>
          <cell r="J76">
            <v>186.34</v>
          </cell>
          <cell r="K76">
            <v>29.19</v>
          </cell>
          <cell r="L76">
            <v>0.24127300000000002</v>
          </cell>
          <cell r="M76">
            <v>5.7872000000000003</v>
          </cell>
          <cell r="N76">
            <v>58884.365535558936</v>
          </cell>
          <cell r="O76">
            <v>15.9</v>
          </cell>
          <cell r="Q76">
            <v>14</v>
          </cell>
        </row>
        <row r="77">
          <cell r="D77" t="str">
            <v>111-46-6</v>
          </cell>
          <cell r="E77">
            <v>111466</v>
          </cell>
          <cell r="F77">
            <v>302</v>
          </cell>
          <cell r="G77" t="str">
            <v>Reach_858</v>
          </cell>
          <cell r="H77">
            <v>69</v>
          </cell>
          <cell r="J77">
            <v>106.12</v>
          </cell>
          <cell r="K77">
            <v>9</v>
          </cell>
          <cell r="L77">
            <v>0.35457800000000006</v>
          </cell>
          <cell r="M77">
            <v>4440000</v>
          </cell>
          <cell r="N77">
            <v>3.3884415613920249E-2</v>
          </cell>
          <cell r="O77">
            <v>14.6</v>
          </cell>
          <cell r="Q77">
            <v>14</v>
          </cell>
        </row>
        <row r="78">
          <cell r="D78" t="str">
            <v>88-72-2</v>
          </cell>
          <cell r="E78">
            <v>88722</v>
          </cell>
          <cell r="F78">
            <v>985</v>
          </cell>
          <cell r="G78" t="str">
            <v>Reach_329</v>
          </cell>
          <cell r="H78">
            <v>70</v>
          </cell>
          <cell r="J78">
            <v>137.13999999999999</v>
          </cell>
          <cell r="K78">
            <v>38.159999999999997</v>
          </cell>
          <cell r="L78">
            <v>15.7294</v>
          </cell>
          <cell r="M78">
            <v>587.77</v>
          </cell>
          <cell r="N78">
            <v>229.08676527677744</v>
          </cell>
          <cell r="Q78">
            <v>14</v>
          </cell>
        </row>
        <row r="79">
          <cell r="D79" t="str">
            <v>75-79-6</v>
          </cell>
          <cell r="E79">
            <v>75796</v>
          </cell>
          <cell r="F79">
            <v>3689</v>
          </cell>
          <cell r="G79" t="str">
            <v>Reach_163</v>
          </cell>
          <cell r="H79">
            <v>71</v>
          </cell>
          <cell r="J79">
            <v>149.47999999999999</v>
          </cell>
          <cell r="K79">
            <v>-77.069999999999993</v>
          </cell>
          <cell r="L79">
            <v>20928.100000000002</v>
          </cell>
          <cell r="M79">
            <v>34260</v>
          </cell>
          <cell r="N79">
            <v>102.32929922807544</v>
          </cell>
          <cell r="Q79">
            <v>14</v>
          </cell>
        </row>
        <row r="80">
          <cell r="D80" t="str">
            <v>141-78-6</v>
          </cell>
          <cell r="E80">
            <v>141786</v>
          </cell>
          <cell r="F80">
            <v>458</v>
          </cell>
          <cell r="G80" t="str">
            <v>Reach_1168</v>
          </cell>
          <cell r="H80">
            <v>72</v>
          </cell>
          <cell r="J80">
            <v>88.105999999999995</v>
          </cell>
          <cell r="K80">
            <v>-82.08</v>
          </cell>
          <cell r="L80">
            <v>13103.390000000001</v>
          </cell>
          <cell r="M80">
            <v>38076</v>
          </cell>
          <cell r="N80">
            <v>7.2443596007499025</v>
          </cell>
          <cell r="Q80">
            <v>14</v>
          </cell>
        </row>
        <row r="81">
          <cell r="D81" t="str">
            <v>25068-38-6</v>
          </cell>
          <cell r="E81">
            <v>25068386</v>
          </cell>
          <cell r="F81">
            <v>5795</v>
          </cell>
          <cell r="G81" t="str">
            <v>Reach_4051</v>
          </cell>
          <cell r="H81">
            <v>73</v>
          </cell>
          <cell r="J81">
            <v>320.82</v>
          </cell>
          <cell r="K81">
            <v>0</v>
          </cell>
          <cell r="Q81">
            <v>14</v>
          </cell>
        </row>
        <row r="82">
          <cell r="D82" t="str">
            <v>11071-47-9</v>
          </cell>
          <cell r="E82">
            <v>11071479</v>
          </cell>
          <cell r="F82">
            <v>1529</v>
          </cell>
          <cell r="G82" t="str">
            <v>Reach_2303</v>
          </cell>
          <cell r="H82">
            <v>74</v>
          </cell>
          <cell r="J82">
            <v>112.22</v>
          </cell>
          <cell r="K82">
            <v>-81.5</v>
          </cell>
          <cell r="L82">
            <v>3332.5000000000005</v>
          </cell>
          <cell r="M82">
            <v>5.4425999999999997</v>
          </cell>
          <cell r="N82">
            <v>11481.536214968832</v>
          </cell>
          <cell r="Q82">
            <v>14</v>
          </cell>
        </row>
        <row r="83">
          <cell r="D83" t="str">
            <v>75-91-2</v>
          </cell>
          <cell r="E83">
            <v>75912</v>
          </cell>
          <cell r="F83">
            <v>867</v>
          </cell>
          <cell r="G83" t="str">
            <v>Reach_166</v>
          </cell>
          <cell r="H83">
            <v>75</v>
          </cell>
          <cell r="J83">
            <v>90.122</v>
          </cell>
          <cell r="K83">
            <v>-41.4</v>
          </cell>
          <cell r="L83">
            <v>5078.7300000000005</v>
          </cell>
          <cell r="M83">
            <v>271000</v>
          </cell>
          <cell r="N83">
            <v>8.709635899560805</v>
          </cell>
          <cell r="O83">
            <v>12.7</v>
          </cell>
          <cell r="Q83">
            <v>12.7</v>
          </cell>
        </row>
        <row r="84">
          <cell r="D84" t="str">
            <v>124-09-4</v>
          </cell>
          <cell r="E84">
            <v>124094</v>
          </cell>
          <cell r="F84">
            <v>1783</v>
          </cell>
          <cell r="G84" t="str">
            <v>Reach_1067</v>
          </cell>
          <cell r="H84">
            <v>76</v>
          </cell>
          <cell r="J84">
            <v>116.21</v>
          </cell>
          <cell r="K84">
            <v>24.53</v>
          </cell>
          <cell r="L84">
            <v>24.393900000000002</v>
          </cell>
          <cell r="M84">
            <v>1110000</v>
          </cell>
          <cell r="N84">
            <v>2.2387211385683394</v>
          </cell>
          <cell r="P84">
            <v>3.23</v>
          </cell>
          <cell r="Q84">
            <v>10.77</v>
          </cell>
        </row>
        <row r="85">
          <cell r="D85" t="str">
            <v>112-72-1</v>
          </cell>
          <cell r="E85">
            <v>112721</v>
          </cell>
          <cell r="F85">
            <v>1599</v>
          </cell>
          <cell r="G85" t="str">
            <v>Reach_920</v>
          </cell>
          <cell r="H85">
            <v>77</v>
          </cell>
          <cell r="J85">
            <v>214.39</v>
          </cell>
          <cell r="K85">
            <v>49.43</v>
          </cell>
          <cell r="L85">
            <v>2.6793300000000003E-2</v>
          </cell>
          <cell r="M85">
            <v>0.52470000000000006</v>
          </cell>
          <cell r="N85">
            <v>562341.32519035018</v>
          </cell>
          <cell r="O85">
            <v>15.9</v>
          </cell>
          <cell r="Q85">
            <v>14</v>
          </cell>
        </row>
        <row r="86">
          <cell r="D86" t="str">
            <v>110-63-4</v>
          </cell>
          <cell r="E86">
            <v>110634</v>
          </cell>
          <cell r="F86">
            <v>1526</v>
          </cell>
          <cell r="G86" t="str">
            <v>Reach_822</v>
          </cell>
          <cell r="H86">
            <v>78</v>
          </cell>
          <cell r="J86">
            <v>90.122</v>
          </cell>
          <cell r="K86">
            <v>-8.08</v>
          </cell>
          <cell r="L86">
            <v>0.72515200000000013</v>
          </cell>
          <cell r="M86">
            <v>1450000</v>
          </cell>
          <cell r="N86">
            <v>0.60255958607435778</v>
          </cell>
          <cell r="O86">
            <v>15.47</v>
          </cell>
          <cell r="Q86">
            <v>14</v>
          </cell>
        </row>
        <row r="87">
          <cell r="D87" t="str">
            <v>112-92-5</v>
          </cell>
          <cell r="E87">
            <v>112925</v>
          </cell>
          <cell r="F87">
            <v>1611</v>
          </cell>
          <cell r="G87" t="str">
            <v>Reach_930</v>
          </cell>
          <cell r="H87">
            <v>79</v>
          </cell>
          <cell r="J87">
            <v>270.5</v>
          </cell>
          <cell r="K87">
            <v>86.85</v>
          </cell>
          <cell r="L87">
            <v>2.4393900000000004E-4</v>
          </cell>
          <cell r="M87">
            <v>4.3655999999999999E-3</v>
          </cell>
          <cell r="N87">
            <v>52480746.024977304</v>
          </cell>
          <cell r="O87">
            <v>15.9</v>
          </cell>
          <cell r="Q87">
            <v>14</v>
          </cell>
        </row>
        <row r="88">
          <cell r="D88" t="str">
            <v>67-63-0</v>
          </cell>
          <cell r="E88">
            <v>67630</v>
          </cell>
          <cell r="F88">
            <v>794</v>
          </cell>
          <cell r="G88" t="str">
            <v>Reach_85</v>
          </cell>
          <cell r="H88">
            <v>80</v>
          </cell>
          <cell r="J88">
            <v>60.095999999999997</v>
          </cell>
          <cell r="K88">
            <v>-89.16</v>
          </cell>
          <cell r="L88">
            <v>6611.6800000000012</v>
          </cell>
          <cell r="M88">
            <v>358000</v>
          </cell>
          <cell r="N88">
            <v>1.9054607179632475</v>
          </cell>
          <cell r="O88">
            <v>16</v>
          </cell>
          <cell r="Q88">
            <v>14</v>
          </cell>
        </row>
        <row r="89">
          <cell r="D89" t="str">
            <v>7446-81-3</v>
          </cell>
          <cell r="E89">
            <v>7446813</v>
          </cell>
          <cell r="F89">
            <v>6021</v>
          </cell>
          <cell r="G89" t="str">
            <v>Reach_2250</v>
          </cell>
          <cell r="H89">
            <v>81</v>
          </cell>
          <cell r="J89">
            <v>94.046000000000006</v>
          </cell>
          <cell r="K89">
            <v>0</v>
          </cell>
          <cell r="Q89">
            <v>14</v>
          </cell>
        </row>
        <row r="90">
          <cell r="D90" t="str">
            <v>117-81-7</v>
          </cell>
          <cell r="E90">
            <v>117817</v>
          </cell>
          <cell r="F90">
            <v>346</v>
          </cell>
          <cell r="G90" t="str">
            <v>Reach_961</v>
          </cell>
          <cell r="H90">
            <v>82</v>
          </cell>
          <cell r="J90">
            <v>390.56</v>
          </cell>
          <cell r="K90">
            <v>63.87</v>
          </cell>
          <cell r="L90">
            <v>2.7059900000000001E-3</v>
          </cell>
          <cell r="M90">
            <v>1.8518E-2</v>
          </cell>
          <cell r="N90">
            <v>245470891.56850341</v>
          </cell>
          <cell r="Q90">
            <v>14</v>
          </cell>
        </row>
        <row r="91">
          <cell r="D91" t="str">
            <v>36653-82-4</v>
          </cell>
          <cell r="E91">
            <v>36653824</v>
          </cell>
          <cell r="F91">
            <v>615</v>
          </cell>
          <cell r="G91" t="str">
            <v>Reach_2702</v>
          </cell>
          <cell r="H91">
            <v>83</v>
          </cell>
          <cell r="J91">
            <v>242.45</v>
          </cell>
          <cell r="K91">
            <v>68.61</v>
          </cell>
          <cell r="L91">
            <v>1.1903689999999999E-3</v>
          </cell>
          <cell r="M91">
            <v>2.1052999999999999E-2</v>
          </cell>
          <cell r="N91">
            <v>5370317.9637025446</v>
          </cell>
          <cell r="O91">
            <v>15.9</v>
          </cell>
          <cell r="Q91">
            <v>14</v>
          </cell>
        </row>
        <row r="92">
          <cell r="D92" t="str">
            <v>99-99-0</v>
          </cell>
          <cell r="E92">
            <v>99990</v>
          </cell>
          <cell r="F92">
            <v>1095</v>
          </cell>
          <cell r="G92" t="str">
            <v>Reach_545</v>
          </cell>
          <cell r="H92">
            <v>84</v>
          </cell>
          <cell r="J92">
            <v>137.13999999999999</v>
          </cell>
          <cell r="K92">
            <v>38.159999999999997</v>
          </cell>
          <cell r="L92">
            <v>3.6657500000000005</v>
          </cell>
          <cell r="M92">
            <v>284.74</v>
          </cell>
          <cell r="N92">
            <v>229.08676527677744</v>
          </cell>
          <cell r="Q92">
            <v>14</v>
          </cell>
        </row>
        <row r="93">
          <cell r="D93" t="str">
            <v>101-68-8</v>
          </cell>
          <cell r="E93">
            <v>101688</v>
          </cell>
          <cell r="F93">
            <v>1325</v>
          </cell>
          <cell r="G93" t="str">
            <v>Reach_580</v>
          </cell>
          <cell r="H93">
            <v>85</v>
          </cell>
          <cell r="J93">
            <v>250.26</v>
          </cell>
          <cell r="K93">
            <v>98.71</v>
          </cell>
          <cell r="L93">
            <v>2.5193700000000003E-2</v>
          </cell>
          <cell r="M93">
            <v>35.137</v>
          </cell>
          <cell r="N93">
            <v>165958.69074375604</v>
          </cell>
          <cell r="Q93">
            <v>14</v>
          </cell>
        </row>
        <row r="94">
          <cell r="D94" t="str">
            <v>107-01-7</v>
          </cell>
          <cell r="E94">
            <v>107017</v>
          </cell>
          <cell r="F94">
            <v>1454</v>
          </cell>
          <cell r="G94" t="str">
            <v>Reach_689</v>
          </cell>
          <cell r="H94">
            <v>86</v>
          </cell>
          <cell r="J94">
            <v>56.107999999999997</v>
          </cell>
          <cell r="K94">
            <v>-120.41</v>
          </cell>
          <cell r="L94">
            <v>230609.00000000003</v>
          </cell>
          <cell r="M94">
            <v>933.53</v>
          </cell>
          <cell r="N94">
            <v>123.02687708123821</v>
          </cell>
          <cell r="Q94">
            <v>14</v>
          </cell>
        </row>
        <row r="95">
          <cell r="D95" t="str">
            <v>120-61-6</v>
          </cell>
          <cell r="E95">
            <v>120616</v>
          </cell>
          <cell r="F95">
            <v>1717</v>
          </cell>
          <cell r="G95" t="str">
            <v>Reach_999</v>
          </cell>
          <cell r="H95">
            <v>87</v>
          </cell>
          <cell r="J95">
            <v>194.19</v>
          </cell>
          <cell r="K95">
            <v>-22.74</v>
          </cell>
          <cell r="L95">
            <v>3.3058400000000002E-2</v>
          </cell>
          <cell r="M95">
            <v>1962.7</v>
          </cell>
          <cell r="N95">
            <v>45.708818961487509</v>
          </cell>
          <cell r="Q95">
            <v>14</v>
          </cell>
        </row>
        <row r="96">
          <cell r="D96" t="str">
            <v>102-71-6</v>
          </cell>
          <cell r="E96">
            <v>102716</v>
          </cell>
          <cell r="F96">
            <v>155</v>
          </cell>
          <cell r="G96" t="str">
            <v>Reach_596</v>
          </cell>
          <cell r="H96">
            <v>88</v>
          </cell>
          <cell r="J96">
            <v>149.19</v>
          </cell>
          <cell r="K96">
            <v>83.32</v>
          </cell>
          <cell r="L96">
            <v>4.5055400000000004E-4</v>
          </cell>
          <cell r="M96">
            <v>1000000</v>
          </cell>
          <cell r="N96">
            <v>3.3113112148259105E-3</v>
          </cell>
          <cell r="O96">
            <v>14.45</v>
          </cell>
          <cell r="P96">
            <v>6</v>
          </cell>
          <cell r="Q96">
            <v>8</v>
          </cell>
        </row>
        <row r="97">
          <cell r="D97" t="str">
            <v>77-92-9</v>
          </cell>
          <cell r="E97">
            <v>77929</v>
          </cell>
          <cell r="F97">
            <v>889</v>
          </cell>
          <cell r="G97" t="str">
            <v>Reach_189</v>
          </cell>
          <cell r="H97">
            <v>89</v>
          </cell>
          <cell r="J97">
            <v>192.12</v>
          </cell>
          <cell r="K97">
            <v>169.23</v>
          </cell>
          <cell r="L97">
            <v>7.5181200000000006E-7</v>
          </cell>
          <cell r="M97">
            <v>240000</v>
          </cell>
          <cell r="N97">
            <v>2.1379620895022322E-2</v>
          </cell>
          <cell r="O97">
            <v>2.97</v>
          </cell>
          <cell r="Q97">
            <v>2.97</v>
          </cell>
        </row>
        <row r="98">
          <cell r="D98" t="str">
            <v>25167-67-3</v>
          </cell>
          <cell r="E98">
            <v>25167673</v>
          </cell>
          <cell r="F98">
            <v>2419</v>
          </cell>
          <cell r="G98" t="str">
            <v>Reach_2560</v>
          </cell>
          <cell r="H98">
            <v>90</v>
          </cell>
          <cell r="J98">
            <v>56.107999999999997</v>
          </cell>
          <cell r="K98">
            <v>-121.74</v>
          </cell>
          <cell r="L98">
            <v>247938.00000000003</v>
          </cell>
          <cell r="M98">
            <v>1102.4000000000001</v>
          </cell>
          <cell r="N98">
            <v>147.91083881682084</v>
          </cell>
          <cell r="Q98">
            <v>14</v>
          </cell>
        </row>
        <row r="99">
          <cell r="D99" t="str">
            <v>75-09-2</v>
          </cell>
          <cell r="E99">
            <v>75092</v>
          </cell>
          <cell r="F99">
            <v>850</v>
          </cell>
          <cell r="G99" t="str">
            <v>Reach_129</v>
          </cell>
          <cell r="H99">
            <v>91</v>
          </cell>
          <cell r="J99">
            <v>84.933000000000007</v>
          </cell>
          <cell r="K99">
            <v>-89.5</v>
          </cell>
          <cell r="L99">
            <v>57585.600000000006</v>
          </cell>
          <cell r="M99">
            <v>17630</v>
          </cell>
          <cell r="N99">
            <v>21.877616239495538</v>
          </cell>
          <cell r="Q99">
            <v>14</v>
          </cell>
        </row>
        <row r="100">
          <cell r="D100" t="str">
            <v>108-93-0</v>
          </cell>
          <cell r="E100">
            <v>108930</v>
          </cell>
          <cell r="F100">
            <v>250</v>
          </cell>
          <cell r="G100" t="str">
            <v>Reach_763</v>
          </cell>
          <cell r="H100">
            <v>92</v>
          </cell>
          <cell r="J100">
            <v>100.16</v>
          </cell>
          <cell r="K100">
            <v>-33.4</v>
          </cell>
          <cell r="L100">
            <v>86.64500000000001</v>
          </cell>
          <cell r="M100">
            <v>28713</v>
          </cell>
          <cell r="N100">
            <v>43.651583224016612</v>
          </cell>
          <cell r="O100">
            <v>16</v>
          </cell>
          <cell r="Q100">
            <v>14</v>
          </cell>
        </row>
        <row r="101">
          <cell r="D101" t="str">
            <v>107-31-3</v>
          </cell>
          <cell r="E101">
            <v>107313</v>
          </cell>
          <cell r="F101">
            <v>1459</v>
          </cell>
          <cell r="G101" t="str">
            <v>Reach_704</v>
          </cell>
          <cell r="H101">
            <v>93</v>
          </cell>
          <cell r="J101">
            <v>60.052</v>
          </cell>
          <cell r="K101">
            <v>-99.48</v>
          </cell>
          <cell r="L101">
            <v>78913.600000000006</v>
          </cell>
          <cell r="M101">
            <v>201000</v>
          </cell>
          <cell r="N101">
            <v>0.67608297539198181</v>
          </cell>
          <cell r="Q101">
            <v>14</v>
          </cell>
        </row>
        <row r="102">
          <cell r="D102" t="str">
            <v>110-65-6</v>
          </cell>
          <cell r="E102">
            <v>110656</v>
          </cell>
          <cell r="F102">
            <v>281</v>
          </cell>
          <cell r="G102" t="str">
            <v>Reach_824</v>
          </cell>
          <cell r="H102">
            <v>94</v>
          </cell>
          <cell r="J102">
            <v>86.09</v>
          </cell>
          <cell r="K102">
            <v>29.02</v>
          </cell>
          <cell r="L102">
            <v>0.33058400000000004</v>
          </cell>
          <cell r="M102">
            <v>176000</v>
          </cell>
          <cell r="N102">
            <v>0.11748975549395291</v>
          </cell>
          <cell r="O102">
            <v>13.17</v>
          </cell>
          <cell r="Q102">
            <v>13.17</v>
          </cell>
        </row>
        <row r="103">
          <cell r="D103" t="str">
            <v>91-20-3</v>
          </cell>
          <cell r="E103">
            <v>91203</v>
          </cell>
          <cell r="F103">
            <v>107</v>
          </cell>
          <cell r="G103" t="str">
            <v>Reach_372</v>
          </cell>
          <cell r="H103">
            <v>95</v>
          </cell>
          <cell r="J103">
            <v>128.16999999999999</v>
          </cell>
          <cell r="K103">
            <v>5.01</v>
          </cell>
          <cell r="L103">
            <v>5.3853200000000001</v>
          </cell>
          <cell r="M103">
            <v>90.835999999999999</v>
          </cell>
          <cell r="N103">
            <v>1479.1083881682086</v>
          </cell>
          <cell r="Q103">
            <v>14</v>
          </cell>
        </row>
        <row r="104">
          <cell r="D104" t="str">
            <v>108-31-6</v>
          </cell>
          <cell r="E104">
            <v>108316</v>
          </cell>
          <cell r="F104">
            <v>235</v>
          </cell>
          <cell r="G104" t="str">
            <v>Reach_740</v>
          </cell>
          <cell r="H104">
            <v>96</v>
          </cell>
          <cell r="J104">
            <v>98.057000000000002</v>
          </cell>
          <cell r="K104">
            <v>-51.57</v>
          </cell>
          <cell r="L104">
            <v>22.127800000000004</v>
          </cell>
          <cell r="M104">
            <v>96595</v>
          </cell>
          <cell r="N104">
            <v>41.686938347033561</v>
          </cell>
          <cell r="Q104">
            <v>14</v>
          </cell>
        </row>
        <row r="105">
          <cell r="D105" t="str">
            <v>102-09-0</v>
          </cell>
          <cell r="E105">
            <v>102090</v>
          </cell>
          <cell r="F105">
            <v>1336</v>
          </cell>
          <cell r="G105" t="str">
            <v>Reach_590</v>
          </cell>
          <cell r="H105">
            <v>97</v>
          </cell>
          <cell r="J105">
            <v>214.22</v>
          </cell>
          <cell r="K105">
            <v>-2.0699999999999998</v>
          </cell>
          <cell r="L105">
            <v>5.2786800000000002E-2</v>
          </cell>
          <cell r="M105">
            <v>44.875999999999998</v>
          </cell>
          <cell r="N105">
            <v>1621.8100973589308</v>
          </cell>
          <cell r="Q105">
            <v>14</v>
          </cell>
        </row>
        <row r="106">
          <cell r="D106" t="str">
            <v>67-66-3</v>
          </cell>
          <cell r="E106">
            <v>67663</v>
          </cell>
          <cell r="F106">
            <v>83</v>
          </cell>
          <cell r="G106" t="str">
            <v>Reach_87</v>
          </cell>
          <cell r="H106">
            <v>98</v>
          </cell>
          <cell r="J106">
            <v>119.38</v>
          </cell>
          <cell r="K106">
            <v>-78.900000000000006</v>
          </cell>
          <cell r="L106">
            <v>25193.7</v>
          </cell>
          <cell r="M106">
            <v>6620</v>
          </cell>
          <cell r="N106">
            <v>33.113112148259127</v>
          </cell>
          <cell r="Q106">
            <v>14</v>
          </cell>
        </row>
        <row r="107">
          <cell r="D107" t="str">
            <v>64-18-6</v>
          </cell>
          <cell r="E107">
            <v>64186</v>
          </cell>
          <cell r="F107">
            <v>777</v>
          </cell>
          <cell r="G107" t="str">
            <v>Reach_71</v>
          </cell>
          <cell r="H107">
            <v>99</v>
          </cell>
          <cell r="J107">
            <v>46.024999999999999</v>
          </cell>
          <cell r="K107">
            <v>-24.95</v>
          </cell>
          <cell r="L107">
            <v>4785.47</v>
          </cell>
          <cell r="M107">
            <v>2140000</v>
          </cell>
          <cell r="N107">
            <v>0.34673685045253166</v>
          </cell>
          <cell r="O107">
            <v>3.8</v>
          </cell>
          <cell r="Q107">
            <v>3.8</v>
          </cell>
        </row>
        <row r="108">
          <cell r="D108" t="str">
            <v>98-83-9</v>
          </cell>
          <cell r="E108">
            <v>98839</v>
          </cell>
          <cell r="F108">
            <v>4193</v>
          </cell>
          <cell r="G108" t="str">
            <v>Reach_519</v>
          </cell>
          <cell r="H108">
            <v>100</v>
          </cell>
          <cell r="J108">
            <v>118.18</v>
          </cell>
          <cell r="K108">
            <v>-45.01</v>
          </cell>
          <cell r="L108">
            <v>259.935</v>
          </cell>
          <cell r="M108">
            <v>265.81</v>
          </cell>
          <cell r="N108">
            <v>2754.228703338169</v>
          </cell>
          <cell r="Q108">
            <v>14</v>
          </cell>
        </row>
        <row r="109">
          <cell r="D109" t="str">
            <v>75-15-0</v>
          </cell>
          <cell r="E109">
            <v>75150</v>
          </cell>
          <cell r="F109">
            <v>852</v>
          </cell>
          <cell r="G109" t="str">
            <v>Reach_132</v>
          </cell>
          <cell r="H109">
            <v>101</v>
          </cell>
          <cell r="J109">
            <v>76.138999999999996</v>
          </cell>
          <cell r="K109">
            <v>-77.02</v>
          </cell>
          <cell r="L109">
            <v>45588.600000000006</v>
          </cell>
          <cell r="M109">
            <v>3888.5</v>
          </cell>
          <cell r="N109">
            <v>87.096358995608071</v>
          </cell>
          <cell r="Q109">
            <v>14</v>
          </cell>
        </row>
        <row r="110">
          <cell r="D110" t="str">
            <v>75-54-7</v>
          </cell>
          <cell r="E110">
            <v>75547</v>
          </cell>
          <cell r="F110">
            <v>3675</v>
          </cell>
          <cell r="G110" t="str">
            <v>Reach_149</v>
          </cell>
          <cell r="H110">
            <v>102</v>
          </cell>
          <cell r="J110">
            <v>114.03</v>
          </cell>
          <cell r="K110">
            <v>-111.58</v>
          </cell>
          <cell r="L110">
            <v>55319.500000000007</v>
          </cell>
          <cell r="M110">
            <v>49151</v>
          </cell>
          <cell r="N110">
            <v>50.118723362727238</v>
          </cell>
          <cell r="Q110">
            <v>14</v>
          </cell>
        </row>
        <row r="111">
          <cell r="D111" t="str">
            <v>79-06-1</v>
          </cell>
          <cell r="E111">
            <v>79061</v>
          </cell>
          <cell r="F111">
            <v>911</v>
          </cell>
          <cell r="G111" t="str">
            <v>Reach_226</v>
          </cell>
          <cell r="H111">
            <v>103</v>
          </cell>
          <cell r="J111">
            <v>71.08</v>
          </cell>
          <cell r="K111">
            <v>21.69</v>
          </cell>
          <cell r="L111">
            <v>17.0624</v>
          </cell>
          <cell r="M111">
            <v>944000</v>
          </cell>
          <cell r="N111">
            <v>0.15488166189124808</v>
          </cell>
          <cell r="O111">
            <v>15.1</v>
          </cell>
          <cell r="P111">
            <v>14</v>
          </cell>
          <cell r="Q111">
            <v>0</v>
          </cell>
        </row>
        <row r="112">
          <cell r="D112" t="str">
            <v>78-93-3</v>
          </cell>
          <cell r="E112">
            <v>78933</v>
          </cell>
          <cell r="F112">
            <v>906</v>
          </cell>
          <cell r="G112" t="str">
            <v>Reach_217</v>
          </cell>
          <cell r="H112">
            <v>104</v>
          </cell>
          <cell r="J112">
            <v>72.106999999999999</v>
          </cell>
          <cell r="K112">
            <v>-80.48</v>
          </cell>
          <cell r="L112">
            <v>13130.050000000001</v>
          </cell>
          <cell r="M112">
            <v>197000</v>
          </cell>
          <cell r="N112">
            <v>1.8197008586099837</v>
          </cell>
          <cell r="Q112">
            <v>14</v>
          </cell>
        </row>
        <row r="113">
          <cell r="D113" t="str">
            <v>123-86-4</v>
          </cell>
          <cell r="E113">
            <v>123864</v>
          </cell>
          <cell r="F113">
            <v>397</v>
          </cell>
          <cell r="G113" t="str">
            <v>Reach_1059</v>
          </cell>
          <cell r="H113">
            <v>105</v>
          </cell>
          <cell r="J113">
            <v>116.16</v>
          </cell>
          <cell r="K113">
            <v>-56.83</v>
          </cell>
          <cell r="L113">
            <v>1586.2700000000002</v>
          </cell>
          <cell r="M113">
            <v>3997.6</v>
          </cell>
          <cell r="N113">
            <v>70.794578438413865</v>
          </cell>
          <cell r="Q113">
            <v>14</v>
          </cell>
        </row>
        <row r="114">
          <cell r="D114" t="str">
            <v>556-67-2</v>
          </cell>
          <cell r="E114">
            <v>556672</v>
          </cell>
          <cell r="F114">
            <v>705</v>
          </cell>
          <cell r="G114" t="str">
            <v>Reach_1368</v>
          </cell>
          <cell r="H114">
            <v>106</v>
          </cell>
          <cell r="J114">
            <v>296.62</v>
          </cell>
          <cell r="K114">
            <v>1.78</v>
          </cell>
          <cell r="L114">
            <v>157.29400000000001</v>
          </cell>
          <cell r="M114">
            <v>1.3149999999999999</v>
          </cell>
          <cell r="N114">
            <v>6165950.0186148267</v>
          </cell>
          <cell r="Q114">
            <v>14</v>
          </cell>
        </row>
        <row r="115">
          <cell r="D115" t="str">
            <v>110-88-3</v>
          </cell>
          <cell r="E115">
            <v>110883</v>
          </cell>
          <cell r="F115">
            <v>288</v>
          </cell>
          <cell r="G115" t="str">
            <v>Reach_835</v>
          </cell>
          <cell r="H115">
            <v>107</v>
          </cell>
          <cell r="J115">
            <v>90.078000000000003</v>
          </cell>
          <cell r="K115">
            <v>-54.08</v>
          </cell>
          <cell r="L115">
            <v>1399.65</v>
          </cell>
          <cell r="M115">
            <v>155000</v>
          </cell>
          <cell r="N115">
            <v>0.27542287033381663</v>
          </cell>
          <cell r="Q115">
            <v>14</v>
          </cell>
        </row>
        <row r="116">
          <cell r="D116" t="str">
            <v>106-89-8</v>
          </cell>
          <cell r="E116">
            <v>106898</v>
          </cell>
          <cell r="F116">
            <v>200</v>
          </cell>
          <cell r="G116" t="str">
            <v>Reach_680</v>
          </cell>
          <cell r="H116">
            <v>108</v>
          </cell>
          <cell r="J116">
            <v>92.525000000000006</v>
          </cell>
          <cell r="K116">
            <v>-65.5</v>
          </cell>
          <cell r="L116">
            <v>2386.0700000000002</v>
          </cell>
          <cell r="M116">
            <v>41380</v>
          </cell>
          <cell r="N116">
            <v>4.2657951880159271</v>
          </cell>
          <cell r="Q116">
            <v>14</v>
          </cell>
        </row>
        <row r="117">
          <cell r="D117" t="str">
            <v>584-84-9</v>
          </cell>
          <cell r="E117">
            <v>584849</v>
          </cell>
          <cell r="F117">
            <v>729</v>
          </cell>
          <cell r="G117" t="str">
            <v>Reach_1384</v>
          </cell>
          <cell r="H117">
            <v>109</v>
          </cell>
          <cell r="J117">
            <v>174.16</v>
          </cell>
          <cell r="K117">
            <v>19.16</v>
          </cell>
          <cell r="L117">
            <v>3.4391400000000001</v>
          </cell>
          <cell r="M117">
            <v>1254.7</v>
          </cell>
          <cell r="N117">
            <v>5495.4087385762541</v>
          </cell>
          <cell r="Q117">
            <v>14</v>
          </cell>
        </row>
        <row r="118">
          <cell r="D118" t="str">
            <v>79-20-9</v>
          </cell>
          <cell r="E118">
            <v>79209</v>
          </cell>
          <cell r="F118">
            <v>916</v>
          </cell>
          <cell r="G118" t="str">
            <v>Reach_234</v>
          </cell>
          <cell r="H118">
            <v>110</v>
          </cell>
          <cell r="J118">
            <v>74.078999999999994</v>
          </cell>
          <cell r="K118">
            <v>-95.1</v>
          </cell>
          <cell r="L118">
            <v>7024.9100000000008</v>
          </cell>
          <cell r="M118">
            <v>171000</v>
          </cell>
          <cell r="N118">
            <v>2.344228815319922</v>
          </cell>
          <cell r="Q118">
            <v>14</v>
          </cell>
        </row>
        <row r="119">
          <cell r="D119" t="str">
            <v>121-91-5</v>
          </cell>
          <cell r="E119">
            <v>121915</v>
          </cell>
          <cell r="F119">
            <v>1739</v>
          </cell>
          <cell r="G119" t="str">
            <v>Reach_1022</v>
          </cell>
          <cell r="H119">
            <v>111</v>
          </cell>
          <cell r="J119">
            <v>166.13</v>
          </cell>
          <cell r="K119">
            <v>126.58</v>
          </cell>
          <cell r="L119">
            <v>3.4658000000000003E-6</v>
          </cell>
          <cell r="M119">
            <v>2846.3</v>
          </cell>
          <cell r="N119">
            <v>57.543993733715695</v>
          </cell>
          <cell r="O119">
            <v>3.5</v>
          </cell>
          <cell r="Q119">
            <v>3.5</v>
          </cell>
        </row>
        <row r="120">
          <cell r="D120" t="str">
            <v>872-05-9</v>
          </cell>
          <cell r="E120">
            <v>872059</v>
          </cell>
          <cell r="F120">
            <v>3921</v>
          </cell>
          <cell r="G120" t="str">
            <v>Reach_1578</v>
          </cell>
          <cell r="H120">
            <v>112</v>
          </cell>
          <cell r="J120">
            <v>140.27000000000001</v>
          </cell>
          <cell r="K120">
            <v>-45.48</v>
          </cell>
          <cell r="L120">
            <v>278.59699999999998</v>
          </cell>
          <cell r="M120">
            <v>0.64095999999999997</v>
          </cell>
          <cell r="N120">
            <v>131825.67385564081</v>
          </cell>
          <cell r="Q120">
            <v>14</v>
          </cell>
        </row>
        <row r="121">
          <cell r="D121" t="str">
            <v>111-42-2</v>
          </cell>
          <cell r="E121">
            <v>111422</v>
          </cell>
          <cell r="F121">
            <v>300</v>
          </cell>
          <cell r="G121" t="str">
            <v>Reach_856</v>
          </cell>
          <cell r="H121">
            <v>113</v>
          </cell>
          <cell r="J121">
            <v>105.14</v>
          </cell>
          <cell r="K121">
            <v>28.77</v>
          </cell>
          <cell r="L121">
            <v>7.2248599999999996E-2</v>
          </cell>
          <cell r="M121">
            <v>315000</v>
          </cell>
          <cell r="N121">
            <v>1.9498445997580452E-2</v>
          </cell>
          <cell r="O121">
            <v>14.68</v>
          </cell>
          <cell r="P121">
            <v>5</v>
          </cell>
          <cell r="Q121">
            <v>9</v>
          </cell>
        </row>
        <row r="122">
          <cell r="D122" t="str">
            <v>592-41-6</v>
          </cell>
          <cell r="E122">
            <v>592416</v>
          </cell>
          <cell r="F122">
            <v>3270</v>
          </cell>
          <cell r="G122" t="str">
            <v>Reach_1392</v>
          </cell>
          <cell r="H122">
            <v>114</v>
          </cell>
          <cell r="J122">
            <v>84.162000000000006</v>
          </cell>
          <cell r="K122">
            <v>-95.26</v>
          </cell>
          <cell r="L122">
            <v>24527.200000000001</v>
          </cell>
          <cell r="M122">
            <v>147.71</v>
          </cell>
          <cell r="N122">
            <v>1412.5375446227545</v>
          </cell>
          <cell r="Q122">
            <v>14</v>
          </cell>
        </row>
        <row r="123">
          <cell r="D123" t="str">
            <v>127-18-4</v>
          </cell>
          <cell r="E123">
            <v>127184</v>
          </cell>
          <cell r="F123">
            <v>20</v>
          </cell>
          <cell r="G123" t="str">
            <v>Reach_1096</v>
          </cell>
          <cell r="H123">
            <v>115</v>
          </cell>
          <cell r="J123">
            <v>165.83</v>
          </cell>
          <cell r="K123">
            <v>-60.56</v>
          </cell>
          <cell r="L123">
            <v>2372.7400000000002</v>
          </cell>
          <cell r="M123">
            <v>455.67</v>
          </cell>
          <cell r="N123">
            <v>933.25430079699197</v>
          </cell>
          <cell r="Q123">
            <v>14</v>
          </cell>
        </row>
        <row r="124">
          <cell r="D124" t="str">
            <v>108-38-3</v>
          </cell>
          <cell r="E124">
            <v>108383</v>
          </cell>
          <cell r="F124">
            <v>236</v>
          </cell>
          <cell r="G124" t="str">
            <v>Reach_742</v>
          </cell>
          <cell r="H124">
            <v>116</v>
          </cell>
          <cell r="J124">
            <v>106.17</v>
          </cell>
          <cell r="K124">
            <v>-40.69</v>
          </cell>
          <cell r="L124">
            <v>882.44600000000014</v>
          </cell>
          <cell r="M124">
            <v>189.79</v>
          </cell>
          <cell r="N124">
            <v>1230.2687708123824</v>
          </cell>
          <cell r="Q124">
            <v>14</v>
          </cell>
        </row>
        <row r="125">
          <cell r="D125" t="str">
            <v>109-99-9</v>
          </cell>
          <cell r="E125">
            <v>109999</v>
          </cell>
          <cell r="F125">
            <v>269</v>
          </cell>
          <cell r="G125" t="str">
            <v>Reach_798</v>
          </cell>
          <cell r="H125">
            <v>117</v>
          </cell>
          <cell r="J125">
            <v>72.106999999999999</v>
          </cell>
          <cell r="K125">
            <v>-84.89</v>
          </cell>
          <cell r="L125">
            <v>23060.9</v>
          </cell>
          <cell r="M125">
            <v>51363</v>
          </cell>
          <cell r="N125">
            <v>8.709635899560805</v>
          </cell>
          <cell r="Q125">
            <v>14</v>
          </cell>
        </row>
        <row r="126">
          <cell r="D126" t="str">
            <v>107-15-3</v>
          </cell>
          <cell r="E126">
            <v>107153</v>
          </cell>
          <cell r="F126">
            <v>211</v>
          </cell>
          <cell r="G126" t="str">
            <v>Reach_696</v>
          </cell>
          <cell r="H126">
            <v>118</v>
          </cell>
          <cell r="J126">
            <v>60.101999999999997</v>
          </cell>
          <cell r="K126">
            <v>-23.8</v>
          </cell>
          <cell r="L126">
            <v>2386.0700000000002</v>
          </cell>
          <cell r="M126">
            <v>1000000</v>
          </cell>
          <cell r="N126">
            <v>2.3988329190194894E-2</v>
          </cell>
          <cell r="P126">
            <v>4</v>
          </cell>
          <cell r="Q126">
            <v>10</v>
          </cell>
        </row>
        <row r="127">
          <cell r="D127" t="str">
            <v>74-86-2</v>
          </cell>
          <cell r="E127">
            <v>74862</v>
          </cell>
          <cell r="F127">
            <v>3649</v>
          </cell>
          <cell r="G127" t="str">
            <v>Reach_112</v>
          </cell>
          <cell r="H127">
            <v>119</v>
          </cell>
          <cell r="J127">
            <v>26.038</v>
          </cell>
          <cell r="K127">
            <v>-154.04</v>
          </cell>
          <cell r="L127">
            <v>2412730</v>
          </cell>
          <cell r="M127">
            <v>6248.3</v>
          </cell>
          <cell r="N127">
            <v>3.1622776601683795</v>
          </cell>
          <cell r="Q127">
            <v>14</v>
          </cell>
        </row>
        <row r="128">
          <cell r="D128" t="str">
            <v>124-40-3</v>
          </cell>
          <cell r="E128">
            <v>124403</v>
          </cell>
          <cell r="F128">
            <v>17</v>
          </cell>
          <cell r="G128" t="str">
            <v>Reach_1077</v>
          </cell>
          <cell r="H128">
            <v>120</v>
          </cell>
          <cell r="J128">
            <v>45.085999999999999</v>
          </cell>
          <cell r="K128">
            <v>-106.24</v>
          </cell>
          <cell r="L128">
            <v>195951.00000000003</v>
          </cell>
          <cell r="M128">
            <v>1000000</v>
          </cell>
          <cell r="N128">
            <v>0.67608297539198181</v>
          </cell>
          <cell r="P128">
            <v>3.3</v>
          </cell>
          <cell r="Q128">
            <v>10.7</v>
          </cell>
        </row>
        <row r="129">
          <cell r="D129" t="str">
            <v>75-76-3</v>
          </cell>
          <cell r="E129">
            <v>75763</v>
          </cell>
          <cell r="F129">
            <v>3685</v>
          </cell>
          <cell r="G129" t="str">
            <v>Reach_160</v>
          </cell>
          <cell r="H129">
            <v>121</v>
          </cell>
          <cell r="J129">
            <v>88.225999999999999</v>
          </cell>
          <cell r="K129">
            <v>-116.52</v>
          </cell>
          <cell r="L129">
            <v>95442.8</v>
          </cell>
          <cell r="M129">
            <v>274.31</v>
          </cell>
          <cell r="N129">
            <v>524.80746024977293</v>
          </cell>
          <cell r="Q129">
            <v>14</v>
          </cell>
        </row>
        <row r="130">
          <cell r="D130" t="str">
            <v>107-98-2</v>
          </cell>
          <cell r="E130">
            <v>107982</v>
          </cell>
          <cell r="F130">
            <v>226</v>
          </cell>
          <cell r="G130" t="str">
            <v>Reach_724</v>
          </cell>
          <cell r="H130">
            <v>122</v>
          </cell>
          <cell r="J130">
            <v>90.122</v>
          </cell>
          <cell r="K130">
            <v>-57.94</v>
          </cell>
          <cell r="L130">
            <v>983.75400000000002</v>
          </cell>
          <cell r="M130">
            <v>1000000</v>
          </cell>
          <cell r="N130">
            <v>0.32359365692962827</v>
          </cell>
          <cell r="O130">
            <v>15.05</v>
          </cell>
          <cell r="Q130">
            <v>14</v>
          </cell>
        </row>
        <row r="131">
          <cell r="D131" t="str">
            <v>79-11-8</v>
          </cell>
          <cell r="E131">
            <v>79118</v>
          </cell>
          <cell r="F131">
            <v>915</v>
          </cell>
          <cell r="G131" t="str">
            <v>Reach_231</v>
          </cell>
          <cell r="H131">
            <v>123</v>
          </cell>
          <cell r="J131">
            <v>94.497</v>
          </cell>
          <cell r="K131">
            <v>10.88</v>
          </cell>
          <cell r="L131">
            <v>32.9251</v>
          </cell>
          <cell r="M131">
            <v>704000</v>
          </cell>
          <cell r="N131">
            <v>2.1877616239495525</v>
          </cell>
          <cell r="O131">
            <v>2.9</v>
          </cell>
          <cell r="Q131">
            <v>2.9</v>
          </cell>
        </row>
        <row r="132">
          <cell r="D132" t="str">
            <v>78-84-2</v>
          </cell>
          <cell r="E132">
            <v>78842</v>
          </cell>
          <cell r="F132">
            <v>3759</v>
          </cell>
          <cell r="G132" t="str">
            <v>Reach_211</v>
          </cell>
          <cell r="H132">
            <v>124</v>
          </cell>
          <cell r="J132">
            <v>72.106999999999999</v>
          </cell>
          <cell r="K132">
            <v>-92.1</v>
          </cell>
          <cell r="L132">
            <v>21861.200000000001</v>
          </cell>
          <cell r="M132">
            <v>75488</v>
          </cell>
          <cell r="N132">
            <v>5.4954087385762458</v>
          </cell>
          <cell r="Q132">
            <v>14</v>
          </cell>
        </row>
        <row r="133">
          <cell r="D133" t="str">
            <v>75-45-6</v>
          </cell>
          <cell r="E133">
            <v>75456</v>
          </cell>
          <cell r="F133">
            <v>3673</v>
          </cell>
          <cell r="G133" t="str">
            <v>Reach_145</v>
          </cell>
          <cell r="H133">
            <v>125</v>
          </cell>
          <cell r="J133">
            <v>86.468000000000004</v>
          </cell>
          <cell r="K133">
            <v>-139.35</v>
          </cell>
          <cell r="L133">
            <v>875781.00000000012</v>
          </cell>
          <cell r="M133">
            <v>1944.6</v>
          </cell>
          <cell r="N133">
            <v>7.7624711662869199</v>
          </cell>
          <cell r="Q133">
            <v>14</v>
          </cell>
        </row>
        <row r="134">
          <cell r="D134" t="str">
            <v>111-76-2</v>
          </cell>
          <cell r="E134">
            <v>111762</v>
          </cell>
          <cell r="F134">
            <v>309</v>
          </cell>
          <cell r="G134" t="str">
            <v>Reach_869</v>
          </cell>
          <cell r="H134">
            <v>126</v>
          </cell>
          <cell r="J134">
            <v>118.18</v>
          </cell>
          <cell r="K134">
            <v>-20.309999999999999</v>
          </cell>
          <cell r="L134">
            <v>63.317500000000003</v>
          </cell>
          <cell r="M134">
            <v>70535</v>
          </cell>
          <cell r="N134">
            <v>3.7153522909717256</v>
          </cell>
          <cell r="O134">
            <v>14.95</v>
          </cell>
          <cell r="Q134">
            <v>14</v>
          </cell>
        </row>
        <row r="135">
          <cell r="D135" t="str">
            <v>103-11-7</v>
          </cell>
          <cell r="E135">
            <v>103117</v>
          </cell>
          <cell r="F135">
            <v>159</v>
          </cell>
          <cell r="G135" t="str">
            <v>Reach_602</v>
          </cell>
          <cell r="H135">
            <v>127</v>
          </cell>
          <cell r="J135">
            <v>184.28</v>
          </cell>
          <cell r="K135">
            <v>-10.43</v>
          </cell>
          <cell r="L135">
            <v>24.393900000000002</v>
          </cell>
          <cell r="M135">
            <v>56.728999999999999</v>
          </cell>
          <cell r="N135">
            <v>12302.687708123816</v>
          </cell>
          <cell r="Q135">
            <v>14</v>
          </cell>
        </row>
        <row r="136">
          <cell r="D136" t="str">
            <v>115-77-5</v>
          </cell>
          <cell r="E136">
            <v>115775</v>
          </cell>
          <cell r="F136">
            <v>341</v>
          </cell>
          <cell r="G136" t="str">
            <v>Reach_944</v>
          </cell>
          <cell r="H136">
            <v>128</v>
          </cell>
          <cell r="J136">
            <v>136.15</v>
          </cell>
          <cell r="K136">
            <v>88.67</v>
          </cell>
          <cell r="L136">
            <v>3.3724900000000005E-6</v>
          </cell>
          <cell r="M136">
            <v>1000000</v>
          </cell>
          <cell r="N136">
            <v>1.6982436524617429E-2</v>
          </cell>
          <cell r="O136">
            <v>14.35</v>
          </cell>
          <cell r="Q136">
            <v>14</v>
          </cell>
        </row>
        <row r="137">
          <cell r="D137" t="str">
            <v>77-73-6</v>
          </cell>
          <cell r="E137">
            <v>77736</v>
          </cell>
          <cell r="F137">
            <v>884</v>
          </cell>
          <cell r="G137" t="str">
            <v>Reach_182</v>
          </cell>
          <cell r="H137">
            <v>129</v>
          </cell>
          <cell r="J137">
            <v>132.21</v>
          </cell>
          <cell r="K137">
            <v>-16.78</v>
          </cell>
          <cell r="L137">
            <v>219.94499999999999</v>
          </cell>
          <cell r="M137">
            <v>909.55</v>
          </cell>
          <cell r="N137">
            <v>1445.4397707459289</v>
          </cell>
          <cell r="Q137">
            <v>14</v>
          </cell>
        </row>
        <row r="138">
          <cell r="D138" t="str">
            <v>77-99-6</v>
          </cell>
          <cell r="E138">
            <v>77996</v>
          </cell>
          <cell r="F138">
            <v>890</v>
          </cell>
          <cell r="G138" t="str">
            <v>Reach_192</v>
          </cell>
          <cell r="H138">
            <v>130</v>
          </cell>
          <cell r="J138">
            <v>134.18</v>
          </cell>
          <cell r="K138">
            <v>59.71</v>
          </cell>
          <cell r="L138">
            <v>5.6252600000000008E-3</v>
          </cell>
          <cell r="M138">
            <v>194000</v>
          </cell>
          <cell r="N138">
            <v>1.5488166189124815</v>
          </cell>
          <cell r="O138">
            <v>14.79</v>
          </cell>
          <cell r="Q138">
            <v>14</v>
          </cell>
        </row>
        <row r="139">
          <cell r="D139" t="str">
            <v>156-62-7</v>
          </cell>
          <cell r="E139">
            <v>156627</v>
          </cell>
          <cell r="F139">
            <v>5721</v>
          </cell>
          <cell r="G139" t="str">
            <v>Reach_1215</v>
          </cell>
          <cell r="H139">
            <v>131</v>
          </cell>
          <cell r="J139">
            <v>80.106999999999999</v>
          </cell>
          <cell r="K139">
            <v>0</v>
          </cell>
          <cell r="Q139">
            <v>14</v>
          </cell>
        </row>
        <row r="140">
          <cell r="D140" t="str">
            <v>27247-96-7</v>
          </cell>
          <cell r="E140">
            <v>27247967</v>
          </cell>
          <cell r="F140">
            <v>2497</v>
          </cell>
          <cell r="G140" t="str">
            <v>Reach_2599</v>
          </cell>
          <cell r="H140">
            <v>132</v>
          </cell>
          <cell r="J140">
            <v>175.23</v>
          </cell>
          <cell r="K140">
            <v>-15.03</v>
          </cell>
          <cell r="L140">
            <v>35.057900000000004</v>
          </cell>
          <cell r="M140">
            <v>172.12</v>
          </cell>
          <cell r="N140">
            <v>13182.567385564091</v>
          </cell>
          <cell r="Q140">
            <v>14</v>
          </cell>
        </row>
        <row r="141">
          <cell r="D141" t="str">
            <v>78-92-2</v>
          </cell>
          <cell r="E141">
            <v>78922</v>
          </cell>
          <cell r="F141">
            <v>905</v>
          </cell>
          <cell r="G141" t="str">
            <v>Reach_216</v>
          </cell>
          <cell r="H141">
            <v>133</v>
          </cell>
          <cell r="J141">
            <v>74.123000000000005</v>
          </cell>
          <cell r="K141">
            <v>-76.290000000000006</v>
          </cell>
          <cell r="L141">
            <v>2745.9800000000005</v>
          </cell>
          <cell r="M141">
            <v>85144</v>
          </cell>
          <cell r="N141">
            <v>5.8884365535558905</v>
          </cell>
          <cell r="O141">
            <v>16</v>
          </cell>
          <cell r="Q141">
            <v>14</v>
          </cell>
        </row>
        <row r="142">
          <cell r="D142" t="str">
            <v>110-54-3</v>
          </cell>
          <cell r="E142">
            <v>110543</v>
          </cell>
          <cell r="F142">
            <v>279</v>
          </cell>
          <cell r="G142" t="str">
            <v>Reach_817</v>
          </cell>
          <cell r="H142">
            <v>134</v>
          </cell>
          <cell r="J142">
            <v>86.177999999999997</v>
          </cell>
          <cell r="K142">
            <v>-93.84</v>
          </cell>
          <cell r="L142">
            <v>19995</v>
          </cell>
          <cell r="M142">
            <v>91.218000000000004</v>
          </cell>
          <cell r="N142">
            <v>1949.8445997580463</v>
          </cell>
          <cell r="Q142">
            <v>14</v>
          </cell>
        </row>
        <row r="143">
          <cell r="D143" t="str">
            <v>124-41-4</v>
          </cell>
          <cell r="E143">
            <v>124414</v>
          </cell>
          <cell r="F143">
            <v>5636</v>
          </cell>
          <cell r="G143" t="str">
            <v>Reach_1078</v>
          </cell>
          <cell r="H143">
            <v>135</v>
          </cell>
          <cell r="J143">
            <v>54.024999999999999</v>
          </cell>
          <cell r="K143">
            <v>0</v>
          </cell>
          <cell r="Q143">
            <v>14</v>
          </cell>
        </row>
        <row r="144">
          <cell r="D144" t="str">
            <v>44992-01-0</v>
          </cell>
          <cell r="E144">
            <v>44992010</v>
          </cell>
          <cell r="F144">
            <v>5888</v>
          </cell>
          <cell r="G144" t="str">
            <v>Reach_2756</v>
          </cell>
          <cell r="H144">
            <v>136</v>
          </cell>
          <cell r="J144">
            <v>193.68</v>
          </cell>
          <cell r="K144">
            <v>0</v>
          </cell>
          <cell r="Q144">
            <v>14</v>
          </cell>
        </row>
        <row r="145">
          <cell r="D145" t="str">
            <v>10042-59-8</v>
          </cell>
          <cell r="E145">
            <v>10042598</v>
          </cell>
          <cell r="F145">
            <v>1306</v>
          </cell>
          <cell r="G145" t="str">
            <v>Reach_2278</v>
          </cell>
          <cell r="H145">
            <v>137</v>
          </cell>
          <cell r="J145">
            <v>158.29</v>
          </cell>
          <cell r="K145">
            <v>-2.83</v>
          </cell>
          <cell r="L145">
            <v>3.3724900000000004</v>
          </cell>
          <cell r="M145">
            <v>48.597000000000001</v>
          </cell>
          <cell r="N145">
            <v>5128.6138399136489</v>
          </cell>
          <cell r="O145">
            <v>15.9</v>
          </cell>
          <cell r="Q145">
            <v>14</v>
          </cell>
        </row>
        <row r="146">
          <cell r="D146" t="str">
            <v>65-85-0</v>
          </cell>
          <cell r="E146">
            <v>65850</v>
          </cell>
          <cell r="F146">
            <v>785</v>
          </cell>
          <cell r="G146" t="str">
            <v>Reach_77</v>
          </cell>
          <cell r="H146">
            <v>138</v>
          </cell>
          <cell r="J146">
            <v>122.12</v>
          </cell>
          <cell r="K146">
            <v>48.85</v>
          </cell>
          <cell r="L146">
            <v>0.39723400000000003</v>
          </cell>
          <cell r="M146">
            <v>3479</v>
          </cell>
          <cell r="N146">
            <v>74.131024130091816</v>
          </cell>
          <cell r="O146">
            <v>4.0999999999999996</v>
          </cell>
          <cell r="Q146">
            <v>4.0999999999999996</v>
          </cell>
        </row>
        <row r="147">
          <cell r="D147" t="str">
            <v>74-93-1</v>
          </cell>
          <cell r="E147">
            <v>74931</v>
          </cell>
          <cell r="F147">
            <v>3652</v>
          </cell>
          <cell r="G147" t="str">
            <v>Reach_117</v>
          </cell>
          <cell r="H147">
            <v>139</v>
          </cell>
          <cell r="J147">
            <v>48.106999999999999</v>
          </cell>
          <cell r="K147">
            <v>-115.32</v>
          </cell>
          <cell r="L147">
            <v>201283.00000000003</v>
          </cell>
          <cell r="M147">
            <v>23377</v>
          </cell>
          <cell r="N147">
            <v>6.0255958607435796</v>
          </cell>
          <cell r="O147">
            <v>10.7</v>
          </cell>
          <cell r="Q147">
            <v>10.7</v>
          </cell>
        </row>
        <row r="148">
          <cell r="D148" t="str">
            <v>126-30-7</v>
          </cell>
          <cell r="E148">
            <v>126307</v>
          </cell>
          <cell r="F148">
            <v>1805</v>
          </cell>
          <cell r="G148" t="str">
            <v>Reach_1085</v>
          </cell>
          <cell r="H148">
            <v>140</v>
          </cell>
          <cell r="J148">
            <v>104.15</v>
          </cell>
          <cell r="K148">
            <v>-1.23</v>
          </cell>
          <cell r="L148">
            <v>0.33191700000000002</v>
          </cell>
          <cell r="M148">
            <v>334000</v>
          </cell>
          <cell r="N148">
            <v>1.4454397707459274</v>
          </cell>
          <cell r="O148">
            <v>15.28</v>
          </cell>
          <cell r="Q148">
            <v>14</v>
          </cell>
        </row>
        <row r="149">
          <cell r="D149" t="str">
            <v>140-88-5</v>
          </cell>
          <cell r="E149">
            <v>140885</v>
          </cell>
          <cell r="F149">
            <v>452</v>
          </cell>
          <cell r="G149" t="str">
            <v>Reach_1151</v>
          </cell>
          <cell r="H149">
            <v>141</v>
          </cell>
          <cell r="J149">
            <v>100.12</v>
          </cell>
          <cell r="K149">
            <v>-70.73</v>
          </cell>
          <cell r="L149">
            <v>5118.72</v>
          </cell>
          <cell r="M149">
            <v>15634</v>
          </cell>
          <cell r="N149">
            <v>16.595869074375614</v>
          </cell>
          <cell r="Q149">
            <v>14</v>
          </cell>
        </row>
        <row r="150">
          <cell r="D150" t="str">
            <v>75-77-4</v>
          </cell>
          <cell r="E150">
            <v>75774</v>
          </cell>
          <cell r="F150">
            <v>3686</v>
          </cell>
          <cell r="G150" t="str">
            <v>Reach_161</v>
          </cell>
          <cell r="H150">
            <v>142</v>
          </cell>
          <cell r="J150">
            <v>108.64</v>
          </cell>
          <cell r="K150">
            <v>-103.31</v>
          </cell>
          <cell r="L150">
            <v>26260.100000000002</v>
          </cell>
          <cell r="M150">
            <v>1416.4</v>
          </cell>
          <cell r="N150">
            <v>301.99517204020168</v>
          </cell>
          <cell r="Q150">
            <v>14</v>
          </cell>
        </row>
        <row r="151">
          <cell r="D151" t="str">
            <v>3268-49-3</v>
          </cell>
          <cell r="E151">
            <v>3268493</v>
          </cell>
          <cell r="F151">
            <v>2658</v>
          </cell>
          <cell r="G151" t="str">
            <v>Reach_1939</v>
          </cell>
          <cell r="H151">
            <v>143</v>
          </cell>
          <cell r="J151">
            <v>104.17</v>
          </cell>
          <cell r="K151">
            <v>-43.53</v>
          </cell>
          <cell r="L151">
            <v>263.93400000000003</v>
          </cell>
          <cell r="M151">
            <v>23122</v>
          </cell>
          <cell r="N151">
            <v>2.5703957827688639</v>
          </cell>
          <cell r="Q151">
            <v>14</v>
          </cell>
        </row>
        <row r="152">
          <cell r="D152" t="str">
            <v>78-87-5</v>
          </cell>
          <cell r="E152">
            <v>78875</v>
          </cell>
          <cell r="F152">
            <v>902</v>
          </cell>
          <cell r="G152" t="str">
            <v>Reach_213</v>
          </cell>
          <cell r="H152">
            <v>144</v>
          </cell>
          <cell r="J152">
            <v>112.99</v>
          </cell>
          <cell r="K152">
            <v>-79.67</v>
          </cell>
          <cell r="L152">
            <v>6051.8200000000006</v>
          </cell>
          <cell r="M152">
            <v>3145.3</v>
          </cell>
          <cell r="N152">
            <v>177.82794100389242</v>
          </cell>
          <cell r="Q152">
            <v>14</v>
          </cell>
        </row>
        <row r="153">
          <cell r="D153" t="str">
            <v>74-90-8</v>
          </cell>
          <cell r="E153">
            <v>74908</v>
          </cell>
          <cell r="F153">
            <v>841</v>
          </cell>
          <cell r="G153" t="str">
            <v>Reach_116</v>
          </cell>
          <cell r="H153">
            <v>145</v>
          </cell>
          <cell r="J153">
            <v>27.027000000000001</v>
          </cell>
          <cell r="K153">
            <v>-87.99</v>
          </cell>
          <cell r="L153">
            <v>99041.900000000009</v>
          </cell>
          <cell r="M153">
            <v>34246</v>
          </cell>
          <cell r="N153">
            <v>0.20417379446695291</v>
          </cell>
          <cell r="Q153">
            <v>14</v>
          </cell>
        </row>
        <row r="154">
          <cell r="D154" t="str">
            <v>53306-54-0</v>
          </cell>
          <cell r="E154">
            <v>53306540</v>
          </cell>
          <cell r="F154">
            <v>3094</v>
          </cell>
          <cell r="G154" t="str">
            <v>Reach_2791</v>
          </cell>
          <cell r="H154">
            <v>146</v>
          </cell>
          <cell r="J154">
            <v>446.67</v>
          </cell>
          <cell r="K154">
            <v>105.95</v>
          </cell>
          <cell r="L154">
            <v>4.9187700000000007E-6</v>
          </cell>
          <cell r="M154">
            <v>5.6619999999999999E-4</v>
          </cell>
          <cell r="N154">
            <v>22908676527.677742</v>
          </cell>
          <cell r="Q154">
            <v>14</v>
          </cell>
        </row>
        <row r="155">
          <cell r="D155" t="str">
            <v>79-00-5</v>
          </cell>
          <cell r="E155">
            <v>79005</v>
          </cell>
          <cell r="F155">
            <v>908</v>
          </cell>
          <cell r="G155" t="str">
            <v>Reach_222</v>
          </cell>
          <cell r="H155">
            <v>147</v>
          </cell>
          <cell r="J155">
            <v>133.41</v>
          </cell>
          <cell r="K155">
            <v>-62.59</v>
          </cell>
          <cell r="L155">
            <v>2745.9800000000005</v>
          </cell>
          <cell r="M155">
            <v>4998.6000000000004</v>
          </cell>
          <cell r="N155">
            <v>102.32929922807544</v>
          </cell>
          <cell r="Q155">
            <v>14</v>
          </cell>
        </row>
        <row r="156">
          <cell r="D156" t="str">
            <v>75-07-0</v>
          </cell>
          <cell r="E156">
            <v>75070</v>
          </cell>
          <cell r="F156">
            <v>848</v>
          </cell>
          <cell r="G156" t="str">
            <v>Reach_127</v>
          </cell>
          <cell r="H156">
            <v>148</v>
          </cell>
          <cell r="J156">
            <v>44.052999999999997</v>
          </cell>
          <cell r="K156">
            <v>-106.38</v>
          </cell>
          <cell r="L156">
            <v>121303.00000000001</v>
          </cell>
          <cell r="M156">
            <v>570000</v>
          </cell>
          <cell r="N156">
            <v>0.67608297539198181</v>
          </cell>
          <cell r="Q156">
            <v>14</v>
          </cell>
        </row>
        <row r="157">
          <cell r="D157" t="str">
            <v>616-38-6</v>
          </cell>
          <cell r="E157">
            <v>616386</v>
          </cell>
          <cell r="F157">
            <v>3345</v>
          </cell>
          <cell r="G157" t="str">
            <v>Reach_1431</v>
          </cell>
          <cell r="H157">
            <v>149</v>
          </cell>
          <cell r="J157">
            <v>90.078000000000003</v>
          </cell>
          <cell r="K157">
            <v>-120.12</v>
          </cell>
          <cell r="L157">
            <v>7491.4600000000009</v>
          </cell>
          <cell r="M157">
            <v>115000</v>
          </cell>
          <cell r="N157">
            <v>1.6982436524617444</v>
          </cell>
          <cell r="Q157">
            <v>14</v>
          </cell>
        </row>
        <row r="158">
          <cell r="D158" t="str">
            <v>149-57-5</v>
          </cell>
          <cell r="E158">
            <v>149575</v>
          </cell>
          <cell r="F158">
            <v>479</v>
          </cell>
          <cell r="G158" t="str">
            <v>Reach_1200</v>
          </cell>
          <cell r="H158">
            <v>150</v>
          </cell>
          <cell r="J158">
            <v>144.21</v>
          </cell>
          <cell r="K158">
            <v>37.72</v>
          </cell>
          <cell r="L158">
            <v>8.3445800000000006</v>
          </cell>
          <cell r="M158">
            <v>5115.1000000000004</v>
          </cell>
          <cell r="N158">
            <v>912.01083935590987</v>
          </cell>
          <cell r="O158">
            <v>4.9000000000000004</v>
          </cell>
          <cell r="Q158">
            <v>4.9000000000000004</v>
          </cell>
        </row>
        <row r="159">
          <cell r="D159" t="str">
            <v>25265-71-8</v>
          </cell>
          <cell r="E159">
            <v>25265718</v>
          </cell>
          <cell r="F159">
            <v>566</v>
          </cell>
          <cell r="G159" t="str">
            <v>Reach_2562</v>
          </cell>
          <cell r="H159">
            <v>151</v>
          </cell>
          <cell r="J159">
            <v>134.18</v>
          </cell>
          <cell r="K159">
            <v>30.93</v>
          </cell>
          <cell r="L159">
            <v>0.19595100000000001</v>
          </cell>
          <cell r="M159">
            <v>2300000</v>
          </cell>
          <cell r="N159">
            <v>0.32359365692962827</v>
          </cell>
          <cell r="O159">
            <v>15.21</v>
          </cell>
          <cell r="Q159">
            <v>14</v>
          </cell>
        </row>
        <row r="160">
          <cell r="D160" t="str">
            <v>126-99-8</v>
          </cell>
          <cell r="E160">
            <v>126998</v>
          </cell>
          <cell r="F160">
            <v>1810</v>
          </cell>
          <cell r="G160" t="str">
            <v>Reach_1094</v>
          </cell>
          <cell r="H160">
            <v>152</v>
          </cell>
          <cell r="J160">
            <v>88.537000000000006</v>
          </cell>
          <cell r="K160">
            <v>-105.75</v>
          </cell>
          <cell r="L160">
            <v>28659.500000000004</v>
          </cell>
          <cell r="M160">
            <v>2201.1999999999998</v>
          </cell>
          <cell r="N160">
            <v>338.84415613920248</v>
          </cell>
          <cell r="Q160">
            <v>14</v>
          </cell>
        </row>
        <row r="161">
          <cell r="D161" t="str">
            <v>79-09-4</v>
          </cell>
          <cell r="E161">
            <v>79094</v>
          </cell>
          <cell r="F161">
            <v>913</v>
          </cell>
          <cell r="G161" t="str">
            <v>Reach_229</v>
          </cell>
          <cell r="H161">
            <v>153</v>
          </cell>
          <cell r="J161">
            <v>74.078999999999994</v>
          </cell>
          <cell r="K161">
            <v>-8.99</v>
          </cell>
          <cell r="L161">
            <v>805.13200000000006</v>
          </cell>
          <cell r="M161">
            <v>349000</v>
          </cell>
          <cell r="N161">
            <v>3.8018939632056119</v>
          </cell>
          <cell r="O161">
            <v>4.9000000000000004</v>
          </cell>
          <cell r="Q161">
            <v>4.9000000000000004</v>
          </cell>
        </row>
        <row r="162">
          <cell r="D162" t="str">
            <v>68-04-2</v>
          </cell>
          <cell r="E162">
            <v>68042</v>
          </cell>
          <cell r="F162">
            <v>1232</v>
          </cell>
          <cell r="G162" t="str">
            <v>Reach_89</v>
          </cell>
          <cell r="H162">
            <v>154</v>
          </cell>
          <cell r="J162">
            <v>258.07</v>
          </cell>
          <cell r="K162">
            <v>0</v>
          </cell>
          <cell r="Q162">
            <v>14</v>
          </cell>
        </row>
        <row r="163">
          <cell r="D163" t="str">
            <v>2809-21-4</v>
          </cell>
          <cell r="E163">
            <v>2809214</v>
          </cell>
          <cell r="F163">
            <v>578</v>
          </cell>
          <cell r="G163" t="str">
            <v>Reach_1871</v>
          </cell>
          <cell r="H163">
            <v>155</v>
          </cell>
          <cell r="J163">
            <v>206.03</v>
          </cell>
          <cell r="K163">
            <v>88.01</v>
          </cell>
          <cell r="L163">
            <v>1.6529200000000003E-8</v>
          </cell>
          <cell r="M163">
            <v>1000000</v>
          </cell>
          <cell r="N163">
            <v>0.97723722095581067</v>
          </cell>
          <cell r="O163">
            <v>1.9</v>
          </cell>
          <cell r="Q163">
            <v>1.9</v>
          </cell>
        </row>
        <row r="164">
          <cell r="D164" t="str">
            <v>3164-34-9</v>
          </cell>
          <cell r="E164">
            <v>3164349</v>
          </cell>
          <cell r="F164">
            <v>5841</v>
          </cell>
          <cell r="G164" t="str">
            <v>Reach_1923</v>
          </cell>
          <cell r="H164">
            <v>156</v>
          </cell>
          <cell r="J164">
            <v>188.15</v>
          </cell>
          <cell r="K164">
            <v>0</v>
          </cell>
          <cell r="Q164">
            <v>14</v>
          </cell>
        </row>
        <row r="165">
          <cell r="D165" t="str">
            <v>108-90-7</v>
          </cell>
          <cell r="E165">
            <v>108907</v>
          </cell>
          <cell r="F165">
            <v>248</v>
          </cell>
          <cell r="G165" t="str">
            <v>Reach_761</v>
          </cell>
          <cell r="H165">
            <v>157</v>
          </cell>
          <cell r="J165">
            <v>112.56</v>
          </cell>
          <cell r="K165">
            <v>-45.78</v>
          </cell>
          <cell r="L165">
            <v>1235.691</v>
          </cell>
          <cell r="M165">
            <v>199.53</v>
          </cell>
          <cell r="N165">
            <v>436.51583224016622</v>
          </cell>
          <cell r="Q165">
            <v>14</v>
          </cell>
        </row>
        <row r="166">
          <cell r="D166" t="str">
            <v>78-59-1</v>
          </cell>
          <cell r="E166">
            <v>78591</v>
          </cell>
          <cell r="F166">
            <v>897</v>
          </cell>
          <cell r="G166" t="str">
            <v>Reach_201</v>
          </cell>
          <cell r="H166">
            <v>158</v>
          </cell>
          <cell r="J166">
            <v>138.21</v>
          </cell>
          <cell r="K166">
            <v>17.38</v>
          </cell>
          <cell r="L166">
            <v>33.191700000000004</v>
          </cell>
          <cell r="M166">
            <v>2037.5</v>
          </cell>
          <cell r="N166">
            <v>416.86938347033572</v>
          </cell>
          <cell r="Q166">
            <v>14</v>
          </cell>
        </row>
        <row r="167">
          <cell r="D167" t="str">
            <v>96-33-3</v>
          </cell>
          <cell r="E167">
            <v>96333</v>
          </cell>
          <cell r="F167">
            <v>1053</v>
          </cell>
          <cell r="G167" t="str">
            <v>Reach_462</v>
          </cell>
          <cell r="H167">
            <v>159</v>
          </cell>
          <cell r="J167">
            <v>86.09</v>
          </cell>
          <cell r="K167">
            <v>-83.5</v>
          </cell>
          <cell r="L167">
            <v>11530.45</v>
          </cell>
          <cell r="M167">
            <v>32550</v>
          </cell>
          <cell r="N167">
            <v>5.3703179637025285</v>
          </cell>
          <cell r="Q167">
            <v>14</v>
          </cell>
        </row>
        <row r="168">
          <cell r="D168" t="str">
            <v>107-02-8</v>
          </cell>
          <cell r="E168">
            <v>107028</v>
          </cell>
          <cell r="F168">
            <v>205</v>
          </cell>
          <cell r="G168" t="str">
            <v>Reach_690</v>
          </cell>
          <cell r="H168">
            <v>160</v>
          </cell>
          <cell r="J168">
            <v>56.064</v>
          </cell>
          <cell r="K168">
            <v>-94.61</v>
          </cell>
          <cell r="L168">
            <v>35191.200000000004</v>
          </cell>
          <cell r="M168">
            <v>250000</v>
          </cell>
          <cell r="N168">
            <v>1.5488166189124815</v>
          </cell>
          <cell r="Q168">
            <v>14</v>
          </cell>
        </row>
        <row r="169">
          <cell r="D169" t="str">
            <v>75-35-4</v>
          </cell>
          <cell r="E169">
            <v>75354</v>
          </cell>
          <cell r="F169">
            <v>857</v>
          </cell>
          <cell r="G169" t="str">
            <v>Reach_140</v>
          </cell>
          <cell r="H169">
            <v>161</v>
          </cell>
          <cell r="J169">
            <v>96.944000000000003</v>
          </cell>
          <cell r="K169">
            <v>-104.43</v>
          </cell>
          <cell r="L169">
            <v>80113.3</v>
          </cell>
          <cell r="M169">
            <v>3502.3</v>
          </cell>
          <cell r="N169">
            <v>131.82567385564084</v>
          </cell>
          <cell r="Q169">
            <v>14</v>
          </cell>
        </row>
        <row r="170">
          <cell r="D170" t="str">
            <v>116-14-3</v>
          </cell>
          <cell r="E170">
            <v>116143</v>
          </cell>
          <cell r="F170">
            <v>1645</v>
          </cell>
          <cell r="G170" t="str">
            <v>Reach_951</v>
          </cell>
          <cell r="H170">
            <v>162</v>
          </cell>
          <cell r="J170">
            <v>100.01</v>
          </cell>
          <cell r="K170">
            <v>-161.81</v>
          </cell>
          <cell r="L170">
            <v>1892860.0000000002</v>
          </cell>
          <cell r="M170">
            <v>28.143999999999998</v>
          </cell>
          <cell r="N170">
            <v>16.218100973589298</v>
          </cell>
          <cell r="Q170">
            <v>14</v>
          </cell>
        </row>
        <row r="171">
          <cell r="D171" t="str">
            <v>108-80-5</v>
          </cell>
          <cell r="E171">
            <v>108805</v>
          </cell>
          <cell r="F171">
            <v>245</v>
          </cell>
          <cell r="G171" t="str">
            <v>Reach_757</v>
          </cell>
          <cell r="H171">
            <v>163</v>
          </cell>
          <cell r="J171">
            <v>129.08000000000001</v>
          </cell>
          <cell r="K171">
            <v>120.35</v>
          </cell>
          <cell r="L171">
            <v>3.1992000000000006E-3</v>
          </cell>
          <cell r="M171">
            <v>171000</v>
          </cell>
          <cell r="N171">
            <v>4.0738027780411281</v>
          </cell>
          <cell r="O171">
            <v>6.8</v>
          </cell>
          <cell r="Q171">
            <v>6.8</v>
          </cell>
        </row>
        <row r="172">
          <cell r="D172" t="str">
            <v>811-97-2</v>
          </cell>
          <cell r="E172">
            <v>811972</v>
          </cell>
          <cell r="F172">
            <v>3803</v>
          </cell>
          <cell r="G172" t="str">
            <v>Reach_1549</v>
          </cell>
          <cell r="H172">
            <v>164</v>
          </cell>
          <cell r="J172">
            <v>102.03</v>
          </cell>
          <cell r="K172">
            <v>-150.52000000000001</v>
          </cell>
          <cell r="L172">
            <v>530534</v>
          </cell>
          <cell r="M172">
            <v>3173.9</v>
          </cell>
          <cell r="N172">
            <v>47.863009232263856</v>
          </cell>
          <cell r="Q172">
            <v>14</v>
          </cell>
        </row>
        <row r="173">
          <cell r="D173" t="str">
            <v>79-41-4</v>
          </cell>
          <cell r="E173">
            <v>79414</v>
          </cell>
          <cell r="F173">
            <v>3776</v>
          </cell>
          <cell r="G173" t="str">
            <v>Reach_245</v>
          </cell>
          <cell r="H173">
            <v>165</v>
          </cell>
          <cell r="J173">
            <v>86.09</v>
          </cell>
          <cell r="K173">
            <v>-7.03</v>
          </cell>
          <cell r="L173">
            <v>290.59400000000005</v>
          </cell>
          <cell r="M173">
            <v>96832</v>
          </cell>
          <cell r="N173">
            <v>9.7723722095581103</v>
          </cell>
          <cell r="O173">
            <v>4.5999999999999996</v>
          </cell>
          <cell r="Q173">
            <v>4.5999999999999996</v>
          </cell>
        </row>
        <row r="174">
          <cell r="D174" t="str">
            <v>112-41-4</v>
          </cell>
          <cell r="E174">
            <v>112414</v>
          </cell>
          <cell r="F174">
            <v>1588</v>
          </cell>
          <cell r="G174" t="str">
            <v>Reach_905</v>
          </cell>
          <cell r="H174">
            <v>166</v>
          </cell>
          <cell r="J174">
            <v>168.32</v>
          </cell>
          <cell r="K174">
            <v>-22.16</v>
          </cell>
          <cell r="L174">
            <v>35.591100000000004</v>
          </cell>
          <cell r="M174">
            <v>5.3225000000000001E-2</v>
          </cell>
          <cell r="N174">
            <v>1258925.4117941677</v>
          </cell>
          <cell r="Q174">
            <v>14</v>
          </cell>
        </row>
        <row r="175">
          <cell r="D175" t="str">
            <v>78-83-1</v>
          </cell>
          <cell r="E175">
            <v>78831</v>
          </cell>
          <cell r="F175">
            <v>901</v>
          </cell>
          <cell r="G175" t="str">
            <v>Reach_210</v>
          </cell>
          <cell r="H175">
            <v>167</v>
          </cell>
          <cell r="J175">
            <v>74.123000000000005</v>
          </cell>
          <cell r="K175">
            <v>-74.010000000000005</v>
          </cell>
          <cell r="L175">
            <v>1786.2200000000003</v>
          </cell>
          <cell r="M175">
            <v>102000</v>
          </cell>
          <cell r="N175">
            <v>5.8884365535558905</v>
          </cell>
          <cell r="O175">
            <v>15.9</v>
          </cell>
          <cell r="Q175">
            <v>14</v>
          </cell>
        </row>
        <row r="176">
          <cell r="D176" t="str">
            <v>64-02-8</v>
          </cell>
          <cell r="E176">
            <v>64028</v>
          </cell>
          <cell r="F176">
            <v>1229</v>
          </cell>
          <cell r="G176" t="str">
            <v>Reach_68</v>
          </cell>
          <cell r="H176">
            <v>168</v>
          </cell>
          <cell r="J176">
            <v>380.18</v>
          </cell>
          <cell r="K176">
            <v>0</v>
          </cell>
          <cell r="Q176">
            <v>14</v>
          </cell>
        </row>
        <row r="177">
          <cell r="D177" t="str">
            <v>111-40-0</v>
          </cell>
          <cell r="E177">
            <v>111400</v>
          </cell>
          <cell r="F177">
            <v>299</v>
          </cell>
          <cell r="G177" t="str">
            <v>Reach_854</v>
          </cell>
          <cell r="H177">
            <v>169</v>
          </cell>
          <cell r="J177">
            <v>103.17</v>
          </cell>
          <cell r="K177">
            <v>17.8</v>
          </cell>
          <cell r="L177">
            <v>33.858200000000004</v>
          </cell>
          <cell r="M177">
            <v>1000000</v>
          </cell>
          <cell r="N177">
            <v>7.4131024130091741E-3</v>
          </cell>
          <cell r="P177">
            <v>4</v>
          </cell>
          <cell r="Q177">
            <v>10</v>
          </cell>
        </row>
        <row r="178">
          <cell r="D178" t="str">
            <v>84852-15-3</v>
          </cell>
          <cell r="E178">
            <v>84852153</v>
          </cell>
          <cell r="F178">
            <v>964</v>
          </cell>
          <cell r="G178" t="str">
            <v>Reach_2979</v>
          </cell>
          <cell r="H178">
            <v>170</v>
          </cell>
          <cell r="J178">
            <v>220.36</v>
          </cell>
          <cell r="K178">
            <v>89.94</v>
          </cell>
          <cell r="L178">
            <v>7.984670000000001E-3</v>
          </cell>
          <cell r="M178">
            <v>0.24589</v>
          </cell>
          <cell r="N178">
            <v>831763.77110267128</v>
          </cell>
          <cell r="O178">
            <v>10</v>
          </cell>
          <cell r="Q178">
            <v>10</v>
          </cell>
        </row>
        <row r="179">
          <cell r="D179" t="str">
            <v>544-17-2</v>
          </cell>
          <cell r="E179">
            <v>544172</v>
          </cell>
          <cell r="F179">
            <v>5925</v>
          </cell>
          <cell r="G179" t="str">
            <v>Reach_1353</v>
          </cell>
          <cell r="H179">
            <v>171</v>
          </cell>
          <cell r="J179">
            <v>130.11000000000001</v>
          </cell>
          <cell r="K179">
            <v>0</v>
          </cell>
          <cell r="Q179">
            <v>14</v>
          </cell>
        </row>
        <row r="180">
          <cell r="D180" t="str">
            <v>103-67-3</v>
          </cell>
          <cell r="E180">
            <v>103673</v>
          </cell>
          <cell r="F180">
            <v>1376</v>
          </cell>
          <cell r="G180" t="str">
            <v>Reach_610</v>
          </cell>
          <cell r="H180">
            <v>172</v>
          </cell>
          <cell r="J180">
            <v>121.18</v>
          </cell>
          <cell r="K180">
            <v>-8.99</v>
          </cell>
          <cell r="L180">
            <v>125.5686</v>
          </cell>
          <cell r="M180">
            <v>13058</v>
          </cell>
          <cell r="N180">
            <v>34.67368504525318</v>
          </cell>
          <cell r="P180">
            <v>4.3</v>
          </cell>
          <cell r="Q180">
            <v>9.6999999999999993</v>
          </cell>
        </row>
        <row r="181">
          <cell r="D181" t="str">
            <v>123-38-6</v>
          </cell>
          <cell r="E181">
            <v>123386</v>
          </cell>
          <cell r="F181">
            <v>391</v>
          </cell>
          <cell r="G181" t="str">
            <v>Reach_1047</v>
          </cell>
          <cell r="H181">
            <v>173</v>
          </cell>
          <cell r="J181">
            <v>58.08</v>
          </cell>
          <cell r="K181">
            <v>-93.17</v>
          </cell>
          <cell r="L181">
            <v>42256.100000000006</v>
          </cell>
          <cell r="M181">
            <v>204000</v>
          </cell>
          <cell r="N181">
            <v>2.1379620895022322</v>
          </cell>
          <cell r="Q181">
            <v>14</v>
          </cell>
        </row>
        <row r="182">
          <cell r="D182" t="str">
            <v>108-65-6</v>
          </cell>
          <cell r="E182">
            <v>108656</v>
          </cell>
          <cell r="F182">
            <v>1487</v>
          </cell>
          <cell r="G182" t="str">
            <v>Reach_750</v>
          </cell>
          <cell r="H182">
            <v>174</v>
          </cell>
          <cell r="J182">
            <v>132.16</v>
          </cell>
          <cell r="K182">
            <v>-50.31</v>
          </cell>
          <cell r="L182">
            <v>673.16500000000008</v>
          </cell>
          <cell r="M182">
            <v>69359</v>
          </cell>
          <cell r="N182">
            <v>3.3113112148259116</v>
          </cell>
          <cell r="Q182">
            <v>14</v>
          </cell>
        </row>
        <row r="183">
          <cell r="D183" t="str">
            <v>541-02-6</v>
          </cell>
          <cell r="E183">
            <v>541026</v>
          </cell>
          <cell r="F183">
            <v>3125</v>
          </cell>
          <cell r="G183" t="str">
            <v>Reach_1338</v>
          </cell>
          <cell r="H183">
            <v>175</v>
          </cell>
          <cell r="J183">
            <v>370.77</v>
          </cell>
          <cell r="K183">
            <v>-5.19</v>
          </cell>
          <cell r="L183">
            <v>29.059400000000004</v>
          </cell>
          <cell r="M183">
            <v>4.7702000000000001E-2</v>
          </cell>
          <cell r="N183">
            <v>85113803.820237845</v>
          </cell>
          <cell r="Q183">
            <v>14</v>
          </cell>
        </row>
        <row r="184">
          <cell r="D184" t="str">
            <v>112-34-5</v>
          </cell>
          <cell r="E184">
            <v>112345</v>
          </cell>
          <cell r="F184">
            <v>326</v>
          </cell>
          <cell r="G184" t="str">
            <v>Reach_899</v>
          </cell>
          <cell r="H184">
            <v>176</v>
          </cell>
          <cell r="J184">
            <v>162.22999999999999</v>
          </cell>
          <cell r="K184">
            <v>19.260000000000002</v>
          </cell>
          <cell r="L184">
            <v>1.4529700000000001</v>
          </cell>
          <cell r="M184">
            <v>525000</v>
          </cell>
          <cell r="N184">
            <v>1.9498445997580454</v>
          </cell>
          <cell r="O184">
            <v>14.89</v>
          </cell>
          <cell r="Q184">
            <v>14</v>
          </cell>
        </row>
        <row r="185">
          <cell r="D185" t="str">
            <v>919-94-8</v>
          </cell>
          <cell r="E185">
            <v>919948</v>
          </cell>
          <cell r="F185">
            <v>4026</v>
          </cell>
          <cell r="G185" t="str">
            <v>Reach_4500</v>
          </cell>
          <cell r="H185">
            <v>177</v>
          </cell>
          <cell r="J185">
            <v>116.2</v>
          </cell>
          <cell r="K185">
            <v>-68.41</v>
          </cell>
          <cell r="L185">
            <v>5305.34</v>
          </cell>
          <cell r="M185">
            <v>5188</v>
          </cell>
          <cell r="N185">
            <v>257.03957827688663</v>
          </cell>
          <cell r="Q185">
            <v>14</v>
          </cell>
        </row>
        <row r="186">
          <cell r="D186" t="str">
            <v>100-44-7</v>
          </cell>
          <cell r="E186">
            <v>100447</v>
          </cell>
          <cell r="F186">
            <v>126</v>
          </cell>
          <cell r="G186" t="str">
            <v>Reach_558</v>
          </cell>
          <cell r="H186">
            <v>178</v>
          </cell>
          <cell r="J186">
            <v>126.59</v>
          </cell>
          <cell r="K186">
            <v>-27.15</v>
          </cell>
          <cell r="L186">
            <v>134.63300000000001</v>
          </cell>
          <cell r="M186">
            <v>658.37</v>
          </cell>
          <cell r="N186">
            <v>616.59500186148273</v>
          </cell>
          <cell r="Q186">
            <v>14</v>
          </cell>
        </row>
        <row r="187">
          <cell r="D187" t="str">
            <v>79-33-4</v>
          </cell>
          <cell r="E187">
            <v>79334</v>
          </cell>
          <cell r="F187">
            <v>920</v>
          </cell>
          <cell r="G187" t="str">
            <v>Reach_240</v>
          </cell>
          <cell r="H187">
            <v>179</v>
          </cell>
          <cell r="J187">
            <v>90.078000000000003</v>
          </cell>
          <cell r="K187">
            <v>22.66</v>
          </cell>
          <cell r="L187">
            <v>3.8123800000000005</v>
          </cell>
          <cell r="M187">
            <v>772000</v>
          </cell>
          <cell r="N187">
            <v>0.22387211385683392</v>
          </cell>
          <cell r="O187">
            <v>3.8</v>
          </cell>
          <cell r="Q187">
            <v>3.8</v>
          </cell>
        </row>
        <row r="188">
          <cell r="D188" t="str">
            <v>4904-61-4</v>
          </cell>
          <cell r="E188">
            <v>4904614</v>
          </cell>
          <cell r="F188">
            <v>648</v>
          </cell>
          <cell r="G188" t="str">
            <v>Reach_2067</v>
          </cell>
          <cell r="H188">
            <v>180</v>
          </cell>
          <cell r="J188">
            <v>162.28</v>
          </cell>
          <cell r="K188">
            <v>-15.21</v>
          </cell>
          <cell r="L188">
            <v>9.7575600000000016</v>
          </cell>
          <cell r="M188">
            <v>0.74702999999999997</v>
          </cell>
          <cell r="N188">
            <v>301995.17204020242</v>
          </cell>
          <cell r="Q188">
            <v>14</v>
          </cell>
        </row>
        <row r="189">
          <cell r="D189" t="str">
            <v>25167-70-8</v>
          </cell>
          <cell r="E189">
            <v>25167708</v>
          </cell>
          <cell r="F189">
            <v>2420</v>
          </cell>
          <cell r="G189" t="str">
            <v>Reach_2561</v>
          </cell>
          <cell r="H189">
            <v>181</v>
          </cell>
          <cell r="J189">
            <v>112.22</v>
          </cell>
          <cell r="K189">
            <v>-84.49</v>
          </cell>
          <cell r="L189">
            <v>5518.62</v>
          </cell>
          <cell r="M189">
            <v>4.3472999999999997</v>
          </cell>
          <cell r="N189">
            <v>12022.644346174151</v>
          </cell>
          <cell r="Q189">
            <v>14</v>
          </cell>
        </row>
        <row r="190">
          <cell r="D190" t="str">
            <v>10543-57-4</v>
          </cell>
          <cell r="E190">
            <v>10543574</v>
          </cell>
          <cell r="F190">
            <v>175</v>
          </cell>
          <cell r="G190" t="str">
            <v>Reach_2295</v>
          </cell>
          <cell r="H190">
            <v>182</v>
          </cell>
          <cell r="J190">
            <v>228.25</v>
          </cell>
          <cell r="K190">
            <v>186.17</v>
          </cell>
          <cell r="L190">
            <v>1.9728400000000002E-6</v>
          </cell>
          <cell r="M190">
            <v>101000</v>
          </cell>
          <cell r="N190">
            <v>4.3651583224016566E-3</v>
          </cell>
          <cell r="P190">
            <v>15</v>
          </cell>
          <cell r="Q190">
            <v>-1</v>
          </cell>
        </row>
        <row r="191">
          <cell r="D191" t="str">
            <v>593-81-7</v>
          </cell>
          <cell r="E191">
            <v>593817</v>
          </cell>
          <cell r="F191">
            <v>1227</v>
          </cell>
          <cell r="G191" t="str">
            <v>Reach_1396</v>
          </cell>
          <cell r="H191">
            <v>183</v>
          </cell>
          <cell r="J191">
            <v>95.573999999999998</v>
          </cell>
          <cell r="K191">
            <v>0</v>
          </cell>
          <cell r="Q191">
            <v>14</v>
          </cell>
        </row>
        <row r="192">
          <cell r="D192" t="str">
            <v>115-10-6</v>
          </cell>
          <cell r="E192">
            <v>115106</v>
          </cell>
          <cell r="F192">
            <v>1630</v>
          </cell>
          <cell r="G192" t="str">
            <v>Reach_936</v>
          </cell>
          <cell r="H192">
            <v>184</v>
          </cell>
          <cell r="J192">
            <v>46.069000000000003</v>
          </cell>
          <cell r="K192">
            <v>-128.1</v>
          </cell>
          <cell r="L192">
            <v>513205.00000000006</v>
          </cell>
          <cell r="M192">
            <v>195000</v>
          </cell>
          <cell r="N192">
            <v>1.1748975549395295</v>
          </cell>
          <cell r="Q192">
            <v>14</v>
          </cell>
        </row>
        <row r="193">
          <cell r="D193" t="str">
            <v>83196-58-1</v>
          </cell>
          <cell r="E193">
            <v>83196581</v>
          </cell>
          <cell r="F193">
            <v>3843</v>
          </cell>
          <cell r="G193" t="str">
            <v>Reach_4463</v>
          </cell>
          <cell r="H193">
            <v>185</v>
          </cell>
          <cell r="J193">
            <v>357.5</v>
          </cell>
          <cell r="K193">
            <v>190.88</v>
          </cell>
          <cell r="L193">
            <v>1.1610430000000001E-8</v>
          </cell>
          <cell r="M193">
            <v>4.2328999999999999</v>
          </cell>
          <cell r="N193">
            <v>14791.083881682089</v>
          </cell>
          <cell r="O193">
            <v>10.99</v>
          </cell>
          <cell r="Q193">
            <v>10.99</v>
          </cell>
        </row>
        <row r="194">
          <cell r="D194" t="str">
            <v>79-01-6</v>
          </cell>
          <cell r="E194">
            <v>79016</v>
          </cell>
          <cell r="F194">
            <v>909</v>
          </cell>
          <cell r="G194" t="str">
            <v>Reach_223</v>
          </cell>
          <cell r="H194">
            <v>186</v>
          </cell>
          <cell r="J194">
            <v>131.38999999999999</v>
          </cell>
          <cell r="K194">
            <v>-77.150000000000006</v>
          </cell>
          <cell r="L194">
            <v>9664.25</v>
          </cell>
          <cell r="M194">
            <v>696.87</v>
          </cell>
          <cell r="N194">
            <v>295.12092266663893</v>
          </cell>
          <cell r="Q194">
            <v>14</v>
          </cell>
        </row>
        <row r="195">
          <cell r="D195" t="str">
            <v>106-46-7</v>
          </cell>
          <cell r="E195">
            <v>106467</v>
          </cell>
          <cell r="F195">
            <v>192</v>
          </cell>
          <cell r="G195" t="str">
            <v>Reach_668</v>
          </cell>
          <cell r="H195">
            <v>187</v>
          </cell>
          <cell r="J195">
            <v>147</v>
          </cell>
          <cell r="K195">
            <v>-14.33</v>
          </cell>
          <cell r="L195">
            <v>87.978000000000009</v>
          </cell>
          <cell r="M195">
            <v>118.71</v>
          </cell>
          <cell r="N195">
            <v>1905.4607179632485</v>
          </cell>
          <cell r="Q195">
            <v>14</v>
          </cell>
        </row>
        <row r="196">
          <cell r="D196" t="str">
            <v>107-18-6</v>
          </cell>
          <cell r="E196">
            <v>107186</v>
          </cell>
          <cell r="F196">
            <v>213</v>
          </cell>
          <cell r="G196" t="str">
            <v>Reach_697</v>
          </cell>
          <cell r="H196">
            <v>188</v>
          </cell>
          <cell r="J196">
            <v>58.08</v>
          </cell>
          <cell r="K196">
            <v>-76.37</v>
          </cell>
          <cell r="L196">
            <v>3119.2200000000003</v>
          </cell>
          <cell r="M196">
            <v>448000</v>
          </cell>
          <cell r="N196">
            <v>1.62181009735893</v>
          </cell>
          <cell r="O196">
            <v>15.5</v>
          </cell>
          <cell r="Q196">
            <v>14</v>
          </cell>
        </row>
        <row r="197">
          <cell r="D197" t="str">
            <v>77-78-1</v>
          </cell>
          <cell r="E197">
            <v>77781</v>
          </cell>
          <cell r="F197">
            <v>886</v>
          </cell>
          <cell r="G197" t="str">
            <v>Reach_185</v>
          </cell>
          <cell r="H197">
            <v>189</v>
          </cell>
          <cell r="J197">
            <v>126.13</v>
          </cell>
          <cell r="K197">
            <v>15.12</v>
          </cell>
          <cell r="L197">
            <v>83.179200000000009</v>
          </cell>
          <cell r="M197">
            <v>122000</v>
          </cell>
          <cell r="N197">
            <v>1.4454397707459274</v>
          </cell>
          <cell r="Q197">
            <v>14</v>
          </cell>
        </row>
        <row r="198">
          <cell r="D198" t="str">
            <v>98-00-0</v>
          </cell>
          <cell r="E198">
            <v>98000</v>
          </cell>
          <cell r="F198">
            <v>1063</v>
          </cell>
          <cell r="G198" t="str">
            <v>Reach_494</v>
          </cell>
          <cell r="H198">
            <v>190</v>
          </cell>
          <cell r="J198">
            <v>98.100999999999999</v>
          </cell>
          <cell r="K198">
            <v>-12.39</v>
          </cell>
          <cell r="L198">
            <v>54.5197</v>
          </cell>
          <cell r="M198">
            <v>191000</v>
          </cell>
          <cell r="N198">
            <v>2.8183829312644542</v>
          </cell>
          <cell r="O198">
            <v>16</v>
          </cell>
          <cell r="Q198">
            <v>14</v>
          </cell>
        </row>
        <row r="199">
          <cell r="D199" t="str">
            <v>94-28-0</v>
          </cell>
          <cell r="E199">
            <v>94280</v>
          </cell>
          <cell r="F199">
            <v>4100</v>
          </cell>
          <cell r="G199" t="str">
            <v>Reach_413</v>
          </cell>
          <cell r="H199">
            <v>191</v>
          </cell>
          <cell r="J199">
            <v>402.57</v>
          </cell>
          <cell r="K199">
            <v>48.36</v>
          </cell>
          <cell r="L199">
            <v>5.6252600000000004E-4</v>
          </cell>
          <cell r="M199">
            <v>1.9699</v>
          </cell>
          <cell r="N199">
            <v>398107.17055349716</v>
          </cell>
          <cell r="Q199">
            <v>14</v>
          </cell>
        </row>
        <row r="200">
          <cell r="D200" t="str">
            <v>75-12-7</v>
          </cell>
          <cell r="E200">
            <v>75127</v>
          </cell>
          <cell r="F200">
            <v>851</v>
          </cell>
          <cell r="G200" t="str">
            <v>Reach_131</v>
          </cell>
          <cell r="H200">
            <v>192</v>
          </cell>
          <cell r="J200">
            <v>45.042000000000002</v>
          </cell>
          <cell r="K200">
            <v>28.99</v>
          </cell>
          <cell r="L200">
            <v>17.462300000000003</v>
          </cell>
          <cell r="M200">
            <v>1000000</v>
          </cell>
          <cell r="N200">
            <v>2.4547089156850287E-2</v>
          </cell>
          <cell r="O200">
            <v>15.1</v>
          </cell>
          <cell r="P200">
            <v>14</v>
          </cell>
          <cell r="Q200">
            <v>0</v>
          </cell>
        </row>
        <row r="201">
          <cell r="D201" t="str">
            <v>68-12-2</v>
          </cell>
          <cell r="E201">
            <v>68122</v>
          </cell>
          <cell r="F201">
            <v>799</v>
          </cell>
          <cell r="G201" t="str">
            <v>Reach_91</v>
          </cell>
          <cell r="H201">
            <v>193</v>
          </cell>
          <cell r="J201">
            <v>73.096000000000004</v>
          </cell>
          <cell r="K201">
            <v>-31.98</v>
          </cell>
          <cell r="L201">
            <v>465.21700000000004</v>
          </cell>
          <cell r="M201">
            <v>3430000</v>
          </cell>
          <cell r="N201">
            <v>0.11748975549395291</v>
          </cell>
          <cell r="P201">
            <v>14</v>
          </cell>
          <cell r="Q201">
            <v>0</v>
          </cell>
        </row>
        <row r="202">
          <cell r="D202" t="str">
            <v>822-06-0</v>
          </cell>
          <cell r="E202">
            <v>822060</v>
          </cell>
          <cell r="F202">
            <v>3822</v>
          </cell>
          <cell r="G202" t="str">
            <v>Reach_1555</v>
          </cell>
          <cell r="H202">
            <v>194</v>
          </cell>
          <cell r="J202">
            <v>168.2</v>
          </cell>
          <cell r="K202">
            <v>48.81</v>
          </cell>
          <cell r="L202">
            <v>2.77264</v>
          </cell>
          <cell r="M202">
            <v>3330.3</v>
          </cell>
          <cell r="N202">
            <v>1584.8931924611156</v>
          </cell>
          <cell r="Q202">
            <v>14</v>
          </cell>
        </row>
        <row r="203">
          <cell r="D203" t="str">
            <v>123-05-7</v>
          </cell>
          <cell r="E203">
            <v>123057</v>
          </cell>
          <cell r="F203">
            <v>1761</v>
          </cell>
          <cell r="G203" t="str">
            <v>Reach_1038</v>
          </cell>
          <cell r="H203">
            <v>195</v>
          </cell>
          <cell r="J203">
            <v>128.22</v>
          </cell>
          <cell r="K203">
            <v>-42.32</v>
          </cell>
          <cell r="L203">
            <v>290.59400000000005</v>
          </cell>
          <cell r="M203">
            <v>441.68</v>
          </cell>
          <cell r="N203">
            <v>512.86138399136519</v>
          </cell>
          <cell r="Q203">
            <v>14</v>
          </cell>
        </row>
        <row r="204">
          <cell r="D204" t="str">
            <v>2439-35-2</v>
          </cell>
          <cell r="E204">
            <v>2439352</v>
          </cell>
          <cell r="F204">
            <v>2391</v>
          </cell>
          <cell r="G204" t="str">
            <v>Reach_1811</v>
          </cell>
          <cell r="H204">
            <v>196</v>
          </cell>
          <cell r="J204">
            <v>143.19</v>
          </cell>
          <cell r="K204">
            <v>-23.56</v>
          </cell>
          <cell r="L204">
            <v>230.60900000000001</v>
          </cell>
          <cell r="M204">
            <v>29899</v>
          </cell>
          <cell r="N204">
            <v>2.6302679918953822</v>
          </cell>
          <cell r="P204">
            <v>5.8</v>
          </cell>
          <cell r="Q204">
            <v>8.1999999999999993</v>
          </cell>
        </row>
        <row r="205">
          <cell r="D205" t="str">
            <v>98-54-4</v>
          </cell>
          <cell r="E205">
            <v>98544</v>
          </cell>
          <cell r="F205">
            <v>1073</v>
          </cell>
          <cell r="G205" t="str">
            <v>Reach_511</v>
          </cell>
          <cell r="H205">
            <v>197</v>
          </cell>
          <cell r="J205">
            <v>150.22</v>
          </cell>
          <cell r="K205">
            <v>36.909999999999997</v>
          </cell>
          <cell r="L205">
            <v>0.59585100000000002</v>
          </cell>
          <cell r="M205">
            <v>941.82</v>
          </cell>
          <cell r="N205">
            <v>2630.2679918953822</v>
          </cell>
          <cell r="O205">
            <v>10</v>
          </cell>
          <cell r="Q205">
            <v>10</v>
          </cell>
        </row>
        <row r="206">
          <cell r="D206" t="str">
            <v>14543-49-8</v>
          </cell>
          <cell r="E206">
            <v>14543498</v>
          </cell>
          <cell r="F206">
            <v>1986</v>
          </cell>
          <cell r="G206" t="str">
            <v>Reach_4155</v>
          </cell>
          <cell r="H206">
            <v>198</v>
          </cell>
          <cell r="J206">
            <v>140.22999999999999</v>
          </cell>
          <cell r="K206">
            <v>-40.369999999999997</v>
          </cell>
          <cell r="L206">
            <v>273.26499999999999</v>
          </cell>
          <cell r="M206">
            <v>57.973999999999997</v>
          </cell>
          <cell r="N206">
            <v>1412.5375446227545</v>
          </cell>
          <cell r="Q206">
            <v>14</v>
          </cell>
        </row>
        <row r="207">
          <cell r="D207" t="str">
            <v>96-76-4</v>
          </cell>
          <cell r="E207">
            <v>96764</v>
          </cell>
          <cell r="F207">
            <v>4153</v>
          </cell>
          <cell r="G207" t="str">
            <v>Reach_470</v>
          </cell>
          <cell r="H207">
            <v>199</v>
          </cell>
          <cell r="J207">
            <v>206.33</v>
          </cell>
          <cell r="K207">
            <v>76.959999999999994</v>
          </cell>
          <cell r="L207">
            <v>0.35591100000000003</v>
          </cell>
          <cell r="M207">
            <v>13.173</v>
          </cell>
          <cell r="N207">
            <v>213796.20895022334</v>
          </cell>
          <cell r="O207">
            <v>10.8</v>
          </cell>
          <cell r="Q207">
            <v>10.8</v>
          </cell>
        </row>
        <row r="208">
          <cell r="D208" t="str">
            <v>108-77-0</v>
          </cell>
          <cell r="E208">
            <v>108770</v>
          </cell>
          <cell r="F208">
            <v>1489</v>
          </cell>
          <cell r="G208" t="str">
            <v>Reach_755</v>
          </cell>
          <cell r="H208">
            <v>200</v>
          </cell>
          <cell r="J208">
            <v>184.42</v>
          </cell>
          <cell r="K208">
            <v>68.8</v>
          </cell>
          <cell r="L208">
            <v>3.14588</v>
          </cell>
          <cell r="M208">
            <v>581.1</v>
          </cell>
          <cell r="N208">
            <v>53.703179637025293</v>
          </cell>
          <cell r="P208">
            <v>9.8000000000000007</v>
          </cell>
          <cell r="Q208">
            <v>4.1999999999999993</v>
          </cell>
        </row>
        <row r="209">
          <cell r="D209" t="str">
            <v>26896-20-8</v>
          </cell>
          <cell r="E209">
            <v>26896208</v>
          </cell>
          <cell r="F209">
            <v>2491</v>
          </cell>
          <cell r="G209" t="str">
            <v>Reach_2595</v>
          </cell>
          <cell r="H209">
            <v>201</v>
          </cell>
          <cell r="J209">
            <v>172.27</v>
          </cell>
          <cell r="K209">
            <v>48.11</v>
          </cell>
          <cell r="L209">
            <v>1.9595100000000001</v>
          </cell>
          <cell r="M209">
            <v>72.23</v>
          </cell>
          <cell r="N209">
            <v>6760.8297539198229</v>
          </cell>
          <cell r="O209">
            <v>4.9000000000000004</v>
          </cell>
          <cell r="Q209">
            <v>4.9000000000000004</v>
          </cell>
        </row>
        <row r="210">
          <cell r="D210" t="str">
            <v>629-59-4</v>
          </cell>
          <cell r="E210">
            <v>629594</v>
          </cell>
          <cell r="F210">
            <v>3390</v>
          </cell>
          <cell r="G210" t="str">
            <v>Reach_1468</v>
          </cell>
          <cell r="H210">
            <v>202</v>
          </cell>
          <cell r="J210">
            <v>198.39</v>
          </cell>
          <cell r="K210">
            <v>1.36</v>
          </cell>
          <cell r="L210">
            <v>4.9187700000000003</v>
          </cell>
          <cell r="M210">
            <v>4.7997999999999999E-3</v>
          </cell>
          <cell r="N210">
            <v>16595869.074375641</v>
          </cell>
          <cell r="Q210">
            <v>14</v>
          </cell>
        </row>
        <row r="211">
          <cell r="D211" t="str">
            <v>763-32-6</v>
          </cell>
          <cell r="E211">
            <v>763326</v>
          </cell>
          <cell r="F211">
            <v>3709</v>
          </cell>
          <cell r="G211" t="str">
            <v>Reach_1536</v>
          </cell>
          <cell r="H211">
            <v>203</v>
          </cell>
          <cell r="J211">
            <v>86.134</v>
          </cell>
          <cell r="K211">
            <v>-60.13</v>
          </cell>
          <cell r="L211">
            <v>487.87800000000004</v>
          </cell>
          <cell r="M211">
            <v>9560.7000000000007</v>
          </cell>
          <cell r="N211">
            <v>17.782794100389236</v>
          </cell>
          <cell r="O211">
            <v>15.9</v>
          </cell>
          <cell r="Q211">
            <v>14</v>
          </cell>
        </row>
        <row r="212">
          <cell r="D212" t="str">
            <v>111-91-1</v>
          </cell>
          <cell r="E212">
            <v>111911</v>
          </cell>
          <cell r="F212">
            <v>316</v>
          </cell>
          <cell r="G212" t="str">
            <v>Reach_881</v>
          </cell>
          <cell r="H212">
            <v>204</v>
          </cell>
          <cell r="J212">
            <v>173.04</v>
          </cell>
          <cell r="K212">
            <v>-5.68</v>
          </cell>
          <cell r="L212">
            <v>19.328500000000002</v>
          </cell>
          <cell r="M212">
            <v>17429</v>
          </cell>
          <cell r="N212">
            <v>19.952623149688804</v>
          </cell>
          <cell r="Q212">
            <v>14</v>
          </cell>
        </row>
        <row r="213">
          <cell r="D213" t="str">
            <v>2855-13-2</v>
          </cell>
          <cell r="E213">
            <v>2855132</v>
          </cell>
          <cell r="F213">
            <v>2536</v>
          </cell>
          <cell r="G213" t="str">
            <v>Reach_1875</v>
          </cell>
          <cell r="H213">
            <v>205</v>
          </cell>
          <cell r="J213">
            <v>170.3</v>
          </cell>
          <cell r="K213">
            <v>57.77</v>
          </cell>
          <cell r="L213">
            <v>4.2656000000000001</v>
          </cell>
          <cell r="M213">
            <v>139000</v>
          </cell>
          <cell r="N213">
            <v>79.432823472428197</v>
          </cell>
          <cell r="P213">
            <v>3.39</v>
          </cell>
          <cell r="Q213">
            <v>10.61</v>
          </cell>
        </row>
        <row r="214">
          <cell r="D214" t="str">
            <v>947-04-6</v>
          </cell>
          <cell r="E214">
            <v>947046</v>
          </cell>
          <cell r="F214">
            <v>4110</v>
          </cell>
          <cell r="G214" t="str">
            <v>Reach_1615</v>
          </cell>
          <cell r="H214">
            <v>206</v>
          </cell>
          <cell r="J214">
            <v>197.32</v>
          </cell>
          <cell r="K214">
            <v>123.24</v>
          </cell>
          <cell r="L214">
            <v>4.9454300000000007E-4</v>
          </cell>
          <cell r="M214">
            <v>47.832000000000001</v>
          </cell>
          <cell r="N214">
            <v>4073.8027780411317</v>
          </cell>
          <cell r="O214">
            <v>15.1</v>
          </cell>
          <cell r="P214">
            <v>14.3</v>
          </cell>
          <cell r="Q214">
            <v>-0.30000000000000071</v>
          </cell>
        </row>
        <row r="215">
          <cell r="D215" t="str">
            <v>793-24-8</v>
          </cell>
          <cell r="E215">
            <v>793248</v>
          </cell>
          <cell r="F215">
            <v>3771</v>
          </cell>
          <cell r="G215" t="str">
            <v>Reach_1548</v>
          </cell>
          <cell r="H215">
            <v>207</v>
          </cell>
          <cell r="J215">
            <v>268.41000000000003</v>
          </cell>
          <cell r="K215">
            <v>121.5</v>
          </cell>
          <cell r="L215">
            <v>6.5716900000000009E-4</v>
          </cell>
          <cell r="M215">
            <v>1.0179</v>
          </cell>
          <cell r="N215">
            <v>47863.009232263823</v>
          </cell>
          <cell r="P215">
            <v>9.4</v>
          </cell>
          <cell r="Q215">
            <v>4.5999999999999996</v>
          </cell>
        </row>
        <row r="216">
          <cell r="D216" t="str">
            <v>95-53-4</v>
          </cell>
          <cell r="E216">
            <v>95534</v>
          </cell>
          <cell r="F216">
            <v>1032</v>
          </cell>
          <cell r="G216" t="str">
            <v>Reach_432</v>
          </cell>
          <cell r="H216">
            <v>208</v>
          </cell>
          <cell r="J216">
            <v>107.16</v>
          </cell>
          <cell r="K216">
            <v>11.62</v>
          </cell>
          <cell r="L216">
            <v>47.3215</v>
          </cell>
          <cell r="M216">
            <v>7625.9</v>
          </cell>
          <cell r="N216">
            <v>41.686938347033561</v>
          </cell>
          <cell r="P216">
            <v>10</v>
          </cell>
          <cell r="Q216">
            <v>4</v>
          </cell>
        </row>
        <row r="217">
          <cell r="D217" t="str">
            <v>3327-22-8</v>
          </cell>
          <cell r="E217">
            <v>3327228</v>
          </cell>
          <cell r="F217">
            <v>5846</v>
          </cell>
          <cell r="G217" t="str">
            <v>Reach_1948</v>
          </cell>
          <cell r="H217">
            <v>209</v>
          </cell>
          <cell r="J217">
            <v>188.1</v>
          </cell>
          <cell r="K217">
            <v>0</v>
          </cell>
          <cell r="Q217">
            <v>14</v>
          </cell>
        </row>
        <row r="218">
          <cell r="D218" t="str">
            <v>75-50-3</v>
          </cell>
          <cell r="E218">
            <v>75503</v>
          </cell>
          <cell r="F218">
            <v>859</v>
          </cell>
          <cell r="G218" t="str">
            <v>Reach_147</v>
          </cell>
          <cell r="H218">
            <v>210</v>
          </cell>
          <cell r="J218">
            <v>59.113</v>
          </cell>
          <cell r="K218">
            <v>-109.9</v>
          </cell>
          <cell r="L218">
            <v>223944.00000000003</v>
          </cell>
          <cell r="M218">
            <v>423000</v>
          </cell>
          <cell r="N218">
            <v>1.0964781961431851</v>
          </cell>
          <cell r="P218">
            <v>4</v>
          </cell>
          <cell r="Q218">
            <v>10</v>
          </cell>
        </row>
        <row r="219">
          <cell r="D219" t="str">
            <v>108-01-0</v>
          </cell>
          <cell r="E219">
            <v>108010</v>
          </cell>
          <cell r="F219">
            <v>227</v>
          </cell>
          <cell r="G219" t="str">
            <v>Reach_725</v>
          </cell>
          <cell r="H219">
            <v>211</v>
          </cell>
          <cell r="J219">
            <v>89.138999999999996</v>
          </cell>
          <cell r="K219">
            <v>-39.549999999999997</v>
          </cell>
          <cell r="L219">
            <v>437.22399999999999</v>
          </cell>
          <cell r="M219">
            <v>1000000</v>
          </cell>
          <cell r="N219">
            <v>0.11481536214968829</v>
          </cell>
          <cell r="O219">
            <v>15.03</v>
          </cell>
          <cell r="P219">
            <v>5</v>
          </cell>
          <cell r="Q219">
            <v>9</v>
          </cell>
        </row>
        <row r="220">
          <cell r="D220" t="str">
            <v>590-29-4</v>
          </cell>
          <cell r="E220">
            <v>590294</v>
          </cell>
          <cell r="F220">
            <v>1225</v>
          </cell>
          <cell r="G220" t="str">
            <v>Reach_1388</v>
          </cell>
          <cell r="H220">
            <v>212</v>
          </cell>
          <cell r="J220">
            <v>84.117000000000004</v>
          </cell>
          <cell r="K220">
            <v>0</v>
          </cell>
          <cell r="Q220">
            <v>14</v>
          </cell>
        </row>
        <row r="221">
          <cell r="D221" t="str">
            <v>97-88-1</v>
          </cell>
          <cell r="E221">
            <v>97881</v>
          </cell>
          <cell r="F221">
            <v>1061</v>
          </cell>
          <cell r="G221" t="str">
            <v>Reach_490</v>
          </cell>
          <cell r="H221">
            <v>213</v>
          </cell>
          <cell r="J221">
            <v>142.19999999999999</v>
          </cell>
          <cell r="K221">
            <v>-42.67</v>
          </cell>
          <cell r="L221">
            <v>334.58300000000003</v>
          </cell>
          <cell r="M221">
            <v>1348.3</v>
          </cell>
          <cell r="N221">
            <v>562.34132519034927</v>
          </cell>
          <cell r="Q221">
            <v>14</v>
          </cell>
        </row>
        <row r="222">
          <cell r="D222" t="str">
            <v>107-22-2</v>
          </cell>
          <cell r="E222">
            <v>107222</v>
          </cell>
          <cell r="F222">
            <v>217</v>
          </cell>
          <cell r="G222" t="str">
            <v>Reach_701</v>
          </cell>
          <cell r="H222">
            <v>214</v>
          </cell>
          <cell r="J222">
            <v>58.036000000000001</v>
          </cell>
          <cell r="K222">
            <v>-66.69</v>
          </cell>
          <cell r="L222">
            <v>38390.400000000001</v>
          </cell>
          <cell r="M222">
            <v>471000</v>
          </cell>
          <cell r="N222">
            <v>2.1877616239495523E-2</v>
          </cell>
          <cell r="Q222">
            <v>14</v>
          </cell>
        </row>
        <row r="223">
          <cell r="D223" t="str">
            <v>108-10-1</v>
          </cell>
          <cell r="E223">
            <v>108101</v>
          </cell>
          <cell r="F223">
            <v>229</v>
          </cell>
          <cell r="G223" t="str">
            <v>Reach_728</v>
          </cell>
          <cell r="H223">
            <v>215</v>
          </cell>
          <cell r="J223">
            <v>100.16</v>
          </cell>
          <cell r="K223">
            <v>-66.73</v>
          </cell>
          <cell r="L223">
            <v>2905.9400000000005</v>
          </cell>
          <cell r="M223">
            <v>10176</v>
          </cell>
          <cell r="N223">
            <v>14.454397707459275</v>
          </cell>
          <cell r="Q223">
            <v>14</v>
          </cell>
        </row>
        <row r="224">
          <cell r="D224" t="str">
            <v>111-41-1</v>
          </cell>
          <cell r="E224">
            <v>111411</v>
          </cell>
          <cell r="F224">
            <v>1547</v>
          </cell>
          <cell r="G224" t="str">
            <v>Reach_855</v>
          </cell>
          <cell r="H224">
            <v>216</v>
          </cell>
          <cell r="J224">
            <v>104.16</v>
          </cell>
          <cell r="K224">
            <v>25.8</v>
          </cell>
          <cell r="L224">
            <v>0.87711400000000006</v>
          </cell>
          <cell r="M224">
            <v>1000000</v>
          </cell>
          <cell r="N224">
            <v>7.4131024130091741E-3</v>
          </cell>
          <cell r="O224">
            <v>14.94</v>
          </cell>
          <cell r="P224">
            <v>4.3499999999999996</v>
          </cell>
          <cell r="Q224">
            <v>9.65</v>
          </cell>
        </row>
        <row r="225">
          <cell r="D225" t="str">
            <v>629-11-8</v>
          </cell>
          <cell r="E225">
            <v>629118</v>
          </cell>
          <cell r="F225">
            <v>3385</v>
          </cell>
          <cell r="G225" t="str">
            <v>Reach_1464</v>
          </cell>
          <cell r="H225">
            <v>217</v>
          </cell>
          <cell r="J225">
            <v>118.18</v>
          </cell>
          <cell r="K225">
            <v>14.41</v>
          </cell>
          <cell r="L225">
            <v>0.17062400000000003</v>
          </cell>
          <cell r="M225">
            <v>337000</v>
          </cell>
          <cell r="N225">
            <v>5.7543993733715713</v>
          </cell>
          <cell r="O225">
            <v>15.58</v>
          </cell>
          <cell r="Q225">
            <v>14</v>
          </cell>
        </row>
        <row r="226">
          <cell r="D226" t="str">
            <v>112-18-5</v>
          </cell>
          <cell r="E226">
            <v>112185</v>
          </cell>
          <cell r="F226">
            <v>321</v>
          </cell>
          <cell r="G226" t="str">
            <v>Reach_892</v>
          </cell>
          <cell r="H226">
            <v>218</v>
          </cell>
          <cell r="J226">
            <v>213.41</v>
          </cell>
          <cell r="K226">
            <v>22.53</v>
          </cell>
          <cell r="L226">
            <v>2.1194700000000002</v>
          </cell>
          <cell r="M226">
            <v>0.12584000000000001</v>
          </cell>
          <cell r="N226">
            <v>275422.87033381703</v>
          </cell>
          <cell r="P226">
            <v>4</v>
          </cell>
          <cell r="Q226">
            <v>10</v>
          </cell>
        </row>
        <row r="227">
          <cell r="D227" t="str">
            <v>576-26-1</v>
          </cell>
          <cell r="E227">
            <v>576261</v>
          </cell>
          <cell r="F227">
            <v>723</v>
          </cell>
          <cell r="G227" t="str">
            <v>Reach_1380</v>
          </cell>
          <cell r="H227">
            <v>219</v>
          </cell>
          <cell r="J227">
            <v>122.17</v>
          </cell>
          <cell r="K227">
            <v>25.37</v>
          </cell>
          <cell r="L227">
            <v>13.996500000000001</v>
          </cell>
          <cell r="M227">
            <v>3285.4</v>
          </cell>
          <cell r="N227">
            <v>407.38027780411272</v>
          </cell>
          <cell r="O227">
            <v>10.9</v>
          </cell>
          <cell r="Q227">
            <v>10.9</v>
          </cell>
        </row>
        <row r="228">
          <cell r="D228" t="str">
            <v>624-92-0</v>
          </cell>
          <cell r="E228">
            <v>624920</v>
          </cell>
          <cell r="F228">
            <v>764</v>
          </cell>
          <cell r="G228" t="str">
            <v>Reach_1456</v>
          </cell>
          <cell r="H228">
            <v>220</v>
          </cell>
          <cell r="J228">
            <v>94.197999999999993</v>
          </cell>
          <cell r="K228">
            <v>-69.69</v>
          </cell>
          <cell r="L228">
            <v>3265.8500000000004</v>
          </cell>
          <cell r="M228">
            <v>5137</v>
          </cell>
          <cell r="N228">
            <v>74.131024130091816</v>
          </cell>
          <cell r="Q228">
            <v>14</v>
          </cell>
        </row>
        <row r="229">
          <cell r="D229" t="str">
            <v>1120-36-1</v>
          </cell>
          <cell r="E229">
            <v>1120361</v>
          </cell>
          <cell r="F229">
            <v>1569</v>
          </cell>
          <cell r="G229" t="str">
            <v>Reach_1657</v>
          </cell>
          <cell r="H229">
            <v>221</v>
          </cell>
          <cell r="J229">
            <v>196.38</v>
          </cell>
          <cell r="K229">
            <v>0.09</v>
          </cell>
          <cell r="L229">
            <v>13.863200000000001</v>
          </cell>
          <cell r="M229">
            <v>6.6835000000000002E-3</v>
          </cell>
          <cell r="N229">
            <v>12022644.346174169</v>
          </cell>
          <cell r="Q229">
            <v>14</v>
          </cell>
        </row>
        <row r="230">
          <cell r="D230" t="str">
            <v>109-55-7</v>
          </cell>
          <cell r="E230">
            <v>109557</v>
          </cell>
          <cell r="F230">
            <v>1503</v>
          </cell>
          <cell r="G230" t="str">
            <v>Reach_777</v>
          </cell>
          <cell r="H230">
            <v>222</v>
          </cell>
          <cell r="J230">
            <v>102.18</v>
          </cell>
          <cell r="K230">
            <v>-23.31</v>
          </cell>
          <cell r="L230">
            <v>1165.0420000000001</v>
          </cell>
          <cell r="M230">
            <v>444000</v>
          </cell>
          <cell r="N230">
            <v>0.35481338923357542</v>
          </cell>
          <cell r="P230">
            <v>3.7</v>
          </cell>
          <cell r="Q230">
            <v>10.3</v>
          </cell>
        </row>
        <row r="231">
          <cell r="D231" t="str">
            <v>31570-04-4</v>
          </cell>
          <cell r="E231">
            <v>31570044</v>
          </cell>
          <cell r="F231">
            <v>2629</v>
          </cell>
          <cell r="G231" t="str">
            <v>Reach_2655</v>
          </cell>
          <cell r="H231">
            <v>223</v>
          </cell>
          <cell r="J231">
            <v>646.94000000000005</v>
          </cell>
          <cell r="K231">
            <v>268.54000000000002</v>
          </cell>
          <cell r="L231">
            <v>6.3184200000000005E-12</v>
          </cell>
          <cell r="M231">
            <v>2.1599999999999998E-11</v>
          </cell>
          <cell r="N231">
            <v>1.2022644346174103E+18</v>
          </cell>
          <cell r="Q231">
            <v>14</v>
          </cell>
        </row>
        <row r="232">
          <cell r="D232" t="str">
            <v>1738-25-6</v>
          </cell>
          <cell r="E232">
            <v>1738256</v>
          </cell>
          <cell r="F232">
            <v>2132</v>
          </cell>
          <cell r="G232" t="str">
            <v>Reach_1714</v>
          </cell>
          <cell r="H232">
            <v>224</v>
          </cell>
          <cell r="J232">
            <v>98.150999999999996</v>
          </cell>
          <cell r="K232">
            <v>-23.67</v>
          </cell>
          <cell r="L232">
            <v>179.95500000000004</v>
          </cell>
          <cell r="M232">
            <v>442000</v>
          </cell>
          <cell r="N232">
            <v>0.35481338923357542</v>
          </cell>
          <cell r="P232">
            <v>7</v>
          </cell>
          <cell r="Q232">
            <v>7</v>
          </cell>
        </row>
        <row r="233">
          <cell r="D233" t="str">
            <v>98-01-1</v>
          </cell>
          <cell r="E233">
            <v>98011</v>
          </cell>
          <cell r="F233">
            <v>1064</v>
          </cell>
          <cell r="G233" t="str">
            <v>Reach_495</v>
          </cell>
          <cell r="H233">
            <v>225</v>
          </cell>
          <cell r="J233">
            <v>96.084999999999994</v>
          </cell>
          <cell r="K233">
            <v>-29.49</v>
          </cell>
          <cell r="L233">
            <v>309.25600000000003</v>
          </cell>
          <cell r="M233">
            <v>66624</v>
          </cell>
          <cell r="N233">
            <v>6.7608297539198183</v>
          </cell>
          <cell r="Q233">
            <v>14</v>
          </cell>
        </row>
        <row r="234">
          <cell r="D234" t="str">
            <v>107-45-9</v>
          </cell>
          <cell r="E234">
            <v>107459</v>
          </cell>
          <cell r="F234">
            <v>220</v>
          </cell>
          <cell r="G234" t="str">
            <v>Reach_708</v>
          </cell>
          <cell r="H234">
            <v>226</v>
          </cell>
          <cell r="J234">
            <v>129.25</v>
          </cell>
          <cell r="K234">
            <v>-20.02</v>
          </cell>
          <cell r="L234">
            <v>971.75700000000006</v>
          </cell>
          <cell r="M234">
            <v>1.3552999999999999</v>
          </cell>
          <cell r="N234">
            <v>380.18939632056163</v>
          </cell>
          <cell r="P234">
            <v>4</v>
          </cell>
          <cell r="Q234">
            <v>10</v>
          </cell>
        </row>
        <row r="235">
          <cell r="D235" t="str">
            <v>112-30-1</v>
          </cell>
          <cell r="E235">
            <v>112301</v>
          </cell>
          <cell r="F235">
            <v>325</v>
          </cell>
          <cell r="G235" t="str">
            <v>Reach_896</v>
          </cell>
          <cell r="H235">
            <v>227</v>
          </cell>
          <cell r="J235">
            <v>158.29</v>
          </cell>
          <cell r="K235">
            <v>7.89</v>
          </cell>
          <cell r="L235">
            <v>1.4529700000000001</v>
          </cell>
          <cell r="M235">
            <v>36.796999999999997</v>
          </cell>
          <cell r="N235">
            <v>6165.9500186148289</v>
          </cell>
          <cell r="O235">
            <v>15.9</v>
          </cell>
          <cell r="Q235">
            <v>14</v>
          </cell>
        </row>
        <row r="236">
          <cell r="D236" t="str">
            <v>5064-31-3</v>
          </cell>
          <cell r="E236">
            <v>5064313</v>
          </cell>
          <cell r="F236">
            <v>1216</v>
          </cell>
          <cell r="G236" t="str">
            <v>Reach_2075</v>
          </cell>
          <cell r="H236">
            <v>228</v>
          </cell>
          <cell r="J236">
            <v>257.08999999999997</v>
          </cell>
          <cell r="K236">
            <v>0</v>
          </cell>
          <cell r="Q236">
            <v>14</v>
          </cell>
        </row>
        <row r="237">
          <cell r="D237" t="str">
            <v>75-68-3</v>
          </cell>
          <cell r="E237">
            <v>75683</v>
          </cell>
          <cell r="F237">
            <v>3681</v>
          </cell>
          <cell r="G237" t="str">
            <v>Reach_158</v>
          </cell>
          <cell r="H237">
            <v>229</v>
          </cell>
          <cell r="J237">
            <v>100.5</v>
          </cell>
          <cell r="K237">
            <v>-124.52</v>
          </cell>
          <cell r="L237">
            <v>343914.00000000006</v>
          </cell>
          <cell r="M237">
            <v>1959.1</v>
          </cell>
          <cell r="N237">
            <v>112.20184543019634</v>
          </cell>
          <cell r="Q237">
            <v>14</v>
          </cell>
        </row>
        <row r="238">
          <cell r="D238" t="str">
            <v>111-87-5</v>
          </cell>
          <cell r="E238">
            <v>111875</v>
          </cell>
          <cell r="F238">
            <v>314</v>
          </cell>
          <cell r="G238" t="str">
            <v>Reach_878</v>
          </cell>
          <cell r="H238">
            <v>230</v>
          </cell>
          <cell r="J238">
            <v>130.22999999999999</v>
          </cell>
          <cell r="K238">
            <v>-14.46</v>
          </cell>
          <cell r="L238">
            <v>13.196700000000002</v>
          </cell>
          <cell r="M238">
            <v>623.66</v>
          </cell>
          <cell r="N238">
            <v>645.65422903465594</v>
          </cell>
          <cell r="O238">
            <v>15.9</v>
          </cell>
          <cell r="Q238">
            <v>14</v>
          </cell>
        </row>
        <row r="239">
          <cell r="D239" t="str">
            <v>6422-86-2</v>
          </cell>
          <cell r="E239">
            <v>6422862</v>
          </cell>
          <cell r="F239">
            <v>3430</v>
          </cell>
          <cell r="G239" t="str">
            <v>Reach_2182</v>
          </cell>
          <cell r="H239">
            <v>231</v>
          </cell>
          <cell r="J239">
            <v>390.56</v>
          </cell>
          <cell r="K239">
            <v>63.87</v>
          </cell>
          <cell r="L239">
            <v>2.8526200000000002E-3</v>
          </cell>
          <cell r="M239">
            <v>1.0271000000000001E-2</v>
          </cell>
          <cell r="N239">
            <v>245470891.56850341</v>
          </cell>
          <cell r="Q239">
            <v>14</v>
          </cell>
        </row>
        <row r="240">
          <cell r="D240" t="str">
            <v>56-23-5</v>
          </cell>
          <cell r="E240">
            <v>56235</v>
          </cell>
          <cell r="F240">
            <v>710</v>
          </cell>
          <cell r="G240" t="str">
            <v>Reach_26</v>
          </cell>
          <cell r="H240">
            <v>232</v>
          </cell>
          <cell r="J240">
            <v>153.82</v>
          </cell>
          <cell r="K240">
            <v>-58.38</v>
          </cell>
          <cell r="L240">
            <v>13263.35</v>
          </cell>
          <cell r="M240">
            <v>388.47</v>
          </cell>
          <cell r="N240">
            <v>275.42287033381683</v>
          </cell>
          <cell r="Q240">
            <v>14</v>
          </cell>
        </row>
        <row r="241">
          <cell r="D241" t="str">
            <v>74-89-5</v>
          </cell>
          <cell r="E241">
            <v>74895</v>
          </cell>
          <cell r="F241">
            <v>840</v>
          </cell>
          <cell r="G241" t="str">
            <v>Reach_115</v>
          </cell>
          <cell r="H241">
            <v>233</v>
          </cell>
          <cell r="J241">
            <v>31.059000000000001</v>
          </cell>
          <cell r="K241">
            <v>-98.3</v>
          </cell>
          <cell r="L241">
            <v>306590</v>
          </cell>
          <cell r="M241">
            <v>1000000</v>
          </cell>
          <cell r="N241">
            <v>0.22908676527677729</v>
          </cell>
          <cell r="P241">
            <v>3</v>
          </cell>
          <cell r="Q241">
            <v>11</v>
          </cell>
        </row>
        <row r="242">
          <cell r="D242" t="str">
            <v>96-18-4</v>
          </cell>
          <cell r="E242">
            <v>96184</v>
          </cell>
          <cell r="F242">
            <v>1047</v>
          </cell>
          <cell r="G242" t="str">
            <v>Reach_453</v>
          </cell>
          <cell r="H242">
            <v>234</v>
          </cell>
          <cell r="J242">
            <v>147.43</v>
          </cell>
          <cell r="K242">
            <v>-46.9</v>
          </cell>
          <cell r="L242">
            <v>385.23700000000002</v>
          </cell>
          <cell r="M242">
            <v>1802.8</v>
          </cell>
          <cell r="N242">
            <v>316.22776601683825</v>
          </cell>
          <cell r="Q242">
            <v>14</v>
          </cell>
        </row>
        <row r="243">
          <cell r="D243" t="str">
            <v>5216-25-1</v>
          </cell>
          <cell r="E243">
            <v>5216251</v>
          </cell>
          <cell r="F243">
            <v>3054</v>
          </cell>
          <cell r="G243" t="str">
            <v>Reach_2086</v>
          </cell>
          <cell r="H243">
            <v>235</v>
          </cell>
          <cell r="J243">
            <v>229.92</v>
          </cell>
          <cell r="K243">
            <v>40.49</v>
          </cell>
          <cell r="L243">
            <v>3.3191700000000002</v>
          </cell>
          <cell r="M243">
            <v>3.5543</v>
          </cell>
          <cell r="N243">
            <v>34673.685045253202</v>
          </cell>
          <cell r="Q243">
            <v>14</v>
          </cell>
        </row>
        <row r="244">
          <cell r="D244" t="str">
            <v>143-28-2</v>
          </cell>
          <cell r="E244">
            <v>143282</v>
          </cell>
          <cell r="F244">
            <v>1962</v>
          </cell>
          <cell r="G244" t="str">
            <v>Reach_1192</v>
          </cell>
          <cell r="H244">
            <v>236</v>
          </cell>
          <cell r="J244">
            <v>268.49</v>
          </cell>
          <cell r="K244">
            <v>85.36</v>
          </cell>
          <cell r="L244">
            <v>1.9861700000000002E-3</v>
          </cell>
          <cell r="M244">
            <v>2.6519999999999998E-3</v>
          </cell>
          <cell r="N244">
            <v>31622776.601683889</v>
          </cell>
          <cell r="O244">
            <v>15.9</v>
          </cell>
          <cell r="Q244">
            <v>14</v>
          </cell>
        </row>
        <row r="245">
          <cell r="D245" t="str">
            <v>16219-75-3</v>
          </cell>
          <cell r="E245">
            <v>16219753</v>
          </cell>
          <cell r="F245">
            <v>2083</v>
          </cell>
          <cell r="G245" t="str">
            <v>Reach_2414</v>
          </cell>
          <cell r="H245">
            <v>237</v>
          </cell>
          <cell r="J245">
            <v>120.19</v>
          </cell>
          <cell r="K245">
            <v>-29.93</v>
          </cell>
          <cell r="L245">
            <v>815.79600000000005</v>
          </cell>
          <cell r="M245">
            <v>296.83</v>
          </cell>
          <cell r="N245">
            <v>4677.3514128719844</v>
          </cell>
          <cell r="Q245">
            <v>14</v>
          </cell>
        </row>
        <row r="246">
          <cell r="D246" t="str">
            <v>112-27-6</v>
          </cell>
          <cell r="E246">
            <v>112276</v>
          </cell>
          <cell r="F246">
            <v>322</v>
          </cell>
          <cell r="G246" t="str">
            <v>Reach_894</v>
          </cell>
          <cell r="H246">
            <v>238</v>
          </cell>
          <cell r="J246">
            <v>150.16999999999999</v>
          </cell>
          <cell r="K246">
            <v>47.17</v>
          </cell>
          <cell r="L246">
            <v>2.6526700000000004E-2</v>
          </cell>
          <cell r="M246">
            <v>9440000</v>
          </cell>
          <cell r="N246">
            <v>1.7782794100389226E-2</v>
          </cell>
          <cell r="O246">
            <v>14.58</v>
          </cell>
          <cell r="Q246">
            <v>14</v>
          </cell>
        </row>
        <row r="247">
          <cell r="D247" t="str">
            <v>80-56-8</v>
          </cell>
          <cell r="E247">
            <v>80568</v>
          </cell>
          <cell r="F247">
            <v>937</v>
          </cell>
          <cell r="G247" t="str">
            <v>Reach_267</v>
          </cell>
          <cell r="H247">
            <v>239</v>
          </cell>
          <cell r="J247">
            <v>136.24</v>
          </cell>
          <cell r="K247">
            <v>-13.62</v>
          </cell>
          <cell r="L247">
            <v>535.86599999999999</v>
          </cell>
          <cell r="M247">
            <v>28.271999999999998</v>
          </cell>
          <cell r="N247">
            <v>18620.871366628675</v>
          </cell>
          <cell r="Q247">
            <v>14</v>
          </cell>
        </row>
        <row r="248">
          <cell r="D248" t="str">
            <v>2492-26-4</v>
          </cell>
          <cell r="E248">
            <v>2492264</v>
          </cell>
          <cell r="F248">
            <v>1207</v>
          </cell>
          <cell r="G248" t="str">
            <v>Reach_1818</v>
          </cell>
          <cell r="H248">
            <v>240</v>
          </cell>
          <cell r="J248">
            <v>189.24</v>
          </cell>
          <cell r="K248">
            <v>0</v>
          </cell>
          <cell r="Q248">
            <v>14</v>
          </cell>
        </row>
        <row r="249">
          <cell r="D249" t="str">
            <v>140-66-9</v>
          </cell>
          <cell r="E249">
            <v>140669</v>
          </cell>
          <cell r="F249">
            <v>451</v>
          </cell>
          <cell r="G249" t="str">
            <v>Reach_1150</v>
          </cell>
          <cell r="H249">
            <v>241</v>
          </cell>
          <cell r="J249">
            <v>206.33</v>
          </cell>
          <cell r="K249">
            <v>72.790000000000006</v>
          </cell>
          <cell r="L249">
            <v>6.9049400000000011E-2</v>
          </cell>
          <cell r="M249">
            <v>16.11</v>
          </cell>
          <cell r="N249">
            <v>190546.07179632492</v>
          </cell>
          <cell r="O249">
            <v>10</v>
          </cell>
          <cell r="Q249">
            <v>10</v>
          </cell>
        </row>
        <row r="250">
          <cell r="D250" t="str">
            <v>103-23-1</v>
          </cell>
          <cell r="E250">
            <v>103231</v>
          </cell>
          <cell r="F250">
            <v>160</v>
          </cell>
          <cell r="G250" t="str">
            <v>Reach_603</v>
          </cell>
          <cell r="H250">
            <v>242</v>
          </cell>
          <cell r="J250">
            <v>370.57</v>
          </cell>
          <cell r="K250">
            <v>8.9600000000000009</v>
          </cell>
          <cell r="L250">
            <v>4.2656000000000004E-4</v>
          </cell>
          <cell r="M250">
            <v>1.4885000000000001E-2</v>
          </cell>
          <cell r="N250">
            <v>131825673.85564078</v>
          </cell>
          <cell r="Q250">
            <v>14</v>
          </cell>
        </row>
        <row r="251">
          <cell r="D251" t="str">
            <v>101-54-2</v>
          </cell>
          <cell r="E251">
            <v>101542</v>
          </cell>
          <cell r="F251">
            <v>1323</v>
          </cell>
          <cell r="G251" t="str">
            <v>Reach_579</v>
          </cell>
          <cell r="H251">
            <v>243</v>
          </cell>
          <cell r="J251">
            <v>184.24</v>
          </cell>
          <cell r="K251">
            <v>105.48</v>
          </cell>
          <cell r="L251">
            <v>5.8385400000000006E-3</v>
          </cell>
          <cell r="M251">
            <v>1819.4</v>
          </cell>
          <cell r="N251">
            <v>66.069344800759623</v>
          </cell>
          <cell r="P251">
            <v>9.4</v>
          </cell>
          <cell r="Q251">
            <v>4.5999999999999996</v>
          </cell>
        </row>
        <row r="252">
          <cell r="D252" t="str">
            <v>100-51-6</v>
          </cell>
          <cell r="E252">
            <v>100516</v>
          </cell>
          <cell r="F252">
            <v>129</v>
          </cell>
          <cell r="G252" t="str">
            <v>Reach_561</v>
          </cell>
          <cell r="H252">
            <v>244</v>
          </cell>
          <cell r="J252">
            <v>108.14</v>
          </cell>
          <cell r="K252">
            <v>-5.43</v>
          </cell>
          <cell r="L252">
            <v>7.1315500000000007</v>
          </cell>
          <cell r="M252">
            <v>23966</v>
          </cell>
          <cell r="N252">
            <v>12.022644346174133</v>
          </cell>
          <cell r="O252">
            <v>14.89</v>
          </cell>
          <cell r="Q252">
            <v>14</v>
          </cell>
        </row>
        <row r="253">
          <cell r="D253" t="str">
            <v>506-59-2</v>
          </cell>
          <cell r="E253">
            <v>506592</v>
          </cell>
          <cell r="F253">
            <v>5899</v>
          </cell>
          <cell r="G253" t="str">
            <v>Reach_1312</v>
          </cell>
          <cell r="H253">
            <v>245</v>
          </cell>
          <cell r="J253">
            <v>81.546999999999997</v>
          </cell>
          <cell r="K253">
            <v>0</v>
          </cell>
          <cell r="Q253">
            <v>14</v>
          </cell>
        </row>
        <row r="254">
          <cell r="D254" t="str">
            <v>611-19-8</v>
          </cell>
          <cell r="E254">
            <v>611198</v>
          </cell>
          <cell r="F254">
            <v>3326</v>
          </cell>
          <cell r="G254" t="str">
            <v>Reach_1419</v>
          </cell>
          <cell r="H254">
            <v>246</v>
          </cell>
          <cell r="J254">
            <v>161.03</v>
          </cell>
          <cell r="K254">
            <v>3.43</v>
          </cell>
          <cell r="L254">
            <v>20.3949</v>
          </cell>
          <cell r="M254">
            <v>50.54</v>
          </cell>
          <cell r="N254">
            <v>2754.228703338169</v>
          </cell>
          <cell r="Q254">
            <v>14</v>
          </cell>
        </row>
        <row r="255">
          <cell r="D255" t="str">
            <v>532-32-1</v>
          </cell>
          <cell r="E255">
            <v>532321</v>
          </cell>
          <cell r="F255">
            <v>1218</v>
          </cell>
          <cell r="G255" t="str">
            <v>Reach_1329</v>
          </cell>
          <cell r="H255">
            <v>247</v>
          </cell>
          <cell r="J255">
            <v>144.11000000000001</v>
          </cell>
          <cell r="K255">
            <v>0</v>
          </cell>
          <cell r="Q255">
            <v>14</v>
          </cell>
        </row>
        <row r="256">
          <cell r="D256" t="str">
            <v>830-13-7</v>
          </cell>
          <cell r="E256">
            <v>830137</v>
          </cell>
          <cell r="F256">
            <v>3840</v>
          </cell>
          <cell r="G256" t="str">
            <v>Reach_1559</v>
          </cell>
          <cell r="H256">
            <v>248</v>
          </cell>
          <cell r="J256">
            <v>182.31</v>
          </cell>
          <cell r="K256">
            <v>29.84</v>
          </cell>
          <cell r="L256">
            <v>0.67049900000000007</v>
          </cell>
          <cell r="M256">
            <v>0.35415000000000002</v>
          </cell>
          <cell r="N256">
            <v>11748.975549395318</v>
          </cell>
          <cell r="Q256">
            <v>14</v>
          </cell>
        </row>
        <row r="257">
          <cell r="D257" t="str">
            <v>143-07-7</v>
          </cell>
          <cell r="E257">
            <v>143077</v>
          </cell>
          <cell r="F257">
            <v>468</v>
          </cell>
          <cell r="G257" t="str">
            <v>Reach_1188</v>
          </cell>
          <cell r="H257">
            <v>249</v>
          </cell>
          <cell r="J257">
            <v>200.32</v>
          </cell>
          <cell r="K257">
            <v>81.92</v>
          </cell>
          <cell r="L257">
            <v>0.18795300000000001</v>
          </cell>
          <cell r="M257">
            <v>27.445</v>
          </cell>
          <cell r="N257">
            <v>100000</v>
          </cell>
          <cell r="O257">
            <v>4.9000000000000004</v>
          </cell>
          <cell r="Q257">
            <v>4.9000000000000004</v>
          </cell>
        </row>
        <row r="258">
          <cell r="D258" t="str">
            <v>124-18-5</v>
          </cell>
          <cell r="E258">
            <v>124185</v>
          </cell>
          <cell r="F258">
            <v>402</v>
          </cell>
          <cell r="G258" t="str">
            <v>Reach_1072</v>
          </cell>
          <cell r="H258">
            <v>250</v>
          </cell>
          <cell r="J258">
            <v>142.29</v>
          </cell>
          <cell r="K258">
            <v>-44.13</v>
          </cell>
          <cell r="L258">
            <v>230.60900000000001</v>
          </cell>
          <cell r="M258">
            <v>0.39735999999999999</v>
          </cell>
          <cell r="N258">
            <v>177827.94100389251</v>
          </cell>
          <cell r="Q258">
            <v>14</v>
          </cell>
        </row>
        <row r="259">
          <cell r="D259" t="str">
            <v>354-33-6</v>
          </cell>
          <cell r="E259">
            <v>354336</v>
          </cell>
          <cell r="F259">
            <v>2733</v>
          </cell>
          <cell r="G259" t="str">
            <v>Reach_1246</v>
          </cell>
          <cell r="H259">
            <v>251</v>
          </cell>
          <cell r="J259">
            <v>120.02</v>
          </cell>
          <cell r="K259">
            <v>-162.07</v>
          </cell>
          <cell r="L259">
            <v>949096.00000000012</v>
          </cell>
          <cell r="M259">
            <v>80.119</v>
          </cell>
          <cell r="N259">
            <v>35.481338923357555</v>
          </cell>
          <cell r="Q259">
            <v>14</v>
          </cell>
        </row>
        <row r="260">
          <cell r="D260" t="str">
            <v>294-62-2</v>
          </cell>
          <cell r="E260">
            <v>294622</v>
          </cell>
          <cell r="F260">
            <v>587</v>
          </cell>
          <cell r="G260" t="str">
            <v>Reach_1225</v>
          </cell>
          <cell r="H260">
            <v>252</v>
          </cell>
          <cell r="J260">
            <v>168.32</v>
          </cell>
          <cell r="K260">
            <v>-18.45</v>
          </cell>
          <cell r="L260">
            <v>3.1192200000000003</v>
          </cell>
          <cell r="M260">
            <v>0.14191000000000001</v>
          </cell>
          <cell r="N260">
            <v>1318256.7385564097</v>
          </cell>
          <cell r="Q260">
            <v>14</v>
          </cell>
        </row>
        <row r="261">
          <cell r="D261" t="str">
            <v>71-23-8</v>
          </cell>
          <cell r="E261">
            <v>71238</v>
          </cell>
          <cell r="F261">
            <v>817</v>
          </cell>
          <cell r="G261" t="str">
            <v>Reach_99</v>
          </cell>
          <cell r="H261">
            <v>253</v>
          </cell>
          <cell r="J261">
            <v>60.095999999999997</v>
          </cell>
          <cell r="K261">
            <v>-74.95</v>
          </cell>
          <cell r="L261">
            <v>3092.56</v>
          </cell>
          <cell r="M261">
            <v>166000</v>
          </cell>
          <cell r="N261">
            <v>2.2387211385683394</v>
          </cell>
          <cell r="O261">
            <v>15.9</v>
          </cell>
          <cell r="Q261">
            <v>14</v>
          </cell>
        </row>
        <row r="262">
          <cell r="D262" t="str">
            <v>287-92-3</v>
          </cell>
          <cell r="E262">
            <v>287923</v>
          </cell>
          <cell r="F262">
            <v>2545</v>
          </cell>
          <cell r="G262" t="str">
            <v>Reach_1222</v>
          </cell>
          <cell r="H262">
            <v>254</v>
          </cell>
          <cell r="J262">
            <v>70.135000000000005</v>
          </cell>
          <cell r="K262">
            <v>-94.53</v>
          </cell>
          <cell r="L262">
            <v>41856.200000000004</v>
          </cell>
          <cell r="M262">
            <v>349.24</v>
          </cell>
          <cell r="N262">
            <v>478.63009232263886</v>
          </cell>
          <cell r="Q262">
            <v>14</v>
          </cell>
        </row>
        <row r="263">
          <cell r="D263" t="str">
            <v>120-18-3</v>
          </cell>
          <cell r="E263">
            <v>120183</v>
          </cell>
          <cell r="F263">
            <v>12</v>
          </cell>
          <cell r="G263" t="str">
            <v>Reach_990</v>
          </cell>
          <cell r="H263">
            <v>255</v>
          </cell>
          <cell r="J263">
            <v>208.24</v>
          </cell>
          <cell r="K263">
            <v>139.18</v>
          </cell>
          <cell r="L263">
            <v>1.005082E-5</v>
          </cell>
          <cell r="M263">
            <v>2670</v>
          </cell>
          <cell r="N263">
            <v>1.0232929922807541</v>
          </cell>
          <cell r="O263">
            <v>0.7</v>
          </cell>
          <cell r="Q263">
            <v>0.7</v>
          </cell>
        </row>
        <row r="264">
          <cell r="D264" t="str">
            <v>106-47-8</v>
          </cell>
          <cell r="E264">
            <v>106478</v>
          </cell>
          <cell r="F264">
            <v>193</v>
          </cell>
          <cell r="G264" t="str">
            <v>Reach_669</v>
          </cell>
          <cell r="H264">
            <v>256</v>
          </cell>
          <cell r="J264">
            <v>127.58</v>
          </cell>
          <cell r="K264">
            <v>24.41</v>
          </cell>
          <cell r="L264">
            <v>3.1592100000000003</v>
          </cell>
          <cell r="M264">
            <v>1715.5</v>
          </cell>
          <cell r="N264">
            <v>52.480746024977286</v>
          </cell>
          <cell r="P264">
            <v>10</v>
          </cell>
          <cell r="Q264">
            <v>4</v>
          </cell>
        </row>
        <row r="265">
          <cell r="D265" t="str">
            <v>629-73-2</v>
          </cell>
          <cell r="E265">
            <v>629732</v>
          </cell>
          <cell r="F265">
            <v>3391</v>
          </cell>
          <cell r="G265" t="str">
            <v>Reach_1470</v>
          </cell>
          <cell r="H265">
            <v>257</v>
          </cell>
          <cell r="J265">
            <v>224.43</v>
          </cell>
          <cell r="K265">
            <v>21.29</v>
          </cell>
          <cell r="L265">
            <v>1.0210780000000002</v>
          </cell>
          <cell r="M265">
            <v>8.0882000000000003E-3</v>
          </cell>
          <cell r="N265">
            <v>114815362.14968841</v>
          </cell>
          <cell r="Q265">
            <v>14</v>
          </cell>
        </row>
        <row r="266">
          <cell r="D266" t="str">
            <v>872-50-4</v>
          </cell>
          <cell r="E266">
            <v>872504</v>
          </cell>
          <cell r="F266">
            <v>977</v>
          </cell>
          <cell r="G266" t="str">
            <v>Reach_1580</v>
          </cell>
          <cell r="H266">
            <v>258</v>
          </cell>
          <cell r="J266">
            <v>99.134</v>
          </cell>
          <cell r="K266">
            <v>25.87</v>
          </cell>
          <cell r="L266">
            <v>43.455800000000004</v>
          </cell>
          <cell r="M266">
            <v>4350000</v>
          </cell>
          <cell r="N266">
            <v>0.77624711662869172</v>
          </cell>
          <cell r="P266">
            <v>14</v>
          </cell>
          <cell r="Q266">
            <v>0</v>
          </cell>
        </row>
        <row r="267">
          <cell r="D267" t="str">
            <v>112-75-4</v>
          </cell>
          <cell r="E267">
            <v>112754</v>
          </cell>
          <cell r="F267">
            <v>1601</v>
          </cell>
          <cell r="G267" t="str">
            <v>Reach_922</v>
          </cell>
          <cell r="H267">
            <v>259</v>
          </cell>
          <cell r="J267">
            <v>241.46</v>
          </cell>
          <cell r="K267">
            <v>43.18</v>
          </cell>
          <cell r="L267">
            <v>0.26793300000000003</v>
          </cell>
          <cell r="M267">
            <v>1.3675E-2</v>
          </cell>
          <cell r="N267">
            <v>2630267.9918953842</v>
          </cell>
          <cell r="P267">
            <v>3.9</v>
          </cell>
          <cell r="Q267">
            <v>10.1</v>
          </cell>
        </row>
        <row r="268">
          <cell r="D268" t="str">
            <v>122-39-4</v>
          </cell>
          <cell r="E268">
            <v>122394</v>
          </cell>
          <cell r="F268">
            <v>379</v>
          </cell>
          <cell r="G268" t="str">
            <v>Reach_1028</v>
          </cell>
          <cell r="H268">
            <v>260</v>
          </cell>
          <cell r="J268">
            <v>169.23</v>
          </cell>
          <cell r="K268">
            <v>54.46</v>
          </cell>
          <cell r="L268">
            <v>0.1294343</v>
          </cell>
          <cell r="M268">
            <v>72.956999999999994</v>
          </cell>
          <cell r="N268">
            <v>1949.8445997580463</v>
          </cell>
          <cell r="P268">
            <v>13</v>
          </cell>
          <cell r="Q268">
            <v>1</v>
          </cell>
        </row>
        <row r="269">
          <cell r="D269" t="str">
            <v>128-37-0</v>
          </cell>
          <cell r="E269">
            <v>128370</v>
          </cell>
          <cell r="F269">
            <v>413</v>
          </cell>
          <cell r="G269" t="str">
            <v>Reach_1108</v>
          </cell>
          <cell r="H269">
            <v>261</v>
          </cell>
          <cell r="J269">
            <v>220.36</v>
          </cell>
          <cell r="K269">
            <v>83.01</v>
          </cell>
          <cell r="L269">
            <v>0.23594100000000004</v>
          </cell>
          <cell r="M269">
            <v>1.5769</v>
          </cell>
          <cell r="N269">
            <v>107151.93052376082</v>
          </cell>
          <cell r="O269">
            <v>12.1</v>
          </cell>
          <cell r="Q269">
            <v>12.1</v>
          </cell>
        </row>
        <row r="270">
          <cell r="D270" t="str">
            <v>4098-71-9</v>
          </cell>
          <cell r="E270">
            <v>4098719</v>
          </cell>
          <cell r="F270">
            <v>2867</v>
          </cell>
          <cell r="G270" t="str">
            <v>Reach_2013</v>
          </cell>
          <cell r="H270">
            <v>262</v>
          </cell>
          <cell r="J270">
            <v>222.29</v>
          </cell>
          <cell r="K270">
            <v>86.54</v>
          </cell>
          <cell r="L270">
            <v>0.15062900000000001</v>
          </cell>
          <cell r="M270">
            <v>453</v>
          </cell>
          <cell r="N270">
            <v>56234.132519034953</v>
          </cell>
          <cell r="Q270">
            <v>14</v>
          </cell>
        </row>
        <row r="271">
          <cell r="D271" t="str">
            <v>25322-69-4</v>
          </cell>
          <cell r="E271">
            <v>25322694</v>
          </cell>
          <cell r="F271">
            <v>568</v>
          </cell>
          <cell r="G271" t="str">
            <v>Reach_4052</v>
          </cell>
          <cell r="H271">
            <v>263</v>
          </cell>
          <cell r="J271">
            <v>308.42</v>
          </cell>
          <cell r="K271">
            <v>112.61</v>
          </cell>
          <cell r="L271">
            <v>9.5042900000000008E-6</v>
          </cell>
          <cell r="M271">
            <v>947.39</v>
          </cell>
          <cell r="N271">
            <v>0.61659500186148219</v>
          </cell>
          <cell r="O271">
            <v>14.63</v>
          </cell>
          <cell r="Q271">
            <v>14</v>
          </cell>
        </row>
        <row r="272">
          <cell r="D272" t="str">
            <v>111-20-6</v>
          </cell>
          <cell r="E272">
            <v>111206</v>
          </cell>
          <cell r="F272">
            <v>1541</v>
          </cell>
          <cell r="G272" t="str">
            <v>Reach_848</v>
          </cell>
          <cell r="H272">
            <v>264</v>
          </cell>
          <cell r="J272">
            <v>202.25</v>
          </cell>
          <cell r="K272">
            <v>127.36</v>
          </cell>
          <cell r="L272">
            <v>8.8511200000000007E-4</v>
          </cell>
          <cell r="M272">
            <v>1100.5999999999999</v>
          </cell>
          <cell r="N272">
            <v>154.8816618912482</v>
          </cell>
          <cell r="O272">
            <v>4.5999999999999996</v>
          </cell>
          <cell r="Q272">
            <v>4.5999999999999996</v>
          </cell>
        </row>
        <row r="273">
          <cell r="D273" t="str">
            <v>106-44-5</v>
          </cell>
          <cell r="E273">
            <v>106445</v>
          </cell>
          <cell r="F273">
            <v>191</v>
          </cell>
          <cell r="G273" t="str">
            <v>Reach_667</v>
          </cell>
          <cell r="H273">
            <v>265</v>
          </cell>
          <cell r="J273">
            <v>108.14</v>
          </cell>
          <cell r="K273">
            <v>15.69</v>
          </cell>
          <cell r="L273">
            <v>16.529200000000003</v>
          </cell>
          <cell r="M273">
            <v>15703</v>
          </cell>
          <cell r="N273">
            <v>114.81536214968835</v>
          </cell>
          <cell r="O273">
            <v>10</v>
          </cell>
          <cell r="Q273">
            <v>10</v>
          </cell>
        </row>
        <row r="274">
          <cell r="D274" t="str">
            <v>75-05-8</v>
          </cell>
          <cell r="E274">
            <v>75058</v>
          </cell>
          <cell r="F274">
            <v>847</v>
          </cell>
          <cell r="G274" t="str">
            <v>Reach_126</v>
          </cell>
          <cell r="H274">
            <v>266</v>
          </cell>
          <cell r="J274">
            <v>41.054000000000002</v>
          </cell>
          <cell r="K274">
            <v>-83.79</v>
          </cell>
          <cell r="L274">
            <v>26660.000000000004</v>
          </cell>
          <cell r="M274">
            <v>178000</v>
          </cell>
          <cell r="N274">
            <v>0.70794578438413791</v>
          </cell>
          <cell r="Q274">
            <v>14</v>
          </cell>
        </row>
        <row r="275">
          <cell r="D275" t="str">
            <v>108-91-8</v>
          </cell>
          <cell r="E275">
            <v>108918</v>
          </cell>
          <cell r="F275">
            <v>249</v>
          </cell>
          <cell r="G275" t="str">
            <v>Reach_762</v>
          </cell>
          <cell r="H275">
            <v>267</v>
          </cell>
          <cell r="J275">
            <v>99.177999999999997</v>
          </cell>
          <cell r="K275">
            <v>-27.11</v>
          </cell>
          <cell r="L275">
            <v>1113.0550000000001</v>
          </cell>
          <cell r="M275">
            <v>9113.7999999999993</v>
          </cell>
          <cell r="N275">
            <v>42.657951880159267</v>
          </cell>
          <cell r="P275">
            <v>4</v>
          </cell>
          <cell r="Q275">
            <v>10</v>
          </cell>
        </row>
        <row r="276">
          <cell r="D276" t="str">
            <v>112-88-9</v>
          </cell>
          <cell r="E276">
            <v>112889</v>
          </cell>
          <cell r="F276">
            <v>1609</v>
          </cell>
          <cell r="G276" t="str">
            <v>Reach_928</v>
          </cell>
          <cell r="H276">
            <v>268</v>
          </cell>
          <cell r="J276">
            <v>252.49</v>
          </cell>
          <cell r="K276">
            <v>29.57</v>
          </cell>
          <cell r="L276">
            <v>0.34791300000000003</v>
          </cell>
          <cell r="M276">
            <v>6.8400000000000004E-4</v>
          </cell>
          <cell r="N276">
            <v>1096478196.1431837</v>
          </cell>
          <cell r="Q276">
            <v>14</v>
          </cell>
        </row>
        <row r="277">
          <cell r="D277" t="str">
            <v>55542-26-2</v>
          </cell>
          <cell r="E277">
            <v>55542262</v>
          </cell>
          <cell r="F277">
            <v>3172</v>
          </cell>
          <cell r="G277" t="str">
            <v>Reach_2807</v>
          </cell>
          <cell r="H277">
            <v>269</v>
          </cell>
          <cell r="J277">
            <v>342.48</v>
          </cell>
          <cell r="K277">
            <v>196.32</v>
          </cell>
          <cell r="L277">
            <v>1.5862700000000001E-9</v>
          </cell>
          <cell r="M277">
            <v>0.46199000000000001</v>
          </cell>
          <cell r="N277">
            <v>851.13803820237763</v>
          </cell>
          <cell r="O277">
            <v>13.17</v>
          </cell>
          <cell r="Q277">
            <v>13.17</v>
          </cell>
        </row>
        <row r="278">
          <cell r="D278" t="str">
            <v>552-30-7</v>
          </cell>
          <cell r="E278">
            <v>552307</v>
          </cell>
          <cell r="F278">
            <v>3164</v>
          </cell>
          <cell r="G278" t="str">
            <v>Reach_1358</v>
          </cell>
          <cell r="H278">
            <v>270</v>
          </cell>
          <cell r="J278">
            <v>192.13</v>
          </cell>
          <cell r="K278">
            <v>118.13</v>
          </cell>
          <cell r="L278">
            <v>7.5847700000000002E-5</v>
          </cell>
          <cell r="M278">
            <v>412.61</v>
          </cell>
          <cell r="N278">
            <v>89.125093813374562</v>
          </cell>
          <cell r="O278">
            <v>3.35</v>
          </cell>
          <cell r="Q278">
            <v>3.35</v>
          </cell>
        </row>
        <row r="279">
          <cell r="D279" t="str">
            <v>75-31-0</v>
          </cell>
          <cell r="E279">
            <v>75310</v>
          </cell>
          <cell r="F279">
            <v>855</v>
          </cell>
          <cell r="G279" t="str">
            <v>Reach_138</v>
          </cell>
          <cell r="H279">
            <v>271</v>
          </cell>
          <cell r="J279">
            <v>59.113</v>
          </cell>
          <cell r="K279">
            <v>-83.69</v>
          </cell>
          <cell r="L279">
            <v>78913.600000000006</v>
          </cell>
          <cell r="M279">
            <v>211000</v>
          </cell>
          <cell r="N279">
            <v>1.8620871366628675</v>
          </cell>
          <cell r="P279">
            <v>4</v>
          </cell>
          <cell r="Q279">
            <v>10</v>
          </cell>
        </row>
        <row r="280">
          <cell r="D280" t="str">
            <v>106-43-4</v>
          </cell>
          <cell r="E280">
            <v>106434</v>
          </cell>
          <cell r="F280">
            <v>190</v>
          </cell>
          <cell r="G280" t="str">
            <v>Reach_666</v>
          </cell>
          <cell r="H280">
            <v>272</v>
          </cell>
          <cell r="J280">
            <v>126.59</v>
          </cell>
          <cell r="K280">
            <v>-27.46</v>
          </cell>
          <cell r="L280">
            <v>298.59200000000004</v>
          </cell>
          <cell r="M280">
            <v>60.804000000000002</v>
          </cell>
          <cell r="N280">
            <v>1513.5612484362093</v>
          </cell>
          <cell r="Q280">
            <v>14</v>
          </cell>
        </row>
        <row r="281">
          <cell r="D281" t="str">
            <v>95-48-7</v>
          </cell>
          <cell r="E281">
            <v>95487</v>
          </cell>
          <cell r="F281">
            <v>1029</v>
          </cell>
          <cell r="G281" t="str">
            <v>Reach_429</v>
          </cell>
          <cell r="H281">
            <v>273</v>
          </cell>
          <cell r="J281">
            <v>108.14</v>
          </cell>
          <cell r="K281">
            <v>15.69</v>
          </cell>
          <cell r="L281">
            <v>33.325000000000003</v>
          </cell>
          <cell r="M281">
            <v>17303</v>
          </cell>
          <cell r="N281">
            <v>114.81536214968835</v>
          </cell>
          <cell r="O281">
            <v>10</v>
          </cell>
          <cell r="Q281">
            <v>10</v>
          </cell>
        </row>
        <row r="282">
          <cell r="D282" t="str">
            <v>100-00-5</v>
          </cell>
          <cell r="E282">
            <v>100005</v>
          </cell>
          <cell r="F282">
            <v>119</v>
          </cell>
          <cell r="G282" t="str">
            <v>Reach_546</v>
          </cell>
          <cell r="H282">
            <v>274</v>
          </cell>
          <cell r="J282">
            <v>157.56</v>
          </cell>
          <cell r="K282">
            <v>48.76</v>
          </cell>
          <cell r="L282">
            <v>1.4662999999999999</v>
          </cell>
          <cell r="M282">
            <v>395.16</v>
          </cell>
          <cell r="N282">
            <v>288.40315031266073</v>
          </cell>
          <cell r="Q282">
            <v>14</v>
          </cell>
        </row>
        <row r="283">
          <cell r="D283" t="str">
            <v>102-76-1</v>
          </cell>
          <cell r="E283">
            <v>102761</v>
          </cell>
          <cell r="F283">
            <v>1352</v>
          </cell>
          <cell r="G283" t="str">
            <v>Reach_597</v>
          </cell>
          <cell r="H283">
            <v>275</v>
          </cell>
          <cell r="J283">
            <v>218.21</v>
          </cell>
          <cell r="K283">
            <v>-37.29</v>
          </cell>
          <cell r="L283">
            <v>0.698492</v>
          </cell>
          <cell r="M283">
            <v>24875</v>
          </cell>
          <cell r="N283">
            <v>2.2908676527677732</v>
          </cell>
          <cell r="Q283">
            <v>14</v>
          </cell>
        </row>
        <row r="284">
          <cell r="D284" t="str">
            <v>81-11-8</v>
          </cell>
          <cell r="E284">
            <v>81118</v>
          </cell>
          <cell r="F284">
            <v>3801</v>
          </cell>
          <cell r="G284" t="str">
            <v>Reach_271</v>
          </cell>
          <cell r="H284">
            <v>276</v>
          </cell>
          <cell r="J284">
            <v>370.4</v>
          </cell>
          <cell r="K284">
            <v>283.11</v>
          </cell>
          <cell r="L284">
            <v>1.3863200000000003E-16</v>
          </cell>
          <cell r="M284">
            <v>0.64036000000000004</v>
          </cell>
          <cell r="N284">
            <v>3.801893963205611E-2</v>
          </cell>
          <cell r="O284">
            <v>-1.1499999999999999</v>
          </cell>
          <cell r="P284">
            <v>9.9700000000000006</v>
          </cell>
          <cell r="Q284">
            <v>-1.1499999999999999</v>
          </cell>
        </row>
        <row r="285">
          <cell r="D285" t="str">
            <v>57-10-3</v>
          </cell>
          <cell r="E285">
            <v>57103</v>
          </cell>
          <cell r="F285">
            <v>3222</v>
          </cell>
          <cell r="G285" t="str">
            <v>Reach_37</v>
          </cell>
          <cell r="H285">
            <v>277</v>
          </cell>
          <cell r="J285">
            <v>256.43</v>
          </cell>
          <cell r="K285">
            <v>116.42</v>
          </cell>
          <cell r="L285">
            <v>7.3581600000000007E-3</v>
          </cell>
          <cell r="M285">
            <v>0.43070999999999998</v>
          </cell>
          <cell r="N285">
            <v>9120108.3935591076</v>
          </cell>
          <cell r="O285">
            <v>4.9000000000000004</v>
          </cell>
          <cell r="Q285">
            <v>4.9000000000000004</v>
          </cell>
        </row>
        <row r="286">
          <cell r="D286" t="str">
            <v>111-69-3</v>
          </cell>
          <cell r="E286">
            <v>111693</v>
          </cell>
          <cell r="F286">
            <v>307</v>
          </cell>
          <cell r="G286" t="str">
            <v>Reach_865</v>
          </cell>
          <cell r="H286">
            <v>278</v>
          </cell>
          <cell r="J286">
            <v>108.15</v>
          </cell>
          <cell r="K286">
            <v>21.4</v>
          </cell>
          <cell r="L286">
            <v>0.33858200000000005</v>
          </cell>
          <cell r="M286">
            <v>25226</v>
          </cell>
          <cell r="N286">
            <v>2.2387211385683394</v>
          </cell>
          <cell r="Q286">
            <v>14</v>
          </cell>
        </row>
        <row r="287">
          <cell r="D287" t="str">
            <v>112-35-6</v>
          </cell>
          <cell r="E287">
            <v>112356</v>
          </cell>
          <cell r="F287">
            <v>1584</v>
          </cell>
          <cell r="G287" t="str">
            <v>Reach_900</v>
          </cell>
          <cell r="H287">
            <v>279</v>
          </cell>
          <cell r="J287">
            <v>164.2</v>
          </cell>
          <cell r="K287">
            <v>24.95</v>
          </cell>
          <cell r="L287">
            <v>0.46255100000000005</v>
          </cell>
          <cell r="M287">
            <v>3300000</v>
          </cell>
          <cell r="N287">
            <v>3.4673685045253158E-2</v>
          </cell>
          <cell r="O287">
            <v>14.88</v>
          </cell>
          <cell r="Q287">
            <v>14</v>
          </cell>
        </row>
        <row r="288">
          <cell r="D288" t="str">
            <v>71-55-6</v>
          </cell>
          <cell r="E288">
            <v>71556</v>
          </cell>
          <cell r="F288">
            <v>822</v>
          </cell>
          <cell r="G288" t="str">
            <v>Reach_104</v>
          </cell>
          <cell r="H288">
            <v>280</v>
          </cell>
          <cell r="J288">
            <v>133.41</v>
          </cell>
          <cell r="K288">
            <v>-72.010000000000005</v>
          </cell>
          <cell r="L288">
            <v>14929.600000000002</v>
          </cell>
          <cell r="M288">
            <v>2276.4</v>
          </cell>
          <cell r="N288">
            <v>478.63009232263886</v>
          </cell>
          <cell r="Q288">
            <v>14</v>
          </cell>
        </row>
        <row r="289">
          <cell r="D289" t="str">
            <v>123-42-2</v>
          </cell>
          <cell r="E289">
            <v>123422</v>
          </cell>
          <cell r="F289">
            <v>393</v>
          </cell>
          <cell r="G289" t="str">
            <v>Reach_1050</v>
          </cell>
          <cell r="H289">
            <v>281</v>
          </cell>
          <cell r="J289">
            <v>116.16</v>
          </cell>
          <cell r="K289">
            <v>-10.65</v>
          </cell>
          <cell r="L289">
            <v>65.183700000000002</v>
          </cell>
          <cell r="M289">
            <v>333000</v>
          </cell>
          <cell r="N289">
            <v>0.45708818961487502</v>
          </cell>
          <cell r="O289">
            <v>15.15</v>
          </cell>
          <cell r="Q289">
            <v>14</v>
          </cell>
        </row>
        <row r="290">
          <cell r="D290" t="str">
            <v>109-67-1</v>
          </cell>
          <cell r="E290">
            <v>109671</v>
          </cell>
          <cell r="F290">
            <v>1506</v>
          </cell>
          <cell r="G290" t="str">
            <v>Reach_784</v>
          </cell>
          <cell r="H290">
            <v>282</v>
          </cell>
          <cell r="J290">
            <v>70.135000000000005</v>
          </cell>
          <cell r="K290">
            <v>-108.37</v>
          </cell>
          <cell r="L290">
            <v>70915.600000000006</v>
          </cell>
          <cell r="M290">
            <v>498.81</v>
          </cell>
          <cell r="N290">
            <v>457.0881896148756</v>
          </cell>
          <cell r="Q290">
            <v>14</v>
          </cell>
        </row>
        <row r="291">
          <cell r="D291" t="str">
            <v>55542-27-3</v>
          </cell>
          <cell r="E291">
            <v>55542273</v>
          </cell>
          <cell r="F291">
            <v>3173</v>
          </cell>
          <cell r="G291" t="str">
            <v>Reach_2808</v>
          </cell>
          <cell r="H291">
            <v>283</v>
          </cell>
          <cell r="J291">
            <v>346.51</v>
          </cell>
          <cell r="K291">
            <v>192.39</v>
          </cell>
          <cell r="L291">
            <v>3.2258600000000003E-9</v>
          </cell>
          <cell r="M291">
            <v>34.923000000000002</v>
          </cell>
          <cell r="N291">
            <v>4466.8359215096343</v>
          </cell>
          <cell r="O291">
            <v>15.51</v>
          </cell>
          <cell r="Q291">
            <v>14</v>
          </cell>
        </row>
        <row r="292">
          <cell r="D292" t="str">
            <v>96-48-0</v>
          </cell>
          <cell r="E292">
            <v>96480</v>
          </cell>
          <cell r="F292">
            <v>4148</v>
          </cell>
          <cell r="G292" t="str">
            <v>Reach_466</v>
          </cell>
          <cell r="H292">
            <v>284</v>
          </cell>
          <cell r="J292">
            <v>86.09</v>
          </cell>
          <cell r="K292">
            <v>-42.08</v>
          </cell>
          <cell r="L292">
            <v>39.323500000000003</v>
          </cell>
          <cell r="M292">
            <v>82708</v>
          </cell>
          <cell r="N292">
            <v>0.48977881936844614</v>
          </cell>
          <cell r="Q292">
            <v>14</v>
          </cell>
        </row>
        <row r="293">
          <cell r="D293" t="str">
            <v>107-07-3</v>
          </cell>
          <cell r="E293">
            <v>107073</v>
          </cell>
          <cell r="F293">
            <v>207</v>
          </cell>
          <cell r="G293" t="str">
            <v>Reach_692</v>
          </cell>
          <cell r="H293">
            <v>285</v>
          </cell>
          <cell r="J293">
            <v>80.513999999999996</v>
          </cell>
          <cell r="K293">
            <v>-54.04</v>
          </cell>
          <cell r="L293">
            <v>586.5200000000001</v>
          </cell>
          <cell r="M293">
            <v>255000</v>
          </cell>
          <cell r="N293">
            <v>1.288249551693134</v>
          </cell>
          <cell r="O293">
            <v>14.44</v>
          </cell>
          <cell r="Q293">
            <v>14</v>
          </cell>
        </row>
        <row r="294">
          <cell r="D294" t="str">
            <v>461-58-5</v>
          </cell>
          <cell r="E294">
            <v>461585</v>
          </cell>
          <cell r="F294">
            <v>2948</v>
          </cell>
          <cell r="G294" t="str">
            <v>Reach_1283</v>
          </cell>
          <cell r="H294">
            <v>286</v>
          </cell>
          <cell r="J294">
            <v>84.085999999999999</v>
          </cell>
          <cell r="K294">
            <v>44.81</v>
          </cell>
          <cell r="L294">
            <v>5.0654000000000003</v>
          </cell>
          <cell r="M294">
            <v>262000</v>
          </cell>
          <cell r="N294">
            <v>4.5708818961487478E-2</v>
          </cell>
          <cell r="O294">
            <v>13</v>
          </cell>
          <cell r="P294">
            <v>14.9</v>
          </cell>
          <cell r="Q294">
            <v>-0.90000000000000036</v>
          </cell>
        </row>
        <row r="295">
          <cell r="D295" t="str">
            <v>120-82-1</v>
          </cell>
          <cell r="E295">
            <v>120821</v>
          </cell>
          <cell r="F295">
            <v>362</v>
          </cell>
          <cell r="G295" t="str">
            <v>Reach_1003</v>
          </cell>
          <cell r="H295">
            <v>287</v>
          </cell>
          <cell r="J295">
            <v>181.45</v>
          </cell>
          <cell r="K295">
            <v>16.440000000000001</v>
          </cell>
          <cell r="L295">
            <v>24.393900000000002</v>
          </cell>
          <cell r="M295">
            <v>30.356000000000002</v>
          </cell>
          <cell r="N295">
            <v>8511.3803820237772</v>
          </cell>
          <cell r="Q295">
            <v>14</v>
          </cell>
        </row>
        <row r="296">
          <cell r="D296" t="str">
            <v>3209-22-1</v>
          </cell>
          <cell r="E296">
            <v>3209221</v>
          </cell>
          <cell r="F296">
            <v>600</v>
          </cell>
          <cell r="G296" t="str">
            <v>Reach_1932</v>
          </cell>
          <cell r="H296">
            <v>288</v>
          </cell>
          <cell r="J296">
            <v>192</v>
          </cell>
          <cell r="K296">
            <v>65.67</v>
          </cell>
          <cell r="L296">
            <v>1.1010580000000001</v>
          </cell>
          <cell r="M296">
            <v>78.933999999999997</v>
          </cell>
          <cell r="N296">
            <v>1258.925411794168</v>
          </cell>
          <cell r="Q296">
            <v>14</v>
          </cell>
        </row>
        <row r="297">
          <cell r="D297" t="str">
            <v>120-83-2</v>
          </cell>
          <cell r="E297">
            <v>120832</v>
          </cell>
          <cell r="F297">
            <v>363</v>
          </cell>
          <cell r="G297" t="str">
            <v>Reach_1004</v>
          </cell>
          <cell r="H297">
            <v>289</v>
          </cell>
          <cell r="J297">
            <v>163</v>
          </cell>
          <cell r="K297">
            <v>46.79</v>
          </cell>
          <cell r="L297">
            <v>8.7578099999999992</v>
          </cell>
          <cell r="M297">
            <v>3602.5</v>
          </cell>
          <cell r="N297">
            <v>630.95734448019323</v>
          </cell>
          <cell r="Q297">
            <v>14</v>
          </cell>
        </row>
        <row r="298">
          <cell r="D298" t="str">
            <v>1066-35-9</v>
          </cell>
          <cell r="E298">
            <v>1066359</v>
          </cell>
          <cell r="F298">
            <v>1440</v>
          </cell>
          <cell r="G298" t="str">
            <v>Reach_1637</v>
          </cell>
          <cell r="H298">
            <v>290</v>
          </cell>
          <cell r="J298">
            <v>93.608999999999995</v>
          </cell>
          <cell r="K298">
            <v>-124.73</v>
          </cell>
          <cell r="L298">
            <v>73315</v>
          </cell>
          <cell r="M298">
            <v>9623.4</v>
          </cell>
          <cell r="N298">
            <v>85.113803820237663</v>
          </cell>
          <cell r="Q298">
            <v>14</v>
          </cell>
        </row>
        <row r="299">
          <cell r="D299" t="str">
            <v>89-98-5</v>
          </cell>
          <cell r="E299">
            <v>89985</v>
          </cell>
          <cell r="F299">
            <v>997</v>
          </cell>
          <cell r="G299" t="str">
            <v>Reach_355</v>
          </cell>
          <cell r="H299">
            <v>291</v>
          </cell>
          <cell r="J299">
            <v>140.57</v>
          </cell>
          <cell r="K299">
            <v>8.67</v>
          </cell>
          <cell r="L299">
            <v>26.393400000000003</v>
          </cell>
          <cell r="M299">
            <v>954.8</v>
          </cell>
          <cell r="N299">
            <v>223.87211385683412</v>
          </cell>
          <cell r="Q299">
            <v>14</v>
          </cell>
        </row>
        <row r="300">
          <cell r="D300" t="str">
            <v>6419-19-8</v>
          </cell>
          <cell r="E300">
            <v>6419198</v>
          </cell>
          <cell r="F300">
            <v>3429</v>
          </cell>
          <cell r="G300" t="str">
            <v>Reach_2181</v>
          </cell>
          <cell r="H300">
            <v>292</v>
          </cell>
          <cell r="J300">
            <v>299.05</v>
          </cell>
          <cell r="K300">
            <v>90.27</v>
          </cell>
          <cell r="L300">
            <v>2.7459800000000001E-9</v>
          </cell>
          <cell r="M300">
            <v>1000000</v>
          </cell>
          <cell r="N300">
            <v>3.5481338923357504E-6</v>
          </cell>
          <cell r="O300">
            <v>2.29</v>
          </cell>
          <cell r="P300">
            <v>3.11</v>
          </cell>
          <cell r="Q300">
            <v>2.29</v>
          </cell>
        </row>
        <row r="301">
          <cell r="D301" t="str">
            <v>1569-02-4</v>
          </cell>
          <cell r="E301">
            <v>1569024</v>
          </cell>
          <cell r="F301">
            <v>2053</v>
          </cell>
          <cell r="G301" t="str">
            <v>Reach_1694</v>
          </cell>
          <cell r="H301">
            <v>293</v>
          </cell>
          <cell r="J301">
            <v>104.15</v>
          </cell>
          <cell r="K301">
            <v>-45.61</v>
          </cell>
          <cell r="L301">
            <v>514.53800000000001</v>
          </cell>
          <cell r="M301">
            <v>232000</v>
          </cell>
          <cell r="N301">
            <v>1</v>
          </cell>
          <cell r="O301">
            <v>15.05</v>
          </cell>
          <cell r="Q301">
            <v>14</v>
          </cell>
        </row>
        <row r="302">
          <cell r="D302" t="str">
            <v>826-36-8</v>
          </cell>
          <cell r="E302">
            <v>826368</v>
          </cell>
          <cell r="F302">
            <v>3834</v>
          </cell>
          <cell r="G302" t="str">
            <v>Reach_1556</v>
          </cell>
          <cell r="H302">
            <v>294</v>
          </cell>
          <cell r="J302">
            <v>155.24</v>
          </cell>
          <cell r="K302">
            <v>53.12</v>
          </cell>
          <cell r="L302">
            <v>27.326499999999999</v>
          </cell>
          <cell r="M302">
            <v>3208.4</v>
          </cell>
          <cell r="N302">
            <v>2.691534803926916</v>
          </cell>
          <cell r="P302">
            <v>4.2</v>
          </cell>
          <cell r="Q302">
            <v>9.8000000000000007</v>
          </cell>
        </row>
        <row r="303">
          <cell r="D303" t="str">
            <v>98-07-7</v>
          </cell>
          <cell r="E303">
            <v>98077</v>
          </cell>
          <cell r="F303">
            <v>1065</v>
          </cell>
          <cell r="G303" t="str">
            <v>Reach_496</v>
          </cell>
          <cell r="H303">
            <v>295</v>
          </cell>
          <cell r="J303">
            <v>195.48</v>
          </cell>
          <cell r="K303">
            <v>10.37</v>
          </cell>
          <cell r="L303">
            <v>16.662500000000001</v>
          </cell>
          <cell r="M303">
            <v>29.315000000000001</v>
          </cell>
          <cell r="N303">
            <v>7943.2823472428154</v>
          </cell>
          <cell r="Q303">
            <v>14</v>
          </cell>
        </row>
        <row r="304">
          <cell r="D304" t="str">
            <v>712-50-5</v>
          </cell>
          <cell r="E304">
            <v>712505</v>
          </cell>
          <cell r="F304">
            <v>818</v>
          </cell>
          <cell r="G304" t="str">
            <v>Reach_1520</v>
          </cell>
          <cell r="H304">
            <v>296</v>
          </cell>
          <cell r="J304">
            <v>188.27</v>
          </cell>
          <cell r="K304">
            <v>50.47</v>
          </cell>
          <cell r="L304">
            <v>0.26926600000000006</v>
          </cell>
          <cell r="M304">
            <v>10.337</v>
          </cell>
          <cell r="N304">
            <v>8709.6358995608189</v>
          </cell>
          <cell r="Q304">
            <v>14</v>
          </cell>
        </row>
        <row r="305">
          <cell r="D305" t="str">
            <v>17773-41-0</v>
          </cell>
          <cell r="E305">
            <v>17773410</v>
          </cell>
          <cell r="F305">
            <v>2152</v>
          </cell>
          <cell r="G305" t="str">
            <v>Reach_2443</v>
          </cell>
          <cell r="H305">
            <v>297</v>
          </cell>
          <cell r="J305">
            <v>131.19999999999999</v>
          </cell>
          <cell r="K305">
            <v>26.82</v>
          </cell>
          <cell r="L305">
            <v>0.29059400000000002</v>
          </cell>
          <cell r="M305">
            <v>26540</v>
          </cell>
          <cell r="N305">
            <v>0.23988329190194901</v>
          </cell>
          <cell r="O305">
            <v>10.64</v>
          </cell>
          <cell r="Q305">
            <v>10.64</v>
          </cell>
        </row>
        <row r="306">
          <cell r="D306" t="str">
            <v>104-15-4</v>
          </cell>
          <cell r="E306">
            <v>104154</v>
          </cell>
          <cell r="F306">
            <v>1385</v>
          </cell>
          <cell r="G306" t="str">
            <v>Reach_619</v>
          </cell>
          <cell r="H306">
            <v>298</v>
          </cell>
          <cell r="J306">
            <v>172.2</v>
          </cell>
          <cell r="K306">
            <v>101.76</v>
          </cell>
          <cell r="L306">
            <v>3.8657000000000003E-4</v>
          </cell>
          <cell r="M306">
            <v>2784.3</v>
          </cell>
          <cell r="N306">
            <v>0.23988329190194901</v>
          </cell>
          <cell r="O306">
            <v>0.7</v>
          </cell>
          <cell r="Q306">
            <v>0.7</v>
          </cell>
        </row>
        <row r="307">
          <cell r="D307" t="str">
            <v>88-12-0</v>
          </cell>
          <cell r="E307">
            <v>88120</v>
          </cell>
          <cell r="F307">
            <v>3948</v>
          </cell>
          <cell r="G307" t="str">
            <v>Reach_316</v>
          </cell>
          <cell r="H307">
            <v>299</v>
          </cell>
          <cell r="J307">
            <v>111.15</v>
          </cell>
          <cell r="K307">
            <v>28.82</v>
          </cell>
          <cell r="L307">
            <v>17.595600000000001</v>
          </cell>
          <cell r="M307">
            <v>365000</v>
          </cell>
          <cell r="N307">
            <v>1.778279410038923</v>
          </cell>
          <cell r="P307">
            <v>14.4</v>
          </cell>
          <cell r="Q307">
            <v>-0.40000000000000036</v>
          </cell>
        </row>
        <row r="308">
          <cell r="D308" t="str">
            <v>111-77-3</v>
          </cell>
          <cell r="E308">
            <v>111773</v>
          </cell>
          <cell r="F308">
            <v>310</v>
          </cell>
          <cell r="G308" t="str">
            <v>Reach_870</v>
          </cell>
          <cell r="H308">
            <v>300</v>
          </cell>
          <cell r="J308">
            <v>120.15</v>
          </cell>
          <cell r="K308">
            <v>-14.6</v>
          </cell>
          <cell r="L308">
            <v>14.929600000000002</v>
          </cell>
          <cell r="M308">
            <v>1520000</v>
          </cell>
          <cell r="N308">
            <v>6.6069344800759586E-2</v>
          </cell>
          <cell r="O308">
            <v>14.89</v>
          </cell>
          <cell r="Q308">
            <v>14</v>
          </cell>
        </row>
        <row r="309">
          <cell r="D309" t="str">
            <v>75-04-7</v>
          </cell>
          <cell r="E309">
            <v>75047</v>
          </cell>
          <cell r="F309">
            <v>846</v>
          </cell>
          <cell r="G309" t="str">
            <v>Reach_125</v>
          </cell>
          <cell r="H309">
            <v>301</v>
          </cell>
          <cell r="J309">
            <v>45.085999999999999</v>
          </cell>
          <cell r="K309">
            <v>-84.86</v>
          </cell>
          <cell r="L309">
            <v>20394.900000000001</v>
          </cell>
          <cell r="M309">
            <v>1000000</v>
          </cell>
          <cell r="N309">
            <v>0.70794578438413791</v>
          </cell>
          <cell r="P309">
            <v>4</v>
          </cell>
          <cell r="Q309">
            <v>10</v>
          </cell>
        </row>
        <row r="310">
          <cell r="D310" t="str">
            <v>75-64-9</v>
          </cell>
          <cell r="E310">
            <v>75649</v>
          </cell>
          <cell r="F310">
            <v>862</v>
          </cell>
          <cell r="G310" t="str">
            <v>Reach_155</v>
          </cell>
          <cell r="H310">
            <v>302</v>
          </cell>
          <cell r="J310">
            <v>73.14</v>
          </cell>
          <cell r="K310">
            <v>-64.83</v>
          </cell>
          <cell r="L310">
            <v>47454.8</v>
          </cell>
          <cell r="M310">
            <v>568000</v>
          </cell>
          <cell r="N310">
            <v>5.2480746024977263</v>
          </cell>
          <cell r="P310">
            <v>4</v>
          </cell>
          <cell r="Q310">
            <v>10</v>
          </cell>
        </row>
        <row r="311">
          <cell r="D311" t="str">
            <v>111-27-3</v>
          </cell>
          <cell r="E311">
            <v>111273</v>
          </cell>
          <cell r="F311">
            <v>294</v>
          </cell>
          <cell r="G311" t="str">
            <v>Reach_850</v>
          </cell>
          <cell r="H311">
            <v>303</v>
          </cell>
          <cell r="J311">
            <v>102.18</v>
          </cell>
          <cell r="K311">
            <v>-37.86</v>
          </cell>
          <cell r="L311">
            <v>117.43730000000001</v>
          </cell>
          <cell r="M311">
            <v>11398</v>
          </cell>
          <cell r="N311">
            <v>66.069344800759623</v>
          </cell>
          <cell r="O311">
            <v>15.9</v>
          </cell>
          <cell r="Q311">
            <v>14</v>
          </cell>
        </row>
        <row r="312">
          <cell r="D312" t="str">
            <v>2403-88-5</v>
          </cell>
          <cell r="E312">
            <v>2403885</v>
          </cell>
          <cell r="F312">
            <v>2368</v>
          </cell>
          <cell r="G312" t="str">
            <v>Reach_1797</v>
          </cell>
          <cell r="H312">
            <v>304</v>
          </cell>
          <cell r="J312">
            <v>157.26</v>
          </cell>
          <cell r="K312">
            <v>52.68</v>
          </cell>
          <cell r="L312">
            <v>0.42389400000000005</v>
          </cell>
          <cell r="M312">
            <v>2327.6999999999998</v>
          </cell>
          <cell r="N312">
            <v>8.709635899560805</v>
          </cell>
          <cell r="O312">
            <v>15.12</v>
          </cell>
          <cell r="P312">
            <v>4.4000000000000004</v>
          </cell>
          <cell r="Q312">
            <v>9.6</v>
          </cell>
        </row>
        <row r="313">
          <cell r="D313" t="str">
            <v>502-44-3</v>
          </cell>
          <cell r="E313">
            <v>502443</v>
          </cell>
          <cell r="F313">
            <v>2999</v>
          </cell>
          <cell r="G313" t="str">
            <v>Reach_1300</v>
          </cell>
          <cell r="H313">
            <v>305</v>
          </cell>
          <cell r="J313">
            <v>114.14</v>
          </cell>
          <cell r="K313">
            <v>-21.62</v>
          </cell>
          <cell r="L313">
            <v>22.527700000000003</v>
          </cell>
          <cell r="M313">
            <v>23550</v>
          </cell>
          <cell r="N313">
            <v>4.786300923226384</v>
          </cell>
          <cell r="Q313">
            <v>14</v>
          </cell>
        </row>
        <row r="314">
          <cell r="D314" t="str">
            <v>95-49-8</v>
          </cell>
          <cell r="E314">
            <v>95498</v>
          </cell>
          <cell r="F314">
            <v>1030</v>
          </cell>
          <cell r="G314" t="str">
            <v>Reach_430</v>
          </cell>
          <cell r="H314">
            <v>306</v>
          </cell>
          <cell r="J314">
            <v>126.59</v>
          </cell>
          <cell r="K314">
            <v>-27.46</v>
          </cell>
          <cell r="L314">
            <v>350.57900000000001</v>
          </cell>
          <cell r="M314">
            <v>56.118000000000002</v>
          </cell>
          <cell r="N314">
            <v>1513.5612484362093</v>
          </cell>
          <cell r="Q314">
            <v>14</v>
          </cell>
        </row>
        <row r="315">
          <cell r="D315" t="str">
            <v>1570-64-5</v>
          </cell>
          <cell r="E315">
            <v>1570645</v>
          </cell>
          <cell r="F315">
            <v>495</v>
          </cell>
          <cell r="G315" t="str">
            <v>Reach_1696</v>
          </cell>
          <cell r="H315">
            <v>307</v>
          </cell>
          <cell r="J315">
            <v>142.59</v>
          </cell>
          <cell r="K315">
            <v>36.15</v>
          </cell>
          <cell r="L315">
            <v>3.7990500000000003</v>
          </cell>
          <cell r="M315">
            <v>1055.7</v>
          </cell>
          <cell r="N315">
            <v>501.18723362727269</v>
          </cell>
          <cell r="O315">
            <v>9.6</v>
          </cell>
          <cell r="Q315">
            <v>9.6</v>
          </cell>
        </row>
        <row r="316">
          <cell r="D316" t="str">
            <v>25265-77-4</v>
          </cell>
          <cell r="E316">
            <v>25265774</v>
          </cell>
          <cell r="F316">
            <v>2426</v>
          </cell>
          <cell r="G316" t="str">
            <v>Reach_2563</v>
          </cell>
          <cell r="H316">
            <v>308</v>
          </cell>
          <cell r="J316">
            <v>216.32</v>
          </cell>
          <cell r="K316">
            <v>24.81</v>
          </cell>
          <cell r="L316">
            <v>0.63717400000000013</v>
          </cell>
          <cell r="M316">
            <v>1135</v>
          </cell>
          <cell r="N316">
            <v>1000</v>
          </cell>
          <cell r="O316">
            <v>15.35</v>
          </cell>
          <cell r="Q316">
            <v>14</v>
          </cell>
        </row>
        <row r="317">
          <cell r="D317" t="str">
            <v>121-44-8</v>
          </cell>
          <cell r="E317">
            <v>121448</v>
          </cell>
          <cell r="F317">
            <v>370</v>
          </cell>
          <cell r="G317" t="str">
            <v>Reach_1013</v>
          </cell>
          <cell r="H317">
            <v>309</v>
          </cell>
          <cell r="J317">
            <v>101.19</v>
          </cell>
          <cell r="K317">
            <v>-70.61</v>
          </cell>
          <cell r="L317">
            <v>7878.0300000000007</v>
          </cell>
          <cell r="M317">
            <v>48407</v>
          </cell>
          <cell r="N317">
            <v>32.359365692962832</v>
          </cell>
          <cell r="P317">
            <v>3</v>
          </cell>
          <cell r="Q317">
            <v>11</v>
          </cell>
        </row>
        <row r="318">
          <cell r="D318" t="str">
            <v>124-10-7</v>
          </cell>
          <cell r="E318">
            <v>124107</v>
          </cell>
          <cell r="F318">
            <v>1784</v>
          </cell>
          <cell r="G318" t="str">
            <v>Reach_1068</v>
          </cell>
          <cell r="H318">
            <v>310</v>
          </cell>
          <cell r="J318">
            <v>242.4</v>
          </cell>
          <cell r="K318">
            <v>35.85</v>
          </cell>
          <cell r="L318">
            <v>0.33858200000000005</v>
          </cell>
          <cell r="M318">
            <v>0.60221000000000002</v>
          </cell>
          <cell r="N318">
            <v>1862087.1366628683</v>
          </cell>
          <cell r="Q318">
            <v>14</v>
          </cell>
        </row>
        <row r="319">
          <cell r="D319" t="str">
            <v>3926-62-3</v>
          </cell>
          <cell r="E319">
            <v>3926623</v>
          </cell>
          <cell r="F319">
            <v>1215</v>
          </cell>
          <cell r="G319" t="str">
            <v>Reach_2003</v>
          </cell>
          <cell r="H319">
            <v>311</v>
          </cell>
          <cell r="J319">
            <v>116.48</v>
          </cell>
          <cell r="K319">
            <v>0</v>
          </cell>
          <cell r="Q319">
            <v>14</v>
          </cell>
        </row>
        <row r="320">
          <cell r="D320" t="str">
            <v>298-12-4</v>
          </cell>
          <cell r="E320">
            <v>298124</v>
          </cell>
          <cell r="F320">
            <v>2573</v>
          </cell>
          <cell r="G320" t="str">
            <v>Reach_1228</v>
          </cell>
          <cell r="H320">
            <v>312</v>
          </cell>
          <cell r="J320">
            <v>74.034999999999997</v>
          </cell>
          <cell r="K320">
            <v>16.05</v>
          </cell>
          <cell r="L320">
            <v>25.060400000000001</v>
          </cell>
          <cell r="M320">
            <v>246000</v>
          </cell>
          <cell r="N320">
            <v>3.9810717055349727E-2</v>
          </cell>
          <cell r="O320">
            <v>3.5</v>
          </cell>
          <cell r="Q320">
            <v>3.5</v>
          </cell>
        </row>
        <row r="321">
          <cell r="D321" t="str">
            <v>95-33-0</v>
          </cell>
          <cell r="E321">
            <v>95330</v>
          </cell>
          <cell r="F321">
            <v>4125</v>
          </cell>
          <cell r="G321" t="str">
            <v>Reach_426</v>
          </cell>
          <cell r="H321">
            <v>313</v>
          </cell>
          <cell r="J321">
            <v>264.42</v>
          </cell>
          <cell r="K321">
            <v>151.31</v>
          </cell>
          <cell r="L321">
            <v>2.3860700000000003E-4</v>
          </cell>
          <cell r="M321">
            <v>1.6514</v>
          </cell>
          <cell r="N321">
            <v>2951.2092266663899</v>
          </cell>
          <cell r="P321">
            <v>3.4</v>
          </cell>
          <cell r="Q321">
            <v>10.6</v>
          </cell>
        </row>
        <row r="322">
          <cell r="D322" t="str">
            <v>110-91-8</v>
          </cell>
          <cell r="E322">
            <v>110918</v>
          </cell>
          <cell r="F322">
            <v>290</v>
          </cell>
          <cell r="G322" t="str">
            <v>Reach_837</v>
          </cell>
          <cell r="H322">
            <v>314</v>
          </cell>
          <cell r="J322">
            <v>87.123000000000005</v>
          </cell>
          <cell r="K322">
            <v>-15.24</v>
          </cell>
          <cell r="L322">
            <v>1452.9700000000003</v>
          </cell>
          <cell r="M322">
            <v>3630000</v>
          </cell>
          <cell r="N322">
            <v>0.27542287033381663</v>
          </cell>
          <cell r="P322">
            <v>6</v>
          </cell>
          <cell r="Q322">
            <v>8</v>
          </cell>
        </row>
        <row r="323">
          <cell r="D323" t="str">
            <v>661-19-8</v>
          </cell>
          <cell r="E323">
            <v>661198</v>
          </cell>
          <cell r="F323">
            <v>3464</v>
          </cell>
          <cell r="G323" t="str">
            <v>Reach_1491</v>
          </cell>
          <cell r="H323">
            <v>315</v>
          </cell>
          <cell r="J323">
            <v>326.61</v>
          </cell>
          <cell r="K323">
            <v>122.94</v>
          </cell>
          <cell r="L323">
            <v>8.1712900000000002E-6</v>
          </cell>
          <cell r="M323">
            <v>2.8400000000000002E-4</v>
          </cell>
          <cell r="N323">
            <v>4786300923.2263832</v>
          </cell>
          <cell r="O323">
            <v>15.9</v>
          </cell>
          <cell r="Q323">
            <v>14</v>
          </cell>
        </row>
        <row r="324">
          <cell r="D324" t="str">
            <v>111-81-9</v>
          </cell>
          <cell r="E324">
            <v>111819</v>
          </cell>
          <cell r="F324">
            <v>1558</v>
          </cell>
          <cell r="G324" t="str">
            <v>Reach_872</v>
          </cell>
          <cell r="H324">
            <v>316</v>
          </cell>
          <cell r="J324">
            <v>198.31</v>
          </cell>
          <cell r="K324">
            <v>11.31</v>
          </cell>
          <cell r="L324">
            <v>4.0389900000000001</v>
          </cell>
          <cell r="M324">
            <v>10.837</v>
          </cell>
          <cell r="N324">
            <v>45708.818961487581</v>
          </cell>
          <cell r="Q324">
            <v>14</v>
          </cell>
        </row>
        <row r="325">
          <cell r="D325" t="str">
            <v>105-59-9</v>
          </cell>
          <cell r="E325">
            <v>105599</v>
          </cell>
          <cell r="F325">
            <v>1416</v>
          </cell>
          <cell r="G325" t="str">
            <v>Reach_645</v>
          </cell>
          <cell r="H325">
            <v>317</v>
          </cell>
          <cell r="J325">
            <v>119.17</v>
          </cell>
          <cell r="K325">
            <v>24.86</v>
          </cell>
          <cell r="L325">
            <v>0.32658500000000001</v>
          </cell>
          <cell r="M325">
            <v>1000000</v>
          </cell>
          <cell r="N325">
            <v>3.1622776601683784E-2</v>
          </cell>
          <cell r="O325">
            <v>14.68</v>
          </cell>
          <cell r="P325">
            <v>5</v>
          </cell>
          <cell r="Q325">
            <v>9</v>
          </cell>
        </row>
        <row r="326">
          <cell r="D326" t="str">
            <v>142-90-5</v>
          </cell>
          <cell r="E326">
            <v>142905</v>
          </cell>
          <cell r="F326">
            <v>465</v>
          </cell>
          <cell r="G326" t="str">
            <v>Reach_1184</v>
          </cell>
          <cell r="H326">
            <v>318</v>
          </cell>
          <cell r="J326">
            <v>254.41</v>
          </cell>
          <cell r="K326">
            <v>33.9</v>
          </cell>
          <cell r="L326">
            <v>0.18928600000000001</v>
          </cell>
          <cell r="M326">
            <v>0.10895000000000001</v>
          </cell>
          <cell r="N326">
            <v>4786300.9232263844</v>
          </cell>
          <cell r="Q326">
            <v>14</v>
          </cell>
        </row>
        <row r="327">
          <cell r="D327" t="str">
            <v>16470-24-9</v>
          </cell>
          <cell r="E327">
            <v>16470249</v>
          </cell>
          <cell r="F327">
            <v>5733</v>
          </cell>
          <cell r="G327" t="str">
            <v>Reach_2420</v>
          </cell>
          <cell r="H327">
            <v>319</v>
          </cell>
          <cell r="J327">
            <v>1165.0999999999999</v>
          </cell>
          <cell r="K327">
            <v>0</v>
          </cell>
          <cell r="Q327">
            <v>14</v>
          </cell>
        </row>
        <row r="328">
          <cell r="D328" t="str">
            <v>110-86-1</v>
          </cell>
          <cell r="E328">
            <v>110861</v>
          </cell>
          <cell r="F328">
            <v>287</v>
          </cell>
          <cell r="G328" t="str">
            <v>Reach_833</v>
          </cell>
          <cell r="H328">
            <v>320</v>
          </cell>
          <cell r="J328">
            <v>79.102999999999994</v>
          </cell>
          <cell r="K328">
            <v>-44.54</v>
          </cell>
          <cell r="L328">
            <v>2572.6900000000005</v>
          </cell>
          <cell r="M328">
            <v>1260000</v>
          </cell>
          <cell r="N328">
            <v>6.3095734448019343</v>
          </cell>
          <cell r="P328">
            <v>9</v>
          </cell>
          <cell r="Q328">
            <v>5</v>
          </cell>
        </row>
        <row r="329">
          <cell r="D329" t="str">
            <v>75-38-7</v>
          </cell>
          <cell r="E329">
            <v>75387</v>
          </cell>
          <cell r="F329">
            <v>3670</v>
          </cell>
          <cell r="G329" t="str">
            <v>Reach_143</v>
          </cell>
          <cell r="H329">
            <v>321</v>
          </cell>
          <cell r="J329">
            <v>64.034000000000006</v>
          </cell>
          <cell r="K329">
            <v>-156.32</v>
          </cell>
          <cell r="L329">
            <v>2492710</v>
          </cell>
          <cell r="M329">
            <v>2201.5</v>
          </cell>
          <cell r="N329">
            <v>17.378008287493756</v>
          </cell>
          <cell r="Q329">
            <v>14</v>
          </cell>
        </row>
        <row r="330">
          <cell r="D330" t="str">
            <v>868-85-9</v>
          </cell>
          <cell r="E330">
            <v>868859</v>
          </cell>
          <cell r="F330">
            <v>976</v>
          </cell>
          <cell r="G330" t="str">
            <v>Reach_1575</v>
          </cell>
          <cell r="H330">
            <v>322</v>
          </cell>
          <cell r="J330">
            <v>110.05</v>
          </cell>
          <cell r="K330">
            <v>-51.64</v>
          </cell>
          <cell r="L330">
            <v>203.94900000000001</v>
          </cell>
          <cell r="M330">
            <v>194000</v>
          </cell>
          <cell r="N330">
            <v>7.4131024130091761E-2</v>
          </cell>
          <cell r="Q330">
            <v>14</v>
          </cell>
        </row>
        <row r="331">
          <cell r="D331" t="str">
            <v>868-77-9</v>
          </cell>
          <cell r="E331">
            <v>868779</v>
          </cell>
          <cell r="F331">
            <v>975</v>
          </cell>
          <cell r="G331" t="str">
            <v>Reach_1574</v>
          </cell>
          <cell r="H331">
            <v>323</v>
          </cell>
          <cell r="J331">
            <v>130.13999999999999</v>
          </cell>
          <cell r="K331">
            <v>-12.96</v>
          </cell>
          <cell r="L331">
            <v>10.544030000000001</v>
          </cell>
          <cell r="M331">
            <v>53463</v>
          </cell>
          <cell r="N331">
            <v>1.9952623149688797</v>
          </cell>
          <cell r="O331">
            <v>14.27</v>
          </cell>
          <cell r="Q331">
            <v>14</v>
          </cell>
        </row>
        <row r="332">
          <cell r="D332" t="str">
            <v>79-04-9</v>
          </cell>
          <cell r="E332">
            <v>79049</v>
          </cell>
          <cell r="F332">
            <v>910</v>
          </cell>
          <cell r="G332" t="str">
            <v>Reach_225</v>
          </cell>
          <cell r="H332">
            <v>324</v>
          </cell>
          <cell r="J332">
            <v>112.94</v>
          </cell>
          <cell r="K332">
            <v>-46.49</v>
          </cell>
          <cell r="L332">
            <v>3852.3700000000003</v>
          </cell>
          <cell r="M332">
            <v>15271</v>
          </cell>
          <cell r="N332">
            <v>0.60255958607435778</v>
          </cell>
          <cell r="Q332">
            <v>14</v>
          </cell>
        </row>
        <row r="333">
          <cell r="D333" t="str">
            <v>3319-31-1</v>
          </cell>
          <cell r="E333">
            <v>3319311</v>
          </cell>
          <cell r="F333">
            <v>2676</v>
          </cell>
          <cell r="G333" t="str">
            <v>Reach_1945</v>
          </cell>
          <cell r="H333">
            <v>325</v>
          </cell>
          <cell r="J333">
            <v>546.79</v>
          </cell>
          <cell r="K333">
            <v>196.96</v>
          </cell>
          <cell r="L333">
            <v>7.8113800000000014E-6</v>
          </cell>
          <cell r="M333">
            <v>3.15E-5</v>
          </cell>
          <cell r="N333">
            <v>389045144994.28174</v>
          </cell>
          <cell r="Q333">
            <v>14</v>
          </cell>
        </row>
        <row r="334">
          <cell r="D334" t="str">
            <v>100-97-0</v>
          </cell>
          <cell r="E334">
            <v>100970</v>
          </cell>
          <cell r="F334">
            <v>2</v>
          </cell>
          <cell r="G334" t="str">
            <v>Reach_571</v>
          </cell>
          <cell r="H334">
            <v>326</v>
          </cell>
          <cell r="J334">
            <v>140.19</v>
          </cell>
          <cell r="K334">
            <v>65.06</v>
          </cell>
          <cell r="L334">
            <v>12.1303</v>
          </cell>
          <cell r="M334">
            <v>1000000</v>
          </cell>
          <cell r="N334">
            <v>7.0794578438413704E-5</v>
          </cell>
          <cell r="P334">
            <v>9.1</v>
          </cell>
          <cell r="Q334">
            <v>4.9000000000000004</v>
          </cell>
        </row>
        <row r="335">
          <cell r="D335" t="str">
            <v>140-01-2</v>
          </cell>
          <cell r="E335">
            <v>140012</v>
          </cell>
          <cell r="F335">
            <v>1192</v>
          </cell>
          <cell r="G335" t="str">
            <v>Reach_1146</v>
          </cell>
          <cell r="H335">
            <v>327</v>
          </cell>
          <cell r="J335">
            <v>503.27</v>
          </cell>
          <cell r="K335">
            <v>0</v>
          </cell>
          <cell r="Q335">
            <v>14</v>
          </cell>
        </row>
        <row r="336">
          <cell r="D336" t="str">
            <v>628-96-6</v>
          </cell>
          <cell r="E336">
            <v>628966</v>
          </cell>
          <cell r="F336">
            <v>3382</v>
          </cell>
          <cell r="G336" t="str">
            <v>Reach_1462</v>
          </cell>
          <cell r="H336">
            <v>328</v>
          </cell>
          <cell r="J336">
            <v>152.06</v>
          </cell>
          <cell r="K336">
            <v>-10.1</v>
          </cell>
          <cell r="L336">
            <v>51.853700000000003</v>
          </cell>
          <cell r="M336">
            <v>53995</v>
          </cell>
          <cell r="N336">
            <v>14.791083881682074</v>
          </cell>
          <cell r="Q336">
            <v>14</v>
          </cell>
        </row>
        <row r="337">
          <cell r="D337" t="str">
            <v>88-73-3</v>
          </cell>
          <cell r="E337">
            <v>88733</v>
          </cell>
          <cell r="F337">
            <v>986</v>
          </cell>
          <cell r="G337" t="str">
            <v>Reach_330</v>
          </cell>
          <cell r="H337">
            <v>329</v>
          </cell>
          <cell r="J337">
            <v>157.56</v>
          </cell>
          <cell r="K337">
            <v>48.76</v>
          </cell>
          <cell r="L337">
            <v>3.8257100000000004</v>
          </cell>
          <cell r="M337">
            <v>375.19</v>
          </cell>
          <cell r="N337">
            <v>288.40315031266073</v>
          </cell>
          <cell r="Q337">
            <v>14</v>
          </cell>
        </row>
        <row r="338">
          <cell r="D338" t="str">
            <v>85-43-8</v>
          </cell>
          <cell r="E338">
            <v>85438</v>
          </cell>
          <cell r="F338">
            <v>3890</v>
          </cell>
          <cell r="G338" t="str">
            <v>Reach_296</v>
          </cell>
          <cell r="H338">
            <v>330</v>
          </cell>
          <cell r="J338">
            <v>152.15</v>
          </cell>
          <cell r="K338">
            <v>-0.74</v>
          </cell>
          <cell r="L338">
            <v>7.6647500000000006</v>
          </cell>
          <cell r="M338">
            <v>9976.7999999999993</v>
          </cell>
          <cell r="N338">
            <v>91.201083935590972</v>
          </cell>
          <cell r="Q338">
            <v>14</v>
          </cell>
        </row>
        <row r="339">
          <cell r="D339" t="str">
            <v>6683-19-8</v>
          </cell>
          <cell r="E339">
            <v>6683198</v>
          </cell>
          <cell r="F339">
            <v>6404</v>
          </cell>
          <cell r="G339" t="str">
            <v>Reach_2202</v>
          </cell>
          <cell r="H339">
            <v>331</v>
          </cell>
          <cell r="J339">
            <v>1177.7</v>
          </cell>
          <cell r="K339">
            <v>0</v>
          </cell>
          <cell r="Q339">
            <v>14</v>
          </cell>
        </row>
        <row r="340">
          <cell r="D340" t="str">
            <v>100-52-7</v>
          </cell>
          <cell r="E340">
            <v>100527</v>
          </cell>
          <cell r="F340">
            <v>130</v>
          </cell>
          <cell r="G340" t="str">
            <v>Reach_562</v>
          </cell>
          <cell r="H340">
            <v>332</v>
          </cell>
          <cell r="J340">
            <v>106.12</v>
          </cell>
          <cell r="K340">
            <v>-21.97</v>
          </cell>
          <cell r="L340">
            <v>134.63300000000001</v>
          </cell>
          <cell r="M340">
            <v>4879.7</v>
          </cell>
          <cell r="N340">
            <v>51.28613839913649</v>
          </cell>
          <cell r="Q340">
            <v>14</v>
          </cell>
        </row>
        <row r="341">
          <cell r="D341" t="str">
            <v>556-82-1</v>
          </cell>
          <cell r="E341">
            <v>556821</v>
          </cell>
          <cell r="F341">
            <v>3176</v>
          </cell>
          <cell r="G341" t="str">
            <v>Reach_1369</v>
          </cell>
          <cell r="H341">
            <v>333</v>
          </cell>
          <cell r="J341">
            <v>86.134</v>
          </cell>
          <cell r="K341">
            <v>-59.25</v>
          </cell>
          <cell r="L341">
            <v>314.58800000000002</v>
          </cell>
          <cell r="M341">
            <v>4918</v>
          </cell>
          <cell r="N341">
            <v>14.791083881682074</v>
          </cell>
          <cell r="O341">
            <v>15.5</v>
          </cell>
          <cell r="Q341">
            <v>14</v>
          </cell>
        </row>
        <row r="342">
          <cell r="D342" t="str">
            <v>95-63-6</v>
          </cell>
          <cell r="E342">
            <v>95636</v>
          </cell>
          <cell r="F342">
            <v>1035</v>
          </cell>
          <cell r="G342" t="str">
            <v>Reach_436</v>
          </cell>
          <cell r="H342">
            <v>334</v>
          </cell>
          <cell r="J342">
            <v>120.19</v>
          </cell>
          <cell r="K342">
            <v>-22.46</v>
          </cell>
          <cell r="L342">
            <v>215.94600000000003</v>
          </cell>
          <cell r="M342">
            <v>85.23</v>
          </cell>
          <cell r="N342">
            <v>4265.7951880159299</v>
          </cell>
          <cell r="Q342">
            <v>14</v>
          </cell>
        </row>
        <row r="343">
          <cell r="D343" t="str">
            <v>123-77-3</v>
          </cell>
          <cell r="E343">
            <v>123773</v>
          </cell>
          <cell r="F343">
            <v>1775</v>
          </cell>
          <cell r="G343" t="str">
            <v>Reach_1058</v>
          </cell>
          <cell r="H343">
            <v>335</v>
          </cell>
          <cell r="J343">
            <v>116.08</v>
          </cell>
          <cell r="K343">
            <v>117.02</v>
          </cell>
          <cell r="L343">
            <v>1.3596600000000002E-3</v>
          </cell>
          <cell r="M343">
            <v>152000</v>
          </cell>
          <cell r="N343">
            <v>1.2882495516931315E-4</v>
          </cell>
          <cell r="O343">
            <v>13.97</v>
          </cell>
          <cell r="P343">
            <v>13.96</v>
          </cell>
          <cell r="Q343">
            <v>3.9999999999999147E-2</v>
          </cell>
        </row>
        <row r="344">
          <cell r="D344" t="str">
            <v>69-72-7</v>
          </cell>
          <cell r="E344">
            <v>69727</v>
          </cell>
          <cell r="F344">
            <v>84</v>
          </cell>
          <cell r="G344" t="str">
            <v>Reach_95</v>
          </cell>
          <cell r="H344">
            <v>336</v>
          </cell>
          <cell r="J344">
            <v>138.12</v>
          </cell>
          <cell r="K344">
            <v>93.83</v>
          </cell>
          <cell r="L344">
            <v>4.2522700000000007E-3</v>
          </cell>
          <cell r="M344">
            <v>5060</v>
          </cell>
          <cell r="N344">
            <v>173.78008287493768</v>
          </cell>
          <cell r="O344">
            <v>3</v>
          </cell>
          <cell r="Q344">
            <v>3</v>
          </cell>
        </row>
        <row r="345">
          <cell r="D345" t="str">
            <v>2416-94-6</v>
          </cell>
          <cell r="E345">
            <v>2416946</v>
          </cell>
          <cell r="F345">
            <v>558</v>
          </cell>
          <cell r="G345" t="str">
            <v>Reach_1801</v>
          </cell>
          <cell r="H345">
            <v>337</v>
          </cell>
          <cell r="J345">
            <v>136.19</v>
          </cell>
          <cell r="K345">
            <v>40.68</v>
          </cell>
          <cell r="L345">
            <v>2.7593100000000002</v>
          </cell>
          <cell r="M345">
            <v>954.24</v>
          </cell>
          <cell r="N345">
            <v>1412.5375446227545</v>
          </cell>
          <cell r="O345">
            <v>10.9</v>
          </cell>
          <cell r="Q345">
            <v>10.9</v>
          </cell>
        </row>
        <row r="346">
          <cell r="D346" t="str">
            <v>122-20-3</v>
          </cell>
          <cell r="E346">
            <v>122203</v>
          </cell>
          <cell r="F346">
            <v>1743</v>
          </cell>
          <cell r="G346" t="str">
            <v>Reach_1027</v>
          </cell>
          <cell r="H346">
            <v>338</v>
          </cell>
          <cell r="J346">
            <v>191.27</v>
          </cell>
          <cell r="K346">
            <v>78.63</v>
          </cell>
          <cell r="L346">
            <v>2.4793800000000002E-3</v>
          </cell>
          <cell r="M346">
            <v>2600000</v>
          </cell>
          <cell r="N346">
            <v>6.0255958607435746E-2</v>
          </cell>
          <cell r="O346">
            <v>14.45</v>
          </cell>
          <cell r="P346">
            <v>6.2</v>
          </cell>
          <cell r="Q346">
            <v>7.8</v>
          </cell>
        </row>
        <row r="347">
          <cell r="D347" t="str">
            <v>107-86-8</v>
          </cell>
          <cell r="E347">
            <v>107868</v>
          </cell>
          <cell r="F347">
            <v>1469</v>
          </cell>
          <cell r="G347" t="str">
            <v>Reach_716</v>
          </cell>
          <cell r="H347">
            <v>339</v>
          </cell>
          <cell r="J347">
            <v>84.117999999999995</v>
          </cell>
          <cell r="K347">
            <v>-76.819999999999993</v>
          </cell>
          <cell r="L347">
            <v>1113.0550000000001</v>
          </cell>
          <cell r="M347">
            <v>12106</v>
          </cell>
          <cell r="N347">
            <v>14.125375446227544</v>
          </cell>
          <cell r="Q347">
            <v>14</v>
          </cell>
        </row>
        <row r="348">
          <cell r="D348" t="str">
            <v>106-50-3</v>
          </cell>
          <cell r="E348">
            <v>106503</v>
          </cell>
          <cell r="F348">
            <v>196</v>
          </cell>
          <cell r="G348" t="str">
            <v>Reach_672</v>
          </cell>
          <cell r="H348">
            <v>340</v>
          </cell>
          <cell r="J348">
            <v>108.15</v>
          </cell>
          <cell r="K348">
            <v>52.83</v>
          </cell>
          <cell r="L348">
            <v>8.73115E-2</v>
          </cell>
          <cell r="M348">
            <v>20094</v>
          </cell>
          <cell r="N348">
            <v>0.40738027780411268</v>
          </cell>
          <cell r="P348">
            <v>8</v>
          </cell>
          <cell r="Q348">
            <v>6</v>
          </cell>
        </row>
        <row r="349">
          <cell r="D349" t="str">
            <v>98-86-2</v>
          </cell>
          <cell r="E349">
            <v>98862</v>
          </cell>
          <cell r="F349">
            <v>1077</v>
          </cell>
          <cell r="G349" t="str">
            <v>Reach_521</v>
          </cell>
          <cell r="H349">
            <v>341</v>
          </cell>
          <cell r="J349">
            <v>120.15</v>
          </cell>
          <cell r="K349">
            <v>-9.86</v>
          </cell>
          <cell r="L349">
            <v>43.455800000000004</v>
          </cell>
          <cell r="M349">
            <v>3507.3</v>
          </cell>
          <cell r="N349">
            <v>46.773514128719818</v>
          </cell>
          <cell r="Q349">
            <v>14</v>
          </cell>
        </row>
        <row r="350">
          <cell r="D350" t="str">
            <v>5435-64-3</v>
          </cell>
          <cell r="E350">
            <v>5435643</v>
          </cell>
          <cell r="F350">
            <v>3140</v>
          </cell>
          <cell r="G350" t="str">
            <v>Reach_2112</v>
          </cell>
          <cell r="H350">
            <v>342</v>
          </cell>
          <cell r="J350">
            <v>142.24</v>
          </cell>
          <cell r="K350">
            <v>-35.47</v>
          </cell>
          <cell r="L350">
            <v>179.95500000000004</v>
          </cell>
          <cell r="M350">
            <v>72.542000000000002</v>
          </cell>
          <cell r="N350">
            <v>1230.2687708123824</v>
          </cell>
          <cell r="Q350">
            <v>14</v>
          </cell>
        </row>
        <row r="351">
          <cell r="D351" t="str">
            <v>611-70-1</v>
          </cell>
          <cell r="E351">
            <v>611701</v>
          </cell>
          <cell r="F351">
            <v>3328</v>
          </cell>
          <cell r="G351" t="str">
            <v>Reach_1421</v>
          </cell>
          <cell r="H351">
            <v>343</v>
          </cell>
          <cell r="J351">
            <v>148.21</v>
          </cell>
          <cell r="K351">
            <v>1.96</v>
          </cell>
          <cell r="L351">
            <v>17.462300000000003</v>
          </cell>
          <cell r="M351">
            <v>352.83</v>
          </cell>
          <cell r="N351">
            <v>380.18939632056163</v>
          </cell>
          <cell r="Q351">
            <v>14</v>
          </cell>
        </row>
        <row r="352">
          <cell r="D352" t="str">
            <v>1562-00-1</v>
          </cell>
          <cell r="E352">
            <v>1562001</v>
          </cell>
          <cell r="F352">
            <v>5719</v>
          </cell>
          <cell r="G352" t="str">
            <v>Reach_1692</v>
          </cell>
          <cell r="H352">
            <v>344</v>
          </cell>
          <cell r="J352">
            <v>148.11000000000001</v>
          </cell>
          <cell r="K352">
            <v>0</v>
          </cell>
          <cell r="Q352">
            <v>14</v>
          </cell>
        </row>
        <row r="353">
          <cell r="D353" t="str">
            <v>106-14-9</v>
          </cell>
          <cell r="E353">
            <v>106149</v>
          </cell>
          <cell r="F353">
            <v>1429</v>
          </cell>
          <cell r="G353" t="str">
            <v>Reach_656</v>
          </cell>
          <cell r="H353">
            <v>345</v>
          </cell>
          <cell r="J353">
            <v>300.48</v>
          </cell>
          <cell r="K353">
            <v>152.85</v>
          </cell>
          <cell r="L353">
            <v>4.5055400000000003E-7</v>
          </cell>
          <cell r="M353">
            <v>1.1458999999999999</v>
          </cell>
          <cell r="N353">
            <v>2570395.782768866</v>
          </cell>
          <cell r="O353">
            <v>4.9000000000000004</v>
          </cell>
          <cell r="Q353">
            <v>4.9000000000000004</v>
          </cell>
        </row>
        <row r="354">
          <cell r="D354" t="str">
            <v>110-85-0</v>
          </cell>
          <cell r="E354">
            <v>110850</v>
          </cell>
          <cell r="F354">
            <v>1531</v>
          </cell>
          <cell r="G354" t="str">
            <v>Reach_832</v>
          </cell>
          <cell r="H354">
            <v>346</v>
          </cell>
          <cell r="J354">
            <v>86.14</v>
          </cell>
          <cell r="K354">
            <v>7.3</v>
          </cell>
          <cell r="L354">
            <v>94.909599999999998</v>
          </cell>
          <cell r="M354">
            <v>1000000</v>
          </cell>
          <cell r="N354">
            <v>0.15848931924611132</v>
          </cell>
          <cell r="P354">
            <v>4.4000000000000004</v>
          </cell>
          <cell r="Q354">
            <v>9.6</v>
          </cell>
        </row>
        <row r="355">
          <cell r="D355" t="str">
            <v>2402-79-1</v>
          </cell>
          <cell r="E355">
            <v>2402791</v>
          </cell>
          <cell r="F355">
            <v>2367</v>
          </cell>
          <cell r="G355" t="str">
            <v>Reach_1796</v>
          </cell>
          <cell r="H355">
            <v>347</v>
          </cell>
          <cell r="J355">
            <v>216.88</v>
          </cell>
          <cell r="K355">
            <v>54.58</v>
          </cell>
          <cell r="L355">
            <v>0.80779800000000013</v>
          </cell>
          <cell r="M355">
            <v>20.515000000000001</v>
          </cell>
          <cell r="N355">
            <v>2398.8329190194918</v>
          </cell>
          <cell r="Q355">
            <v>14</v>
          </cell>
        </row>
        <row r="356">
          <cell r="D356" t="str">
            <v>112-07-2</v>
          </cell>
          <cell r="E356">
            <v>112072</v>
          </cell>
          <cell r="F356">
            <v>1573</v>
          </cell>
          <cell r="G356" t="str">
            <v>Reach_887</v>
          </cell>
          <cell r="H356">
            <v>348</v>
          </cell>
          <cell r="J356">
            <v>160.21</v>
          </cell>
          <cell r="K356">
            <v>-15.23</v>
          </cell>
          <cell r="L356">
            <v>71.582100000000011</v>
          </cell>
          <cell r="M356">
            <v>3245.6</v>
          </cell>
          <cell r="N356">
            <v>37.153522909717275</v>
          </cell>
          <cell r="Q356">
            <v>14</v>
          </cell>
        </row>
        <row r="357">
          <cell r="D357" t="str">
            <v>101-77-9</v>
          </cell>
          <cell r="E357">
            <v>101779</v>
          </cell>
          <cell r="F357">
            <v>1328</v>
          </cell>
          <cell r="G357" t="str">
            <v>Reach_582</v>
          </cell>
          <cell r="H357">
            <v>349</v>
          </cell>
          <cell r="J357">
            <v>198.27</v>
          </cell>
          <cell r="K357">
            <v>127.52</v>
          </cell>
          <cell r="L357">
            <v>2.7593100000000004E-4</v>
          </cell>
          <cell r="M357">
            <v>491.72</v>
          </cell>
          <cell r="N357">
            <v>151.3561248436209</v>
          </cell>
          <cell r="P357">
            <v>8.7200000000000006</v>
          </cell>
          <cell r="Q357">
            <v>5.2799999999999994</v>
          </cell>
        </row>
        <row r="358">
          <cell r="D358" t="str">
            <v>615-16-7</v>
          </cell>
          <cell r="E358">
            <v>615167</v>
          </cell>
          <cell r="F358">
            <v>3336</v>
          </cell>
          <cell r="G358" t="str">
            <v>Reach_1425</v>
          </cell>
          <cell r="H358">
            <v>350</v>
          </cell>
          <cell r="J358">
            <v>134.13999999999999</v>
          </cell>
          <cell r="K358">
            <v>95.79</v>
          </cell>
          <cell r="L358">
            <v>4.9321000000000004E-2</v>
          </cell>
          <cell r="M358">
            <v>651.03</v>
          </cell>
          <cell r="N358">
            <v>15.848931924611136</v>
          </cell>
          <cell r="Q358">
            <v>14</v>
          </cell>
        </row>
        <row r="359">
          <cell r="D359" t="str">
            <v>108-39-4</v>
          </cell>
          <cell r="E359">
            <v>108394</v>
          </cell>
          <cell r="F359">
            <v>237</v>
          </cell>
          <cell r="G359" t="str">
            <v>Reach_743</v>
          </cell>
          <cell r="H359">
            <v>351</v>
          </cell>
          <cell r="J359">
            <v>108.14</v>
          </cell>
          <cell r="K359">
            <v>15.69</v>
          </cell>
          <cell r="L359">
            <v>22.261100000000003</v>
          </cell>
          <cell r="M359">
            <v>16242</v>
          </cell>
          <cell r="N359">
            <v>114.81536214968835</v>
          </cell>
          <cell r="O359">
            <v>10</v>
          </cell>
          <cell r="Q359">
            <v>10</v>
          </cell>
        </row>
        <row r="360">
          <cell r="D360" t="str">
            <v>5994-61-6</v>
          </cell>
          <cell r="E360">
            <v>5994616</v>
          </cell>
          <cell r="F360">
            <v>3297</v>
          </cell>
          <cell r="G360" t="str">
            <v>Reach_2149</v>
          </cell>
          <cell r="H360">
            <v>352</v>
          </cell>
          <cell r="J360">
            <v>227.11</v>
          </cell>
          <cell r="K360">
            <v>304.02999999999997</v>
          </cell>
          <cell r="L360">
            <v>2.5993500000000003E-11</v>
          </cell>
          <cell r="M360">
            <v>11199</v>
          </cell>
          <cell r="N360">
            <v>1.2882495516931347E-5</v>
          </cell>
          <cell r="Q360">
            <v>14</v>
          </cell>
        </row>
        <row r="361">
          <cell r="D361" t="str">
            <v>110-17-8</v>
          </cell>
          <cell r="E361">
            <v>110178</v>
          </cell>
          <cell r="F361">
            <v>276</v>
          </cell>
          <cell r="G361" t="str">
            <v>Reach_807</v>
          </cell>
          <cell r="H361">
            <v>353</v>
          </cell>
          <cell r="J361">
            <v>116.07</v>
          </cell>
          <cell r="K361">
            <v>84.12</v>
          </cell>
          <cell r="L361">
            <v>1.2570190000000002E-9</v>
          </cell>
          <cell r="M361">
            <v>55163</v>
          </cell>
          <cell r="N361">
            <v>1.1220184543019636</v>
          </cell>
          <cell r="O361">
            <v>3</v>
          </cell>
          <cell r="Q361">
            <v>3</v>
          </cell>
        </row>
        <row r="362">
          <cell r="D362" t="str">
            <v>7659-86-1</v>
          </cell>
          <cell r="E362">
            <v>7659861</v>
          </cell>
          <cell r="F362">
            <v>3721</v>
          </cell>
          <cell r="G362" t="str">
            <v>Reach_2267</v>
          </cell>
          <cell r="H362">
            <v>354</v>
          </cell>
          <cell r="J362">
            <v>204.33</v>
          </cell>
          <cell r="K362">
            <v>16.38</v>
          </cell>
          <cell r="L362">
            <v>1138.3820000000001</v>
          </cell>
          <cell r="M362">
            <v>61.335999999999999</v>
          </cell>
          <cell r="N362">
            <v>4786.3009232263848</v>
          </cell>
          <cell r="O362">
            <v>8</v>
          </cell>
          <cell r="Q362">
            <v>8</v>
          </cell>
        </row>
        <row r="363">
          <cell r="D363" t="str">
            <v>57-11-4</v>
          </cell>
          <cell r="E363">
            <v>57114</v>
          </cell>
          <cell r="F363">
            <v>3223</v>
          </cell>
          <cell r="G363" t="str">
            <v>Reach_38</v>
          </cell>
          <cell r="H363">
            <v>355</v>
          </cell>
          <cell r="J363">
            <v>284.48</v>
          </cell>
          <cell r="K363">
            <v>132.96</v>
          </cell>
          <cell r="L363">
            <v>1.1077230000000001E-3</v>
          </cell>
          <cell r="M363">
            <v>2.4258999999999999E-2</v>
          </cell>
          <cell r="N363">
            <v>87096358.99560827</v>
          </cell>
          <cell r="O363">
            <v>4.9000000000000004</v>
          </cell>
          <cell r="Q363">
            <v>4.9000000000000004</v>
          </cell>
        </row>
        <row r="364">
          <cell r="D364" t="str">
            <v>420-46-2</v>
          </cell>
          <cell r="E364">
            <v>420462</v>
          </cell>
          <cell r="F364">
            <v>2887</v>
          </cell>
          <cell r="G364" t="str">
            <v>Reach_1269</v>
          </cell>
          <cell r="H364">
            <v>356</v>
          </cell>
          <cell r="J364">
            <v>84.04</v>
          </cell>
          <cell r="K364">
            <v>-151.65</v>
          </cell>
          <cell r="L364">
            <v>929101.00000000012</v>
          </cell>
          <cell r="M364">
            <v>31713</v>
          </cell>
          <cell r="N364">
            <v>54.95408738576247</v>
          </cell>
          <cell r="Q364">
            <v>14</v>
          </cell>
        </row>
        <row r="365">
          <cell r="D365" t="str">
            <v>108-68-9</v>
          </cell>
          <cell r="E365">
            <v>108689</v>
          </cell>
          <cell r="F365">
            <v>243</v>
          </cell>
          <cell r="G365" t="str">
            <v>Reach_752</v>
          </cell>
          <cell r="H365">
            <v>357</v>
          </cell>
          <cell r="J365">
            <v>122.17</v>
          </cell>
          <cell r="K365">
            <v>25.37</v>
          </cell>
          <cell r="L365">
            <v>3.0792299999999999</v>
          </cell>
          <cell r="M365">
            <v>6662.4</v>
          </cell>
          <cell r="N365">
            <v>407.38027780411272</v>
          </cell>
          <cell r="O365">
            <v>10</v>
          </cell>
          <cell r="Q365">
            <v>10</v>
          </cell>
        </row>
        <row r="366">
          <cell r="D366" t="str">
            <v>80-07-9</v>
          </cell>
          <cell r="E366">
            <v>80079</v>
          </cell>
          <cell r="F366">
            <v>3786</v>
          </cell>
          <cell r="G366" t="str">
            <v>Reach_255</v>
          </cell>
          <cell r="H366">
            <v>358</v>
          </cell>
          <cell r="J366">
            <v>287.16000000000003</v>
          </cell>
          <cell r="K366">
            <v>145.54</v>
          </cell>
          <cell r="L366">
            <v>1.078397E-4</v>
          </cell>
          <cell r="M366">
            <v>3.5173999999999999</v>
          </cell>
          <cell r="N366">
            <v>7943.2823472428154</v>
          </cell>
          <cell r="Q366">
            <v>14</v>
          </cell>
        </row>
        <row r="367">
          <cell r="D367" t="str">
            <v>6104-30-9</v>
          </cell>
          <cell r="E367">
            <v>6104309</v>
          </cell>
          <cell r="F367">
            <v>3324</v>
          </cell>
          <cell r="G367" t="str">
            <v>Reach_2153</v>
          </cell>
          <cell r="H367">
            <v>359</v>
          </cell>
          <cell r="J367">
            <v>174.21</v>
          </cell>
          <cell r="K367">
            <v>141.03</v>
          </cell>
          <cell r="L367">
            <v>7.784720000000001E-4</v>
          </cell>
          <cell r="M367">
            <v>22.91</v>
          </cell>
          <cell r="N367">
            <v>2.0892961308540386E-2</v>
          </cell>
          <cell r="O367">
            <v>13.47</v>
          </cell>
          <cell r="P367">
            <v>14.01</v>
          </cell>
          <cell r="Q367">
            <v>-9.9999999999997868E-3</v>
          </cell>
        </row>
        <row r="368">
          <cell r="D368" t="str">
            <v>112-38-9</v>
          </cell>
          <cell r="E368">
            <v>112389</v>
          </cell>
          <cell r="F368">
            <v>1585</v>
          </cell>
          <cell r="G368" t="str">
            <v>Reach_902</v>
          </cell>
          <cell r="H368">
            <v>360</v>
          </cell>
          <cell r="J368">
            <v>184.28</v>
          </cell>
          <cell r="K368">
            <v>71.459999999999994</v>
          </cell>
          <cell r="L368">
            <v>0.93443300000000007</v>
          </cell>
          <cell r="M368">
            <v>34.475999999999999</v>
          </cell>
          <cell r="N368">
            <v>23442.288153199243</v>
          </cell>
          <cell r="O368">
            <v>4.9000000000000004</v>
          </cell>
          <cell r="Q368">
            <v>4.9000000000000004</v>
          </cell>
        </row>
        <row r="369">
          <cell r="D369" t="str">
            <v>2487-90-3</v>
          </cell>
          <cell r="E369">
            <v>2487903</v>
          </cell>
          <cell r="F369">
            <v>563</v>
          </cell>
          <cell r="G369" t="str">
            <v>Reach_1816</v>
          </cell>
          <cell r="H369">
            <v>361</v>
          </cell>
          <cell r="J369">
            <v>121.19</v>
          </cell>
          <cell r="K369">
            <v>-81.44</v>
          </cell>
          <cell r="L369">
            <v>11143.880000000001</v>
          </cell>
          <cell r="M369">
            <v>134000</v>
          </cell>
          <cell r="N369">
            <v>6.0255958607435746E-2</v>
          </cell>
          <cell r="Q369">
            <v>14</v>
          </cell>
        </row>
        <row r="370">
          <cell r="D370" t="str">
            <v>7396-58-9</v>
          </cell>
          <cell r="E370">
            <v>7396589</v>
          </cell>
          <cell r="F370">
            <v>3629</v>
          </cell>
          <cell r="G370" t="str">
            <v>Reach_2246</v>
          </cell>
          <cell r="H370">
            <v>362</v>
          </cell>
          <cell r="J370">
            <v>311.60000000000002</v>
          </cell>
          <cell r="K370">
            <v>90.35</v>
          </cell>
          <cell r="L370">
            <v>2.7726400000000003E-3</v>
          </cell>
          <cell r="M370">
            <v>3.1799999999999998E-4</v>
          </cell>
          <cell r="N370">
            <v>758577575.02918684</v>
          </cell>
          <cell r="P370">
            <v>3.6</v>
          </cell>
          <cell r="Q370">
            <v>10.4</v>
          </cell>
        </row>
        <row r="371">
          <cell r="D371" t="str">
            <v>116-15-4</v>
          </cell>
          <cell r="E371">
            <v>116154</v>
          </cell>
          <cell r="F371">
            <v>1646</v>
          </cell>
          <cell r="G371" t="str">
            <v>Reach_952</v>
          </cell>
          <cell r="H371">
            <v>363</v>
          </cell>
          <cell r="J371">
            <v>150.02000000000001</v>
          </cell>
          <cell r="K371">
            <v>-152.74</v>
          </cell>
          <cell r="L371">
            <v>587853</v>
          </cell>
          <cell r="M371">
            <v>1.0968</v>
          </cell>
          <cell r="N371">
            <v>131.82567385564084</v>
          </cell>
          <cell r="Q371">
            <v>14</v>
          </cell>
        </row>
        <row r="372">
          <cell r="D372" t="str">
            <v>3302-10-1</v>
          </cell>
          <cell r="E372">
            <v>3302101</v>
          </cell>
          <cell r="F372">
            <v>1259</v>
          </cell>
          <cell r="G372" t="str">
            <v>Reach_1944</v>
          </cell>
          <cell r="H372">
            <v>364</v>
          </cell>
          <cell r="J372">
            <v>158.24</v>
          </cell>
          <cell r="K372">
            <v>37.409999999999997</v>
          </cell>
          <cell r="L372">
            <v>6.1318000000000001</v>
          </cell>
          <cell r="M372">
            <v>48.804000000000002</v>
          </cell>
          <cell r="N372">
            <v>2187.7616239495528</v>
          </cell>
          <cell r="O372">
            <v>4.9000000000000004</v>
          </cell>
          <cell r="Q372">
            <v>4.9000000000000004</v>
          </cell>
        </row>
        <row r="373">
          <cell r="D373" t="str">
            <v>839-90-7</v>
          </cell>
          <cell r="E373">
            <v>839907</v>
          </cell>
          <cell r="F373">
            <v>3854</v>
          </cell>
          <cell r="G373" t="str">
            <v>Reach_1564</v>
          </cell>
          <cell r="H373">
            <v>365</v>
          </cell>
          <cell r="J373">
            <v>261.24</v>
          </cell>
          <cell r="K373">
            <v>240.76</v>
          </cell>
          <cell r="L373">
            <v>1.1810380000000002E-13</v>
          </cell>
          <cell r="M373">
            <v>757000</v>
          </cell>
          <cell r="N373">
            <v>1.1748975549395295</v>
          </cell>
          <cell r="O373">
            <v>14.9</v>
          </cell>
          <cell r="P373">
            <v>14.58</v>
          </cell>
          <cell r="Q373">
            <v>-0.58000000000000007</v>
          </cell>
        </row>
        <row r="374">
          <cell r="D374" t="str">
            <v>80-54-6</v>
          </cell>
          <cell r="E374">
            <v>80546</v>
          </cell>
          <cell r="F374">
            <v>3794</v>
          </cell>
          <cell r="G374" t="str">
            <v>Reach_266</v>
          </cell>
          <cell r="H374">
            <v>366</v>
          </cell>
          <cell r="J374">
            <v>204.31</v>
          </cell>
          <cell r="K374">
            <v>46.29</v>
          </cell>
          <cell r="L374">
            <v>0.47721400000000003</v>
          </cell>
          <cell r="M374">
            <v>3.8942000000000001</v>
          </cell>
          <cell r="N374">
            <v>22908.676527677751</v>
          </cell>
          <cell r="Q374">
            <v>14</v>
          </cell>
        </row>
        <row r="375">
          <cell r="D375" t="str">
            <v>124-28-7</v>
          </cell>
          <cell r="E375">
            <v>124287</v>
          </cell>
          <cell r="F375">
            <v>1790</v>
          </cell>
          <cell r="G375" t="str">
            <v>Reach_1075</v>
          </cell>
          <cell r="H375">
            <v>367</v>
          </cell>
          <cell r="J375">
            <v>297.57</v>
          </cell>
          <cell r="K375">
            <v>81.33</v>
          </cell>
          <cell r="L375">
            <v>2.2261100000000002E-2</v>
          </cell>
          <cell r="M375">
            <v>7.4700000000000005E-4</v>
          </cell>
          <cell r="N375">
            <v>245470891.56850341</v>
          </cell>
          <cell r="P375">
            <v>3.9</v>
          </cell>
          <cell r="Q375">
            <v>10.1</v>
          </cell>
        </row>
        <row r="376">
          <cell r="D376" t="str">
            <v>100-20-9</v>
          </cell>
          <cell r="E376">
            <v>100209</v>
          </cell>
          <cell r="F376">
            <v>1297</v>
          </cell>
          <cell r="G376" t="str">
            <v>Reach_551</v>
          </cell>
          <cell r="H376">
            <v>368</v>
          </cell>
          <cell r="J376">
            <v>203.02</v>
          </cell>
          <cell r="K376">
            <v>68.2</v>
          </cell>
          <cell r="L376">
            <v>0.64783800000000002</v>
          </cell>
          <cell r="M376">
            <v>710.18</v>
          </cell>
          <cell r="N376">
            <v>7.5857757502918375</v>
          </cell>
          <cell r="Q376">
            <v>14</v>
          </cell>
        </row>
        <row r="377">
          <cell r="D377" t="str">
            <v>3282-30-2</v>
          </cell>
          <cell r="E377">
            <v>3282302</v>
          </cell>
          <cell r="F377">
            <v>601</v>
          </cell>
          <cell r="G377" t="str">
            <v>Reach_1941</v>
          </cell>
          <cell r="H377">
            <v>369</v>
          </cell>
          <cell r="J377">
            <v>120.58</v>
          </cell>
          <cell r="K377">
            <v>-47.97</v>
          </cell>
          <cell r="L377">
            <v>4318.92</v>
          </cell>
          <cell r="M377">
            <v>2859.4</v>
          </cell>
          <cell r="N377">
            <v>7.7624711662869199</v>
          </cell>
          <cell r="Q377">
            <v>14</v>
          </cell>
        </row>
        <row r="378">
          <cell r="D378" t="str">
            <v>144-62-7</v>
          </cell>
          <cell r="E378">
            <v>144627</v>
          </cell>
          <cell r="F378">
            <v>472</v>
          </cell>
          <cell r="G378" t="str">
            <v>Reach_1195</v>
          </cell>
          <cell r="H378">
            <v>370</v>
          </cell>
          <cell r="J378">
            <v>90.034000000000006</v>
          </cell>
          <cell r="K378">
            <v>62.97</v>
          </cell>
          <cell r="L378">
            <v>0.74648000000000003</v>
          </cell>
          <cell r="M378">
            <v>728000</v>
          </cell>
          <cell r="N378">
            <v>1.8197008586099829E-2</v>
          </cell>
          <cell r="O378">
            <v>1.2</v>
          </cell>
          <cell r="Q378">
            <v>1.2</v>
          </cell>
        </row>
        <row r="379">
          <cell r="D379" t="str">
            <v>577-11-7</v>
          </cell>
          <cell r="E379">
            <v>577117</v>
          </cell>
          <cell r="F379">
            <v>1224</v>
          </cell>
          <cell r="G379" t="str">
            <v>Reach_1381</v>
          </cell>
          <cell r="H379">
            <v>371</v>
          </cell>
          <cell r="J379">
            <v>444.56</v>
          </cell>
          <cell r="K379">
            <v>0</v>
          </cell>
          <cell r="Q379">
            <v>14</v>
          </cell>
        </row>
        <row r="380">
          <cell r="D380" t="str">
            <v>120-80-9</v>
          </cell>
          <cell r="E380">
            <v>120809</v>
          </cell>
          <cell r="F380">
            <v>361</v>
          </cell>
          <cell r="G380" t="str">
            <v>Reach_1002</v>
          </cell>
          <cell r="H380">
            <v>372</v>
          </cell>
          <cell r="J380">
            <v>110.11</v>
          </cell>
          <cell r="K380">
            <v>45.73</v>
          </cell>
          <cell r="L380">
            <v>0.14796300000000001</v>
          </cell>
          <cell r="M380">
            <v>88326</v>
          </cell>
          <cell r="N380">
            <v>10.715193052376069</v>
          </cell>
          <cell r="O380">
            <v>10</v>
          </cell>
          <cell r="Q380">
            <v>10</v>
          </cell>
        </row>
        <row r="381">
          <cell r="D381" t="str">
            <v>2432-99-7</v>
          </cell>
          <cell r="E381">
            <v>2432997</v>
          </cell>
          <cell r="F381">
            <v>2387</v>
          </cell>
          <cell r="G381" t="str">
            <v>Reach_1808</v>
          </cell>
          <cell r="H381">
            <v>373</v>
          </cell>
          <cell r="J381">
            <v>201.31</v>
          </cell>
          <cell r="K381">
            <v>304.05</v>
          </cell>
          <cell r="L381">
            <v>2.1061400000000001E-7</v>
          </cell>
          <cell r="M381">
            <v>16.024000000000001</v>
          </cell>
          <cell r="N381">
            <v>0.69183097091893653</v>
          </cell>
          <cell r="O381">
            <v>4.8899999999999997</v>
          </cell>
          <cell r="P381">
            <v>3.49</v>
          </cell>
          <cell r="Q381">
            <v>4.8899999999999997</v>
          </cell>
        </row>
        <row r="382">
          <cell r="D382" t="str">
            <v>131-11-3</v>
          </cell>
          <cell r="E382">
            <v>131113</v>
          </cell>
          <cell r="F382">
            <v>417</v>
          </cell>
          <cell r="G382" t="str">
            <v>Reach_1119</v>
          </cell>
          <cell r="H382">
            <v>374</v>
          </cell>
          <cell r="J382">
            <v>194.19</v>
          </cell>
          <cell r="K382">
            <v>-22.74</v>
          </cell>
          <cell r="L382">
            <v>0.615846</v>
          </cell>
          <cell r="M382">
            <v>1973.9</v>
          </cell>
          <cell r="N382">
            <v>45.708818961487509</v>
          </cell>
          <cell r="Q382">
            <v>14</v>
          </cell>
        </row>
        <row r="383">
          <cell r="D383" t="str">
            <v>26523-78-4</v>
          </cell>
          <cell r="E383">
            <v>26523784</v>
          </cell>
          <cell r="F383">
            <v>2474</v>
          </cell>
          <cell r="G383" t="str">
            <v>Reach_2585</v>
          </cell>
          <cell r="H383">
            <v>375</v>
          </cell>
          <cell r="J383">
            <v>689.02</v>
          </cell>
          <cell r="K383">
            <v>317.3</v>
          </cell>
          <cell r="L383">
            <v>2.5726900000000004E-15</v>
          </cell>
          <cell r="M383">
            <v>2.8200000000000001E-13</v>
          </cell>
          <cell r="N383">
            <v>1.1220184543019717E+20</v>
          </cell>
          <cell r="Q383">
            <v>14</v>
          </cell>
        </row>
        <row r="384">
          <cell r="D384" t="str">
            <v>2216-51-5</v>
          </cell>
          <cell r="E384">
            <v>2216515</v>
          </cell>
          <cell r="F384">
            <v>538</v>
          </cell>
          <cell r="G384" t="str">
            <v>Reach_1773</v>
          </cell>
          <cell r="H384">
            <v>376</v>
          </cell>
          <cell r="J384">
            <v>156.27000000000001</v>
          </cell>
          <cell r="K384">
            <v>-5.9</v>
          </cell>
          <cell r="L384">
            <v>1.022411</v>
          </cell>
          <cell r="M384">
            <v>938.09</v>
          </cell>
          <cell r="N384">
            <v>2398.8329190194918</v>
          </cell>
          <cell r="O384">
            <v>16</v>
          </cell>
          <cell r="Q384">
            <v>14</v>
          </cell>
        </row>
        <row r="385">
          <cell r="D385" t="str">
            <v>540-97-6</v>
          </cell>
          <cell r="E385">
            <v>540976</v>
          </cell>
          <cell r="F385">
            <v>3124</v>
          </cell>
          <cell r="G385" t="str">
            <v>Reach_1337</v>
          </cell>
          <cell r="H385">
            <v>377</v>
          </cell>
          <cell r="J385">
            <v>444.93</v>
          </cell>
          <cell r="K385">
            <v>-8.69</v>
          </cell>
          <cell r="L385">
            <v>4.7321499999999999</v>
          </cell>
          <cell r="M385">
            <v>1.6609999999999999E-3</v>
          </cell>
          <cell r="N385">
            <v>1202264434.6174154</v>
          </cell>
          <cell r="Q385">
            <v>14</v>
          </cell>
        </row>
        <row r="386">
          <cell r="D386" t="str">
            <v>13674-84-5</v>
          </cell>
          <cell r="E386">
            <v>13674845</v>
          </cell>
          <cell r="F386">
            <v>24</v>
          </cell>
          <cell r="G386" t="str">
            <v>Reach_2342</v>
          </cell>
          <cell r="H386">
            <v>378</v>
          </cell>
          <cell r="J386">
            <v>327.57</v>
          </cell>
          <cell r="K386">
            <v>72.27</v>
          </cell>
          <cell r="L386">
            <v>7.5181200000000005E-3</v>
          </cell>
          <cell r="M386">
            <v>29.896000000000001</v>
          </cell>
          <cell r="N386">
            <v>776.24711662869231</v>
          </cell>
          <cell r="Q386">
            <v>14</v>
          </cell>
        </row>
        <row r="387">
          <cell r="D387" t="str">
            <v>29329-71-3</v>
          </cell>
          <cell r="E387">
            <v>29329713</v>
          </cell>
          <cell r="F387">
            <v>5823</v>
          </cell>
          <cell r="G387" t="str">
            <v>Reach_2629</v>
          </cell>
          <cell r="H387">
            <v>379</v>
          </cell>
          <cell r="J387">
            <v>229.02</v>
          </cell>
          <cell r="K387">
            <v>0</v>
          </cell>
          <cell r="Q387">
            <v>14</v>
          </cell>
        </row>
        <row r="388">
          <cell r="D388" t="str">
            <v>112-39-0</v>
          </cell>
          <cell r="E388">
            <v>112390</v>
          </cell>
          <cell r="F388">
            <v>1586</v>
          </cell>
          <cell r="G388" t="str">
            <v>Reach_903</v>
          </cell>
          <cell r="H388">
            <v>380</v>
          </cell>
          <cell r="J388">
            <v>270.45999999999998</v>
          </cell>
          <cell r="K388">
            <v>63.16</v>
          </cell>
          <cell r="L388">
            <v>6.3317499999999999E-2</v>
          </cell>
          <cell r="M388">
            <v>7.4392E-2</v>
          </cell>
          <cell r="N388">
            <v>17782794.100389261</v>
          </cell>
          <cell r="Q388">
            <v>14</v>
          </cell>
        </row>
        <row r="389">
          <cell r="D389" t="str">
            <v>95-51-2</v>
          </cell>
          <cell r="E389">
            <v>95512</v>
          </cell>
          <cell r="F389">
            <v>1031</v>
          </cell>
          <cell r="G389" t="str">
            <v>Reach_431</v>
          </cell>
          <cell r="H389">
            <v>381</v>
          </cell>
          <cell r="J389">
            <v>127.58</v>
          </cell>
          <cell r="K389">
            <v>24.41</v>
          </cell>
          <cell r="L389">
            <v>30.925600000000003</v>
          </cell>
          <cell r="M389">
            <v>1755.1</v>
          </cell>
          <cell r="N389">
            <v>52.480746024977286</v>
          </cell>
          <cell r="P389">
            <v>11</v>
          </cell>
          <cell r="Q389">
            <v>3</v>
          </cell>
        </row>
        <row r="390">
          <cell r="D390" t="str">
            <v>108-46-3</v>
          </cell>
          <cell r="E390">
            <v>108463</v>
          </cell>
          <cell r="F390">
            <v>240</v>
          </cell>
          <cell r="G390" t="str">
            <v>Reach_747</v>
          </cell>
          <cell r="H390">
            <v>382</v>
          </cell>
          <cell r="J390">
            <v>110.11</v>
          </cell>
          <cell r="K390">
            <v>45.73</v>
          </cell>
          <cell r="L390">
            <v>1.5996000000000003E-2</v>
          </cell>
          <cell r="M390">
            <v>332000</v>
          </cell>
          <cell r="N390">
            <v>10.715193052376069</v>
          </cell>
          <cell r="O390">
            <v>9.6</v>
          </cell>
          <cell r="Q390">
            <v>9.6</v>
          </cell>
        </row>
        <row r="391">
          <cell r="D391" t="str">
            <v>25601-41-6</v>
          </cell>
          <cell r="E391">
            <v>25601416</v>
          </cell>
          <cell r="F391">
            <v>2440</v>
          </cell>
          <cell r="G391" t="str">
            <v>Reach_4614</v>
          </cell>
          <cell r="H391">
            <v>383</v>
          </cell>
          <cell r="J391">
            <v>184.28</v>
          </cell>
          <cell r="K391">
            <v>0.39</v>
          </cell>
          <cell r="L391">
            <v>11.397150000000002</v>
          </cell>
          <cell r="M391">
            <v>36.901000000000003</v>
          </cell>
          <cell r="N391">
            <v>14791.083881682089</v>
          </cell>
          <cell r="Q391">
            <v>14</v>
          </cell>
        </row>
        <row r="392">
          <cell r="D392" t="str">
            <v>505-32-8</v>
          </cell>
          <cell r="E392">
            <v>505328</v>
          </cell>
          <cell r="F392">
            <v>3007</v>
          </cell>
          <cell r="G392" t="str">
            <v>Reach_1307</v>
          </cell>
          <cell r="H392">
            <v>384</v>
          </cell>
          <cell r="J392">
            <v>296.54000000000002</v>
          </cell>
          <cell r="K392">
            <v>70.180000000000007</v>
          </cell>
          <cell r="L392">
            <v>1.8795300000000001E-3</v>
          </cell>
          <cell r="M392">
            <v>8.0829999999999999E-2</v>
          </cell>
          <cell r="N392">
            <v>169824365.24617496</v>
          </cell>
          <cell r="O392">
            <v>15.5</v>
          </cell>
          <cell r="Q392">
            <v>14</v>
          </cell>
        </row>
        <row r="393">
          <cell r="D393" t="str">
            <v>7680-73-1</v>
          </cell>
          <cell r="E393">
            <v>7680731</v>
          </cell>
          <cell r="F393">
            <v>6032</v>
          </cell>
          <cell r="G393" t="str">
            <v>Reach_2268</v>
          </cell>
          <cell r="H393">
            <v>385</v>
          </cell>
          <cell r="J393">
            <v>129.59</v>
          </cell>
          <cell r="K393">
            <v>0</v>
          </cell>
          <cell r="Q393">
            <v>14</v>
          </cell>
        </row>
        <row r="394">
          <cell r="D394" t="str">
            <v>100-02-7</v>
          </cell>
          <cell r="E394">
            <v>100027</v>
          </cell>
          <cell r="F394">
            <v>1</v>
          </cell>
          <cell r="G394" t="str">
            <v>Reach_548</v>
          </cell>
          <cell r="H394">
            <v>386</v>
          </cell>
          <cell r="J394">
            <v>139.11000000000001</v>
          </cell>
          <cell r="K394">
            <v>70.760000000000005</v>
          </cell>
          <cell r="L394">
            <v>3.8657000000000004E-2</v>
          </cell>
          <cell r="M394">
            <v>38000</v>
          </cell>
          <cell r="N394">
            <v>81.283051616409963</v>
          </cell>
          <cell r="O394">
            <v>7.2</v>
          </cell>
          <cell r="Q394">
            <v>7.2</v>
          </cell>
        </row>
        <row r="395">
          <cell r="D395" t="str">
            <v>629-96-9</v>
          </cell>
          <cell r="E395">
            <v>629969</v>
          </cell>
          <cell r="F395">
            <v>3393</v>
          </cell>
          <cell r="G395" t="str">
            <v>Reach_1472</v>
          </cell>
          <cell r="H395">
            <v>387</v>
          </cell>
          <cell r="J395">
            <v>298.56</v>
          </cell>
          <cell r="K395">
            <v>104.9</v>
          </cell>
          <cell r="L395">
            <v>6.6650000000000007E-5</v>
          </cell>
          <cell r="M395">
            <v>9.4269999999999998E-4</v>
          </cell>
          <cell r="N395">
            <v>501187233.62727159</v>
          </cell>
          <cell r="O395">
            <v>15.9</v>
          </cell>
          <cell r="Q395">
            <v>14</v>
          </cell>
        </row>
        <row r="396">
          <cell r="D396" t="str">
            <v>75-00-3</v>
          </cell>
          <cell r="E396">
            <v>75003</v>
          </cell>
          <cell r="F396">
            <v>3654</v>
          </cell>
          <cell r="G396" t="str">
            <v>Reach_122</v>
          </cell>
          <cell r="H396">
            <v>388</v>
          </cell>
          <cell r="J396">
            <v>64.515000000000001</v>
          </cell>
          <cell r="K396">
            <v>-111.32</v>
          </cell>
          <cell r="L396">
            <v>161293</v>
          </cell>
          <cell r="M396">
            <v>11782</v>
          </cell>
          <cell r="N396">
            <v>38.018939632056139</v>
          </cell>
          <cell r="Q396">
            <v>14</v>
          </cell>
        </row>
        <row r="397">
          <cell r="D397" t="str">
            <v>22042-96-2</v>
          </cell>
          <cell r="E397">
            <v>22042962</v>
          </cell>
          <cell r="F397">
            <v>5777</v>
          </cell>
          <cell r="G397" t="str">
            <v>Reach_2514</v>
          </cell>
          <cell r="H397">
            <v>389</v>
          </cell>
          <cell r="J397">
            <v>595.17999999999995</v>
          </cell>
          <cell r="K397">
            <v>0</v>
          </cell>
          <cell r="Q397">
            <v>14</v>
          </cell>
        </row>
        <row r="398">
          <cell r="D398" t="str">
            <v>5131-66-8</v>
          </cell>
          <cell r="E398">
            <v>5131668</v>
          </cell>
          <cell r="F398">
            <v>3032</v>
          </cell>
          <cell r="G398" t="str">
            <v>Reach_2080</v>
          </cell>
          <cell r="H398">
            <v>390</v>
          </cell>
          <cell r="J398">
            <v>132.19999999999999</v>
          </cell>
          <cell r="K398">
            <v>-21.73</v>
          </cell>
          <cell r="L398">
            <v>52.920100000000005</v>
          </cell>
          <cell r="M398">
            <v>15160</v>
          </cell>
          <cell r="N398">
            <v>9.5499258602143584</v>
          </cell>
          <cell r="O398">
            <v>15.05</v>
          </cell>
          <cell r="Q398">
            <v>14</v>
          </cell>
        </row>
        <row r="399">
          <cell r="D399" t="str">
            <v>104-93-8</v>
          </cell>
          <cell r="E399">
            <v>104938</v>
          </cell>
          <cell r="F399">
            <v>1403</v>
          </cell>
          <cell r="G399" t="str">
            <v>Reach_634</v>
          </cell>
          <cell r="H399">
            <v>391</v>
          </cell>
          <cell r="J399">
            <v>122.17</v>
          </cell>
          <cell r="K399">
            <v>-23</v>
          </cell>
          <cell r="L399">
            <v>159.96</v>
          </cell>
          <cell r="M399">
            <v>357.58</v>
          </cell>
          <cell r="N399">
            <v>416.86938347033572</v>
          </cell>
          <cell r="Q399">
            <v>14</v>
          </cell>
        </row>
        <row r="400">
          <cell r="D400" t="str">
            <v>108-20-3</v>
          </cell>
          <cell r="E400">
            <v>108203</v>
          </cell>
          <cell r="F400">
            <v>232</v>
          </cell>
          <cell r="G400" t="str">
            <v>Reach_733</v>
          </cell>
          <cell r="H400">
            <v>392</v>
          </cell>
          <cell r="J400">
            <v>102.18</v>
          </cell>
          <cell r="K400">
            <v>-98.95</v>
          </cell>
          <cell r="L400">
            <v>20128.300000000003</v>
          </cell>
          <cell r="M400">
            <v>8840.7000000000007</v>
          </cell>
          <cell r="N400">
            <v>75.857757502918361</v>
          </cell>
          <cell r="Q400">
            <v>14</v>
          </cell>
        </row>
        <row r="401">
          <cell r="D401" t="str">
            <v>120-78-5</v>
          </cell>
          <cell r="E401">
            <v>120785</v>
          </cell>
          <cell r="F401">
            <v>360</v>
          </cell>
          <cell r="G401" t="str">
            <v>Reach_1001</v>
          </cell>
          <cell r="H401">
            <v>393</v>
          </cell>
          <cell r="J401">
            <v>332.49</v>
          </cell>
          <cell r="K401">
            <v>213.2</v>
          </cell>
          <cell r="L401">
            <v>8.2779300000000006E-8</v>
          </cell>
          <cell r="M401">
            <v>2.0100000000000001E-3</v>
          </cell>
          <cell r="N401">
            <v>45708.818961487581</v>
          </cell>
          <cell r="P401">
            <v>11</v>
          </cell>
          <cell r="Q401">
            <v>3</v>
          </cell>
        </row>
        <row r="402">
          <cell r="D402" t="str">
            <v>22113-87-7</v>
          </cell>
          <cell r="E402">
            <v>22113877</v>
          </cell>
          <cell r="F402">
            <v>5779</v>
          </cell>
          <cell r="G402" t="str">
            <v>Reach_2517</v>
          </cell>
          <cell r="H402">
            <v>394</v>
          </cell>
          <cell r="J402">
            <v>94.072000000000003</v>
          </cell>
          <cell r="K402">
            <v>0</v>
          </cell>
          <cell r="Q402">
            <v>14</v>
          </cell>
        </row>
        <row r="403">
          <cell r="D403" t="str">
            <v>110-19-0</v>
          </cell>
          <cell r="E403">
            <v>110190</v>
          </cell>
          <cell r="F403">
            <v>277</v>
          </cell>
          <cell r="G403" t="str">
            <v>Reach_808</v>
          </cell>
          <cell r="H403">
            <v>395</v>
          </cell>
          <cell r="J403">
            <v>116.16</v>
          </cell>
          <cell r="K403">
            <v>-68.430000000000007</v>
          </cell>
          <cell r="L403">
            <v>2439.3900000000003</v>
          </cell>
          <cell r="M403">
            <v>10537</v>
          </cell>
          <cell r="N403">
            <v>58.884365535558949</v>
          </cell>
          <cell r="Q403">
            <v>14</v>
          </cell>
        </row>
        <row r="404">
          <cell r="D404" t="str">
            <v>75-98-9</v>
          </cell>
          <cell r="E404">
            <v>75989</v>
          </cell>
          <cell r="F404">
            <v>868</v>
          </cell>
          <cell r="G404" t="str">
            <v>Reach_168</v>
          </cell>
          <cell r="H404">
            <v>396</v>
          </cell>
          <cell r="J404">
            <v>102.13</v>
          </cell>
          <cell r="K404">
            <v>9.8699999999999992</v>
          </cell>
          <cell r="L404">
            <v>205.28200000000001</v>
          </cell>
          <cell r="M404">
            <v>61849</v>
          </cell>
          <cell r="N404">
            <v>28.183829312644548</v>
          </cell>
          <cell r="O404">
            <v>4.9000000000000004</v>
          </cell>
          <cell r="Q404">
            <v>4.9000000000000004</v>
          </cell>
        </row>
        <row r="405">
          <cell r="D405" t="str">
            <v>75-10-5</v>
          </cell>
          <cell r="E405">
            <v>75105</v>
          </cell>
          <cell r="F405">
            <v>3657</v>
          </cell>
          <cell r="G405" t="str">
            <v>Reach_130</v>
          </cell>
          <cell r="H405">
            <v>397</v>
          </cell>
          <cell r="J405">
            <v>52.023000000000003</v>
          </cell>
          <cell r="K405">
            <v>-159.63999999999999</v>
          </cell>
          <cell r="L405">
            <v>1011747.0000000001</v>
          </cell>
          <cell r="M405">
            <v>9129.1</v>
          </cell>
          <cell r="N405">
            <v>5.1286138399136494</v>
          </cell>
          <cell r="Q405">
            <v>14</v>
          </cell>
        </row>
        <row r="406">
          <cell r="D406" t="str">
            <v>120-12-7</v>
          </cell>
          <cell r="E406">
            <v>120127</v>
          </cell>
          <cell r="F406">
            <v>358</v>
          </cell>
          <cell r="G406" t="str">
            <v>Reach_989</v>
          </cell>
          <cell r="H406">
            <v>398</v>
          </cell>
          <cell r="J406">
            <v>178.23</v>
          </cell>
          <cell r="K406">
            <v>78.09</v>
          </cell>
          <cell r="L406">
            <v>2.8926100000000002E-4</v>
          </cell>
          <cell r="M406">
            <v>0.66469999999999996</v>
          </cell>
          <cell r="N406">
            <v>22387.211385683382</v>
          </cell>
          <cell r="Q406">
            <v>14</v>
          </cell>
        </row>
        <row r="407">
          <cell r="D407" t="str">
            <v>26761-45-5</v>
          </cell>
          <cell r="E407">
            <v>26761455</v>
          </cell>
          <cell r="F407">
            <v>2487</v>
          </cell>
          <cell r="G407" t="str">
            <v>Reach_2593</v>
          </cell>
          <cell r="H407">
            <v>399</v>
          </cell>
          <cell r="J407">
            <v>228.33</v>
          </cell>
          <cell r="K407">
            <v>48.81</v>
          </cell>
          <cell r="L407">
            <v>0.68116300000000007</v>
          </cell>
          <cell r="M407">
            <v>9.3813999999999993</v>
          </cell>
          <cell r="N407">
            <v>5370.3179637025269</v>
          </cell>
          <cell r="Q407">
            <v>14</v>
          </cell>
        </row>
        <row r="408">
          <cell r="D408" t="str">
            <v>80-43-3</v>
          </cell>
          <cell r="E408">
            <v>80433</v>
          </cell>
          <cell r="F408">
            <v>3791</v>
          </cell>
          <cell r="G408" t="str">
            <v>Reach_262</v>
          </cell>
          <cell r="H408">
            <v>400</v>
          </cell>
          <cell r="J408">
            <v>270.37</v>
          </cell>
          <cell r="K408">
            <v>103.55</v>
          </cell>
          <cell r="L408">
            <v>1.0010830000000001E-3</v>
          </cell>
          <cell r="M408">
            <v>0.70423999999999998</v>
          </cell>
          <cell r="N408">
            <v>758577.57502918423</v>
          </cell>
          <cell r="Q408">
            <v>14</v>
          </cell>
        </row>
        <row r="409">
          <cell r="D409" t="str">
            <v>109-70-6</v>
          </cell>
          <cell r="E409">
            <v>109706</v>
          </cell>
          <cell r="F409">
            <v>262</v>
          </cell>
          <cell r="G409" t="str">
            <v>Reach_786</v>
          </cell>
          <cell r="H409">
            <v>401</v>
          </cell>
          <cell r="J409">
            <v>157.44</v>
          </cell>
          <cell r="K409">
            <v>-45.63</v>
          </cell>
          <cell r="L409">
            <v>727.8180000000001</v>
          </cell>
          <cell r="M409">
            <v>1718</v>
          </cell>
          <cell r="N409">
            <v>257.03957827688663</v>
          </cell>
          <cell r="Q409">
            <v>14</v>
          </cell>
        </row>
        <row r="410">
          <cell r="D410" t="str">
            <v>693-23-2</v>
          </cell>
          <cell r="E410">
            <v>693232</v>
          </cell>
          <cell r="F410">
            <v>3538</v>
          </cell>
          <cell r="G410" t="str">
            <v>Reach_1506</v>
          </cell>
          <cell r="H410">
            <v>402</v>
          </cell>
          <cell r="J410">
            <v>230.3</v>
          </cell>
          <cell r="K410">
            <v>142.71</v>
          </cell>
          <cell r="L410">
            <v>2.6393400000000001E-4</v>
          </cell>
          <cell r="M410">
            <v>64.936999999999998</v>
          </cell>
          <cell r="N410">
            <v>1479.1083881682086</v>
          </cell>
          <cell r="O410">
            <v>4.5999999999999996</v>
          </cell>
          <cell r="Q410">
            <v>4.5999999999999996</v>
          </cell>
        </row>
        <row r="411">
          <cell r="D411" t="str">
            <v>118-96-7</v>
          </cell>
          <cell r="E411">
            <v>118967</v>
          </cell>
          <cell r="F411">
            <v>349</v>
          </cell>
          <cell r="G411" t="str">
            <v>Reach_975</v>
          </cell>
          <cell r="H411">
            <v>403</v>
          </cell>
          <cell r="J411">
            <v>227.13</v>
          </cell>
          <cell r="K411">
            <v>124.36</v>
          </cell>
          <cell r="L411">
            <v>2.2927600000000005E-3</v>
          </cell>
          <cell r="M411">
            <v>215.06</v>
          </cell>
          <cell r="N411">
            <v>97.723722095581124</v>
          </cell>
          <cell r="Q411">
            <v>14</v>
          </cell>
        </row>
        <row r="412">
          <cell r="D412" t="str">
            <v>611-06-3</v>
          </cell>
          <cell r="E412">
            <v>611063</v>
          </cell>
          <cell r="F412">
            <v>755</v>
          </cell>
          <cell r="G412" t="str">
            <v>Reach_1417</v>
          </cell>
          <cell r="H412">
            <v>404</v>
          </cell>
          <cell r="J412">
            <v>192</v>
          </cell>
          <cell r="K412">
            <v>65.67</v>
          </cell>
          <cell r="L412">
            <v>1.9061900000000003</v>
          </cell>
          <cell r="M412">
            <v>75.242000000000004</v>
          </cell>
          <cell r="N412">
            <v>1258.925411794168</v>
          </cell>
          <cell r="Q412">
            <v>14</v>
          </cell>
        </row>
        <row r="413">
          <cell r="D413" t="str">
            <v>77881-13-1</v>
          </cell>
          <cell r="E413">
            <v>77881131</v>
          </cell>
          <cell r="F413">
            <v>3742</v>
          </cell>
          <cell r="G413" t="str">
            <v>Reach_2952</v>
          </cell>
          <cell r="H413">
            <v>405</v>
          </cell>
          <cell r="J413">
            <v>313.44</v>
          </cell>
          <cell r="K413">
            <v>183</v>
          </cell>
          <cell r="L413">
            <v>4.5855200000000007E-8</v>
          </cell>
          <cell r="M413">
            <v>56.103999999999999</v>
          </cell>
          <cell r="N413">
            <v>912.01083935590987</v>
          </cell>
          <cell r="O413">
            <v>10.99</v>
          </cell>
          <cell r="Q413">
            <v>10.99</v>
          </cell>
        </row>
        <row r="414">
          <cell r="D414" t="str">
            <v>2243-62-1</v>
          </cell>
          <cell r="E414">
            <v>2243621</v>
          </cell>
          <cell r="F414">
            <v>542</v>
          </cell>
          <cell r="G414" t="str">
            <v>Reach_1779</v>
          </cell>
          <cell r="H414">
            <v>406</v>
          </cell>
          <cell r="J414">
            <v>158.21</v>
          </cell>
          <cell r="K414">
            <v>109.72</v>
          </cell>
          <cell r="L414">
            <v>4.9587600000000002E-4</v>
          </cell>
          <cell r="M414">
            <v>1183.5</v>
          </cell>
          <cell r="N414">
            <v>21.877616239495538</v>
          </cell>
          <cell r="Q414">
            <v>14</v>
          </cell>
        </row>
        <row r="415">
          <cell r="D415" t="str">
            <v>15763-76-5</v>
          </cell>
          <cell r="E415">
            <v>15763765</v>
          </cell>
          <cell r="F415">
            <v>5723</v>
          </cell>
          <cell r="G415" t="str">
            <v>Reach_2396</v>
          </cell>
          <cell r="H415">
            <v>407</v>
          </cell>
          <cell r="J415">
            <v>222.24</v>
          </cell>
          <cell r="K415">
            <v>0</v>
          </cell>
          <cell r="Q415">
            <v>14</v>
          </cell>
        </row>
        <row r="416">
          <cell r="D416" t="str">
            <v>541-73-1</v>
          </cell>
          <cell r="E416">
            <v>541731</v>
          </cell>
          <cell r="F416">
            <v>685</v>
          </cell>
          <cell r="G416" t="str">
            <v>Reach_1341</v>
          </cell>
          <cell r="H416">
            <v>408</v>
          </cell>
          <cell r="J416">
            <v>147</v>
          </cell>
          <cell r="K416">
            <v>-14.33</v>
          </cell>
          <cell r="L416">
            <v>179.95500000000004</v>
          </cell>
          <cell r="M416">
            <v>118.71</v>
          </cell>
          <cell r="N416">
            <v>1905.4607179632485</v>
          </cell>
          <cell r="Q416">
            <v>14</v>
          </cell>
        </row>
        <row r="417">
          <cell r="D417" t="str">
            <v>124-17-4</v>
          </cell>
          <cell r="E417">
            <v>124174</v>
          </cell>
          <cell r="F417">
            <v>1787</v>
          </cell>
          <cell r="G417" t="str">
            <v>Reach_1071</v>
          </cell>
          <cell r="H417">
            <v>409</v>
          </cell>
          <cell r="J417">
            <v>204.27</v>
          </cell>
          <cell r="K417">
            <v>23.94</v>
          </cell>
          <cell r="L417">
            <v>4.7321499999999999</v>
          </cell>
          <cell r="M417">
            <v>7479.9</v>
          </cell>
          <cell r="N417">
            <v>19.952623149688804</v>
          </cell>
          <cell r="Q417">
            <v>14</v>
          </cell>
        </row>
        <row r="418">
          <cell r="D418" t="str">
            <v>95-31-8</v>
          </cell>
          <cell r="E418">
            <v>95318</v>
          </cell>
          <cell r="F418">
            <v>4124</v>
          </cell>
          <cell r="G418" t="str">
            <v>Reach_425</v>
          </cell>
          <cell r="H418">
            <v>410</v>
          </cell>
          <cell r="J418">
            <v>238.38</v>
          </cell>
          <cell r="K418">
            <v>127.14</v>
          </cell>
          <cell r="L418">
            <v>1.0664000000000001E-3</v>
          </cell>
          <cell r="M418">
            <v>5.7502000000000004</v>
          </cell>
          <cell r="N418">
            <v>363.07805477010152</v>
          </cell>
          <cell r="P418">
            <v>3.4</v>
          </cell>
          <cell r="Q418">
            <v>10.6</v>
          </cell>
        </row>
        <row r="419">
          <cell r="D419" t="str">
            <v>5039-78-1</v>
          </cell>
          <cell r="E419">
            <v>5039781</v>
          </cell>
          <cell r="F419">
            <v>5898</v>
          </cell>
          <cell r="G419" t="str">
            <v>Reach_2073</v>
          </cell>
          <cell r="H419">
            <v>411</v>
          </cell>
          <cell r="J419">
            <v>207.7</v>
          </cell>
          <cell r="K419">
            <v>0</v>
          </cell>
          <cell r="Q419">
            <v>14</v>
          </cell>
        </row>
        <row r="420">
          <cell r="D420" t="str">
            <v>2867-47-2</v>
          </cell>
          <cell r="E420">
            <v>2867472</v>
          </cell>
          <cell r="F420">
            <v>583</v>
          </cell>
          <cell r="G420" t="str">
            <v>Reach_1878</v>
          </cell>
          <cell r="H420">
            <v>412</v>
          </cell>
          <cell r="J420">
            <v>157.21</v>
          </cell>
          <cell r="K420">
            <v>-20.45</v>
          </cell>
          <cell r="L420">
            <v>96.109300000000005</v>
          </cell>
          <cell r="M420">
            <v>82672</v>
          </cell>
          <cell r="N420">
            <v>9.3325430079699103</v>
          </cell>
          <cell r="P420">
            <v>6</v>
          </cell>
          <cell r="Q420">
            <v>8</v>
          </cell>
        </row>
        <row r="421">
          <cell r="D421" t="str">
            <v>141-10-6</v>
          </cell>
          <cell r="E421">
            <v>141106</v>
          </cell>
          <cell r="F421">
            <v>1932</v>
          </cell>
          <cell r="G421" t="str">
            <v>Reach_1157</v>
          </cell>
          <cell r="H421">
            <v>413</v>
          </cell>
          <cell r="J421">
            <v>192.3</v>
          </cell>
          <cell r="K421">
            <v>5.81</v>
          </cell>
          <cell r="L421">
            <v>2.5593599999999999</v>
          </cell>
          <cell r="M421">
            <v>18.391999999999999</v>
          </cell>
          <cell r="N421">
            <v>26915.348039269167</v>
          </cell>
          <cell r="Q421">
            <v>14</v>
          </cell>
        </row>
        <row r="422">
          <cell r="D422" t="str">
            <v>78-96-6</v>
          </cell>
          <cell r="E422">
            <v>78966</v>
          </cell>
          <cell r="F422">
            <v>907</v>
          </cell>
          <cell r="G422" t="str">
            <v>Reach_219</v>
          </cell>
          <cell r="H422">
            <v>414</v>
          </cell>
          <cell r="J422">
            <v>75.111999999999995</v>
          </cell>
          <cell r="K422">
            <v>-28.92</v>
          </cell>
          <cell r="L422">
            <v>102.37440000000001</v>
          </cell>
          <cell r="M422">
            <v>1000000</v>
          </cell>
          <cell r="N422">
            <v>6.4565422903465536E-2</v>
          </cell>
          <cell r="O422">
            <v>15.03</v>
          </cell>
          <cell r="P422">
            <v>5</v>
          </cell>
          <cell r="Q422">
            <v>9</v>
          </cell>
        </row>
        <row r="423">
          <cell r="D423" t="str">
            <v>616-45-5</v>
          </cell>
          <cell r="E423">
            <v>616455</v>
          </cell>
          <cell r="F423">
            <v>757</v>
          </cell>
          <cell r="G423" t="str">
            <v>Reach_1432</v>
          </cell>
          <cell r="H423">
            <v>415</v>
          </cell>
          <cell r="J423">
            <v>85.106999999999999</v>
          </cell>
          <cell r="K423">
            <v>46.42</v>
          </cell>
          <cell r="L423">
            <v>4.7321499999999999</v>
          </cell>
          <cell r="M423">
            <v>1690000</v>
          </cell>
          <cell r="N423">
            <v>0.47863009232263831</v>
          </cell>
          <cell r="O423">
            <v>15.1</v>
          </cell>
          <cell r="P423">
            <v>14</v>
          </cell>
          <cell r="Q423">
            <v>0</v>
          </cell>
        </row>
        <row r="424">
          <cell r="D424" t="str">
            <v>122-99-6</v>
          </cell>
          <cell r="E424">
            <v>122996</v>
          </cell>
          <cell r="F424">
            <v>384</v>
          </cell>
          <cell r="G424" t="str">
            <v>Reach_1036</v>
          </cell>
          <cell r="H424">
            <v>416</v>
          </cell>
          <cell r="J424">
            <v>138.16999999999999</v>
          </cell>
          <cell r="K424">
            <v>22.47</v>
          </cell>
          <cell r="L424">
            <v>0.59851700000000008</v>
          </cell>
          <cell r="M424">
            <v>6284.2</v>
          </cell>
          <cell r="N424">
            <v>12.58925411794168</v>
          </cell>
          <cell r="O424">
            <v>14.77</v>
          </cell>
          <cell r="Q424">
            <v>14</v>
          </cell>
        </row>
        <row r="425">
          <cell r="D425" t="str">
            <v>2550-06-3</v>
          </cell>
          <cell r="E425">
            <v>2550063</v>
          </cell>
          <cell r="F425">
            <v>1251</v>
          </cell>
          <cell r="G425" t="str">
            <v>Reach_1837</v>
          </cell>
          <cell r="H425">
            <v>417</v>
          </cell>
          <cell r="J425">
            <v>211.98</v>
          </cell>
          <cell r="K425">
            <v>-18.84</v>
          </cell>
          <cell r="L425">
            <v>119.70340000000002</v>
          </cell>
          <cell r="M425">
            <v>3778.7</v>
          </cell>
          <cell r="N425">
            <v>1737.8008287493772</v>
          </cell>
          <cell r="Q425">
            <v>14</v>
          </cell>
        </row>
        <row r="426">
          <cell r="D426" t="str">
            <v>106-49-0</v>
          </cell>
          <cell r="E426">
            <v>106490</v>
          </cell>
          <cell r="F426">
            <v>195</v>
          </cell>
          <cell r="G426" t="str">
            <v>Reach_671</v>
          </cell>
          <cell r="H426">
            <v>418</v>
          </cell>
          <cell r="J426">
            <v>107.16</v>
          </cell>
          <cell r="K426">
            <v>11.62</v>
          </cell>
          <cell r="L426">
            <v>0.18795300000000001</v>
          </cell>
          <cell r="M426">
            <v>7195.2</v>
          </cell>
          <cell r="N426">
            <v>41.686938347033561</v>
          </cell>
          <cell r="P426">
            <v>9</v>
          </cell>
          <cell r="Q426">
            <v>5</v>
          </cell>
        </row>
        <row r="427">
          <cell r="D427" t="str">
            <v>462-06-6</v>
          </cell>
          <cell r="E427">
            <v>462066</v>
          </cell>
          <cell r="F427">
            <v>643</v>
          </cell>
          <cell r="G427" t="str">
            <v>Reach_1285</v>
          </cell>
          <cell r="H427">
            <v>419</v>
          </cell>
          <cell r="J427">
            <v>96.103999999999999</v>
          </cell>
          <cell r="K427">
            <v>-72.989999999999995</v>
          </cell>
          <cell r="L427">
            <v>9557.61</v>
          </cell>
          <cell r="M427">
            <v>902.06</v>
          </cell>
          <cell r="N427">
            <v>154.8816618912482</v>
          </cell>
          <cell r="Q427">
            <v>14</v>
          </cell>
        </row>
        <row r="428">
          <cell r="D428" t="str">
            <v>101-84-8</v>
          </cell>
          <cell r="E428">
            <v>101848</v>
          </cell>
          <cell r="F428">
            <v>150</v>
          </cell>
          <cell r="G428" t="str">
            <v>Reach_584</v>
          </cell>
          <cell r="H428">
            <v>420</v>
          </cell>
          <cell r="J428">
            <v>170.21</v>
          </cell>
          <cell r="K428">
            <v>35.35</v>
          </cell>
          <cell r="L428">
            <v>2.2661000000000002</v>
          </cell>
          <cell r="M428">
            <v>38.073999999999998</v>
          </cell>
          <cell r="N428">
            <v>11220.184543019639</v>
          </cell>
          <cell r="Q428">
            <v>14</v>
          </cell>
        </row>
        <row r="429">
          <cell r="D429" t="str">
            <v>110-15-6</v>
          </cell>
          <cell r="E429">
            <v>110156</v>
          </cell>
          <cell r="F429">
            <v>274</v>
          </cell>
          <cell r="G429" t="str">
            <v>Reach_805</v>
          </cell>
          <cell r="H429">
            <v>421</v>
          </cell>
          <cell r="J429">
            <v>118.09</v>
          </cell>
          <cell r="K429">
            <v>83.27</v>
          </cell>
          <cell r="L429">
            <v>1.43964E-2</v>
          </cell>
          <cell r="M429">
            <v>384000</v>
          </cell>
          <cell r="N429">
            <v>0.17782794100389224</v>
          </cell>
          <cell r="O429">
            <v>3.8</v>
          </cell>
          <cell r="Q429">
            <v>3.8</v>
          </cell>
        </row>
        <row r="430">
          <cell r="D430" t="str">
            <v>99-54-7</v>
          </cell>
          <cell r="E430">
            <v>99547</v>
          </cell>
          <cell r="F430">
            <v>1087</v>
          </cell>
          <cell r="G430" t="str">
            <v>Reach_529</v>
          </cell>
          <cell r="H430">
            <v>422</v>
          </cell>
          <cell r="J430">
            <v>192</v>
          </cell>
          <cell r="K430">
            <v>65.67</v>
          </cell>
          <cell r="L430">
            <v>1.8395400000000002</v>
          </cell>
          <cell r="M430">
            <v>76.873999999999995</v>
          </cell>
          <cell r="N430">
            <v>1258.925411794168</v>
          </cell>
          <cell r="Q430">
            <v>14</v>
          </cell>
        </row>
        <row r="431">
          <cell r="D431" t="str">
            <v>88-74-4</v>
          </cell>
          <cell r="E431">
            <v>88744</v>
          </cell>
          <cell r="F431">
            <v>987</v>
          </cell>
          <cell r="G431" t="str">
            <v>Reach_331</v>
          </cell>
          <cell r="H431">
            <v>423</v>
          </cell>
          <cell r="J431">
            <v>138.13</v>
          </cell>
          <cell r="K431">
            <v>71.62</v>
          </cell>
          <cell r="L431">
            <v>0.22261100000000003</v>
          </cell>
          <cell r="M431">
            <v>1164.0999999999999</v>
          </cell>
          <cell r="N431">
            <v>104.71285480508998</v>
          </cell>
          <cell r="Q431">
            <v>14</v>
          </cell>
        </row>
        <row r="432">
          <cell r="D432" t="str">
            <v>109-89-7</v>
          </cell>
          <cell r="E432">
            <v>109897</v>
          </cell>
          <cell r="F432">
            <v>5</v>
          </cell>
          <cell r="G432" t="str">
            <v>Reach_796</v>
          </cell>
          <cell r="H432">
            <v>424</v>
          </cell>
          <cell r="J432">
            <v>73.14</v>
          </cell>
          <cell r="K432">
            <v>-79.73</v>
          </cell>
          <cell r="L432">
            <v>31458.800000000003</v>
          </cell>
          <cell r="M432">
            <v>418000</v>
          </cell>
          <cell r="N432">
            <v>6.4565422903465572</v>
          </cell>
          <cell r="P432">
            <v>3.1</v>
          </cell>
          <cell r="Q432">
            <v>10.9</v>
          </cell>
        </row>
        <row r="433">
          <cell r="D433" t="str">
            <v>124-07-2</v>
          </cell>
          <cell r="E433">
            <v>124072</v>
          </cell>
          <cell r="F433">
            <v>401</v>
          </cell>
          <cell r="G433" t="str">
            <v>Reach_1066</v>
          </cell>
          <cell r="H433">
            <v>425</v>
          </cell>
          <cell r="J433">
            <v>144.21</v>
          </cell>
          <cell r="K433">
            <v>48.39</v>
          </cell>
          <cell r="L433">
            <v>6.505040000000001</v>
          </cell>
          <cell r="M433">
            <v>1309.3</v>
          </cell>
          <cell r="N433">
            <v>1071.5193052376069</v>
          </cell>
          <cell r="O433">
            <v>4.9000000000000004</v>
          </cell>
          <cell r="Q433">
            <v>4.9000000000000004</v>
          </cell>
        </row>
        <row r="434">
          <cell r="D434" t="str">
            <v>99-08-1</v>
          </cell>
          <cell r="E434">
            <v>99081</v>
          </cell>
          <cell r="F434">
            <v>1082</v>
          </cell>
          <cell r="G434" t="str">
            <v>Reach_526</v>
          </cell>
          <cell r="H434">
            <v>426</v>
          </cell>
          <cell r="J434">
            <v>137.13999999999999</v>
          </cell>
          <cell r="K434">
            <v>38.159999999999997</v>
          </cell>
          <cell r="L434">
            <v>9.3843200000000007</v>
          </cell>
          <cell r="M434">
            <v>284.74</v>
          </cell>
          <cell r="N434">
            <v>229.08676527677744</v>
          </cell>
          <cell r="Q434">
            <v>14</v>
          </cell>
        </row>
        <row r="435">
          <cell r="D435" t="str">
            <v>95-74-9</v>
          </cell>
          <cell r="E435">
            <v>95749</v>
          </cell>
          <cell r="F435">
            <v>1037</v>
          </cell>
          <cell r="G435" t="str">
            <v>Reach_439</v>
          </cell>
          <cell r="H435">
            <v>427</v>
          </cell>
          <cell r="J435">
            <v>141.6</v>
          </cell>
          <cell r="K435">
            <v>41.77</v>
          </cell>
          <cell r="L435">
            <v>4.9720900000000006</v>
          </cell>
          <cell r="M435">
            <v>561.95000000000005</v>
          </cell>
          <cell r="N435">
            <v>186.20871366628685</v>
          </cell>
          <cell r="P435">
            <v>10</v>
          </cell>
          <cell r="Q435">
            <v>4</v>
          </cell>
        </row>
        <row r="436">
          <cell r="D436" t="str">
            <v>112-61-8</v>
          </cell>
          <cell r="E436">
            <v>112618</v>
          </cell>
          <cell r="F436">
            <v>1595</v>
          </cell>
          <cell r="G436" t="str">
            <v>Reach_916</v>
          </cell>
          <cell r="H436">
            <v>428</v>
          </cell>
          <cell r="J436">
            <v>298.51</v>
          </cell>
          <cell r="K436">
            <v>81.59</v>
          </cell>
          <cell r="L436">
            <v>4.3722400000000003E-3</v>
          </cell>
          <cell r="M436">
            <v>9.0919E-3</v>
          </cell>
          <cell r="N436">
            <v>169824365.24617496</v>
          </cell>
          <cell r="Q436">
            <v>14</v>
          </cell>
        </row>
        <row r="437">
          <cell r="D437" t="str">
            <v>7381-01-3</v>
          </cell>
          <cell r="E437">
            <v>7381013</v>
          </cell>
          <cell r="F437">
            <v>5586</v>
          </cell>
          <cell r="G437" t="str">
            <v>Reach_2244</v>
          </cell>
          <cell r="H437">
            <v>429</v>
          </cell>
          <cell r="J437">
            <v>330.42</v>
          </cell>
          <cell r="K437">
            <v>0</v>
          </cell>
          <cell r="Q437">
            <v>14</v>
          </cell>
        </row>
        <row r="438">
          <cell r="D438" t="str">
            <v>140-31-8</v>
          </cell>
          <cell r="E438">
            <v>140318</v>
          </cell>
          <cell r="F438">
            <v>449</v>
          </cell>
          <cell r="G438" t="str">
            <v>Reach_1149</v>
          </cell>
          <cell r="H438">
            <v>430</v>
          </cell>
          <cell r="J438">
            <v>129.21</v>
          </cell>
          <cell r="K438">
            <v>53.69</v>
          </cell>
          <cell r="L438">
            <v>8.83779</v>
          </cell>
          <cell r="M438">
            <v>1000000</v>
          </cell>
          <cell r="N438">
            <v>2.6915348039269142E-2</v>
          </cell>
          <cell r="P438">
            <v>4</v>
          </cell>
          <cell r="Q438">
            <v>10</v>
          </cell>
        </row>
        <row r="439">
          <cell r="D439" t="str">
            <v>615-60-1</v>
          </cell>
          <cell r="E439">
            <v>615601</v>
          </cell>
          <cell r="F439">
            <v>3339</v>
          </cell>
          <cell r="G439" t="str">
            <v>Reach_1428</v>
          </cell>
          <cell r="H439">
            <v>431</v>
          </cell>
          <cell r="J439">
            <v>140.61000000000001</v>
          </cell>
          <cell r="K439">
            <v>-9.4</v>
          </cell>
          <cell r="L439">
            <v>64.783799999999999</v>
          </cell>
          <cell r="M439">
            <v>25.337</v>
          </cell>
          <cell r="N439">
            <v>5370.3179637025269</v>
          </cell>
          <cell r="Q439">
            <v>14</v>
          </cell>
        </row>
        <row r="440">
          <cell r="D440" t="str">
            <v>5124-30-1</v>
          </cell>
          <cell r="E440">
            <v>5124301</v>
          </cell>
          <cell r="F440">
            <v>3030</v>
          </cell>
          <cell r="G440" t="str">
            <v>Reach_2079</v>
          </cell>
          <cell r="H440">
            <v>432</v>
          </cell>
          <cell r="J440">
            <v>262.36</v>
          </cell>
          <cell r="K440">
            <v>111.65</v>
          </cell>
          <cell r="L440">
            <v>3.1058900000000005E-3</v>
          </cell>
          <cell r="M440">
            <v>18.184999999999999</v>
          </cell>
          <cell r="N440">
            <v>1288249.5516931366</v>
          </cell>
          <cell r="Q440">
            <v>14</v>
          </cell>
        </row>
        <row r="441">
          <cell r="D441" t="str">
            <v>109-86-4</v>
          </cell>
          <cell r="E441">
            <v>109864</v>
          </cell>
          <cell r="F441">
            <v>267</v>
          </cell>
          <cell r="G441" t="str">
            <v>Reach_794</v>
          </cell>
          <cell r="H441">
            <v>433</v>
          </cell>
          <cell r="J441">
            <v>76.094999999999999</v>
          </cell>
          <cell r="K441">
            <v>-56.58</v>
          </cell>
          <cell r="L441">
            <v>747.8130000000001</v>
          </cell>
          <cell r="M441">
            <v>875000</v>
          </cell>
          <cell r="N441">
            <v>0.12302687708123815</v>
          </cell>
          <cell r="O441">
            <v>14.95</v>
          </cell>
          <cell r="Q441">
            <v>14</v>
          </cell>
        </row>
        <row r="442">
          <cell r="D442" t="str">
            <v>556-88-7</v>
          </cell>
          <cell r="E442">
            <v>556887</v>
          </cell>
          <cell r="F442">
            <v>707</v>
          </cell>
          <cell r="G442" t="str">
            <v>Reach_1370</v>
          </cell>
          <cell r="H442">
            <v>434</v>
          </cell>
          <cell r="J442">
            <v>104.07</v>
          </cell>
          <cell r="K442">
            <v>59.93</v>
          </cell>
          <cell r="L442">
            <v>4.5721900000000003E-2</v>
          </cell>
          <cell r="M442">
            <v>194000</v>
          </cell>
          <cell r="N442">
            <v>1.9054607179632463E-2</v>
          </cell>
          <cell r="O442">
            <v>13</v>
          </cell>
          <cell r="P442">
            <v>15</v>
          </cell>
          <cell r="Q442">
            <v>-1</v>
          </cell>
        </row>
        <row r="443">
          <cell r="D443" t="str">
            <v>25586-42-9</v>
          </cell>
          <cell r="E443">
            <v>25586429</v>
          </cell>
          <cell r="F443">
            <v>2439</v>
          </cell>
          <cell r="G443" t="str">
            <v>Reach_2570</v>
          </cell>
          <cell r="H443">
            <v>435</v>
          </cell>
          <cell r="J443">
            <v>352.37</v>
          </cell>
          <cell r="K443">
            <v>167.32</v>
          </cell>
          <cell r="L443">
            <v>2.8659500000000005E-6</v>
          </cell>
          <cell r="M443">
            <v>3.3798000000000002E-2</v>
          </cell>
          <cell r="N443">
            <v>186208713.66628659</v>
          </cell>
          <cell r="Q443">
            <v>14</v>
          </cell>
        </row>
        <row r="444">
          <cell r="D444" t="str">
            <v>67-68-5</v>
          </cell>
          <cell r="E444">
            <v>67685</v>
          </cell>
          <cell r="F444">
            <v>796</v>
          </cell>
          <cell r="G444" t="str">
            <v>Reach_88</v>
          </cell>
          <cell r="H444">
            <v>436</v>
          </cell>
          <cell r="J444">
            <v>78.132999999999996</v>
          </cell>
          <cell r="K444">
            <v>-55.62</v>
          </cell>
          <cell r="L444">
            <v>262.601</v>
          </cell>
          <cell r="M444">
            <v>569000</v>
          </cell>
          <cell r="N444">
            <v>14.791083881682074</v>
          </cell>
          <cell r="Q444">
            <v>14</v>
          </cell>
        </row>
        <row r="445">
          <cell r="D445" t="str">
            <v>629-50-5</v>
          </cell>
          <cell r="E445">
            <v>629505</v>
          </cell>
          <cell r="F445">
            <v>3389</v>
          </cell>
          <cell r="G445" t="str">
            <v>Reach_1467</v>
          </cell>
          <cell r="H445">
            <v>437</v>
          </cell>
          <cell r="J445">
            <v>184.37</v>
          </cell>
          <cell r="K445">
            <v>-9.61</v>
          </cell>
          <cell r="L445">
            <v>12.276930000000002</v>
          </cell>
          <cell r="M445">
            <v>1.2336E-2</v>
          </cell>
          <cell r="N445">
            <v>5370317.9637025446</v>
          </cell>
          <cell r="Q445">
            <v>14</v>
          </cell>
        </row>
        <row r="446">
          <cell r="D446" t="str">
            <v>4719-04-4</v>
          </cell>
          <cell r="E446">
            <v>4719044</v>
          </cell>
          <cell r="F446">
            <v>117</v>
          </cell>
          <cell r="G446" t="str">
            <v>Reach_2059</v>
          </cell>
          <cell r="H446">
            <v>438</v>
          </cell>
          <cell r="J446">
            <v>219.29</v>
          </cell>
          <cell r="K446">
            <v>155.26</v>
          </cell>
          <cell r="L446">
            <v>5.5052900000000002E-7</v>
          </cell>
          <cell r="M446">
            <v>1000000</v>
          </cell>
          <cell r="N446">
            <v>2.1379620895022286E-5</v>
          </cell>
          <cell r="O446">
            <v>14.09</v>
          </cell>
          <cell r="P446">
            <v>11</v>
          </cell>
          <cell r="Q446">
            <v>3</v>
          </cell>
        </row>
        <row r="447">
          <cell r="D447" t="str">
            <v>5989-27-5</v>
          </cell>
          <cell r="E447">
            <v>5989275</v>
          </cell>
          <cell r="F447">
            <v>743</v>
          </cell>
          <cell r="G447" t="str">
            <v>Reach_2147</v>
          </cell>
          <cell r="H447">
            <v>439</v>
          </cell>
          <cell r="J447">
            <v>136.24</v>
          </cell>
          <cell r="K447">
            <v>-40.76</v>
          </cell>
          <cell r="L447">
            <v>193.285</v>
          </cell>
          <cell r="M447">
            <v>7.7066999999999997</v>
          </cell>
          <cell r="N447">
            <v>67608.297539198305</v>
          </cell>
          <cell r="Q447">
            <v>14</v>
          </cell>
        </row>
        <row r="448">
          <cell r="D448" t="str">
            <v>123-31-9</v>
          </cell>
          <cell r="E448">
            <v>123319</v>
          </cell>
          <cell r="F448">
            <v>388</v>
          </cell>
          <cell r="G448" t="str">
            <v>Reach_1045</v>
          </cell>
          <cell r="H448">
            <v>440</v>
          </cell>
          <cell r="J448">
            <v>110.11</v>
          </cell>
          <cell r="K448">
            <v>45.73</v>
          </cell>
          <cell r="L448">
            <v>2.1861200000000002E-3</v>
          </cell>
          <cell r="M448">
            <v>102000</v>
          </cell>
          <cell r="N448">
            <v>10.715193052376069</v>
          </cell>
          <cell r="O448">
            <v>10.1</v>
          </cell>
          <cell r="Q448">
            <v>10.1</v>
          </cell>
        </row>
        <row r="449">
          <cell r="D449" t="str">
            <v>96-22-0</v>
          </cell>
          <cell r="E449">
            <v>96220</v>
          </cell>
          <cell r="F449">
            <v>1048</v>
          </cell>
          <cell r="G449" t="str">
            <v>Reach_455</v>
          </cell>
          <cell r="H449">
            <v>441</v>
          </cell>
          <cell r="J449">
            <v>86.134</v>
          </cell>
          <cell r="K449">
            <v>-67.650000000000006</v>
          </cell>
          <cell r="L449">
            <v>5318.67</v>
          </cell>
          <cell r="M449">
            <v>107000</v>
          </cell>
          <cell r="N449">
            <v>5.6234132519034921</v>
          </cell>
          <cell r="Q449">
            <v>14</v>
          </cell>
        </row>
        <row r="450">
          <cell r="D450" t="str">
            <v>109-60-4</v>
          </cell>
          <cell r="E450">
            <v>109604</v>
          </cell>
          <cell r="F450">
            <v>258</v>
          </cell>
          <cell r="G450" t="str">
            <v>Reach_779</v>
          </cell>
          <cell r="H450">
            <v>442</v>
          </cell>
          <cell r="J450">
            <v>102.13</v>
          </cell>
          <cell r="K450">
            <v>-69.319999999999993</v>
          </cell>
          <cell r="L450">
            <v>4678.8300000000008</v>
          </cell>
          <cell r="M450">
            <v>16962</v>
          </cell>
          <cell r="N450">
            <v>22.908676527677738</v>
          </cell>
          <cell r="Q450">
            <v>14</v>
          </cell>
        </row>
        <row r="451">
          <cell r="D451" t="str">
            <v>60-00-4</v>
          </cell>
          <cell r="E451">
            <v>60004</v>
          </cell>
          <cell r="F451">
            <v>71</v>
          </cell>
          <cell r="G451" t="str">
            <v>Reach_53</v>
          </cell>
          <cell r="H451">
            <v>443</v>
          </cell>
          <cell r="J451">
            <v>292.25</v>
          </cell>
          <cell r="K451">
            <v>315.39</v>
          </cell>
          <cell r="L451">
            <v>5.0254100000000012E-10</v>
          </cell>
          <cell r="M451">
            <v>250</v>
          </cell>
          <cell r="N451">
            <v>1.3803842646028844E-4</v>
          </cell>
          <cell r="O451">
            <v>0.67</v>
          </cell>
          <cell r="P451">
            <v>3.04</v>
          </cell>
          <cell r="Q451">
            <v>0.67</v>
          </cell>
        </row>
        <row r="452">
          <cell r="D452" t="str">
            <v>142-82-5</v>
          </cell>
          <cell r="E452">
            <v>142825</v>
          </cell>
          <cell r="F452">
            <v>463</v>
          </cell>
          <cell r="G452" t="str">
            <v>Reach_1180</v>
          </cell>
          <cell r="H452">
            <v>444</v>
          </cell>
          <cell r="J452">
            <v>100.21</v>
          </cell>
          <cell r="K452">
            <v>-81.010000000000005</v>
          </cell>
          <cell r="L452">
            <v>6118.47</v>
          </cell>
          <cell r="M452">
            <v>23.917999999999999</v>
          </cell>
          <cell r="N452">
            <v>6025.595860743585</v>
          </cell>
          <cell r="Q452">
            <v>14</v>
          </cell>
        </row>
        <row r="453">
          <cell r="D453" t="str">
            <v>6358-85-6</v>
          </cell>
          <cell r="E453">
            <v>6358856</v>
          </cell>
          <cell r="F453">
            <v>3410</v>
          </cell>
          <cell r="G453" t="str">
            <v>Reach_2171</v>
          </cell>
          <cell r="H453">
            <v>445</v>
          </cell>
          <cell r="J453">
            <v>629.51</v>
          </cell>
          <cell r="K453">
            <v>349.84</v>
          </cell>
          <cell r="L453">
            <v>2.9326000000000004E-19</v>
          </cell>
          <cell r="M453">
            <v>1.2E-4</v>
          </cell>
          <cell r="N453">
            <v>11220184.543019636</v>
          </cell>
          <cell r="O453">
            <v>8.4499999999999993</v>
          </cell>
          <cell r="P453">
            <v>13.38</v>
          </cell>
          <cell r="Q453">
            <v>0.61999999999999922</v>
          </cell>
        </row>
        <row r="454">
          <cell r="D454" t="str">
            <v>756-80-9</v>
          </cell>
          <cell r="E454">
            <v>756809</v>
          </cell>
          <cell r="F454">
            <v>864</v>
          </cell>
          <cell r="G454" t="str">
            <v>Reach_1527</v>
          </cell>
          <cell r="H454">
            <v>446</v>
          </cell>
          <cell r="J454">
            <v>158.18</v>
          </cell>
          <cell r="K454">
            <v>-82.36</v>
          </cell>
          <cell r="L454">
            <v>54.786300000000004</v>
          </cell>
          <cell r="M454">
            <v>2719.6</v>
          </cell>
          <cell r="N454">
            <v>18.197008586099841</v>
          </cell>
          <cell r="O454">
            <v>-0.1</v>
          </cell>
          <cell r="Q454">
            <v>-0.1</v>
          </cell>
        </row>
        <row r="455">
          <cell r="D455" t="str">
            <v>127-91-3</v>
          </cell>
          <cell r="E455">
            <v>127913</v>
          </cell>
          <cell r="F455">
            <v>412</v>
          </cell>
          <cell r="G455" t="str">
            <v>Reach_1102</v>
          </cell>
          <cell r="H455">
            <v>447</v>
          </cell>
          <cell r="J455">
            <v>136.24</v>
          </cell>
          <cell r="K455">
            <v>-15.3</v>
          </cell>
          <cell r="L455">
            <v>334.58300000000003</v>
          </cell>
          <cell r="M455">
            <v>17.648</v>
          </cell>
          <cell r="N455">
            <v>22387.211385683382</v>
          </cell>
          <cell r="Q455">
            <v>14</v>
          </cell>
        </row>
        <row r="456">
          <cell r="D456" t="str">
            <v>21981-33-9</v>
          </cell>
          <cell r="E456">
            <v>21981339</v>
          </cell>
          <cell r="F456">
            <v>2314</v>
          </cell>
          <cell r="G456" t="str">
            <v>Reach_2512</v>
          </cell>
          <cell r="H456">
            <v>448</v>
          </cell>
          <cell r="J456">
            <v>230.35</v>
          </cell>
          <cell r="K456">
            <v>-1.07</v>
          </cell>
          <cell r="L456">
            <v>285.26200000000006</v>
          </cell>
          <cell r="M456">
            <v>36.084000000000003</v>
          </cell>
          <cell r="N456">
            <v>57543.993733715732</v>
          </cell>
          <cell r="Q456">
            <v>14</v>
          </cell>
        </row>
        <row r="457">
          <cell r="D457" t="str">
            <v>111-71-7</v>
          </cell>
          <cell r="E457">
            <v>111717</v>
          </cell>
          <cell r="F457">
            <v>1554</v>
          </cell>
          <cell r="G457" t="str">
            <v>Reach_867</v>
          </cell>
          <cell r="H457">
            <v>449</v>
          </cell>
          <cell r="J457">
            <v>114.19</v>
          </cell>
          <cell r="K457">
            <v>-42.97</v>
          </cell>
          <cell r="L457">
            <v>469.21600000000007</v>
          </cell>
          <cell r="M457">
            <v>1618</v>
          </cell>
          <cell r="N457">
            <v>194.98445997580458</v>
          </cell>
          <cell r="Q457">
            <v>14</v>
          </cell>
        </row>
        <row r="458">
          <cell r="D458" t="str">
            <v>110-42-9</v>
          </cell>
          <cell r="E458">
            <v>110429</v>
          </cell>
          <cell r="F458">
            <v>1520</v>
          </cell>
          <cell r="G458" t="str">
            <v>Reach_813</v>
          </cell>
          <cell r="H458">
            <v>450</v>
          </cell>
          <cell r="J458">
            <v>186.29</v>
          </cell>
          <cell r="K458">
            <v>1.67</v>
          </cell>
          <cell r="L458">
            <v>14.263100000000001</v>
          </cell>
          <cell r="M458">
            <v>17.09</v>
          </cell>
          <cell r="N458">
            <v>19952.623149688792</v>
          </cell>
          <cell r="Q458">
            <v>14</v>
          </cell>
        </row>
        <row r="459">
          <cell r="D459" t="str">
            <v>29911-28-2</v>
          </cell>
          <cell r="E459">
            <v>29911282</v>
          </cell>
          <cell r="F459">
            <v>2578</v>
          </cell>
          <cell r="G459" t="str">
            <v>Reach_2637</v>
          </cell>
          <cell r="H459">
            <v>451</v>
          </cell>
          <cell r="J459">
            <v>190.28</v>
          </cell>
          <cell r="K459">
            <v>17.98</v>
          </cell>
          <cell r="L459">
            <v>0.48121300000000006</v>
          </cell>
          <cell r="M459">
            <v>269000</v>
          </cell>
          <cell r="N459">
            <v>13.489628825916535</v>
          </cell>
          <cell r="O459">
            <v>14.99</v>
          </cell>
          <cell r="Q459">
            <v>14</v>
          </cell>
        </row>
        <row r="460">
          <cell r="D460" t="str">
            <v>108-21-4</v>
          </cell>
          <cell r="E460">
            <v>108214</v>
          </cell>
          <cell r="F460">
            <v>233</v>
          </cell>
          <cell r="G460" t="str">
            <v>Reach_734</v>
          </cell>
          <cell r="H460">
            <v>452</v>
          </cell>
          <cell r="J460">
            <v>102.13</v>
          </cell>
          <cell r="K460">
            <v>-81.08</v>
          </cell>
          <cell r="L460">
            <v>8104.64</v>
          </cell>
          <cell r="M460">
            <v>17720</v>
          </cell>
          <cell r="N460">
            <v>19.054607179632477</v>
          </cell>
          <cell r="Q460">
            <v>14</v>
          </cell>
        </row>
        <row r="461">
          <cell r="D461" t="str">
            <v>5165-97-9</v>
          </cell>
          <cell r="E461">
            <v>5165979</v>
          </cell>
          <cell r="F461">
            <v>5908</v>
          </cell>
          <cell r="G461" t="str">
            <v>Reach_2082</v>
          </cell>
          <cell r="H461">
            <v>453</v>
          </cell>
          <cell r="J461">
            <v>229.23</v>
          </cell>
          <cell r="K461">
            <v>0</v>
          </cell>
          <cell r="Q461">
            <v>14</v>
          </cell>
        </row>
        <row r="462">
          <cell r="D462" t="str">
            <v>13005-36-2</v>
          </cell>
          <cell r="E462">
            <v>13005362</v>
          </cell>
          <cell r="F462">
            <v>5655</v>
          </cell>
          <cell r="G462" t="str">
            <v>Reach_2316</v>
          </cell>
          <cell r="H462">
            <v>454</v>
          </cell>
          <cell r="J462">
            <v>174.24</v>
          </cell>
          <cell r="K462">
            <v>0</v>
          </cell>
          <cell r="Q462">
            <v>14</v>
          </cell>
        </row>
        <row r="463">
          <cell r="D463" t="str">
            <v>96-24-2</v>
          </cell>
          <cell r="E463">
            <v>96242</v>
          </cell>
          <cell r="F463">
            <v>1050</v>
          </cell>
          <cell r="G463" t="str">
            <v>Reach_457</v>
          </cell>
          <cell r="H463">
            <v>455</v>
          </cell>
          <cell r="J463">
            <v>110.54</v>
          </cell>
          <cell r="K463">
            <v>-1.91</v>
          </cell>
          <cell r="L463">
            <v>3.5457800000000002</v>
          </cell>
          <cell r="M463">
            <v>1080000</v>
          </cell>
          <cell r="N463">
            <v>0.29512092266663847</v>
          </cell>
          <cell r="O463">
            <v>13.68</v>
          </cell>
          <cell r="Q463">
            <v>13.68</v>
          </cell>
        </row>
        <row r="464">
          <cell r="D464" t="str">
            <v>79-22-1</v>
          </cell>
          <cell r="E464">
            <v>79221</v>
          </cell>
          <cell r="F464">
            <v>3768</v>
          </cell>
          <cell r="G464" t="str">
            <v>Reach_236</v>
          </cell>
          <cell r="H464">
            <v>456</v>
          </cell>
          <cell r="J464">
            <v>94.497</v>
          </cell>
          <cell r="K464">
            <v>-82.05</v>
          </cell>
          <cell r="L464">
            <v>17195.7</v>
          </cell>
          <cell r="M464">
            <v>27147</v>
          </cell>
          <cell r="N464">
            <v>1.380384264602885</v>
          </cell>
          <cell r="Q464">
            <v>14</v>
          </cell>
        </row>
        <row r="465">
          <cell r="D465" t="str">
            <v>56706-10-6</v>
          </cell>
          <cell r="E465">
            <v>56706106</v>
          </cell>
          <cell r="F465">
            <v>3209</v>
          </cell>
          <cell r="G465" t="str">
            <v>Reach_2819</v>
          </cell>
          <cell r="H465">
            <v>457</v>
          </cell>
          <cell r="J465">
            <v>474.83</v>
          </cell>
          <cell r="K465">
            <v>170.79</v>
          </cell>
          <cell r="L465">
            <v>2.6260100000000002E-6</v>
          </cell>
          <cell r="M465">
            <v>7.2193999999999994E-2</v>
          </cell>
          <cell r="N465">
            <v>6025.595860743585</v>
          </cell>
          <cell r="Q465">
            <v>14</v>
          </cell>
        </row>
        <row r="466">
          <cell r="D466" t="str">
            <v>105-08-8</v>
          </cell>
          <cell r="E466">
            <v>105088</v>
          </cell>
          <cell r="F466">
            <v>1407</v>
          </cell>
          <cell r="G466" t="str">
            <v>Reach_636</v>
          </cell>
          <cell r="H466">
            <v>458</v>
          </cell>
          <cell r="J466">
            <v>144.21</v>
          </cell>
          <cell r="K466">
            <v>38.15</v>
          </cell>
          <cell r="L466">
            <v>1.8928600000000004E-2</v>
          </cell>
          <cell r="M466">
            <v>166000</v>
          </cell>
          <cell r="N466">
            <v>30.902954325135919</v>
          </cell>
          <cell r="O466">
            <v>15.57</v>
          </cell>
          <cell r="Q466">
            <v>14</v>
          </cell>
        </row>
        <row r="467">
          <cell r="D467" t="str">
            <v>78-70-6</v>
          </cell>
          <cell r="E467">
            <v>78706</v>
          </cell>
          <cell r="F467">
            <v>899</v>
          </cell>
          <cell r="G467" t="str">
            <v>Reach_205</v>
          </cell>
          <cell r="H467">
            <v>459</v>
          </cell>
          <cell r="J467">
            <v>154.25</v>
          </cell>
          <cell r="K467">
            <v>-11.39</v>
          </cell>
          <cell r="L467">
            <v>11.09056</v>
          </cell>
          <cell r="M467">
            <v>797.39</v>
          </cell>
          <cell r="N467">
            <v>2398.8329190194918</v>
          </cell>
          <cell r="O467">
            <v>15.5</v>
          </cell>
          <cell r="Q467">
            <v>14</v>
          </cell>
        </row>
        <row r="468">
          <cell r="D468" t="str">
            <v>999-97-3</v>
          </cell>
          <cell r="E468">
            <v>999973</v>
          </cell>
          <cell r="F468">
            <v>1096</v>
          </cell>
          <cell r="G468" t="str">
            <v>Reach_1631</v>
          </cell>
          <cell r="H468">
            <v>460</v>
          </cell>
          <cell r="J468">
            <v>161.4</v>
          </cell>
          <cell r="K468">
            <v>-58.07</v>
          </cell>
          <cell r="L468">
            <v>1666.2500000000002</v>
          </cell>
          <cell r="M468">
            <v>29.754000000000001</v>
          </cell>
          <cell r="N468">
            <v>416.86938347033572</v>
          </cell>
          <cell r="P468">
            <v>3</v>
          </cell>
          <cell r="Q468">
            <v>11</v>
          </cell>
        </row>
        <row r="469">
          <cell r="D469" t="str">
            <v>111-90-0</v>
          </cell>
          <cell r="E469">
            <v>111900</v>
          </cell>
          <cell r="F469">
            <v>315</v>
          </cell>
          <cell r="G469" t="str">
            <v>Reach_880</v>
          </cell>
          <cell r="H469">
            <v>461</v>
          </cell>
          <cell r="J469">
            <v>134.18</v>
          </cell>
          <cell r="K469">
            <v>-3.05</v>
          </cell>
          <cell r="L469">
            <v>12.503540000000001</v>
          </cell>
          <cell r="M469">
            <v>1810000</v>
          </cell>
          <cell r="N469">
            <v>0.20417379446695291</v>
          </cell>
          <cell r="O469">
            <v>14.89</v>
          </cell>
          <cell r="Q469">
            <v>14</v>
          </cell>
        </row>
        <row r="470">
          <cell r="D470" t="str">
            <v>107-46-0</v>
          </cell>
          <cell r="E470">
            <v>107460</v>
          </cell>
          <cell r="F470">
            <v>1463</v>
          </cell>
          <cell r="G470" t="str">
            <v>Reach_709</v>
          </cell>
          <cell r="H470">
            <v>462</v>
          </cell>
          <cell r="J470">
            <v>162.38</v>
          </cell>
          <cell r="K470">
            <v>-79.14</v>
          </cell>
          <cell r="L470">
            <v>5212.0300000000007</v>
          </cell>
          <cell r="M470">
            <v>14.651</v>
          </cell>
          <cell r="N470">
            <v>177827.94100389251</v>
          </cell>
          <cell r="Q470">
            <v>14</v>
          </cell>
        </row>
        <row r="471">
          <cell r="D471" t="str">
            <v>111-14-8</v>
          </cell>
          <cell r="E471">
            <v>111148</v>
          </cell>
          <cell r="F471">
            <v>293</v>
          </cell>
          <cell r="G471" t="str">
            <v>Reach_845</v>
          </cell>
          <cell r="H471">
            <v>463</v>
          </cell>
          <cell r="J471">
            <v>130.19</v>
          </cell>
          <cell r="K471">
            <v>37.450000000000003</v>
          </cell>
          <cell r="L471">
            <v>15.596100000000002</v>
          </cell>
          <cell r="M471">
            <v>4028.5</v>
          </cell>
          <cell r="N471">
            <v>346.73685045253183</v>
          </cell>
          <cell r="O471">
            <v>4.9000000000000004</v>
          </cell>
          <cell r="Q471">
            <v>4.9000000000000004</v>
          </cell>
        </row>
        <row r="472">
          <cell r="D472" t="str">
            <v>526-95-4</v>
          </cell>
          <cell r="E472">
            <v>526954</v>
          </cell>
          <cell r="F472">
            <v>3069</v>
          </cell>
          <cell r="G472" t="str">
            <v>Reach_1324</v>
          </cell>
          <cell r="H472">
            <v>464</v>
          </cell>
          <cell r="J472">
            <v>196.16</v>
          </cell>
          <cell r="K472">
            <v>161.68</v>
          </cell>
          <cell r="L472">
            <v>1.089061E-7</v>
          </cell>
          <cell r="M472">
            <v>715000</v>
          </cell>
          <cell r="N472">
            <v>1.3489628825916524E-2</v>
          </cell>
          <cell r="O472">
            <v>3.36</v>
          </cell>
          <cell r="Q472">
            <v>3.36</v>
          </cell>
        </row>
        <row r="473">
          <cell r="D473" t="str">
            <v>84-69-5</v>
          </cell>
          <cell r="E473">
            <v>84695</v>
          </cell>
          <cell r="F473">
            <v>962</v>
          </cell>
          <cell r="G473" t="str">
            <v>Reach_289</v>
          </cell>
          <cell r="H473">
            <v>465</v>
          </cell>
          <cell r="J473">
            <v>278.35000000000002</v>
          </cell>
          <cell r="K473">
            <v>17.61</v>
          </cell>
          <cell r="L473">
            <v>0.32125300000000001</v>
          </cell>
          <cell r="M473">
            <v>30.934000000000001</v>
          </cell>
          <cell r="N473">
            <v>28840.315031266062</v>
          </cell>
          <cell r="Q473">
            <v>14</v>
          </cell>
        </row>
        <row r="474">
          <cell r="D474" t="str">
            <v>111-64-8</v>
          </cell>
          <cell r="E474">
            <v>111648</v>
          </cell>
          <cell r="F474">
            <v>1551</v>
          </cell>
          <cell r="G474" t="str">
            <v>Reach_862</v>
          </cell>
          <cell r="H474">
            <v>466</v>
          </cell>
          <cell r="J474">
            <v>162.66</v>
          </cell>
          <cell r="K474">
            <v>-6.65</v>
          </cell>
          <cell r="L474">
            <v>85.045400000000015</v>
          </cell>
          <cell r="M474">
            <v>36.448999999999998</v>
          </cell>
          <cell r="N474">
            <v>295.12092266663893</v>
          </cell>
          <cell r="Q474">
            <v>14</v>
          </cell>
        </row>
        <row r="475">
          <cell r="D475" t="str">
            <v>482-89-3</v>
          </cell>
          <cell r="E475">
            <v>482893</v>
          </cell>
          <cell r="F475">
            <v>647</v>
          </cell>
          <cell r="G475" t="str">
            <v>Reach_1292</v>
          </cell>
          <cell r="H475">
            <v>467</v>
          </cell>
          <cell r="J475">
            <v>262.27</v>
          </cell>
          <cell r="K475">
            <v>190.81</v>
          </cell>
          <cell r="L475">
            <v>3.1325500000000003E-9</v>
          </cell>
          <cell r="M475">
            <v>140.5</v>
          </cell>
          <cell r="N475">
            <v>1288.2495516931347</v>
          </cell>
          <cell r="P475">
            <v>14</v>
          </cell>
          <cell r="Q475">
            <v>0</v>
          </cell>
        </row>
        <row r="476">
          <cell r="D476" t="str">
            <v>5873-54-1</v>
          </cell>
          <cell r="E476">
            <v>5873541</v>
          </cell>
          <cell r="F476">
            <v>3254</v>
          </cell>
          <cell r="G476" t="str">
            <v>Reach_2139</v>
          </cell>
          <cell r="H476">
            <v>468</v>
          </cell>
          <cell r="J476">
            <v>250.26</v>
          </cell>
          <cell r="K476">
            <v>98.71</v>
          </cell>
          <cell r="L476">
            <v>6.3317500000000006E-3</v>
          </cell>
          <cell r="M476">
            <v>35.137</v>
          </cell>
          <cell r="N476">
            <v>165958.69074375604</v>
          </cell>
          <cell r="Q476">
            <v>14</v>
          </cell>
        </row>
        <row r="477">
          <cell r="D477" t="str">
            <v>68-11-1</v>
          </cell>
          <cell r="E477">
            <v>68111</v>
          </cell>
          <cell r="F477">
            <v>798</v>
          </cell>
          <cell r="G477" t="str">
            <v>Reach_90</v>
          </cell>
          <cell r="H477">
            <v>469</v>
          </cell>
          <cell r="J477">
            <v>92.116</v>
          </cell>
          <cell r="K477">
            <v>18.84</v>
          </cell>
          <cell r="L477">
            <v>55.319500000000005</v>
          </cell>
          <cell r="M477">
            <v>278000</v>
          </cell>
          <cell r="N477">
            <v>1.0715193052376064</v>
          </cell>
          <cell r="O477">
            <v>3.7</v>
          </cell>
          <cell r="Q477">
            <v>3.7</v>
          </cell>
        </row>
        <row r="478">
          <cell r="D478" t="str">
            <v>4170-30-3</v>
          </cell>
          <cell r="E478">
            <v>4170303</v>
          </cell>
          <cell r="F478">
            <v>634</v>
          </cell>
          <cell r="G478" t="str">
            <v>Reach_2018</v>
          </cell>
          <cell r="H478">
            <v>470</v>
          </cell>
          <cell r="J478">
            <v>70.090999999999994</v>
          </cell>
          <cell r="K478">
            <v>-80.569999999999993</v>
          </cell>
          <cell r="L478">
            <v>4198.9500000000007</v>
          </cell>
          <cell r="M478">
            <v>145000</v>
          </cell>
          <cell r="N478">
            <v>3.9810717055349727</v>
          </cell>
          <cell r="Q478">
            <v>14</v>
          </cell>
        </row>
        <row r="479">
          <cell r="D479" t="str">
            <v>84852-53-9</v>
          </cell>
          <cell r="E479">
            <v>84852539</v>
          </cell>
          <cell r="F479">
            <v>3878</v>
          </cell>
          <cell r="G479" t="str">
            <v>Reach_2982</v>
          </cell>
          <cell r="H479">
            <v>471</v>
          </cell>
          <cell r="J479">
            <v>971.29</v>
          </cell>
          <cell r="K479">
            <v>259.70999999999998</v>
          </cell>
          <cell r="L479">
            <v>2.5327000000000001E-11</v>
          </cell>
          <cell r="M479">
            <v>2.5800000000000001E-11</v>
          </cell>
          <cell r="N479">
            <v>43651583224016.805</v>
          </cell>
          <cell r="Q479">
            <v>14</v>
          </cell>
        </row>
        <row r="480">
          <cell r="D480" t="str">
            <v>142-84-7</v>
          </cell>
          <cell r="E480">
            <v>142847</v>
          </cell>
          <cell r="F480">
            <v>464</v>
          </cell>
          <cell r="G480" t="str">
            <v>Reach_1181</v>
          </cell>
          <cell r="H480">
            <v>472</v>
          </cell>
          <cell r="J480">
            <v>101.19</v>
          </cell>
          <cell r="K480">
            <v>-54.28</v>
          </cell>
          <cell r="L480">
            <v>3332.5000000000005</v>
          </cell>
          <cell r="M480">
            <v>72310</v>
          </cell>
          <cell r="N480">
            <v>61.659500186148257</v>
          </cell>
          <cell r="P480">
            <v>3</v>
          </cell>
          <cell r="Q480">
            <v>11</v>
          </cell>
        </row>
        <row r="481">
          <cell r="D481" t="str">
            <v>78-90-0</v>
          </cell>
          <cell r="E481">
            <v>78900</v>
          </cell>
          <cell r="F481">
            <v>904</v>
          </cell>
          <cell r="G481" t="str">
            <v>Reach_215</v>
          </cell>
          <cell r="H481">
            <v>473</v>
          </cell>
          <cell r="J481">
            <v>74.129000000000005</v>
          </cell>
          <cell r="K481">
            <v>-22.92</v>
          </cell>
          <cell r="L481">
            <v>2132.8000000000002</v>
          </cell>
          <cell r="M481">
            <v>1000000</v>
          </cell>
          <cell r="N481">
            <v>6.3095734448019317E-2</v>
          </cell>
          <cell r="Q481">
            <v>14</v>
          </cell>
        </row>
        <row r="482">
          <cell r="D482" t="str">
            <v>7398-69-8</v>
          </cell>
          <cell r="E482">
            <v>7398698</v>
          </cell>
          <cell r="F482">
            <v>1234</v>
          </cell>
          <cell r="G482" t="str">
            <v>Reach_2248</v>
          </cell>
          <cell r="H482">
            <v>474</v>
          </cell>
          <cell r="J482">
            <v>161.68</v>
          </cell>
          <cell r="K482">
            <v>0</v>
          </cell>
          <cell r="Q482">
            <v>14</v>
          </cell>
        </row>
        <row r="483">
          <cell r="D483" t="str">
            <v>119851-28-4</v>
          </cell>
          <cell r="E483">
            <v>119851284</v>
          </cell>
          <cell r="F483">
            <v>1700</v>
          </cell>
          <cell r="G483" t="str">
            <v>Reach_4098</v>
          </cell>
          <cell r="H483">
            <v>475</v>
          </cell>
          <cell r="J483">
            <v>281.14</v>
          </cell>
          <cell r="K483">
            <v>124.21</v>
          </cell>
          <cell r="L483">
            <v>7.5447800000000005E-4</v>
          </cell>
          <cell r="M483">
            <v>4.0167000000000002</v>
          </cell>
          <cell r="N483">
            <v>104712.85480508996</v>
          </cell>
          <cell r="Q483">
            <v>14</v>
          </cell>
        </row>
        <row r="484">
          <cell r="D484" t="str">
            <v>5089-70-3</v>
          </cell>
          <cell r="E484">
            <v>5089703</v>
          </cell>
          <cell r="F484">
            <v>3022</v>
          </cell>
          <cell r="G484" t="str">
            <v>Reach_2077</v>
          </cell>
          <cell r="H484">
            <v>476</v>
          </cell>
          <cell r="J484">
            <v>240.8</v>
          </cell>
          <cell r="K484">
            <v>29.37</v>
          </cell>
          <cell r="L484">
            <v>2.2927600000000004</v>
          </cell>
          <cell r="M484">
            <v>175.54</v>
          </cell>
          <cell r="N484">
            <v>109.64781961431861</v>
          </cell>
          <cell r="Q484">
            <v>14</v>
          </cell>
        </row>
        <row r="485">
          <cell r="D485" t="str">
            <v>107-41-5</v>
          </cell>
          <cell r="E485">
            <v>107415</v>
          </cell>
          <cell r="F485">
            <v>219</v>
          </cell>
          <cell r="G485" t="str">
            <v>Reach_706</v>
          </cell>
          <cell r="H485">
            <v>477</v>
          </cell>
          <cell r="J485">
            <v>118.18</v>
          </cell>
          <cell r="K485">
            <v>-7.37</v>
          </cell>
          <cell r="L485">
            <v>7.7713900000000002</v>
          </cell>
          <cell r="M485">
            <v>528000</v>
          </cell>
          <cell r="N485">
            <v>3.8018939632056119</v>
          </cell>
          <cell r="O485">
            <v>15.38</v>
          </cell>
          <cell r="Q485">
            <v>14</v>
          </cell>
        </row>
        <row r="486">
          <cell r="D486" t="str">
            <v>10175-31-2</v>
          </cell>
          <cell r="E486">
            <v>10175312</v>
          </cell>
          <cell r="F486">
            <v>1327</v>
          </cell>
          <cell r="G486" t="str">
            <v>Reach_4643</v>
          </cell>
          <cell r="H486">
            <v>478</v>
          </cell>
          <cell r="J486">
            <v>169.66</v>
          </cell>
          <cell r="K486">
            <v>17.61</v>
          </cell>
          <cell r="L486">
            <v>15.8627</v>
          </cell>
          <cell r="M486">
            <v>1303.4000000000001</v>
          </cell>
          <cell r="N486">
            <v>245.4708915685033</v>
          </cell>
          <cell r="P486">
            <v>5.76</v>
          </cell>
          <cell r="Q486">
            <v>8.24</v>
          </cell>
        </row>
        <row r="487">
          <cell r="D487" t="str">
            <v>2768-02-7</v>
          </cell>
          <cell r="E487">
            <v>2768027</v>
          </cell>
          <cell r="F487">
            <v>1255</v>
          </cell>
          <cell r="G487" t="str">
            <v>Reach_1864</v>
          </cell>
          <cell r="H487">
            <v>479</v>
          </cell>
          <cell r="J487">
            <v>148.22999999999999</v>
          </cell>
          <cell r="K487">
            <v>-48.83</v>
          </cell>
          <cell r="L487">
            <v>2052.8200000000002</v>
          </cell>
          <cell r="M487">
            <v>14335</v>
          </cell>
          <cell r="N487">
            <v>0.47863009232263831</v>
          </cell>
          <cell r="Q487">
            <v>14</v>
          </cell>
        </row>
        <row r="488">
          <cell r="D488" t="str">
            <v>58-86-6</v>
          </cell>
          <cell r="E488">
            <v>58866</v>
          </cell>
          <cell r="F488">
            <v>3256</v>
          </cell>
          <cell r="G488" t="str">
            <v>Reach_49</v>
          </cell>
          <cell r="H488">
            <v>480</v>
          </cell>
          <cell r="J488">
            <v>150.13</v>
          </cell>
          <cell r="K488">
            <v>96.33</v>
          </cell>
          <cell r="L488">
            <v>9.9975000000000018E-5</v>
          </cell>
          <cell r="M488">
            <v>1000000</v>
          </cell>
          <cell r="N488">
            <v>1.0471285480508989E-2</v>
          </cell>
          <cell r="O488">
            <v>12.52</v>
          </cell>
          <cell r="Q488">
            <v>12.52</v>
          </cell>
        </row>
        <row r="489">
          <cell r="D489" t="str">
            <v>142-91-6</v>
          </cell>
          <cell r="E489">
            <v>142916</v>
          </cell>
          <cell r="F489">
            <v>1957</v>
          </cell>
          <cell r="G489" t="str">
            <v>Reach_1185</v>
          </cell>
          <cell r="H489">
            <v>481</v>
          </cell>
          <cell r="J489">
            <v>298.51</v>
          </cell>
          <cell r="K489">
            <v>72.02</v>
          </cell>
          <cell r="L489">
            <v>2.73265E-2</v>
          </cell>
          <cell r="M489">
            <v>1.1462E-2</v>
          </cell>
          <cell r="N489">
            <v>144543977.07459331</v>
          </cell>
          <cell r="Q489">
            <v>14</v>
          </cell>
        </row>
        <row r="490">
          <cell r="D490" t="str">
            <v>110-27-0</v>
          </cell>
          <cell r="E490">
            <v>110270</v>
          </cell>
          <cell r="F490">
            <v>1516</v>
          </cell>
          <cell r="G490" t="str">
            <v>Reach_810</v>
          </cell>
          <cell r="H490">
            <v>482</v>
          </cell>
          <cell r="J490">
            <v>270.45999999999998</v>
          </cell>
          <cell r="K490">
            <v>44.42</v>
          </cell>
          <cell r="L490">
            <v>0.10823960000000001</v>
          </cell>
          <cell r="M490">
            <v>6.2466000000000001E-2</v>
          </cell>
          <cell r="N490">
            <v>14791083.881682113</v>
          </cell>
          <cell r="Q490">
            <v>14</v>
          </cell>
        </row>
        <row r="491">
          <cell r="D491" t="str">
            <v>818-61-1</v>
          </cell>
          <cell r="E491">
            <v>818611</v>
          </cell>
          <cell r="F491">
            <v>943</v>
          </cell>
          <cell r="G491" t="str">
            <v>Reach_1552</v>
          </cell>
          <cell r="H491">
            <v>483</v>
          </cell>
          <cell r="J491">
            <v>116.12</v>
          </cell>
          <cell r="K491">
            <v>-15.92</v>
          </cell>
          <cell r="L491">
            <v>16.7958</v>
          </cell>
          <cell r="M491">
            <v>231000</v>
          </cell>
          <cell r="N491">
            <v>0.56234132519034907</v>
          </cell>
          <cell r="O491">
            <v>14.27</v>
          </cell>
          <cell r="Q491">
            <v>14</v>
          </cell>
        </row>
        <row r="492">
          <cell r="D492" t="str">
            <v>97-86-9</v>
          </cell>
          <cell r="E492">
            <v>97869</v>
          </cell>
          <cell r="F492">
            <v>4174</v>
          </cell>
          <cell r="G492" t="str">
            <v>Reach_489</v>
          </cell>
          <cell r="H492">
            <v>484</v>
          </cell>
          <cell r="J492">
            <v>142.19999999999999</v>
          </cell>
          <cell r="K492">
            <v>-54.01</v>
          </cell>
          <cell r="L492">
            <v>423.89400000000006</v>
          </cell>
          <cell r="M492">
            <v>1425.9</v>
          </cell>
          <cell r="N492">
            <v>467.7351412871983</v>
          </cell>
          <cell r="Q492">
            <v>14</v>
          </cell>
        </row>
        <row r="493">
          <cell r="D493" t="str">
            <v>929-06-6</v>
          </cell>
          <cell r="E493">
            <v>929066</v>
          </cell>
          <cell r="F493">
            <v>4053</v>
          </cell>
          <cell r="G493" t="str">
            <v>Reach_1603</v>
          </cell>
          <cell r="H493">
            <v>485</v>
          </cell>
          <cell r="J493">
            <v>105.14</v>
          </cell>
          <cell r="K493">
            <v>13.94</v>
          </cell>
          <cell r="L493">
            <v>3.2791800000000002</v>
          </cell>
          <cell r="M493">
            <v>1000000</v>
          </cell>
          <cell r="N493">
            <v>1.2882495516931332E-2</v>
          </cell>
          <cell r="O493">
            <v>14.86</v>
          </cell>
          <cell r="P493">
            <v>4.5599999999999996</v>
          </cell>
          <cell r="Q493">
            <v>9.4400000000000013</v>
          </cell>
        </row>
        <row r="494">
          <cell r="D494" t="str">
            <v>3048-64-4</v>
          </cell>
          <cell r="E494">
            <v>3048644</v>
          </cell>
          <cell r="F494">
            <v>2599</v>
          </cell>
          <cell r="G494" t="str">
            <v>Reach_1906</v>
          </cell>
          <cell r="H494">
            <v>486</v>
          </cell>
          <cell r="J494">
            <v>120.19</v>
          </cell>
          <cell r="K494">
            <v>-41.31</v>
          </cell>
          <cell r="L494">
            <v>1038.4070000000002</v>
          </cell>
          <cell r="M494">
            <v>272.44</v>
          </cell>
          <cell r="N494">
            <v>4168.6938347033583</v>
          </cell>
          <cell r="Q494">
            <v>14</v>
          </cell>
        </row>
        <row r="495">
          <cell r="D495" t="str">
            <v>37439-34-2</v>
          </cell>
          <cell r="E495">
            <v>37439342</v>
          </cell>
          <cell r="F495">
            <v>5867</v>
          </cell>
          <cell r="G495" t="str">
            <v>Reach_2710</v>
          </cell>
          <cell r="H495">
            <v>487</v>
          </cell>
          <cell r="J495">
            <v>220.42</v>
          </cell>
          <cell r="K495">
            <v>0</v>
          </cell>
          <cell r="Q495">
            <v>14</v>
          </cell>
        </row>
        <row r="496">
          <cell r="D496" t="str">
            <v>541-41-3</v>
          </cell>
          <cell r="E496">
            <v>541413</v>
          </cell>
          <cell r="F496">
            <v>3129</v>
          </cell>
          <cell r="G496" t="str">
            <v>Reach_1340</v>
          </cell>
          <cell r="H496">
            <v>488</v>
          </cell>
          <cell r="J496">
            <v>108.52</v>
          </cell>
          <cell r="K496">
            <v>-69.16</v>
          </cell>
          <cell r="L496">
            <v>6185.12</v>
          </cell>
          <cell r="M496">
            <v>14433</v>
          </cell>
          <cell r="N496">
            <v>4.2657951880159271</v>
          </cell>
          <cell r="Q496">
            <v>14</v>
          </cell>
        </row>
        <row r="497">
          <cell r="D497" t="str">
            <v>85-42-7</v>
          </cell>
          <cell r="E497">
            <v>85427</v>
          </cell>
          <cell r="F497">
            <v>3889</v>
          </cell>
          <cell r="G497" t="str">
            <v>Reach_295</v>
          </cell>
          <cell r="H497">
            <v>489</v>
          </cell>
          <cell r="J497">
            <v>154.16</v>
          </cell>
          <cell r="K497">
            <v>-1.82</v>
          </cell>
          <cell r="L497">
            <v>7.1315500000000007</v>
          </cell>
          <cell r="M497">
            <v>3673.7</v>
          </cell>
          <cell r="N497">
            <v>147.91083881682084</v>
          </cell>
          <cell r="Q497">
            <v>14</v>
          </cell>
        </row>
        <row r="498">
          <cell r="D498" t="str">
            <v>110-62-3</v>
          </cell>
          <cell r="E498">
            <v>110623</v>
          </cell>
          <cell r="F498">
            <v>280</v>
          </cell>
          <cell r="G498" t="str">
            <v>Reach_821</v>
          </cell>
          <cell r="H498">
            <v>490</v>
          </cell>
          <cell r="J498">
            <v>86.134</v>
          </cell>
          <cell r="K498">
            <v>-67.540000000000006</v>
          </cell>
          <cell r="L498">
            <v>4385.5700000000006</v>
          </cell>
          <cell r="M498">
            <v>24909</v>
          </cell>
          <cell r="N498">
            <v>20.4173794466953</v>
          </cell>
          <cell r="Q498">
            <v>14</v>
          </cell>
        </row>
        <row r="499">
          <cell r="D499" t="str">
            <v>112-69-6</v>
          </cell>
          <cell r="E499">
            <v>112696</v>
          </cell>
          <cell r="F499">
            <v>1598</v>
          </cell>
          <cell r="G499" t="str">
            <v>Reach_919</v>
          </cell>
          <cell r="H499">
            <v>491</v>
          </cell>
          <cell r="J499">
            <v>269.52</v>
          </cell>
          <cell r="K499">
            <v>62.77</v>
          </cell>
          <cell r="L499">
            <v>3.8123800000000006E-2</v>
          </cell>
          <cell r="M499">
            <v>1.3372999999999999E-2</v>
          </cell>
          <cell r="N499">
            <v>25703957.827688646</v>
          </cell>
          <cell r="P499">
            <v>3.9</v>
          </cell>
          <cell r="Q499">
            <v>10.1</v>
          </cell>
        </row>
        <row r="500">
          <cell r="D500" t="str">
            <v>101-02-0</v>
          </cell>
          <cell r="E500">
            <v>101020</v>
          </cell>
          <cell r="F500">
            <v>140</v>
          </cell>
          <cell r="G500" t="str">
            <v>Reach_572</v>
          </cell>
          <cell r="H500">
            <v>492</v>
          </cell>
          <cell r="J500">
            <v>310.29000000000002</v>
          </cell>
          <cell r="K500">
            <v>143.84</v>
          </cell>
          <cell r="L500">
            <v>1.0170790000000001E-2</v>
          </cell>
          <cell r="M500">
            <v>0.97807999999999995</v>
          </cell>
          <cell r="N500">
            <v>4168693.8347033644</v>
          </cell>
          <cell r="Q500">
            <v>14</v>
          </cell>
        </row>
        <row r="501">
          <cell r="D501" t="str">
            <v>609-15-4</v>
          </cell>
          <cell r="E501">
            <v>609154</v>
          </cell>
          <cell r="F501">
            <v>3319</v>
          </cell>
          <cell r="G501" t="str">
            <v>Reach_1415</v>
          </cell>
          <cell r="H501">
            <v>493</v>
          </cell>
          <cell r="J501">
            <v>164.59</v>
          </cell>
          <cell r="K501">
            <v>-2.58</v>
          </cell>
          <cell r="L501">
            <v>46.7883</v>
          </cell>
          <cell r="M501">
            <v>2566.6999999999998</v>
          </cell>
          <cell r="N501">
            <v>0.95499258602143589</v>
          </cell>
          <cell r="O501">
            <v>7</v>
          </cell>
          <cell r="Q501">
            <v>7</v>
          </cell>
        </row>
        <row r="502">
          <cell r="D502" t="str">
            <v>75-18-3</v>
          </cell>
          <cell r="E502">
            <v>75183</v>
          </cell>
          <cell r="F502">
            <v>853</v>
          </cell>
          <cell r="G502" t="str">
            <v>Reach_133</v>
          </cell>
          <cell r="H502">
            <v>494</v>
          </cell>
          <cell r="J502">
            <v>62.134</v>
          </cell>
          <cell r="K502">
            <v>-107.65</v>
          </cell>
          <cell r="L502">
            <v>63850.700000000004</v>
          </cell>
          <cell r="M502">
            <v>14558</v>
          </cell>
          <cell r="N502">
            <v>8.3176377110267108</v>
          </cell>
          <cell r="Q502">
            <v>14</v>
          </cell>
        </row>
        <row r="503">
          <cell r="D503" t="str">
            <v>106-95-6</v>
          </cell>
          <cell r="E503">
            <v>106956</v>
          </cell>
          <cell r="F503">
            <v>204</v>
          </cell>
          <cell r="G503" t="str">
            <v>Reach_685</v>
          </cell>
          <cell r="H503">
            <v>495</v>
          </cell>
          <cell r="J503">
            <v>120.98</v>
          </cell>
          <cell r="K503">
            <v>-80.5</v>
          </cell>
          <cell r="L503">
            <v>18928.600000000002</v>
          </cell>
          <cell r="M503">
            <v>3490.9</v>
          </cell>
          <cell r="N503">
            <v>104.71285480508998</v>
          </cell>
          <cell r="Q503">
            <v>14</v>
          </cell>
        </row>
        <row r="504">
          <cell r="D504" t="str">
            <v>32360-05-7</v>
          </cell>
          <cell r="E504">
            <v>32360057</v>
          </cell>
          <cell r="F504">
            <v>2649</v>
          </cell>
          <cell r="G504" t="str">
            <v>Reach_2660</v>
          </cell>
          <cell r="H504">
            <v>496</v>
          </cell>
          <cell r="J504">
            <v>338.58</v>
          </cell>
          <cell r="K504">
            <v>99.62</v>
          </cell>
          <cell r="L504">
            <v>6.4250600000000004E-4</v>
          </cell>
          <cell r="M504">
            <v>1.3310000000000001E-4</v>
          </cell>
          <cell r="N504">
            <v>4168693834.7033558</v>
          </cell>
          <cell r="Q504">
            <v>14</v>
          </cell>
        </row>
        <row r="505">
          <cell r="D505" t="str">
            <v>89-78-1</v>
          </cell>
          <cell r="E505">
            <v>89781</v>
          </cell>
          <cell r="F505">
            <v>994</v>
          </cell>
          <cell r="G505" t="str">
            <v>Reach_351</v>
          </cell>
          <cell r="H505">
            <v>497</v>
          </cell>
          <cell r="J505">
            <v>156.27000000000001</v>
          </cell>
          <cell r="K505">
            <v>-5.9</v>
          </cell>
          <cell r="L505">
            <v>1.022411</v>
          </cell>
          <cell r="M505">
            <v>938.09</v>
          </cell>
          <cell r="N505">
            <v>2398.8329190194918</v>
          </cell>
          <cell r="O505">
            <v>16</v>
          </cell>
          <cell r="Q505">
            <v>14</v>
          </cell>
        </row>
        <row r="506">
          <cell r="D506" t="str">
            <v>109-69-3</v>
          </cell>
          <cell r="E506">
            <v>109693</v>
          </cell>
          <cell r="F506">
            <v>261</v>
          </cell>
          <cell r="G506" t="str">
            <v>Reach_785</v>
          </cell>
          <cell r="H506">
            <v>498</v>
          </cell>
          <cell r="J506">
            <v>92.569000000000003</v>
          </cell>
          <cell r="K506">
            <v>-85.24</v>
          </cell>
          <cell r="L506">
            <v>12316.920000000002</v>
          </cell>
          <cell r="M506">
            <v>688.26</v>
          </cell>
          <cell r="N506">
            <v>363.07805477010152</v>
          </cell>
          <cell r="Q506">
            <v>14</v>
          </cell>
        </row>
        <row r="507">
          <cell r="D507" t="str">
            <v>90-04-0</v>
          </cell>
          <cell r="E507">
            <v>90040</v>
          </cell>
          <cell r="F507">
            <v>999</v>
          </cell>
          <cell r="G507" t="str">
            <v>Reach_357</v>
          </cell>
          <cell r="H507">
            <v>499</v>
          </cell>
          <cell r="J507">
            <v>123.16</v>
          </cell>
          <cell r="K507">
            <v>28.57</v>
          </cell>
          <cell r="L507">
            <v>14.263100000000001</v>
          </cell>
          <cell r="M507">
            <v>11444</v>
          </cell>
          <cell r="N507">
            <v>14.454397707459275</v>
          </cell>
          <cell r="P507">
            <v>9</v>
          </cell>
          <cell r="Q507">
            <v>5</v>
          </cell>
        </row>
        <row r="508">
          <cell r="D508" t="str">
            <v>75-94-5</v>
          </cell>
          <cell r="E508">
            <v>75945</v>
          </cell>
          <cell r="F508">
            <v>3690</v>
          </cell>
          <cell r="G508" t="str">
            <v>Reach_167</v>
          </cell>
          <cell r="H508">
            <v>500</v>
          </cell>
          <cell r="J508">
            <v>161.49</v>
          </cell>
          <cell r="K508">
            <v>-65.53</v>
          </cell>
          <cell r="L508">
            <v>7171.54</v>
          </cell>
          <cell r="N508">
            <v>229.08676527677744</v>
          </cell>
          <cell r="Q508">
            <v>14</v>
          </cell>
        </row>
        <row r="509">
          <cell r="D509" t="str">
            <v>13466-78-9</v>
          </cell>
          <cell r="E509">
            <v>13466789</v>
          </cell>
          <cell r="F509">
            <v>434</v>
          </cell>
          <cell r="G509" t="str">
            <v>Reach_2337</v>
          </cell>
          <cell r="H509">
            <v>501</v>
          </cell>
          <cell r="J509">
            <v>136.24</v>
          </cell>
          <cell r="K509">
            <v>-13.62</v>
          </cell>
          <cell r="L509">
            <v>278.59699999999998</v>
          </cell>
          <cell r="M509">
            <v>28.271999999999998</v>
          </cell>
          <cell r="N509">
            <v>40738.027780411358</v>
          </cell>
          <cell r="Q509">
            <v>14</v>
          </cell>
        </row>
        <row r="510">
          <cell r="D510" t="str">
            <v>5333-42-6</v>
          </cell>
          <cell r="E510">
            <v>5333426</v>
          </cell>
          <cell r="F510">
            <v>3096</v>
          </cell>
          <cell r="G510" t="str">
            <v>Reach_2098</v>
          </cell>
          <cell r="H510">
            <v>502</v>
          </cell>
          <cell r="J510">
            <v>298.56</v>
          </cell>
          <cell r="K510">
            <v>95.36</v>
          </cell>
          <cell r="L510">
            <v>3.6257600000000003E-5</v>
          </cell>
          <cell r="M510">
            <v>7.4549999999999996E-4</v>
          </cell>
          <cell r="N510">
            <v>426579518.80159384</v>
          </cell>
          <cell r="O510">
            <v>15.9</v>
          </cell>
          <cell r="Q510">
            <v>14</v>
          </cell>
        </row>
        <row r="511">
          <cell r="D511" t="str">
            <v>104-88-1</v>
          </cell>
          <cell r="E511">
            <v>104881</v>
          </cell>
          <cell r="F511">
            <v>171</v>
          </cell>
          <cell r="G511" t="str">
            <v>Reach_631</v>
          </cell>
          <cell r="H511">
            <v>503</v>
          </cell>
          <cell r="J511">
            <v>140.57</v>
          </cell>
          <cell r="K511">
            <v>8.67</v>
          </cell>
          <cell r="L511">
            <v>13.996500000000001</v>
          </cell>
          <cell r="M511">
            <v>949.37</v>
          </cell>
          <cell r="N511">
            <v>223.87211385683412</v>
          </cell>
          <cell r="Q511">
            <v>14</v>
          </cell>
        </row>
        <row r="512">
          <cell r="D512" t="str">
            <v>108-44-1</v>
          </cell>
          <cell r="E512">
            <v>108441</v>
          </cell>
          <cell r="F512">
            <v>239</v>
          </cell>
          <cell r="G512" t="str">
            <v>Reach_745</v>
          </cell>
          <cell r="H512">
            <v>504</v>
          </cell>
          <cell r="J512">
            <v>107.16</v>
          </cell>
          <cell r="K512">
            <v>11.62</v>
          </cell>
          <cell r="L512">
            <v>40.7898</v>
          </cell>
          <cell r="M512">
            <v>7338.9</v>
          </cell>
          <cell r="N512">
            <v>41.686938347033561</v>
          </cell>
          <cell r="P512">
            <v>9</v>
          </cell>
          <cell r="Q512">
            <v>5</v>
          </cell>
        </row>
        <row r="513">
          <cell r="D513" t="str">
            <v>56-84-8</v>
          </cell>
          <cell r="E513">
            <v>56848</v>
          </cell>
          <cell r="F513">
            <v>3212</v>
          </cell>
          <cell r="G513" t="str">
            <v>Reach_31</v>
          </cell>
          <cell r="H513">
            <v>505</v>
          </cell>
          <cell r="J513">
            <v>133.1</v>
          </cell>
          <cell r="K513">
            <v>218.2</v>
          </cell>
          <cell r="L513">
            <v>3.4924600000000001E-5</v>
          </cell>
          <cell r="M513">
            <v>192000</v>
          </cell>
          <cell r="N513">
            <v>4.786300923226377E-5</v>
          </cell>
          <cell r="O513">
            <v>1.7</v>
          </cell>
          <cell r="P513">
            <v>4.0999999999999996</v>
          </cell>
          <cell r="Q513">
            <v>1.7</v>
          </cell>
        </row>
        <row r="514">
          <cell r="D514" t="str">
            <v>78-40-0</v>
          </cell>
          <cell r="E514">
            <v>78400</v>
          </cell>
          <cell r="F514">
            <v>894</v>
          </cell>
          <cell r="G514" t="str">
            <v>Reach_198</v>
          </cell>
          <cell r="H514">
            <v>506</v>
          </cell>
          <cell r="J514">
            <v>182.16</v>
          </cell>
          <cell r="K514">
            <v>3.54</v>
          </cell>
          <cell r="L514">
            <v>21.994500000000002</v>
          </cell>
          <cell r="M514">
            <v>306000</v>
          </cell>
          <cell r="N514">
            <v>7.4131024130091765</v>
          </cell>
          <cell r="Q514">
            <v>14</v>
          </cell>
        </row>
        <row r="515">
          <cell r="D515" t="str">
            <v>61260-55-7</v>
          </cell>
          <cell r="E515">
            <v>61260557</v>
          </cell>
          <cell r="F515">
            <v>3330</v>
          </cell>
          <cell r="G515" t="str">
            <v>Reach_2849</v>
          </cell>
          <cell r="H515">
            <v>507</v>
          </cell>
          <cell r="J515">
            <v>394.7</v>
          </cell>
          <cell r="K515">
            <v>192.62</v>
          </cell>
          <cell r="L515">
            <v>1.8662000000000002E-5</v>
          </cell>
          <cell r="M515">
            <v>27.661000000000001</v>
          </cell>
          <cell r="N515">
            <v>26915.348039269167</v>
          </cell>
          <cell r="P515">
            <v>3.47</v>
          </cell>
          <cell r="Q515">
            <v>10.53</v>
          </cell>
        </row>
        <row r="516">
          <cell r="D516" t="str">
            <v>98-94-2</v>
          </cell>
          <cell r="E516">
            <v>98942</v>
          </cell>
          <cell r="F516">
            <v>1080</v>
          </cell>
          <cell r="G516" t="str">
            <v>Reach_525</v>
          </cell>
          <cell r="H516">
            <v>508</v>
          </cell>
          <cell r="J516">
            <v>127.23</v>
          </cell>
          <cell r="K516">
            <v>-39.17</v>
          </cell>
          <cell r="L516">
            <v>334.58300000000003</v>
          </cell>
          <cell r="M516">
            <v>2054</v>
          </cell>
          <cell r="N516">
            <v>204.17379446695315</v>
          </cell>
          <cell r="P516">
            <v>4</v>
          </cell>
          <cell r="Q516">
            <v>10</v>
          </cell>
        </row>
        <row r="517">
          <cell r="D517" t="str">
            <v>2524-04-1</v>
          </cell>
          <cell r="E517">
            <v>2524041</v>
          </cell>
          <cell r="F517">
            <v>1248</v>
          </cell>
          <cell r="G517" t="str">
            <v>Reach_1829</v>
          </cell>
          <cell r="H517">
            <v>509</v>
          </cell>
          <cell r="J517">
            <v>188.61</v>
          </cell>
          <cell r="K517">
            <v>-74.17</v>
          </cell>
          <cell r="L517">
            <v>53.053400000000011</v>
          </cell>
          <cell r="M517">
            <v>560.35</v>
          </cell>
          <cell r="N517">
            <v>234.42288153199232</v>
          </cell>
          <cell r="Q517">
            <v>14</v>
          </cell>
        </row>
        <row r="518">
          <cell r="D518" t="str">
            <v>27394-99-6</v>
          </cell>
          <cell r="E518">
            <v>27394996</v>
          </cell>
          <cell r="F518">
            <v>2503</v>
          </cell>
          <cell r="G518" t="str">
            <v>Reach_2604</v>
          </cell>
          <cell r="H518">
            <v>510</v>
          </cell>
          <cell r="J518">
            <v>98.106999999999999</v>
          </cell>
          <cell r="K518">
            <v>70.09</v>
          </cell>
          <cell r="L518">
            <v>0.38923600000000003</v>
          </cell>
          <cell r="M518">
            <v>1000000</v>
          </cell>
          <cell r="N518">
            <v>6.3095734448019317E-2</v>
          </cell>
          <cell r="O518">
            <v>12.17</v>
          </cell>
          <cell r="Q518">
            <v>12.17</v>
          </cell>
        </row>
        <row r="519">
          <cell r="D519" t="str">
            <v>75-75-2</v>
          </cell>
          <cell r="E519">
            <v>75752</v>
          </cell>
          <cell r="F519">
            <v>3683</v>
          </cell>
          <cell r="G519" t="str">
            <v>Reach_159</v>
          </cell>
          <cell r="H519">
            <v>511</v>
          </cell>
          <cell r="J519">
            <v>96.103999999999999</v>
          </cell>
          <cell r="K519">
            <v>25.77</v>
          </cell>
          <cell r="L519">
            <v>3.5591100000000004</v>
          </cell>
          <cell r="M519">
            <v>479000</v>
          </cell>
          <cell r="N519">
            <v>4.1686938347033527E-3</v>
          </cell>
          <cell r="O519">
            <v>1.7</v>
          </cell>
          <cell r="Q519">
            <v>1.7</v>
          </cell>
        </row>
        <row r="520">
          <cell r="D520" t="str">
            <v>372-09-8</v>
          </cell>
          <cell r="E520">
            <v>372098</v>
          </cell>
          <cell r="F520">
            <v>2794</v>
          </cell>
          <cell r="G520" t="str">
            <v>Reach_1257</v>
          </cell>
          <cell r="H520">
            <v>512</v>
          </cell>
          <cell r="J520">
            <v>85.063000000000002</v>
          </cell>
          <cell r="K520">
            <v>37.96</v>
          </cell>
          <cell r="L520">
            <v>4.7054900000000002</v>
          </cell>
          <cell r="M520">
            <v>1180000</v>
          </cell>
          <cell r="N520">
            <v>0.17378008287493749</v>
          </cell>
          <cell r="O520">
            <v>2.4</v>
          </cell>
          <cell r="Q520">
            <v>2.4</v>
          </cell>
        </row>
        <row r="521">
          <cell r="D521" t="str">
            <v>91-76-9</v>
          </cell>
          <cell r="E521">
            <v>91769</v>
          </cell>
          <cell r="F521">
            <v>4021</v>
          </cell>
          <cell r="G521" t="str">
            <v>Reach_380</v>
          </cell>
          <cell r="H521">
            <v>513</v>
          </cell>
          <cell r="J521">
            <v>187.21</v>
          </cell>
          <cell r="K521">
            <v>159.44</v>
          </cell>
          <cell r="L521">
            <v>1.6529200000000001E-5</v>
          </cell>
          <cell r="M521">
            <v>7016.9</v>
          </cell>
          <cell r="N521">
            <v>27.542287033381665</v>
          </cell>
          <cell r="P521">
            <v>9.6</v>
          </cell>
          <cell r="Q521">
            <v>4.4000000000000004</v>
          </cell>
        </row>
        <row r="522">
          <cell r="D522" t="str">
            <v>25899-50-7</v>
          </cell>
          <cell r="E522">
            <v>25899507</v>
          </cell>
          <cell r="F522">
            <v>2446</v>
          </cell>
          <cell r="G522" t="str">
            <v>Reach_2571</v>
          </cell>
          <cell r="H522">
            <v>514</v>
          </cell>
          <cell r="J522">
            <v>81.119</v>
          </cell>
          <cell r="K522">
            <v>-46.66</v>
          </cell>
          <cell r="L522">
            <v>539.86500000000001</v>
          </cell>
          <cell r="M522">
            <v>2975.9</v>
          </cell>
          <cell r="N522">
            <v>12.882495516931346</v>
          </cell>
          <cell r="Q522">
            <v>14</v>
          </cell>
        </row>
        <row r="523">
          <cell r="D523" t="str">
            <v>2100-42-7</v>
          </cell>
          <cell r="E523">
            <v>2100427</v>
          </cell>
          <cell r="F523">
            <v>2282</v>
          </cell>
          <cell r="G523" t="str">
            <v>Reach_1758</v>
          </cell>
          <cell r="H523">
            <v>515</v>
          </cell>
          <cell r="J523">
            <v>172.61</v>
          </cell>
          <cell r="K523">
            <v>24.8</v>
          </cell>
          <cell r="L523">
            <v>14.396400000000002</v>
          </cell>
          <cell r="M523">
            <v>496.63</v>
          </cell>
          <cell r="N523">
            <v>630.95734448019323</v>
          </cell>
          <cell r="Q523">
            <v>14</v>
          </cell>
        </row>
        <row r="524">
          <cell r="D524" t="str">
            <v>37971-36-1</v>
          </cell>
          <cell r="E524">
            <v>37971361</v>
          </cell>
          <cell r="F524">
            <v>2811</v>
          </cell>
          <cell r="G524" t="str">
            <v>Reach_2713</v>
          </cell>
          <cell r="H524">
            <v>516</v>
          </cell>
          <cell r="J524">
            <v>270.13</v>
          </cell>
          <cell r="K524">
            <v>90.27</v>
          </cell>
          <cell r="L524">
            <v>8.0779800000000015E-9</v>
          </cell>
          <cell r="M524">
            <v>15589</v>
          </cell>
          <cell r="N524">
            <v>2.1877616239495523E-2</v>
          </cell>
          <cell r="O524">
            <v>1.57</v>
          </cell>
          <cell r="Q524">
            <v>1.57</v>
          </cell>
        </row>
        <row r="525">
          <cell r="D525" t="str">
            <v>110-01-0</v>
          </cell>
          <cell r="E525">
            <v>110010</v>
          </cell>
          <cell r="F525">
            <v>271</v>
          </cell>
          <cell r="G525" t="str">
            <v>Reach_800</v>
          </cell>
          <cell r="H525">
            <v>517</v>
          </cell>
          <cell r="J525">
            <v>88.171999999999997</v>
          </cell>
          <cell r="K525">
            <v>-48.82</v>
          </cell>
          <cell r="L525">
            <v>1999.5000000000002</v>
          </cell>
          <cell r="M525">
            <v>8364.7999999999993</v>
          </cell>
          <cell r="N525">
            <v>61.659500186148257</v>
          </cell>
          <cell r="Q525">
            <v>14</v>
          </cell>
        </row>
        <row r="526">
          <cell r="D526" t="str">
            <v>96-29-7</v>
          </cell>
          <cell r="E526">
            <v>96297</v>
          </cell>
          <cell r="F526">
            <v>1051</v>
          </cell>
          <cell r="G526" t="str">
            <v>Reach_459</v>
          </cell>
          <cell r="H526">
            <v>518</v>
          </cell>
          <cell r="J526">
            <v>87.123000000000005</v>
          </cell>
          <cell r="K526">
            <v>-57.96</v>
          </cell>
          <cell r="L526">
            <v>155.96100000000001</v>
          </cell>
          <cell r="M526">
            <v>22170</v>
          </cell>
          <cell r="N526">
            <v>48.977881936844632</v>
          </cell>
          <cell r="O526">
            <v>12.5</v>
          </cell>
          <cell r="Q526">
            <v>12.5</v>
          </cell>
        </row>
        <row r="527">
          <cell r="D527" t="str">
            <v>865-33-8</v>
          </cell>
          <cell r="E527">
            <v>865338</v>
          </cell>
          <cell r="F527">
            <v>6064</v>
          </cell>
          <cell r="G527" t="str">
            <v>Reach_1568</v>
          </cell>
          <cell r="H527">
            <v>519</v>
          </cell>
          <cell r="J527">
            <v>70.134</v>
          </cell>
          <cell r="K527">
            <v>0</v>
          </cell>
          <cell r="Q527">
            <v>14</v>
          </cell>
        </row>
        <row r="528">
          <cell r="D528" t="str">
            <v>165184-98-5</v>
          </cell>
          <cell r="E528">
            <v>165184985</v>
          </cell>
          <cell r="F528">
            <v>2096</v>
          </cell>
          <cell r="G528" t="str">
            <v>Reach_4605</v>
          </cell>
          <cell r="H528">
            <v>520</v>
          </cell>
          <cell r="J528">
            <v>216.32</v>
          </cell>
          <cell r="K528">
            <v>44.38</v>
          </cell>
          <cell r="L528">
            <v>7.1182200000000001E-2</v>
          </cell>
          <cell r="M528">
            <v>1.1156999999999999</v>
          </cell>
          <cell r="N528">
            <v>66069.344800759733</v>
          </cell>
          <cell r="Q528">
            <v>14</v>
          </cell>
        </row>
        <row r="529">
          <cell r="D529" t="str">
            <v>6940-53-0</v>
          </cell>
          <cell r="E529">
            <v>6940530</v>
          </cell>
          <cell r="F529">
            <v>3543</v>
          </cell>
          <cell r="G529" t="str">
            <v>Reach_2214</v>
          </cell>
          <cell r="H529">
            <v>521</v>
          </cell>
          <cell r="J529">
            <v>217.61</v>
          </cell>
          <cell r="K529">
            <v>94.89</v>
          </cell>
          <cell r="L529">
            <v>4.5188700000000005E-2</v>
          </cell>
          <cell r="M529">
            <v>95.667000000000002</v>
          </cell>
          <cell r="N529">
            <v>416.86938347033572</v>
          </cell>
          <cell r="Q529">
            <v>14</v>
          </cell>
        </row>
        <row r="530">
          <cell r="D530" t="str">
            <v>1193-21-1</v>
          </cell>
          <cell r="E530">
            <v>1193211</v>
          </cell>
          <cell r="F530">
            <v>1689</v>
          </cell>
          <cell r="G530" t="str">
            <v>Reach_1670</v>
          </cell>
          <cell r="H530">
            <v>522</v>
          </cell>
          <cell r="J530">
            <v>148.97999999999999</v>
          </cell>
          <cell r="K530">
            <v>25.6</v>
          </cell>
          <cell r="L530">
            <v>58.385400000000004</v>
          </cell>
          <cell r="M530">
            <v>2569.1</v>
          </cell>
          <cell r="N530">
            <v>16.982436524617448</v>
          </cell>
          <cell r="Q530">
            <v>14</v>
          </cell>
        </row>
        <row r="531">
          <cell r="D531" t="str">
            <v>1073-69-4</v>
          </cell>
          <cell r="E531">
            <v>1073694</v>
          </cell>
          <cell r="F531">
            <v>1461</v>
          </cell>
          <cell r="G531" t="str">
            <v>Reach_1643</v>
          </cell>
          <cell r="H531">
            <v>523</v>
          </cell>
          <cell r="J531">
            <v>142.59</v>
          </cell>
          <cell r="K531">
            <v>44.22</v>
          </cell>
          <cell r="L531">
            <v>5.9185200000000009</v>
          </cell>
          <cell r="M531">
            <v>99044</v>
          </cell>
          <cell r="N531">
            <v>27.542287033381665</v>
          </cell>
          <cell r="P531">
            <v>9</v>
          </cell>
          <cell r="Q531">
            <v>5</v>
          </cell>
        </row>
        <row r="532">
          <cell r="D532" t="str">
            <v>4553-62-2</v>
          </cell>
          <cell r="E532">
            <v>4553622</v>
          </cell>
          <cell r="F532">
            <v>2942</v>
          </cell>
          <cell r="G532" t="str">
            <v>Reach_2047</v>
          </cell>
          <cell r="H532">
            <v>524</v>
          </cell>
          <cell r="J532">
            <v>108.15</v>
          </cell>
          <cell r="K532">
            <v>10.72</v>
          </cell>
          <cell r="L532">
            <v>1.7995500000000002</v>
          </cell>
          <cell r="M532">
            <v>198000</v>
          </cell>
          <cell r="N532">
            <v>1.9054607179632475</v>
          </cell>
          <cell r="Q532">
            <v>14</v>
          </cell>
        </row>
        <row r="533">
          <cell r="D533" t="str">
            <v>108-32-7</v>
          </cell>
          <cell r="E533">
            <v>108327</v>
          </cell>
          <cell r="F533">
            <v>1483</v>
          </cell>
          <cell r="G533" t="str">
            <v>Reach_741</v>
          </cell>
          <cell r="H533">
            <v>525</v>
          </cell>
          <cell r="J533">
            <v>102.09</v>
          </cell>
          <cell r="K533">
            <v>19.559999999999999</v>
          </cell>
          <cell r="L533">
            <v>5.5586100000000007</v>
          </cell>
          <cell r="M533">
            <v>956.52</v>
          </cell>
          <cell r="N533">
            <v>1.2022644346174129</v>
          </cell>
          <cell r="Q533">
            <v>14</v>
          </cell>
        </row>
        <row r="534">
          <cell r="D534" t="str">
            <v>6358-64-1</v>
          </cell>
          <cell r="E534">
            <v>6358641</v>
          </cell>
          <cell r="F534">
            <v>3409</v>
          </cell>
          <cell r="G534" t="str">
            <v>Reach_2170</v>
          </cell>
          <cell r="H534">
            <v>526</v>
          </cell>
          <cell r="J534">
            <v>187.63</v>
          </cell>
          <cell r="K534">
            <v>78.61</v>
          </cell>
          <cell r="L534">
            <v>0.16262600000000002</v>
          </cell>
          <cell r="M534">
            <v>1672.9</v>
          </cell>
          <cell r="N534">
            <v>75.857757502918361</v>
          </cell>
          <cell r="P534">
            <v>10.66</v>
          </cell>
          <cell r="Q534">
            <v>3.34</v>
          </cell>
        </row>
        <row r="535">
          <cell r="D535" t="str">
            <v>2893-78-9</v>
          </cell>
          <cell r="E535">
            <v>2893789</v>
          </cell>
          <cell r="F535">
            <v>1213</v>
          </cell>
          <cell r="G535" t="str">
            <v>Reach_1880</v>
          </cell>
          <cell r="H535">
            <v>527</v>
          </cell>
          <cell r="J535">
            <v>219.95</v>
          </cell>
          <cell r="K535">
            <v>0</v>
          </cell>
          <cell r="Q535">
            <v>14</v>
          </cell>
        </row>
        <row r="536">
          <cell r="D536" t="str">
            <v>109-61-5</v>
          </cell>
          <cell r="E536">
            <v>109615</v>
          </cell>
          <cell r="F536">
            <v>1504</v>
          </cell>
          <cell r="G536" t="str">
            <v>Reach_780</v>
          </cell>
          <cell r="H536">
            <v>528</v>
          </cell>
          <cell r="J536">
            <v>122.55</v>
          </cell>
          <cell r="K536">
            <v>-56.54</v>
          </cell>
          <cell r="L536">
            <v>2572.6900000000005</v>
          </cell>
          <cell r="M536">
            <v>6480.9</v>
          </cell>
          <cell r="N536">
            <v>13.182567385564075</v>
          </cell>
          <cell r="Q536">
            <v>14</v>
          </cell>
        </row>
        <row r="537">
          <cell r="D537" t="str">
            <v>288-13-1</v>
          </cell>
          <cell r="E537">
            <v>288131</v>
          </cell>
          <cell r="F537">
            <v>43</v>
          </cell>
          <cell r="G537" t="str">
            <v>Reach_1223</v>
          </cell>
          <cell r="H537">
            <v>529</v>
          </cell>
          <cell r="J537">
            <v>68.081000000000003</v>
          </cell>
          <cell r="K537">
            <v>-0.28000000000000003</v>
          </cell>
          <cell r="L537">
            <v>32.791800000000002</v>
          </cell>
          <cell r="M537">
            <v>419000</v>
          </cell>
          <cell r="N537">
            <v>1.1481536214968828</v>
          </cell>
          <cell r="P537">
            <v>11.5</v>
          </cell>
          <cell r="Q537">
            <v>2.5</v>
          </cell>
        </row>
        <row r="538">
          <cell r="D538" t="str">
            <v>142-16-5</v>
          </cell>
          <cell r="E538">
            <v>142165</v>
          </cell>
          <cell r="F538">
            <v>1948</v>
          </cell>
          <cell r="G538" t="str">
            <v>Reach_1172</v>
          </cell>
          <cell r="H538">
            <v>530</v>
          </cell>
          <cell r="J538">
            <v>340.5</v>
          </cell>
          <cell r="K538">
            <v>28.94</v>
          </cell>
          <cell r="L538">
            <v>0.25993500000000003</v>
          </cell>
          <cell r="M538">
            <v>9.7754000000000001E-3</v>
          </cell>
          <cell r="N538">
            <v>87096358.99560827</v>
          </cell>
          <cell r="Q538">
            <v>14</v>
          </cell>
        </row>
        <row r="539">
          <cell r="D539" t="str">
            <v>506-93-4</v>
          </cell>
          <cell r="E539">
            <v>506934</v>
          </cell>
          <cell r="F539">
            <v>5900</v>
          </cell>
          <cell r="G539" t="str">
            <v>Reach_1313</v>
          </cell>
          <cell r="H539">
            <v>531</v>
          </cell>
          <cell r="J539">
            <v>122.09</v>
          </cell>
          <cell r="K539">
            <v>0</v>
          </cell>
          <cell r="Q539">
            <v>14</v>
          </cell>
        </row>
        <row r="540">
          <cell r="D540" t="str">
            <v>14433-76-2</v>
          </cell>
          <cell r="E540">
            <v>14433762</v>
          </cell>
          <cell r="F540">
            <v>471</v>
          </cell>
          <cell r="G540" t="str">
            <v>Reach_2366</v>
          </cell>
          <cell r="H540">
            <v>532</v>
          </cell>
          <cell r="J540">
            <v>199.34</v>
          </cell>
          <cell r="K540">
            <v>60.83</v>
          </cell>
          <cell r="L540">
            <v>0.20928100000000002</v>
          </cell>
          <cell r="M540">
            <v>0.13014999999999999</v>
          </cell>
          <cell r="N540">
            <v>2754.228703338169</v>
          </cell>
          <cell r="P540">
            <v>14</v>
          </cell>
          <cell r="Q540">
            <v>0</v>
          </cell>
        </row>
        <row r="541">
          <cell r="D541" t="str">
            <v>103-50-4</v>
          </cell>
          <cell r="E541">
            <v>103504</v>
          </cell>
          <cell r="F541">
            <v>1369</v>
          </cell>
          <cell r="G541" t="str">
            <v>Reach_608</v>
          </cell>
          <cell r="H541">
            <v>533</v>
          </cell>
          <cell r="J541">
            <v>198.26</v>
          </cell>
          <cell r="K541">
            <v>55.7</v>
          </cell>
          <cell r="L541">
            <v>0.28926100000000005</v>
          </cell>
          <cell r="M541">
            <v>17.373000000000001</v>
          </cell>
          <cell r="N541">
            <v>3019.9517204020176</v>
          </cell>
          <cell r="Q541">
            <v>14</v>
          </cell>
        </row>
        <row r="542">
          <cell r="D542" t="str">
            <v>77-90-7</v>
          </cell>
          <cell r="E542">
            <v>77907</v>
          </cell>
          <cell r="F542">
            <v>3744</v>
          </cell>
          <cell r="G542" t="str">
            <v>Reach_188</v>
          </cell>
          <cell r="H542">
            <v>534</v>
          </cell>
          <cell r="J542">
            <v>402.48</v>
          </cell>
          <cell r="K542">
            <v>94.35</v>
          </cell>
          <cell r="L542">
            <v>6.0651499999999996E-4</v>
          </cell>
          <cell r="M542">
            <v>3.8826000000000001</v>
          </cell>
          <cell r="N542">
            <v>19498.445997580486</v>
          </cell>
          <cell r="Q542">
            <v>14</v>
          </cell>
        </row>
        <row r="543">
          <cell r="D543" t="str">
            <v>83261-15-8</v>
          </cell>
          <cell r="E543">
            <v>83261158</v>
          </cell>
          <cell r="F543">
            <v>3844</v>
          </cell>
          <cell r="G543" t="str">
            <v>Reach_2965</v>
          </cell>
          <cell r="H543">
            <v>535</v>
          </cell>
          <cell r="J543">
            <v>164.63</v>
          </cell>
          <cell r="K543">
            <v>-38.770000000000003</v>
          </cell>
          <cell r="L543">
            <v>223.94400000000002</v>
          </cell>
          <cell r="M543">
            <v>1237</v>
          </cell>
          <cell r="N543">
            <v>275.42287033381683</v>
          </cell>
          <cell r="Q543">
            <v>14</v>
          </cell>
        </row>
        <row r="544">
          <cell r="D544" t="str">
            <v>14806-72-5</v>
          </cell>
          <cell r="E544">
            <v>14806725</v>
          </cell>
          <cell r="F544">
            <v>5702</v>
          </cell>
          <cell r="G544" t="str">
            <v>Reach_2369</v>
          </cell>
          <cell r="H544">
            <v>536</v>
          </cell>
          <cell r="J544">
            <v>209.24</v>
          </cell>
          <cell r="K544">
            <v>0</v>
          </cell>
          <cell r="Q544">
            <v>14</v>
          </cell>
        </row>
        <row r="545">
          <cell r="D545" t="str">
            <v>1477-55-0</v>
          </cell>
          <cell r="E545">
            <v>1477550</v>
          </cell>
          <cell r="F545">
            <v>1997</v>
          </cell>
          <cell r="G545" t="str">
            <v>Reach_1686</v>
          </cell>
          <cell r="H545">
            <v>537</v>
          </cell>
          <cell r="J545">
            <v>136.19999999999999</v>
          </cell>
          <cell r="K545">
            <v>60.1</v>
          </cell>
          <cell r="L545">
            <v>1.9461800000000002</v>
          </cell>
          <cell r="M545">
            <v>2577.8000000000002</v>
          </cell>
          <cell r="N545">
            <v>1.4125375446227544</v>
          </cell>
          <cell r="P545">
            <v>4.59</v>
          </cell>
          <cell r="Q545">
            <v>9.41</v>
          </cell>
        </row>
        <row r="546">
          <cell r="D546" t="str">
            <v>106-93-4</v>
          </cell>
          <cell r="E546">
            <v>106934</v>
          </cell>
          <cell r="F546">
            <v>202</v>
          </cell>
          <cell r="G546" t="str">
            <v>Reach_683</v>
          </cell>
          <cell r="H546">
            <v>538</v>
          </cell>
          <cell r="J546">
            <v>187.87</v>
          </cell>
          <cell r="K546">
            <v>-39.21</v>
          </cell>
          <cell r="L546">
            <v>1532.95</v>
          </cell>
          <cell r="M546">
            <v>3663.4</v>
          </cell>
          <cell r="N546">
            <v>102.32929922807544</v>
          </cell>
          <cell r="Q546">
            <v>14</v>
          </cell>
        </row>
        <row r="547">
          <cell r="D547" t="str">
            <v>110-97-4</v>
          </cell>
          <cell r="E547">
            <v>110974</v>
          </cell>
          <cell r="F547">
            <v>292</v>
          </cell>
          <cell r="G547" t="str">
            <v>Reach_840</v>
          </cell>
          <cell r="H547">
            <v>539</v>
          </cell>
          <cell r="J547">
            <v>133.19</v>
          </cell>
          <cell r="K547">
            <v>25.83</v>
          </cell>
          <cell r="L547">
            <v>0.17329</v>
          </cell>
          <cell r="M547">
            <v>1000000</v>
          </cell>
          <cell r="N547">
            <v>0.1318256738556407</v>
          </cell>
          <cell r="O547">
            <v>14.68</v>
          </cell>
          <cell r="P547">
            <v>5</v>
          </cell>
          <cell r="Q547">
            <v>9</v>
          </cell>
        </row>
        <row r="548">
          <cell r="D548" t="str">
            <v>85-41-6</v>
          </cell>
          <cell r="E548">
            <v>85416</v>
          </cell>
          <cell r="F548">
            <v>965</v>
          </cell>
          <cell r="G548" t="str">
            <v>Reach_294</v>
          </cell>
          <cell r="H548">
            <v>540</v>
          </cell>
          <cell r="J548">
            <v>147.13</v>
          </cell>
          <cell r="K548">
            <v>177.32</v>
          </cell>
          <cell r="L548">
            <v>1.39965E-6</v>
          </cell>
          <cell r="M548">
            <v>3448.5</v>
          </cell>
          <cell r="N548">
            <v>19.952623149688804</v>
          </cell>
          <cell r="O548">
            <v>9.3000000000000007</v>
          </cell>
          <cell r="Q548">
            <v>9.3000000000000007</v>
          </cell>
        </row>
        <row r="549">
          <cell r="D549" t="str">
            <v>611-20-1</v>
          </cell>
          <cell r="E549">
            <v>611201</v>
          </cell>
          <cell r="F549">
            <v>3327</v>
          </cell>
          <cell r="G549" t="str">
            <v>Reach_1420</v>
          </cell>
          <cell r="H549">
            <v>541</v>
          </cell>
          <cell r="J549">
            <v>119.12</v>
          </cell>
          <cell r="K549">
            <v>53.75</v>
          </cell>
          <cell r="L549">
            <v>0.31858700000000006</v>
          </cell>
          <cell r="M549">
            <v>15064</v>
          </cell>
          <cell r="N549">
            <v>40.738027780411301</v>
          </cell>
          <cell r="O549">
            <v>6.9</v>
          </cell>
          <cell r="Q549">
            <v>6.9</v>
          </cell>
        </row>
        <row r="550">
          <cell r="D550" t="str">
            <v>149-73-5</v>
          </cell>
          <cell r="E550">
            <v>149735</v>
          </cell>
          <cell r="F550">
            <v>480</v>
          </cell>
          <cell r="G550" t="str">
            <v>Reach_1201</v>
          </cell>
          <cell r="H550">
            <v>542</v>
          </cell>
          <cell r="J550">
            <v>106.12</v>
          </cell>
          <cell r="K550">
            <v>-75.540000000000006</v>
          </cell>
          <cell r="L550">
            <v>4878.7800000000007</v>
          </cell>
          <cell r="M550">
            <v>60309</v>
          </cell>
          <cell r="N550">
            <v>0.93325430079699101</v>
          </cell>
          <cell r="Q550">
            <v>14</v>
          </cell>
        </row>
        <row r="551">
          <cell r="D551" t="str">
            <v>98-56-6</v>
          </cell>
          <cell r="E551">
            <v>98566</v>
          </cell>
          <cell r="F551">
            <v>4187</v>
          </cell>
          <cell r="G551" t="str">
            <v>Reach_513</v>
          </cell>
          <cell r="H551">
            <v>543</v>
          </cell>
          <cell r="J551">
            <v>180.56</v>
          </cell>
          <cell r="K551">
            <v>-29.88</v>
          </cell>
          <cell r="L551">
            <v>907.77300000000002</v>
          </cell>
          <cell r="M551">
            <v>41.142000000000003</v>
          </cell>
          <cell r="N551">
            <v>3981.0717055349769</v>
          </cell>
          <cell r="Q551">
            <v>14</v>
          </cell>
        </row>
        <row r="552">
          <cell r="D552" t="str">
            <v>2524-03-0</v>
          </cell>
          <cell r="E552">
            <v>2524030</v>
          </cell>
          <cell r="F552">
            <v>2424</v>
          </cell>
          <cell r="G552" t="str">
            <v>Reach_1828</v>
          </cell>
          <cell r="H552">
            <v>544</v>
          </cell>
          <cell r="J552">
            <v>160.56</v>
          </cell>
          <cell r="K552">
            <v>-97.64</v>
          </cell>
          <cell r="L552">
            <v>399.90000000000003</v>
          </cell>
          <cell r="M552">
            <v>3205.5</v>
          </cell>
          <cell r="N552">
            <v>24.547089156850305</v>
          </cell>
          <cell r="Q552">
            <v>14</v>
          </cell>
        </row>
        <row r="553">
          <cell r="D553" t="str">
            <v>141-79-7</v>
          </cell>
          <cell r="E553">
            <v>141797</v>
          </cell>
          <cell r="F553">
            <v>1942</v>
          </cell>
          <cell r="G553" t="str">
            <v>Reach_1169</v>
          </cell>
          <cell r="H553">
            <v>545</v>
          </cell>
          <cell r="J553">
            <v>98.144999999999996</v>
          </cell>
          <cell r="K553">
            <v>-64.36</v>
          </cell>
          <cell r="L553">
            <v>1639.5900000000001</v>
          </cell>
          <cell r="M553">
            <v>7401</v>
          </cell>
          <cell r="N553">
            <v>23.442288153199236</v>
          </cell>
          <cell r="Q553">
            <v>14</v>
          </cell>
        </row>
        <row r="554">
          <cell r="D554" t="str">
            <v>4454-05-1</v>
          </cell>
          <cell r="E554">
            <v>4454051</v>
          </cell>
          <cell r="F554">
            <v>1269</v>
          </cell>
          <cell r="G554" t="str">
            <v>Reach_2038</v>
          </cell>
          <cell r="H554">
            <v>546</v>
          </cell>
          <cell r="J554">
            <v>114.14</v>
          </cell>
          <cell r="K554">
            <v>-45.34</v>
          </cell>
          <cell r="L554">
            <v>2772.6400000000003</v>
          </cell>
          <cell r="M554">
            <v>18794</v>
          </cell>
          <cell r="N554">
            <v>7.5857757502918375</v>
          </cell>
          <cell r="Q554">
            <v>14</v>
          </cell>
        </row>
        <row r="555">
          <cell r="D555" t="str">
            <v>2436-90-0</v>
          </cell>
          <cell r="E555">
            <v>2436900</v>
          </cell>
          <cell r="F555">
            <v>2390</v>
          </cell>
          <cell r="G555" t="str">
            <v>Reach_1809</v>
          </cell>
          <cell r="H555">
            <v>547</v>
          </cell>
          <cell r="J555">
            <v>138.25</v>
          </cell>
          <cell r="K555">
            <v>-66.11</v>
          </cell>
          <cell r="L555">
            <v>665.16700000000003</v>
          </cell>
          <cell r="M555">
            <v>2.5145</v>
          </cell>
          <cell r="N555">
            <v>75857.757502918481</v>
          </cell>
          <cell r="Q555">
            <v>14</v>
          </cell>
        </row>
        <row r="556">
          <cell r="D556" t="str">
            <v>128-39-2</v>
          </cell>
          <cell r="E556">
            <v>128392</v>
          </cell>
          <cell r="F556">
            <v>1820</v>
          </cell>
          <cell r="G556" t="str">
            <v>Reach_1109</v>
          </cell>
          <cell r="H556">
            <v>548</v>
          </cell>
          <cell r="J556">
            <v>206.33</v>
          </cell>
          <cell r="K556">
            <v>76.959999999999994</v>
          </cell>
          <cell r="L556">
            <v>0.93843200000000015</v>
          </cell>
          <cell r="M556">
            <v>13.183</v>
          </cell>
          <cell r="N556">
            <v>30199.517204020212</v>
          </cell>
          <cell r="O556">
            <v>11.3</v>
          </cell>
          <cell r="Q556">
            <v>11.3</v>
          </cell>
        </row>
        <row r="557">
          <cell r="D557" t="str">
            <v>24800-44-0</v>
          </cell>
          <cell r="E557">
            <v>24800440</v>
          </cell>
          <cell r="F557">
            <v>2404</v>
          </cell>
          <cell r="G557" t="str">
            <v>Reach_2555</v>
          </cell>
          <cell r="H557">
            <v>549</v>
          </cell>
          <cell r="J557">
            <v>192.26</v>
          </cell>
          <cell r="K557">
            <v>45.64</v>
          </cell>
          <cell r="L557">
            <v>6.4250600000000005E-2</v>
          </cell>
          <cell r="M557">
            <v>21919</v>
          </cell>
          <cell r="N557">
            <v>0.31622776601683794</v>
          </cell>
          <cell r="O557">
            <v>14.63</v>
          </cell>
          <cell r="Q557">
            <v>14</v>
          </cell>
        </row>
        <row r="558">
          <cell r="D558" t="str">
            <v>526-98-7</v>
          </cell>
          <cell r="E558">
            <v>526987</v>
          </cell>
          <cell r="F558">
            <v>3071</v>
          </cell>
          <cell r="G558" t="str">
            <v>Reach_1325</v>
          </cell>
          <cell r="H558">
            <v>550</v>
          </cell>
          <cell r="J558">
            <v>194.14</v>
          </cell>
          <cell r="K558">
            <v>157.82</v>
          </cell>
          <cell r="L558">
            <v>8.1046400000000005E-8</v>
          </cell>
          <cell r="M558">
            <v>202000</v>
          </cell>
          <cell r="N558">
            <v>8.9125093813374539E-4</v>
          </cell>
          <cell r="O558">
            <v>1.59</v>
          </cell>
          <cell r="Q558">
            <v>1.59</v>
          </cell>
        </row>
        <row r="559">
          <cell r="D559" t="str">
            <v>80-09-1</v>
          </cell>
          <cell r="E559">
            <v>80091</v>
          </cell>
          <cell r="F559">
            <v>97</v>
          </cell>
          <cell r="G559" t="str">
            <v>Reach_257</v>
          </cell>
          <cell r="H559">
            <v>551</v>
          </cell>
          <cell r="J559">
            <v>250.27</v>
          </cell>
          <cell r="K559">
            <v>176.41</v>
          </cell>
          <cell r="L559">
            <v>6.2917600000000013E-8</v>
          </cell>
          <cell r="M559">
            <v>1980</v>
          </cell>
          <cell r="N559">
            <v>44.668359215096324</v>
          </cell>
          <cell r="O559">
            <v>7.7</v>
          </cell>
          <cell r="Q559">
            <v>7.7</v>
          </cell>
        </row>
        <row r="560">
          <cell r="D560" t="str">
            <v>52829-07-9</v>
          </cell>
          <cell r="E560">
            <v>52829079</v>
          </cell>
          <cell r="F560">
            <v>3077</v>
          </cell>
          <cell r="G560" t="str">
            <v>Reach_2788</v>
          </cell>
          <cell r="H560">
            <v>552</v>
          </cell>
          <cell r="J560">
            <v>480.74</v>
          </cell>
          <cell r="K560">
            <v>210.66</v>
          </cell>
          <cell r="L560">
            <v>4.9720900000000007E-8</v>
          </cell>
          <cell r="M560">
            <v>0.33129999999999998</v>
          </cell>
          <cell r="N560">
            <v>3162277.6601683851</v>
          </cell>
          <cell r="P560">
            <v>4.0999999999999996</v>
          </cell>
          <cell r="Q560">
            <v>9.9</v>
          </cell>
        </row>
        <row r="561">
          <cell r="D561" t="str">
            <v>56966-52-0</v>
          </cell>
          <cell r="E561">
            <v>56966520</v>
          </cell>
          <cell r="F561">
            <v>3219</v>
          </cell>
          <cell r="G561" t="str">
            <v>Reach_2823</v>
          </cell>
          <cell r="H561">
            <v>553</v>
          </cell>
          <cell r="J561">
            <v>288.56</v>
          </cell>
          <cell r="K561">
            <v>137.21</v>
          </cell>
          <cell r="L561">
            <v>2.3194200000000004E-4</v>
          </cell>
          <cell r="M561">
            <v>1.4291</v>
          </cell>
          <cell r="N561">
            <v>16982.436524617482</v>
          </cell>
          <cell r="P561">
            <v>11.16</v>
          </cell>
          <cell r="Q561">
            <v>2.84</v>
          </cell>
        </row>
        <row r="562">
          <cell r="D562" t="str">
            <v>99-88-7</v>
          </cell>
          <cell r="E562">
            <v>99887</v>
          </cell>
          <cell r="F562">
            <v>4221</v>
          </cell>
          <cell r="G562" t="str">
            <v>Reach_541</v>
          </cell>
          <cell r="H562">
            <v>554</v>
          </cell>
          <cell r="J562">
            <v>135.21</v>
          </cell>
          <cell r="K562">
            <v>23.17</v>
          </cell>
          <cell r="L562">
            <v>13.463300000000002</v>
          </cell>
          <cell r="M562">
            <v>246.29</v>
          </cell>
          <cell r="N562">
            <v>338.84415613920248</v>
          </cell>
          <cell r="Q562">
            <v>14</v>
          </cell>
        </row>
        <row r="563">
          <cell r="D563" t="str">
            <v>24549-06-2</v>
          </cell>
          <cell r="E563">
            <v>24549062</v>
          </cell>
          <cell r="F563">
            <v>2397</v>
          </cell>
          <cell r="G563" t="str">
            <v>Reach_2549</v>
          </cell>
          <cell r="H563">
            <v>555</v>
          </cell>
          <cell r="J563">
            <v>135.21</v>
          </cell>
          <cell r="K563">
            <v>40.130000000000003</v>
          </cell>
          <cell r="L563">
            <v>9.8908600000000018</v>
          </cell>
          <cell r="M563">
            <v>1320.3</v>
          </cell>
          <cell r="N563">
            <v>457.0881896148756</v>
          </cell>
          <cell r="Q563">
            <v>14</v>
          </cell>
        </row>
        <row r="564">
          <cell r="D564" t="str">
            <v>4193-55-9</v>
          </cell>
          <cell r="E564">
            <v>4193559</v>
          </cell>
          <cell r="F564">
            <v>5882</v>
          </cell>
          <cell r="G564" t="str">
            <v>Reach_2020</v>
          </cell>
          <cell r="H564">
            <v>556</v>
          </cell>
          <cell r="J564">
            <v>960.97</v>
          </cell>
          <cell r="K564">
            <v>0</v>
          </cell>
          <cell r="Q564">
            <v>14</v>
          </cell>
        </row>
        <row r="565">
          <cell r="D565" t="str">
            <v>6172-80-1</v>
          </cell>
          <cell r="E565">
            <v>6172801</v>
          </cell>
          <cell r="F565">
            <v>3350</v>
          </cell>
          <cell r="G565" t="str">
            <v>Reach_4375</v>
          </cell>
          <cell r="H565">
            <v>557</v>
          </cell>
          <cell r="J565">
            <v>136.13</v>
          </cell>
          <cell r="K565">
            <v>-33.29</v>
          </cell>
          <cell r="L565">
            <v>167.95800000000003</v>
          </cell>
          <cell r="M565">
            <v>31528</v>
          </cell>
          <cell r="N565">
            <v>2.2908676527677732</v>
          </cell>
          <cell r="Q565">
            <v>14</v>
          </cell>
        </row>
        <row r="566">
          <cell r="D566" t="str">
            <v>93-84-5</v>
          </cell>
          <cell r="E566">
            <v>93845</v>
          </cell>
          <cell r="F566">
            <v>4090</v>
          </cell>
          <cell r="G566" t="str">
            <v>Reach_408</v>
          </cell>
          <cell r="H566">
            <v>558</v>
          </cell>
          <cell r="J566">
            <v>179.14</v>
          </cell>
          <cell r="K566">
            <v>148.25</v>
          </cell>
          <cell r="L566">
            <v>5.0387399999999997E-4</v>
          </cell>
          <cell r="M566">
            <v>4171</v>
          </cell>
          <cell r="N566">
            <v>10.471285480509</v>
          </cell>
          <cell r="Q566">
            <v>14</v>
          </cell>
        </row>
        <row r="567">
          <cell r="D567" t="str">
            <v>1003-52-7</v>
          </cell>
          <cell r="E567">
            <v>1003527</v>
          </cell>
          <cell r="F567">
            <v>1302</v>
          </cell>
          <cell r="G567" t="str">
            <v>Reach_1634</v>
          </cell>
          <cell r="H567">
            <v>559</v>
          </cell>
          <cell r="J567">
            <v>108.1</v>
          </cell>
          <cell r="K567">
            <v>15.62</v>
          </cell>
          <cell r="L567">
            <v>96.375900000000001</v>
          </cell>
          <cell r="M567">
            <v>5295.9</v>
          </cell>
          <cell r="N567">
            <v>2.0417379446695296</v>
          </cell>
          <cell r="Q567">
            <v>14</v>
          </cell>
        </row>
        <row r="568">
          <cell r="D568" t="str">
            <v>78-97-7</v>
          </cell>
          <cell r="E568">
            <v>78977</v>
          </cell>
          <cell r="F568">
            <v>3762</v>
          </cell>
          <cell r="G568" t="str">
            <v>Reach_220</v>
          </cell>
          <cell r="H568">
            <v>560</v>
          </cell>
          <cell r="J568">
            <v>71.08</v>
          </cell>
          <cell r="K568">
            <v>-29.23</v>
          </cell>
          <cell r="L568">
            <v>27.059900000000003</v>
          </cell>
          <cell r="M568">
            <v>1480000</v>
          </cell>
          <cell r="N568">
            <v>6.4565422903465536E-2</v>
          </cell>
          <cell r="O568">
            <v>11</v>
          </cell>
          <cell r="Q568">
            <v>11</v>
          </cell>
        </row>
        <row r="569">
          <cell r="D569" t="str">
            <v>13043-55-5</v>
          </cell>
          <cell r="E569">
            <v>13043555</v>
          </cell>
          <cell r="F569">
            <v>1836</v>
          </cell>
          <cell r="G569" t="str">
            <v>Reach_4119</v>
          </cell>
          <cell r="H569">
            <v>561</v>
          </cell>
          <cell r="J569">
            <v>224.43</v>
          </cell>
          <cell r="K569">
            <v>13.02</v>
          </cell>
          <cell r="L569">
            <v>1.9461800000000002</v>
          </cell>
          <cell r="M569">
            <v>1.4237E-3</v>
          </cell>
          <cell r="N569">
            <v>131825673.85564078</v>
          </cell>
          <cell r="Q569">
            <v>14</v>
          </cell>
        </row>
        <row r="570">
          <cell r="D570" t="str">
            <v>97-65-4</v>
          </cell>
          <cell r="E570">
            <v>97654</v>
          </cell>
          <cell r="F570">
            <v>4168</v>
          </cell>
          <cell r="G570" t="str">
            <v>Reach_484</v>
          </cell>
          <cell r="H570">
            <v>562</v>
          </cell>
          <cell r="J570">
            <v>130.1</v>
          </cell>
          <cell r="K570">
            <v>86.6</v>
          </cell>
          <cell r="L570">
            <v>1.194368E-2</v>
          </cell>
          <cell r="M570">
            <v>45071</v>
          </cell>
          <cell r="N570">
            <v>0.45708818961487502</v>
          </cell>
          <cell r="O570">
            <v>3.87</v>
          </cell>
          <cell r="Q570">
            <v>3.87</v>
          </cell>
        </row>
        <row r="571">
          <cell r="D571" t="str">
            <v>109-52-4</v>
          </cell>
          <cell r="E571">
            <v>109524</v>
          </cell>
          <cell r="F571">
            <v>256</v>
          </cell>
          <cell r="G571" t="str">
            <v>Reach_774</v>
          </cell>
          <cell r="H571">
            <v>563</v>
          </cell>
          <cell r="J571">
            <v>102.13</v>
          </cell>
          <cell r="K571">
            <v>14.76</v>
          </cell>
          <cell r="L571">
            <v>95.576100000000011</v>
          </cell>
          <cell r="M571">
            <v>34722</v>
          </cell>
          <cell r="N571">
            <v>36.307805477010156</v>
          </cell>
          <cell r="O571">
            <v>4.9000000000000004</v>
          </cell>
          <cell r="Q571">
            <v>4.9000000000000004</v>
          </cell>
        </row>
        <row r="572">
          <cell r="D572" t="str">
            <v>79-94-7</v>
          </cell>
          <cell r="E572">
            <v>79947</v>
          </cell>
          <cell r="F572">
            <v>929</v>
          </cell>
          <cell r="G572" t="str">
            <v>Reach_252</v>
          </cell>
          <cell r="H572">
            <v>564</v>
          </cell>
          <cell r="J572">
            <v>543.9</v>
          </cell>
          <cell r="K572">
            <v>206.22</v>
          </cell>
          <cell r="L572">
            <v>4.6121800000000005E-9</v>
          </cell>
          <cell r="M572">
            <v>1.8883000000000001E-3</v>
          </cell>
          <cell r="N572">
            <v>15848931.924611172</v>
          </cell>
          <cell r="O572">
            <v>7.73</v>
          </cell>
          <cell r="Q572">
            <v>7.73</v>
          </cell>
        </row>
        <row r="573">
          <cell r="D573" t="str">
            <v>37640-57-6</v>
          </cell>
          <cell r="E573">
            <v>37640576</v>
          </cell>
          <cell r="F573">
            <v>5868</v>
          </cell>
          <cell r="G573" t="str">
            <v>Reach_2711</v>
          </cell>
          <cell r="H573">
            <v>565</v>
          </cell>
          <cell r="J573">
            <v>255.21</v>
          </cell>
          <cell r="K573">
            <v>0</v>
          </cell>
          <cell r="Q573">
            <v>14</v>
          </cell>
        </row>
        <row r="574">
          <cell r="D574" t="str">
            <v>6485-55-8</v>
          </cell>
          <cell r="E574">
            <v>6485558</v>
          </cell>
          <cell r="F574">
            <v>3445</v>
          </cell>
          <cell r="G574" t="str">
            <v>Reach_2190</v>
          </cell>
          <cell r="H574">
            <v>566</v>
          </cell>
          <cell r="J574">
            <v>115.18</v>
          </cell>
          <cell r="K574">
            <v>0.94</v>
          </cell>
          <cell r="L574">
            <v>625.17700000000013</v>
          </cell>
          <cell r="M574">
            <v>5035</v>
          </cell>
          <cell r="N574">
            <v>1.9054607179632475</v>
          </cell>
          <cell r="Q574">
            <v>14</v>
          </cell>
        </row>
        <row r="575">
          <cell r="D575" t="str">
            <v>15667-63-7</v>
          </cell>
          <cell r="E575">
            <v>15667637</v>
          </cell>
          <cell r="F575">
            <v>2049</v>
          </cell>
          <cell r="G575" t="str">
            <v>Reach_2392</v>
          </cell>
          <cell r="H575">
            <v>567</v>
          </cell>
          <cell r="J575">
            <v>125.13</v>
          </cell>
          <cell r="K575">
            <v>-157.5</v>
          </cell>
          <cell r="L575">
            <v>1559.6100000000001</v>
          </cell>
          <cell r="M575">
            <v>14224</v>
          </cell>
          <cell r="N575">
            <v>1.4791083881682074</v>
          </cell>
          <cell r="Q575">
            <v>14</v>
          </cell>
        </row>
        <row r="576">
          <cell r="D576" t="str">
            <v>2549-53-3</v>
          </cell>
          <cell r="E576">
            <v>2549533</v>
          </cell>
          <cell r="F576">
            <v>2435</v>
          </cell>
          <cell r="G576" t="str">
            <v>Reach_1835</v>
          </cell>
          <cell r="H576">
            <v>568</v>
          </cell>
          <cell r="J576">
            <v>282.47000000000003</v>
          </cell>
          <cell r="K576">
            <v>54.72</v>
          </cell>
          <cell r="L576">
            <v>2.3727399999999999E-2</v>
          </cell>
          <cell r="M576">
            <v>1.8180000000000002E-2</v>
          </cell>
          <cell r="N576">
            <v>45708818.961487569</v>
          </cell>
          <cell r="Q576">
            <v>14</v>
          </cell>
        </row>
        <row r="577">
          <cell r="D577" t="str">
            <v>35453-19-1</v>
          </cell>
          <cell r="E577">
            <v>35453191</v>
          </cell>
          <cell r="F577">
            <v>2736</v>
          </cell>
          <cell r="G577" t="str">
            <v>Reach_2691</v>
          </cell>
          <cell r="H577">
            <v>569</v>
          </cell>
          <cell r="J577">
            <v>558.82000000000005</v>
          </cell>
          <cell r="K577">
            <v>231.65</v>
          </cell>
          <cell r="L577">
            <v>1.9995E-9</v>
          </cell>
          <cell r="M577">
            <v>1.6581999999999999</v>
          </cell>
          <cell r="N577">
            <v>138.0384264602886</v>
          </cell>
          <cell r="O577">
            <v>1.31</v>
          </cell>
          <cell r="Q577">
            <v>1.31</v>
          </cell>
        </row>
        <row r="578">
          <cell r="D578" t="str">
            <v>75-08-1</v>
          </cell>
          <cell r="E578">
            <v>75081</v>
          </cell>
          <cell r="F578">
            <v>849</v>
          </cell>
          <cell r="G578" t="str">
            <v>Reach_128</v>
          </cell>
          <cell r="H578">
            <v>570</v>
          </cell>
          <cell r="J578">
            <v>62.134</v>
          </cell>
          <cell r="K578">
            <v>-102.09</v>
          </cell>
          <cell r="L578">
            <v>69316</v>
          </cell>
          <cell r="M578">
            <v>9092.1</v>
          </cell>
          <cell r="N578">
            <v>18.62087136662868</v>
          </cell>
          <cell r="O578">
            <v>10.7</v>
          </cell>
          <cell r="Q578">
            <v>10.7</v>
          </cell>
        </row>
        <row r="579">
          <cell r="D579" t="str">
            <v>3238-40-2</v>
          </cell>
          <cell r="E579">
            <v>3238402</v>
          </cell>
          <cell r="F579">
            <v>2650</v>
          </cell>
          <cell r="G579" t="str">
            <v>Reach_1937</v>
          </cell>
          <cell r="H579">
            <v>571</v>
          </cell>
          <cell r="J579">
            <v>156.09</v>
          </cell>
          <cell r="K579">
            <v>118.2</v>
          </cell>
          <cell r="L579">
            <v>1.2503540000000003E-5</v>
          </cell>
          <cell r="M579">
            <v>87650</v>
          </cell>
          <cell r="N579">
            <v>7.5857757502918375</v>
          </cell>
          <cell r="O579">
            <v>2.63</v>
          </cell>
          <cell r="Q579">
            <v>2.63</v>
          </cell>
        </row>
        <row r="580">
          <cell r="D580" t="str">
            <v>167004-78-6</v>
          </cell>
          <cell r="E580">
            <v>167004786</v>
          </cell>
          <cell r="F580">
            <v>2110</v>
          </cell>
          <cell r="G580" t="str">
            <v>Reach_4176</v>
          </cell>
          <cell r="H580">
            <v>572</v>
          </cell>
          <cell r="J580">
            <v>261.26</v>
          </cell>
          <cell r="K580">
            <v>-44.74</v>
          </cell>
          <cell r="L580">
            <v>0.10184120000000001</v>
          </cell>
          <cell r="M580">
            <v>2417.9</v>
          </cell>
          <cell r="N580">
            <v>0.70794578438413791</v>
          </cell>
          <cell r="Q580">
            <v>14</v>
          </cell>
        </row>
        <row r="581">
          <cell r="D581" t="str">
            <v>939-97-9</v>
          </cell>
          <cell r="E581">
            <v>939979</v>
          </cell>
          <cell r="F581">
            <v>4095</v>
          </cell>
          <cell r="G581" t="str">
            <v>Reach_1613</v>
          </cell>
          <cell r="H581">
            <v>573</v>
          </cell>
          <cell r="J581">
            <v>162.22999999999999</v>
          </cell>
          <cell r="K581">
            <v>25.03</v>
          </cell>
          <cell r="L581">
            <v>6.0918100000000006</v>
          </cell>
          <cell r="M581">
            <v>54.654000000000003</v>
          </cell>
          <cell r="N581">
            <v>4168.6938347033583</v>
          </cell>
          <cell r="Q581">
            <v>14</v>
          </cell>
        </row>
        <row r="582">
          <cell r="D582" t="str">
            <v>18479-58-8</v>
          </cell>
          <cell r="E582">
            <v>18479588</v>
          </cell>
          <cell r="F582">
            <v>2192</v>
          </cell>
          <cell r="G582" t="str">
            <v>Reach_2463</v>
          </cell>
          <cell r="H582">
            <v>574</v>
          </cell>
          <cell r="J582">
            <v>156.27000000000001</v>
          </cell>
          <cell r="K582">
            <v>-13.1</v>
          </cell>
          <cell r="L582">
            <v>16.529200000000003</v>
          </cell>
          <cell r="M582">
            <v>736.33</v>
          </cell>
          <cell r="N582">
            <v>2951.2092266663899</v>
          </cell>
          <cell r="O582">
            <v>16</v>
          </cell>
          <cell r="Q582">
            <v>14</v>
          </cell>
        </row>
        <row r="583">
          <cell r="D583" t="str">
            <v>121-03-9</v>
          </cell>
          <cell r="E583">
            <v>121039</v>
          </cell>
          <cell r="F583">
            <v>1722</v>
          </cell>
          <cell r="G583" t="str">
            <v>Reach_1007</v>
          </cell>
          <cell r="H583">
            <v>575</v>
          </cell>
          <cell r="J583">
            <v>217.2</v>
          </cell>
          <cell r="K583">
            <v>150.57</v>
          </cell>
          <cell r="L583">
            <v>2.9192700000000002E-6</v>
          </cell>
          <cell r="M583">
            <v>788.43</v>
          </cell>
          <cell r="N583">
            <v>0.15848931924611132</v>
          </cell>
          <cell r="O583">
            <v>0.18</v>
          </cell>
          <cell r="Q583">
            <v>0.18</v>
          </cell>
        </row>
        <row r="584">
          <cell r="D584" t="str">
            <v>590-86-3</v>
          </cell>
          <cell r="E584">
            <v>590863</v>
          </cell>
          <cell r="F584">
            <v>733</v>
          </cell>
          <cell r="G584" t="str">
            <v>Reach_1389</v>
          </cell>
          <cell r="H584">
            <v>576</v>
          </cell>
          <cell r="J584">
            <v>86.134</v>
          </cell>
          <cell r="K584">
            <v>-79.260000000000005</v>
          </cell>
          <cell r="L584">
            <v>6878.2800000000007</v>
          </cell>
          <cell r="M584">
            <v>18730</v>
          </cell>
          <cell r="N584">
            <v>16.982436524617448</v>
          </cell>
          <cell r="Q584">
            <v>14</v>
          </cell>
        </row>
        <row r="585">
          <cell r="D585" t="str">
            <v>100-54-9</v>
          </cell>
          <cell r="E585">
            <v>100549</v>
          </cell>
          <cell r="F585">
            <v>131</v>
          </cell>
          <cell r="G585" t="str">
            <v>Reach_563</v>
          </cell>
          <cell r="H585">
            <v>577</v>
          </cell>
          <cell r="J585">
            <v>104.11</v>
          </cell>
          <cell r="K585">
            <v>25.39</v>
          </cell>
          <cell r="L585">
            <v>17.995500000000003</v>
          </cell>
          <cell r="M585">
            <v>17768</v>
          </cell>
          <cell r="N585">
            <v>2.2387211385683394</v>
          </cell>
          <cell r="P585">
            <v>13</v>
          </cell>
          <cell r="Q585">
            <v>1</v>
          </cell>
        </row>
        <row r="586">
          <cell r="D586" t="str">
            <v>393-75-9</v>
          </cell>
          <cell r="E586">
            <v>393759</v>
          </cell>
          <cell r="F586">
            <v>2839</v>
          </cell>
          <cell r="G586" t="str">
            <v>Reach_1265</v>
          </cell>
          <cell r="H586">
            <v>578</v>
          </cell>
          <cell r="J586">
            <v>270.55</v>
          </cell>
          <cell r="K586">
            <v>101.87</v>
          </cell>
          <cell r="L586">
            <v>5.07873E-2</v>
          </cell>
          <cell r="M586">
            <v>0.59750999999999999</v>
          </cell>
          <cell r="N586">
            <v>1737.8008287493772</v>
          </cell>
          <cell r="Q586">
            <v>14</v>
          </cell>
        </row>
        <row r="587">
          <cell r="D587" t="str">
            <v>112-91-4</v>
          </cell>
          <cell r="E587">
            <v>112914</v>
          </cell>
          <cell r="F587">
            <v>1610</v>
          </cell>
          <cell r="G587" t="str">
            <v>Reach_929</v>
          </cell>
          <cell r="H587">
            <v>579</v>
          </cell>
          <cell r="J587">
            <v>263.47000000000003</v>
          </cell>
          <cell r="K587">
            <v>88.35</v>
          </cell>
          <cell r="L587">
            <v>9.4509700000000012E-3</v>
          </cell>
          <cell r="M587">
            <v>9.2559999999999995E-4</v>
          </cell>
          <cell r="N587">
            <v>31622776.601683889</v>
          </cell>
          <cell r="Q587">
            <v>14</v>
          </cell>
        </row>
        <row r="588">
          <cell r="D588" t="str">
            <v>106-94-5</v>
          </cell>
          <cell r="E588">
            <v>106945</v>
          </cell>
          <cell r="F588">
            <v>203</v>
          </cell>
          <cell r="G588" t="str">
            <v>Reach_684</v>
          </cell>
          <cell r="H588">
            <v>580</v>
          </cell>
          <cell r="J588">
            <v>123</v>
          </cell>
          <cell r="K588">
            <v>-79.08</v>
          </cell>
          <cell r="L588">
            <v>18262.100000000002</v>
          </cell>
          <cell r="M588">
            <v>2228</v>
          </cell>
          <cell r="N588">
            <v>144.54397707459285</v>
          </cell>
          <cell r="Q588">
            <v>14</v>
          </cell>
        </row>
        <row r="589">
          <cell r="D589" t="str">
            <v>45021-77-0</v>
          </cell>
          <cell r="E589">
            <v>45021770</v>
          </cell>
          <cell r="F589">
            <v>5890</v>
          </cell>
          <cell r="G589" t="str">
            <v>Reach_2757</v>
          </cell>
          <cell r="H589">
            <v>581</v>
          </cell>
          <cell r="J589">
            <v>206.72</v>
          </cell>
          <cell r="K589">
            <v>0</v>
          </cell>
          <cell r="Q589">
            <v>14</v>
          </cell>
        </row>
        <row r="590">
          <cell r="D590" t="str">
            <v>106-92-3</v>
          </cell>
          <cell r="E590">
            <v>106923</v>
          </cell>
          <cell r="F590">
            <v>201</v>
          </cell>
          <cell r="G590" t="str">
            <v>Reach_682</v>
          </cell>
          <cell r="H590">
            <v>582</v>
          </cell>
          <cell r="J590">
            <v>114.14</v>
          </cell>
          <cell r="K590">
            <v>-44.51</v>
          </cell>
          <cell r="L590">
            <v>573.19000000000005</v>
          </cell>
          <cell r="M590">
            <v>61775</v>
          </cell>
          <cell r="N590">
            <v>2.8183829312644542</v>
          </cell>
          <cell r="Q590">
            <v>14</v>
          </cell>
        </row>
        <row r="591">
          <cell r="D591" t="str">
            <v>924-42-5</v>
          </cell>
          <cell r="E591">
            <v>924425</v>
          </cell>
          <cell r="F591">
            <v>4033</v>
          </cell>
          <cell r="G591" t="str">
            <v>Reach_1593</v>
          </cell>
          <cell r="H591">
            <v>583</v>
          </cell>
          <cell r="J591">
            <v>101.11</v>
          </cell>
          <cell r="K591">
            <v>69.459999999999994</v>
          </cell>
          <cell r="L591">
            <v>2.73265E-2</v>
          </cell>
          <cell r="M591">
            <v>234000</v>
          </cell>
          <cell r="N591">
            <v>1.5488166189124804E-2</v>
          </cell>
          <cell r="O591">
            <v>13.3</v>
          </cell>
          <cell r="P591">
            <v>15.3</v>
          </cell>
          <cell r="Q591">
            <v>-1.3000000000000007</v>
          </cell>
        </row>
        <row r="592">
          <cell r="D592" t="str">
            <v>96-49-1</v>
          </cell>
          <cell r="E592">
            <v>96491</v>
          </cell>
          <cell r="F592">
            <v>4149</v>
          </cell>
          <cell r="G592" t="str">
            <v>Reach_467</v>
          </cell>
          <cell r="H592">
            <v>584</v>
          </cell>
          <cell r="J592">
            <v>88.061999999999998</v>
          </cell>
          <cell r="K592">
            <v>12.9</v>
          </cell>
          <cell r="L592">
            <v>2.9059400000000002</v>
          </cell>
          <cell r="M592">
            <v>102000</v>
          </cell>
          <cell r="N592">
            <v>0.45708818961487502</v>
          </cell>
          <cell r="Q592">
            <v>14</v>
          </cell>
        </row>
        <row r="593">
          <cell r="D593" t="str">
            <v>540-84-1</v>
          </cell>
          <cell r="E593">
            <v>540841</v>
          </cell>
          <cell r="F593">
            <v>3122</v>
          </cell>
          <cell r="G593" t="str">
            <v>Reach_1335</v>
          </cell>
          <cell r="H593">
            <v>585</v>
          </cell>
          <cell r="J593">
            <v>114.23</v>
          </cell>
          <cell r="K593">
            <v>-85.96</v>
          </cell>
          <cell r="L593">
            <v>5945.18</v>
          </cell>
          <cell r="M593">
            <v>2.0449999999999999</v>
          </cell>
          <cell r="N593">
            <v>12302.687708123816</v>
          </cell>
          <cell r="Q593">
            <v>14</v>
          </cell>
        </row>
        <row r="594">
          <cell r="D594" t="str">
            <v>84-66-2</v>
          </cell>
          <cell r="E594">
            <v>84662</v>
          </cell>
          <cell r="F594">
            <v>961</v>
          </cell>
          <cell r="G594" t="str">
            <v>Reach_288</v>
          </cell>
          <cell r="H594">
            <v>586</v>
          </cell>
          <cell r="J594">
            <v>222.24</v>
          </cell>
          <cell r="K594">
            <v>-1.74</v>
          </cell>
          <cell r="L594">
            <v>0.33858200000000005</v>
          </cell>
          <cell r="M594">
            <v>531.89</v>
          </cell>
          <cell r="N594">
            <v>446.68359215096331</v>
          </cell>
          <cell r="Q594">
            <v>14</v>
          </cell>
        </row>
        <row r="595">
          <cell r="D595" t="str">
            <v>105-45-3</v>
          </cell>
          <cell r="E595">
            <v>105453</v>
          </cell>
          <cell r="F595">
            <v>1413</v>
          </cell>
          <cell r="G595" t="str">
            <v>Reach_640</v>
          </cell>
          <cell r="H595">
            <v>587</v>
          </cell>
          <cell r="J595">
            <v>116.12</v>
          </cell>
          <cell r="K595">
            <v>-31.21</v>
          </cell>
          <cell r="L595">
            <v>165.292</v>
          </cell>
          <cell r="M595">
            <v>33630</v>
          </cell>
          <cell r="N595">
            <v>0.20417379446695291</v>
          </cell>
          <cell r="O595">
            <v>10.6</v>
          </cell>
          <cell r="Q595">
            <v>10.6</v>
          </cell>
        </row>
        <row r="596">
          <cell r="D596" t="str">
            <v>110-05-4</v>
          </cell>
          <cell r="E596">
            <v>110054</v>
          </cell>
          <cell r="F596">
            <v>1514</v>
          </cell>
          <cell r="G596" t="str">
            <v>Reach_803</v>
          </cell>
          <cell r="H596">
            <v>588</v>
          </cell>
          <cell r="J596">
            <v>146.22999999999999</v>
          </cell>
          <cell r="K596">
            <v>-43.27</v>
          </cell>
          <cell r="L596">
            <v>3652.42</v>
          </cell>
          <cell r="M596">
            <v>183.41</v>
          </cell>
          <cell r="N596">
            <v>2818.3829312644561</v>
          </cell>
          <cell r="Q596">
            <v>14</v>
          </cell>
        </row>
        <row r="597">
          <cell r="D597" t="str">
            <v>119-61-9</v>
          </cell>
          <cell r="E597">
            <v>119619</v>
          </cell>
          <cell r="F597">
            <v>354</v>
          </cell>
          <cell r="G597" t="str">
            <v>Reach_982</v>
          </cell>
          <cell r="H597">
            <v>589</v>
          </cell>
          <cell r="J597">
            <v>182.22</v>
          </cell>
          <cell r="K597">
            <v>63.55</v>
          </cell>
          <cell r="L597">
            <v>0.12076980000000001</v>
          </cell>
          <cell r="M597">
            <v>47.765999999999998</v>
          </cell>
          <cell r="N597">
            <v>1412.5375446227545</v>
          </cell>
          <cell r="Q597">
            <v>14</v>
          </cell>
        </row>
        <row r="598">
          <cell r="D598" t="str">
            <v>92-52-4</v>
          </cell>
          <cell r="E598">
            <v>92524</v>
          </cell>
          <cell r="F598">
            <v>1012</v>
          </cell>
          <cell r="G598" t="str">
            <v>Reach_385</v>
          </cell>
          <cell r="H598">
            <v>590</v>
          </cell>
          <cell r="J598">
            <v>154.21</v>
          </cell>
          <cell r="K598">
            <v>25.07</v>
          </cell>
          <cell r="L598">
            <v>0.99841700000000011</v>
          </cell>
          <cell r="M598">
            <v>5.0316000000000001</v>
          </cell>
          <cell r="N598">
            <v>5754.399373371567</v>
          </cell>
          <cell r="Q598">
            <v>14</v>
          </cell>
        </row>
        <row r="599">
          <cell r="D599" t="str">
            <v>79-77-6</v>
          </cell>
          <cell r="E599">
            <v>79776</v>
          </cell>
          <cell r="F599">
            <v>926</v>
          </cell>
          <cell r="G599" t="str">
            <v>Reach_249</v>
          </cell>
          <cell r="H599">
            <v>591</v>
          </cell>
          <cell r="J599">
            <v>192.3</v>
          </cell>
          <cell r="K599">
            <v>52.45</v>
          </cell>
          <cell r="L599">
            <v>3.0259100000000005</v>
          </cell>
          <cell r="M599">
            <v>322.63</v>
          </cell>
          <cell r="N599">
            <v>26302.679918953829</v>
          </cell>
          <cell r="Q599">
            <v>14</v>
          </cell>
        </row>
        <row r="600">
          <cell r="D600" t="str">
            <v>2495-27-4</v>
          </cell>
          <cell r="E600">
            <v>2495274</v>
          </cell>
          <cell r="F600">
            <v>2410</v>
          </cell>
          <cell r="G600" t="str">
            <v>Reach_1821</v>
          </cell>
          <cell r="H600">
            <v>592</v>
          </cell>
          <cell r="J600">
            <v>310.52</v>
          </cell>
          <cell r="K600">
            <v>81.569999999999993</v>
          </cell>
          <cell r="L600">
            <v>3.5457800000000001E-3</v>
          </cell>
          <cell r="M600">
            <v>4.4562999999999998E-3</v>
          </cell>
          <cell r="N600">
            <v>436515832.24016714</v>
          </cell>
          <cell r="Q600">
            <v>14</v>
          </cell>
        </row>
        <row r="601">
          <cell r="D601" t="str">
            <v>15214-89-8</v>
          </cell>
          <cell r="E601">
            <v>15214898</v>
          </cell>
          <cell r="F601">
            <v>2021</v>
          </cell>
          <cell r="G601" t="str">
            <v>Reach_2378</v>
          </cell>
          <cell r="H601">
            <v>593</v>
          </cell>
          <cell r="J601">
            <v>207.25</v>
          </cell>
          <cell r="K601">
            <v>160.78</v>
          </cell>
          <cell r="L601">
            <v>8.997750000000001E-7</v>
          </cell>
          <cell r="M601">
            <v>41125</v>
          </cell>
          <cell r="N601">
            <v>6.4565422903465524E-3</v>
          </cell>
          <cell r="O601">
            <v>1.19</v>
          </cell>
          <cell r="P601">
            <v>15.93</v>
          </cell>
          <cell r="Q601">
            <v>-1.9299999999999997</v>
          </cell>
        </row>
        <row r="602">
          <cell r="D602" t="str">
            <v>107-88-0</v>
          </cell>
          <cell r="E602">
            <v>107880</v>
          </cell>
          <cell r="F602">
            <v>1470</v>
          </cell>
          <cell r="G602" t="str">
            <v>Reach_718</v>
          </cell>
          <cell r="H602">
            <v>594</v>
          </cell>
          <cell r="J602">
            <v>90.122</v>
          </cell>
          <cell r="K602">
            <v>-21.13</v>
          </cell>
          <cell r="L602">
            <v>4.2789299999999999</v>
          </cell>
          <cell r="M602">
            <v>1000000</v>
          </cell>
          <cell r="N602">
            <v>0.51286138399136483</v>
          </cell>
          <cell r="O602">
            <v>15.33</v>
          </cell>
          <cell r="Q602">
            <v>14</v>
          </cell>
        </row>
        <row r="603">
          <cell r="D603" t="str">
            <v>15625-89-5</v>
          </cell>
          <cell r="E603">
            <v>15625895</v>
          </cell>
          <cell r="F603">
            <v>2046</v>
          </cell>
          <cell r="G603" t="str">
            <v>Reach_2391</v>
          </cell>
          <cell r="H603">
            <v>595</v>
          </cell>
          <cell r="J603">
            <v>296.32</v>
          </cell>
          <cell r="K603">
            <v>27.19</v>
          </cell>
          <cell r="L603">
            <v>7.5047900000000015E-2</v>
          </cell>
          <cell r="M603">
            <v>71.174000000000007</v>
          </cell>
          <cell r="N603">
            <v>724.43596007499025</v>
          </cell>
          <cell r="Q603">
            <v>14</v>
          </cell>
        </row>
        <row r="604">
          <cell r="D604" t="str">
            <v>5102-83-0</v>
          </cell>
          <cell r="E604">
            <v>5102830</v>
          </cell>
          <cell r="F604">
            <v>3025</v>
          </cell>
          <cell r="G604" t="str">
            <v>Reach_2078</v>
          </cell>
          <cell r="H604">
            <v>596</v>
          </cell>
          <cell r="J604">
            <v>685.62</v>
          </cell>
          <cell r="K604">
            <v>349.84</v>
          </cell>
          <cell r="L604">
            <v>6.1584600000000007E-21</v>
          </cell>
          <cell r="M604">
            <v>1.5099999999999999E-6</v>
          </cell>
          <cell r="N604">
            <v>128824955.16931349</v>
          </cell>
          <cell r="O604">
            <v>8.4499999999999993</v>
          </cell>
          <cell r="P604">
            <v>13.38</v>
          </cell>
          <cell r="Q604">
            <v>0.61999999999999922</v>
          </cell>
        </row>
        <row r="605">
          <cell r="D605" t="str">
            <v>106-88-7</v>
          </cell>
          <cell r="E605">
            <v>106887</v>
          </cell>
          <cell r="F605">
            <v>1447</v>
          </cell>
          <cell r="G605" t="str">
            <v>Reach_679</v>
          </cell>
          <cell r="H605">
            <v>597</v>
          </cell>
          <cell r="J605">
            <v>72.106999999999999</v>
          </cell>
          <cell r="K605">
            <v>-86.99</v>
          </cell>
          <cell r="L605">
            <v>24660.500000000004</v>
          </cell>
          <cell r="M605">
            <v>29033</v>
          </cell>
          <cell r="N605">
            <v>7.2443596007499025</v>
          </cell>
          <cell r="Q605">
            <v>14</v>
          </cell>
        </row>
        <row r="606">
          <cell r="D606" t="str">
            <v>69416-61-1</v>
          </cell>
          <cell r="E606">
            <v>69416611</v>
          </cell>
          <cell r="F606">
            <v>6001</v>
          </cell>
          <cell r="G606" t="str">
            <v>Reach_2915</v>
          </cell>
          <cell r="H606">
            <v>598</v>
          </cell>
          <cell r="J606">
            <v>303.36</v>
          </cell>
          <cell r="K606">
            <v>0</v>
          </cell>
          <cell r="Q606">
            <v>14</v>
          </cell>
        </row>
        <row r="607">
          <cell r="D607" t="str">
            <v>108-11-2</v>
          </cell>
          <cell r="E607">
            <v>108112</v>
          </cell>
          <cell r="F607">
            <v>230</v>
          </cell>
          <cell r="G607" t="str">
            <v>Reach_729</v>
          </cell>
          <cell r="H607">
            <v>599</v>
          </cell>
          <cell r="J607">
            <v>102.18</v>
          </cell>
          <cell r="K607">
            <v>-62.85</v>
          </cell>
          <cell r="L607">
            <v>498.54200000000009</v>
          </cell>
          <cell r="M607">
            <v>15780</v>
          </cell>
          <cell r="N607">
            <v>47.863009232263856</v>
          </cell>
          <cell r="O607">
            <v>16</v>
          </cell>
          <cell r="Q607">
            <v>14</v>
          </cell>
        </row>
        <row r="608">
          <cell r="D608" t="str">
            <v>26399-02-0</v>
          </cell>
          <cell r="E608">
            <v>26399020</v>
          </cell>
          <cell r="F608">
            <v>2468</v>
          </cell>
          <cell r="G608" t="str">
            <v>Reach_2581</v>
          </cell>
          <cell r="H608">
            <v>600</v>
          </cell>
          <cell r="J608">
            <v>394.68</v>
          </cell>
          <cell r="K608">
            <v>133.71</v>
          </cell>
          <cell r="L608">
            <v>1.98617E-5</v>
          </cell>
          <cell r="M608">
            <v>5.9900000000000002E-6</v>
          </cell>
          <cell r="N608">
            <v>239883291901.95023</v>
          </cell>
          <cell r="Q608">
            <v>14</v>
          </cell>
        </row>
        <row r="609">
          <cell r="D609" t="str">
            <v>760-67-8</v>
          </cell>
          <cell r="E609">
            <v>760678</v>
          </cell>
          <cell r="F609">
            <v>3697</v>
          </cell>
          <cell r="G609" t="str">
            <v>Reach_1531</v>
          </cell>
          <cell r="H609">
            <v>601</v>
          </cell>
          <cell r="J609">
            <v>162.66</v>
          </cell>
          <cell r="K609">
            <v>-17.739999999999998</v>
          </cell>
          <cell r="L609">
            <v>57.852200000000003</v>
          </cell>
          <cell r="M609">
            <v>20.215</v>
          </cell>
          <cell r="N609">
            <v>251.18864315095806</v>
          </cell>
          <cell r="Q609">
            <v>14</v>
          </cell>
        </row>
        <row r="610">
          <cell r="D610" t="str">
            <v>2530-87-2</v>
          </cell>
          <cell r="E610">
            <v>2530872</v>
          </cell>
          <cell r="F610">
            <v>2430</v>
          </cell>
          <cell r="G610" t="str">
            <v>Reach_1832</v>
          </cell>
          <cell r="H610">
            <v>602</v>
          </cell>
          <cell r="J610">
            <v>198.72</v>
          </cell>
          <cell r="K610">
            <v>-3.74</v>
          </cell>
          <cell r="L610">
            <v>45.32200000000001</v>
          </cell>
          <cell r="M610">
            <v>2166.8000000000002</v>
          </cell>
          <cell r="N610">
            <v>3.630780547701014</v>
          </cell>
          <cell r="Q610">
            <v>14</v>
          </cell>
        </row>
        <row r="611">
          <cell r="D611" t="str">
            <v>551-16-6</v>
          </cell>
          <cell r="E611">
            <v>551166</v>
          </cell>
          <cell r="F611">
            <v>3161</v>
          </cell>
          <cell r="G611" t="str">
            <v>Reach_1357</v>
          </cell>
          <cell r="H611">
            <v>603</v>
          </cell>
          <cell r="J611">
            <v>216.26</v>
          </cell>
          <cell r="K611">
            <v>296.14999999999998</v>
          </cell>
          <cell r="L611">
            <v>2.4393900000000002E-7</v>
          </cell>
          <cell r="M611">
            <v>5833.8</v>
          </cell>
          <cell r="N611">
            <v>3.9810717055349727</v>
          </cell>
          <cell r="O611">
            <v>4</v>
          </cell>
          <cell r="P611">
            <v>7.04</v>
          </cell>
          <cell r="Q611">
            <v>4</v>
          </cell>
        </row>
        <row r="612">
          <cell r="D612" t="str">
            <v>15708-41-5</v>
          </cell>
          <cell r="E612">
            <v>15708415</v>
          </cell>
          <cell r="F612">
            <v>1199</v>
          </cell>
          <cell r="G612" t="str">
            <v>Reach_2394</v>
          </cell>
          <cell r="H612">
            <v>604</v>
          </cell>
          <cell r="J612">
            <v>367.06</v>
          </cell>
          <cell r="K612">
            <v>0</v>
          </cell>
          <cell r="Q612">
            <v>14</v>
          </cell>
        </row>
        <row r="613">
          <cell r="D613" t="str">
            <v>120-92-3</v>
          </cell>
          <cell r="E613">
            <v>120923</v>
          </cell>
          <cell r="F613">
            <v>364</v>
          </cell>
          <cell r="G613" t="str">
            <v>Reach_1005</v>
          </cell>
          <cell r="H613">
            <v>605</v>
          </cell>
          <cell r="J613">
            <v>84.117999999999995</v>
          </cell>
          <cell r="K613">
            <v>-40.549999999999997</v>
          </cell>
          <cell r="L613">
            <v>1599.6000000000001</v>
          </cell>
          <cell r="M613">
            <v>43886</v>
          </cell>
          <cell r="N613">
            <v>4.2657951880159271</v>
          </cell>
          <cell r="Q613">
            <v>14</v>
          </cell>
        </row>
        <row r="614">
          <cell r="D614" t="str">
            <v>143-22-6</v>
          </cell>
          <cell r="E614">
            <v>143226</v>
          </cell>
          <cell r="F614">
            <v>1959</v>
          </cell>
          <cell r="G614" t="str">
            <v>Reach_1190</v>
          </cell>
          <cell r="H614">
            <v>606</v>
          </cell>
          <cell r="J614">
            <v>206.28</v>
          </cell>
          <cell r="K614">
            <v>56.4</v>
          </cell>
          <cell r="L614">
            <v>6.9049400000000011E-2</v>
          </cell>
          <cell r="M614">
            <v>1210000</v>
          </cell>
          <cell r="N614">
            <v>1.0471285480508996</v>
          </cell>
          <cell r="O614">
            <v>14.88</v>
          </cell>
          <cell r="Q614">
            <v>14</v>
          </cell>
        </row>
        <row r="615">
          <cell r="D615" t="str">
            <v>24634-61-5</v>
          </cell>
          <cell r="E615">
            <v>24634615</v>
          </cell>
          <cell r="F615">
            <v>5792</v>
          </cell>
          <cell r="G615" t="str">
            <v>Reach_2551</v>
          </cell>
          <cell r="H615">
            <v>607</v>
          </cell>
          <cell r="J615">
            <v>150.22</v>
          </cell>
          <cell r="K615">
            <v>0</v>
          </cell>
          <cell r="Q615">
            <v>14</v>
          </cell>
        </row>
        <row r="616">
          <cell r="D616" t="str">
            <v>111-30-8</v>
          </cell>
          <cell r="E616">
            <v>111308</v>
          </cell>
          <cell r="F616">
            <v>296</v>
          </cell>
          <cell r="G616" t="str">
            <v>Reach_852</v>
          </cell>
          <cell r="H616">
            <v>608</v>
          </cell>
          <cell r="J616">
            <v>100.12</v>
          </cell>
          <cell r="K616">
            <v>-29.86</v>
          </cell>
          <cell r="L616">
            <v>250.60400000000001</v>
          </cell>
          <cell r="M616">
            <v>605000</v>
          </cell>
          <cell r="N616">
            <v>0.660693448007596</v>
          </cell>
          <cell r="Q616">
            <v>14</v>
          </cell>
        </row>
        <row r="617">
          <cell r="D617" t="str">
            <v>118-79-6</v>
          </cell>
          <cell r="E617">
            <v>118796</v>
          </cell>
          <cell r="F617">
            <v>348</v>
          </cell>
          <cell r="G617" t="str">
            <v>Reach_970</v>
          </cell>
          <cell r="H617">
            <v>609</v>
          </cell>
          <cell r="J617">
            <v>330.82</v>
          </cell>
          <cell r="K617">
            <v>107.23</v>
          </cell>
          <cell r="L617">
            <v>4.0389899999999999E-2</v>
          </cell>
          <cell r="M617">
            <v>15.792999999999999</v>
          </cell>
          <cell r="N617">
            <v>15135.612484362096</v>
          </cell>
          <cell r="O617">
            <v>6.2</v>
          </cell>
          <cell r="Q617">
            <v>6.2</v>
          </cell>
        </row>
        <row r="618">
          <cell r="D618" t="str">
            <v>84-65-1</v>
          </cell>
          <cell r="E618">
            <v>84651</v>
          </cell>
          <cell r="F618">
            <v>960</v>
          </cell>
          <cell r="G618" t="str">
            <v>Reach_287</v>
          </cell>
          <cell r="H618">
            <v>610</v>
          </cell>
          <cell r="J618">
            <v>208.22</v>
          </cell>
          <cell r="K618">
            <v>127.58</v>
          </cell>
          <cell r="L618">
            <v>5.1053900000000004E-6</v>
          </cell>
          <cell r="M618">
            <v>15.557</v>
          </cell>
          <cell r="N618">
            <v>2187.7616239495528</v>
          </cell>
          <cell r="Q618">
            <v>14</v>
          </cell>
        </row>
        <row r="619">
          <cell r="D619" t="str">
            <v>931-87-3</v>
          </cell>
          <cell r="E619">
            <v>931873</v>
          </cell>
          <cell r="F619">
            <v>4064</v>
          </cell>
          <cell r="G619" t="str">
            <v>Reach_1609</v>
          </cell>
          <cell r="H619">
            <v>611</v>
          </cell>
          <cell r="J619">
            <v>110.2</v>
          </cell>
          <cell r="K619">
            <v>-58.8</v>
          </cell>
          <cell r="L619">
            <v>1158.377</v>
          </cell>
          <cell r="M619">
            <v>24.236999999999998</v>
          </cell>
          <cell r="N619">
            <v>8709.6358995608189</v>
          </cell>
          <cell r="Q619">
            <v>14</v>
          </cell>
        </row>
        <row r="620">
          <cell r="D620" t="str">
            <v>1663-39-4</v>
          </cell>
          <cell r="E620">
            <v>1663394</v>
          </cell>
          <cell r="F620">
            <v>2103</v>
          </cell>
          <cell r="G620" t="str">
            <v>Reach_1706</v>
          </cell>
          <cell r="H620">
            <v>612</v>
          </cell>
          <cell r="J620">
            <v>128.16999999999999</v>
          </cell>
          <cell r="K620">
            <v>-51.36</v>
          </cell>
          <cell r="L620">
            <v>1732.9</v>
          </cell>
          <cell r="M620">
            <v>2623.4</v>
          </cell>
          <cell r="N620">
            <v>123.02687708123821</v>
          </cell>
          <cell r="Q620">
            <v>14</v>
          </cell>
        </row>
        <row r="621">
          <cell r="D621" t="str">
            <v>3009-97-0</v>
          </cell>
          <cell r="E621">
            <v>3009970</v>
          </cell>
          <cell r="F621">
            <v>2585</v>
          </cell>
          <cell r="G621" t="str">
            <v>Reach_1897</v>
          </cell>
          <cell r="H621">
            <v>613</v>
          </cell>
          <cell r="J621">
            <v>132.16999999999999</v>
          </cell>
          <cell r="K621">
            <v>45.33</v>
          </cell>
          <cell r="L621">
            <v>1.191702</v>
          </cell>
          <cell r="M621">
            <v>65256</v>
          </cell>
          <cell r="N621">
            <v>14.125375446227544</v>
          </cell>
          <cell r="P621">
            <v>14.55</v>
          </cell>
          <cell r="Q621">
            <v>-0.55000000000000071</v>
          </cell>
        </row>
        <row r="622">
          <cell r="D622" t="str">
            <v>646-06-0</v>
          </cell>
          <cell r="E622">
            <v>646060</v>
          </cell>
          <cell r="F622">
            <v>780</v>
          </cell>
          <cell r="G622" t="str">
            <v>Reach_1482</v>
          </cell>
          <cell r="H622">
            <v>614</v>
          </cell>
          <cell r="J622">
            <v>74.078999999999994</v>
          </cell>
          <cell r="K622">
            <v>-75.260000000000005</v>
          </cell>
          <cell r="L622">
            <v>13863.2</v>
          </cell>
          <cell r="M622">
            <v>899000</v>
          </cell>
          <cell r="N622">
            <v>0.48977881936844614</v>
          </cell>
          <cell r="Q622">
            <v>14</v>
          </cell>
        </row>
        <row r="623">
          <cell r="D623" t="str">
            <v>89-83-8</v>
          </cell>
          <cell r="E623">
            <v>89838</v>
          </cell>
          <cell r="F623">
            <v>996</v>
          </cell>
          <cell r="G623" t="str">
            <v>Reach_353</v>
          </cell>
          <cell r="H623">
            <v>615</v>
          </cell>
          <cell r="J623">
            <v>150.22</v>
          </cell>
          <cell r="K623">
            <v>38.1</v>
          </cell>
          <cell r="L623">
            <v>2.2261100000000003</v>
          </cell>
          <cell r="M623">
            <v>556.92999999999995</v>
          </cell>
          <cell r="N623">
            <v>3311.3112148259115</v>
          </cell>
          <cell r="Q623">
            <v>14</v>
          </cell>
        </row>
        <row r="624">
          <cell r="D624" t="str">
            <v>119-47-1</v>
          </cell>
          <cell r="E624">
            <v>119471</v>
          </cell>
          <cell r="F624">
            <v>1692</v>
          </cell>
          <cell r="G624" t="str">
            <v>Reach_978</v>
          </cell>
          <cell r="H624">
            <v>616</v>
          </cell>
          <cell r="J624">
            <v>340.51</v>
          </cell>
          <cell r="K624">
            <v>186.79</v>
          </cell>
          <cell r="L624">
            <v>3.3058400000000004E-7</v>
          </cell>
          <cell r="M624">
            <v>1.9144000000000001E-2</v>
          </cell>
          <cell r="N624">
            <v>93325430.079699293</v>
          </cell>
          <cell r="O624">
            <v>10.47</v>
          </cell>
          <cell r="Q624">
            <v>10.47</v>
          </cell>
        </row>
        <row r="625">
          <cell r="D625" t="str">
            <v>123-54-6</v>
          </cell>
          <cell r="E625">
            <v>123546</v>
          </cell>
          <cell r="F625">
            <v>395</v>
          </cell>
          <cell r="G625" t="str">
            <v>Reach_1052</v>
          </cell>
          <cell r="H625">
            <v>617</v>
          </cell>
          <cell r="J625">
            <v>100.12</v>
          </cell>
          <cell r="K625">
            <v>-29.38</v>
          </cell>
          <cell r="L625">
            <v>1158.377</v>
          </cell>
          <cell r="M625">
            <v>460000</v>
          </cell>
          <cell r="N625">
            <v>1.1220184543019636</v>
          </cell>
          <cell r="O625">
            <v>8.9</v>
          </cell>
          <cell r="Q625">
            <v>8.9</v>
          </cell>
        </row>
        <row r="626">
          <cell r="D626" t="str">
            <v>123-30-8</v>
          </cell>
          <cell r="E626">
            <v>123308</v>
          </cell>
          <cell r="F626">
            <v>386</v>
          </cell>
          <cell r="G626" t="str">
            <v>Reach_1044</v>
          </cell>
          <cell r="H626">
            <v>618</v>
          </cell>
          <cell r="J626">
            <v>109.13</v>
          </cell>
          <cell r="K626">
            <v>53.57</v>
          </cell>
          <cell r="L626">
            <v>4.3589100000000006E-3</v>
          </cell>
          <cell r="M626">
            <v>22410</v>
          </cell>
          <cell r="N626">
            <v>1.7378008287493756</v>
          </cell>
          <cell r="O626">
            <v>10.4</v>
          </cell>
          <cell r="P626">
            <v>9</v>
          </cell>
          <cell r="Q626">
            <v>5</v>
          </cell>
        </row>
        <row r="627">
          <cell r="D627" t="str">
            <v>16066-35-6</v>
          </cell>
          <cell r="E627">
            <v>16066356</v>
          </cell>
          <cell r="F627">
            <v>2076</v>
          </cell>
          <cell r="G627" t="str">
            <v>Reach_2410</v>
          </cell>
          <cell r="H627">
            <v>619</v>
          </cell>
          <cell r="J627">
            <v>200.26</v>
          </cell>
          <cell r="K627">
            <v>110.81</v>
          </cell>
          <cell r="L627">
            <v>1.0997250000000002E-4</v>
          </cell>
          <cell r="M627">
            <v>2547.9</v>
          </cell>
          <cell r="N627">
            <v>1.9498445997580454</v>
          </cell>
          <cell r="O627">
            <v>0.7</v>
          </cell>
          <cell r="Q627">
            <v>0.7</v>
          </cell>
        </row>
        <row r="628">
          <cell r="D628" t="str">
            <v>105-76-0</v>
          </cell>
          <cell r="E628">
            <v>105760</v>
          </cell>
          <cell r="F628">
            <v>183</v>
          </cell>
          <cell r="G628" t="str">
            <v>Reach_650</v>
          </cell>
          <cell r="H628">
            <v>620</v>
          </cell>
          <cell r="J628">
            <v>228.29</v>
          </cell>
          <cell r="K628">
            <v>-28.21</v>
          </cell>
          <cell r="L628">
            <v>0.70915600000000012</v>
          </cell>
          <cell r="M628">
            <v>134.07</v>
          </cell>
          <cell r="N628">
            <v>14454.397707459291</v>
          </cell>
          <cell r="Q628">
            <v>14</v>
          </cell>
        </row>
        <row r="629">
          <cell r="D629" t="str">
            <v>137-26-8</v>
          </cell>
          <cell r="E629">
            <v>137268</v>
          </cell>
          <cell r="F629">
            <v>441</v>
          </cell>
          <cell r="G629" t="str">
            <v>Reach_1137</v>
          </cell>
          <cell r="H629">
            <v>621</v>
          </cell>
          <cell r="J629">
            <v>240.43</v>
          </cell>
          <cell r="K629">
            <v>107.25</v>
          </cell>
          <cell r="L629">
            <v>1.4529700000000003E-3</v>
          </cell>
          <cell r="M629">
            <v>385.6</v>
          </cell>
          <cell r="N629">
            <v>50.118723362727238</v>
          </cell>
          <cell r="P629">
            <v>16</v>
          </cell>
          <cell r="Q629">
            <v>-2</v>
          </cell>
        </row>
        <row r="630">
          <cell r="D630" t="str">
            <v>126-73-8</v>
          </cell>
          <cell r="E630">
            <v>126738</v>
          </cell>
          <cell r="F630">
            <v>19</v>
          </cell>
          <cell r="G630" t="str">
            <v>Reach_1089</v>
          </cell>
          <cell r="H630">
            <v>622</v>
          </cell>
          <cell r="J630">
            <v>266.32</v>
          </cell>
          <cell r="K630">
            <v>64.73</v>
          </cell>
          <cell r="L630">
            <v>0.46521700000000005</v>
          </cell>
          <cell r="M630">
            <v>1011.6</v>
          </cell>
          <cell r="N630">
            <v>6606.9344800759654</v>
          </cell>
          <cell r="Q630">
            <v>14</v>
          </cell>
        </row>
        <row r="631">
          <cell r="D631" t="str">
            <v>98-13-5</v>
          </cell>
          <cell r="E631">
            <v>98135</v>
          </cell>
          <cell r="F631">
            <v>1067</v>
          </cell>
          <cell r="G631" t="str">
            <v>Reach_500</v>
          </cell>
          <cell r="H631">
            <v>623</v>
          </cell>
          <cell r="J631">
            <v>211.55</v>
          </cell>
          <cell r="K631">
            <v>5.79</v>
          </cell>
          <cell r="L631">
            <v>45.721900000000005</v>
          </cell>
          <cell r="M631">
            <v>1377</v>
          </cell>
          <cell r="N631">
            <v>3981.0717055349769</v>
          </cell>
          <cell r="Q631">
            <v>14</v>
          </cell>
        </row>
        <row r="632">
          <cell r="D632" t="str">
            <v>513-35-9</v>
          </cell>
          <cell r="E632">
            <v>513359</v>
          </cell>
          <cell r="F632">
            <v>3033</v>
          </cell>
          <cell r="G632" t="str">
            <v>Reach_1317</v>
          </cell>
          <cell r="H632">
            <v>624</v>
          </cell>
          <cell r="J632">
            <v>70.135000000000005</v>
          </cell>
          <cell r="K632">
            <v>-116.18</v>
          </cell>
          <cell r="L632">
            <v>62384.400000000009</v>
          </cell>
          <cell r="M632">
            <v>309.92</v>
          </cell>
          <cell r="N632">
            <v>436.51583224016622</v>
          </cell>
          <cell r="Q632">
            <v>14</v>
          </cell>
        </row>
        <row r="633">
          <cell r="D633" t="str">
            <v>101-39-3</v>
          </cell>
          <cell r="E633">
            <v>101393</v>
          </cell>
          <cell r="F633">
            <v>1320</v>
          </cell>
          <cell r="G633" t="str">
            <v>Reach_576</v>
          </cell>
          <cell r="H633">
            <v>625</v>
          </cell>
          <cell r="J633">
            <v>146.19</v>
          </cell>
          <cell r="K633">
            <v>2.58</v>
          </cell>
          <cell r="L633">
            <v>3.3325000000000005</v>
          </cell>
          <cell r="M633">
            <v>282.51</v>
          </cell>
          <cell r="N633">
            <v>234.42288153199232</v>
          </cell>
          <cell r="Q633">
            <v>14</v>
          </cell>
        </row>
        <row r="634">
          <cell r="D634" t="str">
            <v>38103-06-9</v>
          </cell>
          <cell r="E634">
            <v>38103069</v>
          </cell>
          <cell r="F634">
            <v>2816</v>
          </cell>
          <cell r="G634" t="str">
            <v>Reach_2716</v>
          </cell>
          <cell r="H634">
            <v>626</v>
          </cell>
          <cell r="J634">
            <v>520.49</v>
          </cell>
          <cell r="K634">
            <v>285.39</v>
          </cell>
          <cell r="L634">
            <v>4.3589100000000005E-13</v>
          </cell>
          <cell r="M634">
            <v>3.7179999999999998E-4</v>
          </cell>
          <cell r="N634">
            <v>741310241.30091786</v>
          </cell>
          <cell r="Q634">
            <v>14</v>
          </cell>
        </row>
        <row r="635">
          <cell r="D635" t="str">
            <v>79-46-9</v>
          </cell>
          <cell r="E635">
            <v>79469</v>
          </cell>
          <cell r="F635">
            <v>921</v>
          </cell>
          <cell r="G635" t="str">
            <v>Reach_247</v>
          </cell>
          <cell r="H635">
            <v>627</v>
          </cell>
          <cell r="J635">
            <v>89.094999999999999</v>
          </cell>
          <cell r="K635">
            <v>-37.869999999999997</v>
          </cell>
          <cell r="L635">
            <v>2066.15</v>
          </cell>
          <cell r="M635">
            <v>15787</v>
          </cell>
          <cell r="N635">
            <v>7.4131024130091765</v>
          </cell>
          <cell r="O635">
            <v>8.1999999999999993</v>
          </cell>
          <cell r="Q635">
            <v>8.1999999999999993</v>
          </cell>
        </row>
        <row r="636">
          <cell r="D636" t="str">
            <v>5466-77-3</v>
          </cell>
          <cell r="E636">
            <v>5466773</v>
          </cell>
          <cell r="F636">
            <v>3151</v>
          </cell>
          <cell r="G636" t="str">
            <v>Reach_2117</v>
          </cell>
          <cell r="H636">
            <v>628</v>
          </cell>
          <cell r="J636">
            <v>290.39999999999998</v>
          </cell>
          <cell r="K636">
            <v>99.87</v>
          </cell>
          <cell r="L636">
            <v>1.8395400000000002E-3</v>
          </cell>
          <cell r="M636">
            <v>0.17780000000000001</v>
          </cell>
          <cell r="N636">
            <v>630957.34448019415</v>
          </cell>
          <cell r="Q636">
            <v>14</v>
          </cell>
        </row>
        <row r="637">
          <cell r="D637" t="str">
            <v>91507-67-4</v>
          </cell>
          <cell r="E637">
            <v>91507674</v>
          </cell>
          <cell r="F637">
            <v>4016</v>
          </cell>
          <cell r="G637" t="str">
            <v>Reach_4799</v>
          </cell>
          <cell r="H637">
            <v>629</v>
          </cell>
          <cell r="J637">
            <v>154.62</v>
          </cell>
          <cell r="K637">
            <v>-28.09</v>
          </cell>
          <cell r="L637">
            <v>138.63200000000001</v>
          </cell>
          <cell r="M637">
            <v>2063.4</v>
          </cell>
          <cell r="N637">
            <v>25.118864315095799</v>
          </cell>
          <cell r="Q637">
            <v>14</v>
          </cell>
        </row>
        <row r="638">
          <cell r="D638" t="str">
            <v>107-25-5</v>
          </cell>
          <cell r="E638">
            <v>107255</v>
          </cell>
          <cell r="F638">
            <v>1456</v>
          </cell>
          <cell r="G638" t="str">
            <v>Reach_702</v>
          </cell>
          <cell r="H638">
            <v>630</v>
          </cell>
          <cell r="J638">
            <v>58.08</v>
          </cell>
          <cell r="K638">
            <v>-115.96</v>
          </cell>
          <cell r="L638">
            <v>197284.00000000003</v>
          </cell>
          <cell r="M638">
            <v>45042</v>
          </cell>
          <cell r="N638">
            <v>2.6302679918953822</v>
          </cell>
          <cell r="Q638">
            <v>14</v>
          </cell>
        </row>
        <row r="639">
          <cell r="D639" t="str">
            <v>4316-73-8</v>
          </cell>
          <cell r="E639">
            <v>4316738</v>
          </cell>
          <cell r="F639">
            <v>5885</v>
          </cell>
          <cell r="G639" t="str">
            <v>Reach_2027</v>
          </cell>
          <cell r="H639">
            <v>631</v>
          </cell>
          <cell r="J639">
            <v>111.08</v>
          </cell>
          <cell r="K639">
            <v>0</v>
          </cell>
          <cell r="Q639">
            <v>14</v>
          </cell>
        </row>
        <row r="640">
          <cell r="D640" t="str">
            <v>100-46-9</v>
          </cell>
          <cell r="E640">
            <v>100469</v>
          </cell>
          <cell r="F640">
            <v>127</v>
          </cell>
          <cell r="G640" t="str">
            <v>Reach_559</v>
          </cell>
          <cell r="H640">
            <v>632</v>
          </cell>
          <cell r="J640">
            <v>107.16</v>
          </cell>
          <cell r="K640">
            <v>-0.64</v>
          </cell>
          <cell r="L640">
            <v>100.9081</v>
          </cell>
          <cell r="M640">
            <v>7117.7</v>
          </cell>
          <cell r="N640">
            <v>11.748975549395301</v>
          </cell>
          <cell r="Q640">
            <v>14</v>
          </cell>
        </row>
        <row r="641">
          <cell r="D641" t="str">
            <v>693-36-7</v>
          </cell>
          <cell r="E641">
            <v>693367</v>
          </cell>
          <cell r="F641">
            <v>3539</v>
          </cell>
          <cell r="G641" t="str">
            <v>Reach_1507</v>
          </cell>
          <cell r="H641">
            <v>633</v>
          </cell>
          <cell r="J641">
            <v>683.18</v>
          </cell>
          <cell r="K641">
            <v>272.49</v>
          </cell>
          <cell r="L641">
            <v>5.3453300000000006E-13</v>
          </cell>
          <cell r="M641">
            <v>2.36E-12</v>
          </cell>
          <cell r="N641">
            <v>4.786300923226391E+17</v>
          </cell>
          <cell r="Q641">
            <v>14</v>
          </cell>
        </row>
        <row r="642">
          <cell r="D642" t="str">
            <v>102-06-7</v>
          </cell>
          <cell r="E642">
            <v>102067</v>
          </cell>
          <cell r="F642">
            <v>1335</v>
          </cell>
          <cell r="G642" t="str">
            <v>Reach_588</v>
          </cell>
          <cell r="H642">
            <v>634</v>
          </cell>
          <cell r="J642">
            <v>211.27</v>
          </cell>
          <cell r="K642">
            <v>120.14</v>
          </cell>
          <cell r="L642">
            <v>5.2920100000000009E-4</v>
          </cell>
          <cell r="M642">
            <v>101.12</v>
          </cell>
          <cell r="N642">
            <v>776.24711662869231</v>
          </cell>
          <cell r="P642">
            <v>3.9</v>
          </cell>
          <cell r="Q642">
            <v>10.1</v>
          </cell>
        </row>
        <row r="643">
          <cell r="D643" t="str">
            <v>107-92-6</v>
          </cell>
          <cell r="E643">
            <v>107926</v>
          </cell>
          <cell r="F643">
            <v>224</v>
          </cell>
          <cell r="G643" t="str">
            <v>Reach_719</v>
          </cell>
          <cell r="H643">
            <v>635</v>
          </cell>
          <cell r="J643">
            <v>88.105999999999995</v>
          </cell>
          <cell r="K643">
            <v>3.02</v>
          </cell>
          <cell r="L643">
            <v>281.26300000000003</v>
          </cell>
          <cell r="M643">
            <v>109000</v>
          </cell>
          <cell r="N643">
            <v>11.748975549395301</v>
          </cell>
          <cell r="O643">
            <v>4.9000000000000004</v>
          </cell>
          <cell r="Q643">
            <v>4.9000000000000004</v>
          </cell>
        </row>
        <row r="644">
          <cell r="D644" t="str">
            <v>3033-77-0</v>
          </cell>
          <cell r="E644">
            <v>3033770</v>
          </cell>
          <cell r="F644">
            <v>1214</v>
          </cell>
          <cell r="G644" t="str">
            <v>Reach_1901</v>
          </cell>
          <cell r="H644">
            <v>636</v>
          </cell>
          <cell r="J644">
            <v>151.63999999999999</v>
          </cell>
          <cell r="K644">
            <v>0</v>
          </cell>
          <cell r="Q644">
            <v>14</v>
          </cell>
        </row>
        <row r="645">
          <cell r="D645" t="str">
            <v>94-36-0</v>
          </cell>
          <cell r="E645">
            <v>94360</v>
          </cell>
          <cell r="F645">
            <v>4103</v>
          </cell>
          <cell r="G645" t="str">
            <v>Reach_414</v>
          </cell>
          <cell r="H645">
            <v>637</v>
          </cell>
          <cell r="J645">
            <v>242.23</v>
          </cell>
          <cell r="K645">
            <v>-2.0699999999999998</v>
          </cell>
          <cell r="L645">
            <v>9.2910100000000006E-3</v>
          </cell>
          <cell r="M645">
            <v>138.65</v>
          </cell>
          <cell r="N645">
            <v>2691.5348039269184</v>
          </cell>
          <cell r="Q645">
            <v>14</v>
          </cell>
        </row>
        <row r="646">
          <cell r="D646" t="str">
            <v>110-16-7</v>
          </cell>
          <cell r="E646">
            <v>110167</v>
          </cell>
          <cell r="F646">
            <v>275</v>
          </cell>
          <cell r="G646" t="str">
            <v>Reach_806</v>
          </cell>
          <cell r="H646">
            <v>638</v>
          </cell>
          <cell r="J646">
            <v>116.07</v>
          </cell>
          <cell r="K646">
            <v>84.12</v>
          </cell>
          <cell r="L646">
            <v>1.2570190000000002E-9</v>
          </cell>
          <cell r="M646">
            <v>55163</v>
          </cell>
          <cell r="N646">
            <v>1.1220184543019636</v>
          </cell>
          <cell r="O646">
            <v>3</v>
          </cell>
          <cell r="Q646">
            <v>3</v>
          </cell>
        </row>
        <row r="647">
          <cell r="D647" t="str">
            <v>106-65-0</v>
          </cell>
          <cell r="E647">
            <v>106650</v>
          </cell>
          <cell r="F647">
            <v>1441</v>
          </cell>
          <cell r="G647" t="str">
            <v>Reach_676</v>
          </cell>
          <cell r="H647">
            <v>639</v>
          </cell>
          <cell r="J647">
            <v>146.13999999999999</v>
          </cell>
          <cell r="K647">
            <v>-95.3</v>
          </cell>
          <cell r="L647">
            <v>57.585600000000007</v>
          </cell>
          <cell r="M647">
            <v>193000</v>
          </cell>
          <cell r="N647">
            <v>2.5118864315095806</v>
          </cell>
          <cell r="Q647">
            <v>14</v>
          </cell>
        </row>
        <row r="648">
          <cell r="D648" t="str">
            <v>106-24-1</v>
          </cell>
          <cell r="E648">
            <v>106241</v>
          </cell>
          <cell r="F648">
            <v>186</v>
          </cell>
          <cell r="G648" t="str">
            <v>Reach_661</v>
          </cell>
          <cell r="H648">
            <v>640</v>
          </cell>
          <cell r="J648">
            <v>154.25</v>
          </cell>
          <cell r="K648">
            <v>-10.78</v>
          </cell>
          <cell r="L648">
            <v>2.1194700000000002</v>
          </cell>
          <cell r="M648">
            <v>336.26</v>
          </cell>
          <cell r="N648">
            <v>2951.2092266663899</v>
          </cell>
          <cell r="O648">
            <v>15.5</v>
          </cell>
          <cell r="Q648">
            <v>14</v>
          </cell>
        </row>
        <row r="649">
          <cell r="D649" t="str">
            <v>60-24-2</v>
          </cell>
          <cell r="E649">
            <v>60242</v>
          </cell>
          <cell r="F649">
            <v>749</v>
          </cell>
          <cell r="G649" t="str">
            <v>Reach_56</v>
          </cell>
          <cell r="H649">
            <v>641</v>
          </cell>
          <cell r="J649">
            <v>78.132999999999996</v>
          </cell>
          <cell r="K649">
            <v>-45.59</v>
          </cell>
          <cell r="L649">
            <v>114.77130000000001</v>
          </cell>
          <cell r="M649">
            <v>102000</v>
          </cell>
          <cell r="N649">
            <v>0.63095734448019325</v>
          </cell>
          <cell r="O649">
            <v>9.6999999999999993</v>
          </cell>
          <cell r="Q649">
            <v>9.6999999999999993</v>
          </cell>
        </row>
        <row r="650">
          <cell r="D650" t="str">
            <v>111-85-3</v>
          </cell>
          <cell r="E650">
            <v>111853</v>
          </cell>
          <cell r="F650">
            <v>1561</v>
          </cell>
          <cell r="G650" t="str">
            <v>Reach_876</v>
          </cell>
          <cell r="H650">
            <v>642</v>
          </cell>
          <cell r="J650">
            <v>148.68</v>
          </cell>
          <cell r="K650">
            <v>-36.25</v>
          </cell>
          <cell r="L650">
            <v>119.70340000000002</v>
          </cell>
          <cell r="M650">
            <v>2.4984999999999999</v>
          </cell>
          <cell r="N650">
            <v>33113.11214825909</v>
          </cell>
          <cell r="Q650">
            <v>14</v>
          </cell>
        </row>
        <row r="651">
          <cell r="D651" t="str">
            <v>3425-89-6</v>
          </cell>
          <cell r="E651">
            <v>3425896</v>
          </cell>
          <cell r="F651">
            <v>2699</v>
          </cell>
          <cell r="G651" t="str">
            <v>Reach_1960</v>
          </cell>
          <cell r="H651">
            <v>643</v>
          </cell>
          <cell r="J651">
            <v>166.18</v>
          </cell>
          <cell r="K651">
            <v>15.91</v>
          </cell>
          <cell r="L651">
            <v>3.2391900000000002</v>
          </cell>
          <cell r="M651">
            <v>8142.5</v>
          </cell>
          <cell r="N651">
            <v>323.59365692962825</v>
          </cell>
          <cell r="Q651">
            <v>14</v>
          </cell>
        </row>
        <row r="652">
          <cell r="D652" t="str">
            <v>29806-73-3</v>
          </cell>
          <cell r="E652">
            <v>29806733</v>
          </cell>
          <cell r="F652">
            <v>2572</v>
          </cell>
          <cell r="G652" t="str">
            <v>Reach_2631</v>
          </cell>
          <cell r="H652">
            <v>644</v>
          </cell>
          <cell r="J652">
            <v>368.65</v>
          </cell>
          <cell r="K652">
            <v>117.16</v>
          </cell>
          <cell r="L652">
            <v>1.3596600000000001E-4</v>
          </cell>
          <cell r="M652">
            <v>3.9100000000000002E-5</v>
          </cell>
          <cell r="N652">
            <v>40738027780.411339</v>
          </cell>
          <cell r="Q652">
            <v>14</v>
          </cell>
        </row>
        <row r="653">
          <cell r="D653" t="str">
            <v>121-57-3</v>
          </cell>
          <cell r="E653">
            <v>121573</v>
          </cell>
          <cell r="F653">
            <v>372</v>
          </cell>
          <cell r="G653" t="str">
            <v>Reach_1016</v>
          </cell>
          <cell r="H653">
            <v>645</v>
          </cell>
          <cell r="J653">
            <v>173.19</v>
          </cell>
          <cell r="K653">
            <v>128.13999999999999</v>
          </cell>
          <cell r="L653">
            <v>3.4924600000000003E-7</v>
          </cell>
          <cell r="M653">
            <v>39389</v>
          </cell>
          <cell r="N653">
            <v>8.3176377110267055E-3</v>
          </cell>
          <cell r="O653">
            <v>0.26</v>
          </cell>
          <cell r="P653">
            <v>11</v>
          </cell>
          <cell r="Q653">
            <v>0.26</v>
          </cell>
        </row>
        <row r="654">
          <cell r="D654" t="str">
            <v>91-15-6</v>
          </cell>
          <cell r="E654">
            <v>91156</v>
          </cell>
          <cell r="F654">
            <v>1004</v>
          </cell>
          <cell r="G654" t="str">
            <v>Reach_369</v>
          </cell>
          <cell r="H654">
            <v>646</v>
          </cell>
          <cell r="J654">
            <v>128.13999999999999</v>
          </cell>
          <cell r="K654">
            <v>58.64</v>
          </cell>
          <cell r="L654">
            <v>0.1075731</v>
          </cell>
          <cell r="M654">
            <v>2416.4</v>
          </cell>
          <cell r="N654">
            <v>12.302687708123818</v>
          </cell>
          <cell r="Q654">
            <v>14</v>
          </cell>
        </row>
        <row r="655">
          <cell r="D655" t="str">
            <v>6358-31-2</v>
          </cell>
          <cell r="E655">
            <v>6358312</v>
          </cell>
          <cell r="F655">
            <v>3407</v>
          </cell>
          <cell r="G655" t="str">
            <v>Reach_2168</v>
          </cell>
          <cell r="H655">
            <v>647</v>
          </cell>
          <cell r="J655">
            <v>386.37</v>
          </cell>
          <cell r="K655">
            <v>241.55</v>
          </cell>
          <cell r="L655">
            <v>4.3322500000000007E-10</v>
          </cell>
          <cell r="M655">
            <v>8.0213999999999999</v>
          </cell>
          <cell r="N655">
            <v>977.23722095581138</v>
          </cell>
          <cell r="O655">
            <v>8.66</v>
          </cell>
          <cell r="P655">
            <v>14.08</v>
          </cell>
          <cell r="Q655">
            <v>-8.0000000000000071E-2</v>
          </cell>
        </row>
        <row r="656">
          <cell r="D656" t="str">
            <v>112-16-3</v>
          </cell>
          <cell r="E656">
            <v>112163</v>
          </cell>
          <cell r="F656">
            <v>1578</v>
          </cell>
          <cell r="G656" t="str">
            <v>Reach_891</v>
          </cell>
          <cell r="H656">
            <v>648</v>
          </cell>
          <cell r="J656">
            <v>218.77</v>
          </cell>
          <cell r="K656">
            <v>37.31</v>
          </cell>
          <cell r="L656">
            <v>2.3060900000000002</v>
          </cell>
          <cell r="M656">
            <v>0.27211999999999997</v>
          </cell>
          <cell r="N656">
            <v>27542.287033381719</v>
          </cell>
          <cell r="Q656">
            <v>14</v>
          </cell>
        </row>
        <row r="657">
          <cell r="D657" t="str">
            <v>13674-87-8</v>
          </cell>
          <cell r="E657">
            <v>13674878</v>
          </cell>
          <cell r="F657">
            <v>25</v>
          </cell>
          <cell r="G657" t="str">
            <v>Reach_2343</v>
          </cell>
          <cell r="H657">
            <v>649</v>
          </cell>
          <cell r="J657">
            <v>430.91</v>
          </cell>
          <cell r="K657">
            <v>88.2</v>
          </cell>
          <cell r="L657">
            <v>3.8123800000000002E-5</v>
          </cell>
          <cell r="M657">
            <v>1.8996</v>
          </cell>
          <cell r="N657">
            <v>4466.8359215096343</v>
          </cell>
          <cell r="Q657">
            <v>14</v>
          </cell>
        </row>
        <row r="658">
          <cell r="D658" t="str">
            <v>143230-42-6</v>
          </cell>
          <cell r="E658">
            <v>143230426</v>
          </cell>
          <cell r="F658">
            <v>1960</v>
          </cell>
          <cell r="G658" t="str">
            <v>Reach_4148</v>
          </cell>
          <cell r="H658">
            <v>650</v>
          </cell>
          <cell r="J658">
            <v>352.78</v>
          </cell>
          <cell r="K658">
            <v>169.78</v>
          </cell>
          <cell r="L658">
            <v>1.2743480000000001E-5</v>
          </cell>
          <cell r="M658">
            <v>41.42</v>
          </cell>
          <cell r="N658">
            <v>16.218100973589298</v>
          </cell>
          <cell r="P658">
            <v>12.96</v>
          </cell>
          <cell r="Q658">
            <v>1.0399999999999991</v>
          </cell>
        </row>
        <row r="659">
          <cell r="D659" t="str">
            <v>95-54-5</v>
          </cell>
          <cell r="E659">
            <v>95545</v>
          </cell>
          <cell r="F659">
            <v>1033</v>
          </cell>
          <cell r="G659" t="str">
            <v>Reach_433</v>
          </cell>
          <cell r="H659">
            <v>651</v>
          </cell>
          <cell r="J659">
            <v>108.15</v>
          </cell>
          <cell r="K659">
            <v>52.83</v>
          </cell>
          <cell r="L659">
            <v>7.0515700000000001E-3</v>
          </cell>
          <cell r="M659">
            <v>33956</v>
          </cell>
          <cell r="N659">
            <v>1.4454397707459274</v>
          </cell>
          <cell r="P659">
            <v>9</v>
          </cell>
          <cell r="Q659">
            <v>5</v>
          </cell>
        </row>
        <row r="660">
          <cell r="D660" t="str">
            <v>111-11-5</v>
          </cell>
          <cell r="E660">
            <v>111115</v>
          </cell>
          <cell r="F660">
            <v>1538</v>
          </cell>
          <cell r="G660" t="str">
            <v>Reach_844</v>
          </cell>
          <cell r="H660">
            <v>652</v>
          </cell>
          <cell r="J660">
            <v>158.24</v>
          </cell>
          <cell r="K660">
            <v>-20.94</v>
          </cell>
          <cell r="L660">
            <v>68.382900000000006</v>
          </cell>
          <cell r="M660">
            <v>120.45</v>
          </cell>
          <cell r="N660">
            <v>2089.2961308540398</v>
          </cell>
          <cell r="Q660">
            <v>14</v>
          </cell>
        </row>
        <row r="661">
          <cell r="D661" t="str">
            <v>7336-20-1</v>
          </cell>
          <cell r="E661">
            <v>7336201</v>
          </cell>
          <cell r="F661">
            <v>6014</v>
          </cell>
          <cell r="G661" t="str">
            <v>Reach_2239</v>
          </cell>
          <cell r="H661">
            <v>653</v>
          </cell>
          <cell r="J661">
            <v>414.37</v>
          </cell>
          <cell r="K661">
            <v>0</v>
          </cell>
          <cell r="Q661">
            <v>14</v>
          </cell>
        </row>
        <row r="662">
          <cell r="D662" t="str">
            <v>112-76-5</v>
          </cell>
          <cell r="E662">
            <v>112765</v>
          </cell>
          <cell r="F662">
            <v>1602</v>
          </cell>
          <cell r="G662" t="str">
            <v>Reach_923</v>
          </cell>
          <cell r="H662">
            <v>654</v>
          </cell>
          <cell r="J662">
            <v>302.93</v>
          </cell>
          <cell r="K662">
            <v>95.38</v>
          </cell>
          <cell r="L662">
            <v>3.4258100000000007E-2</v>
          </cell>
          <cell r="M662">
            <v>4.772E-4</v>
          </cell>
          <cell r="N662">
            <v>24547089.156850316</v>
          </cell>
          <cell r="Q662">
            <v>14</v>
          </cell>
        </row>
        <row r="663">
          <cell r="D663" t="str">
            <v>87-62-7</v>
          </cell>
          <cell r="E663">
            <v>87627</v>
          </cell>
          <cell r="F663">
            <v>980</v>
          </cell>
          <cell r="G663" t="str">
            <v>Reach_314</v>
          </cell>
          <cell r="H663">
            <v>655</v>
          </cell>
          <cell r="J663">
            <v>121.18</v>
          </cell>
          <cell r="K663">
            <v>29.14</v>
          </cell>
          <cell r="L663">
            <v>22.527700000000003</v>
          </cell>
          <cell r="M663">
            <v>1705.6</v>
          </cell>
          <cell r="N663">
            <v>147.91083881682084</v>
          </cell>
          <cell r="P663">
            <v>10</v>
          </cell>
          <cell r="Q663">
            <v>4</v>
          </cell>
        </row>
        <row r="664">
          <cell r="D664" t="str">
            <v>612-83-9</v>
          </cell>
          <cell r="E664">
            <v>612839</v>
          </cell>
          <cell r="F664">
            <v>5949</v>
          </cell>
          <cell r="G664" t="str">
            <v>Reach_1422</v>
          </cell>
          <cell r="H664">
            <v>656</v>
          </cell>
          <cell r="J664">
            <v>326.06</v>
          </cell>
          <cell r="K664">
            <v>0</v>
          </cell>
          <cell r="Q664">
            <v>14</v>
          </cell>
        </row>
        <row r="665">
          <cell r="D665" t="str">
            <v>687-47-8</v>
          </cell>
          <cell r="E665">
            <v>687478</v>
          </cell>
          <cell r="F665">
            <v>3526</v>
          </cell>
          <cell r="G665" t="str">
            <v>Reach_1503</v>
          </cell>
          <cell r="H665">
            <v>657</v>
          </cell>
          <cell r="J665">
            <v>118.13</v>
          </cell>
          <cell r="K665">
            <v>-27.76</v>
          </cell>
          <cell r="L665">
            <v>143.96400000000003</v>
          </cell>
          <cell r="M665">
            <v>37402</v>
          </cell>
          <cell r="N665">
            <v>0.660693448007596</v>
          </cell>
          <cell r="O665">
            <v>12.62</v>
          </cell>
          <cell r="Q665">
            <v>12.62</v>
          </cell>
        </row>
        <row r="666">
          <cell r="D666" t="str">
            <v>79-21-0</v>
          </cell>
          <cell r="E666">
            <v>79210</v>
          </cell>
          <cell r="F666">
            <v>917</v>
          </cell>
          <cell r="G666" t="str">
            <v>Reach_235</v>
          </cell>
          <cell r="H666">
            <v>658</v>
          </cell>
          <cell r="J666">
            <v>76.051000000000002</v>
          </cell>
          <cell r="K666">
            <v>-42.32</v>
          </cell>
          <cell r="L666">
            <v>3239.1900000000005</v>
          </cell>
          <cell r="M666">
            <v>376000</v>
          </cell>
          <cell r="N666">
            <v>8.5113803820237616E-2</v>
          </cell>
          <cell r="O666">
            <v>8.1999999999999993</v>
          </cell>
          <cell r="Q666">
            <v>8.1999999999999993</v>
          </cell>
        </row>
        <row r="667">
          <cell r="D667" t="str">
            <v>26760-64-5</v>
          </cell>
          <cell r="E667">
            <v>26760645</v>
          </cell>
          <cell r="F667">
            <v>2486</v>
          </cell>
          <cell r="G667" t="str">
            <v>Reach_2592</v>
          </cell>
          <cell r="H667">
            <v>659</v>
          </cell>
          <cell r="J667">
            <v>70.135000000000005</v>
          </cell>
          <cell r="K667">
            <v>-117.44</v>
          </cell>
          <cell r="L667">
            <v>81313</v>
          </cell>
          <cell r="M667">
            <v>597.28</v>
          </cell>
          <cell r="N667">
            <v>524.80746024977293</v>
          </cell>
          <cell r="Q667">
            <v>14</v>
          </cell>
        </row>
        <row r="668">
          <cell r="D668" t="str">
            <v>498-66-8</v>
          </cell>
          <cell r="E668">
            <v>498668</v>
          </cell>
          <cell r="F668">
            <v>650</v>
          </cell>
          <cell r="G668" t="str">
            <v>Reach_1297</v>
          </cell>
          <cell r="H668">
            <v>660</v>
          </cell>
          <cell r="J668">
            <v>94.156999999999996</v>
          </cell>
          <cell r="K668">
            <v>-60.52</v>
          </cell>
          <cell r="L668">
            <v>4252.2700000000004</v>
          </cell>
          <cell r="M668">
            <v>208.26</v>
          </cell>
          <cell r="N668">
            <v>707.94578438413873</v>
          </cell>
          <cell r="Q668">
            <v>14</v>
          </cell>
        </row>
        <row r="669">
          <cell r="D669" t="str">
            <v>86-74-8</v>
          </cell>
          <cell r="E669">
            <v>86748</v>
          </cell>
          <cell r="F669">
            <v>974</v>
          </cell>
          <cell r="G669" t="str">
            <v>Reach_303</v>
          </cell>
          <cell r="H669">
            <v>661</v>
          </cell>
          <cell r="J669">
            <v>167.21</v>
          </cell>
          <cell r="K669">
            <v>100.21</v>
          </cell>
          <cell r="L669">
            <v>5.4119800000000003E-5</v>
          </cell>
          <cell r="M669">
            <v>8.3711000000000002</v>
          </cell>
          <cell r="N669">
            <v>1698.2436524617447</v>
          </cell>
          <cell r="Q669">
            <v>14</v>
          </cell>
        </row>
        <row r="670">
          <cell r="D670" t="str">
            <v>15827-60-8</v>
          </cell>
          <cell r="E670">
            <v>15827608</v>
          </cell>
          <cell r="F670">
            <v>2059</v>
          </cell>
          <cell r="G670" t="str">
            <v>Reach_2401</v>
          </cell>
          <cell r="H670">
            <v>662</v>
          </cell>
          <cell r="J670">
            <v>573.20000000000005</v>
          </cell>
          <cell r="K670">
            <v>90.27</v>
          </cell>
          <cell r="L670">
            <v>2.7459800000000001E-9</v>
          </cell>
          <cell r="M670">
            <v>1000000</v>
          </cell>
          <cell r="N670">
            <v>1.9054607179632416E-10</v>
          </cell>
          <cell r="O670">
            <v>0.37</v>
          </cell>
          <cell r="P670">
            <v>2.61</v>
          </cell>
          <cell r="Q670">
            <v>0.37</v>
          </cell>
        </row>
        <row r="671">
          <cell r="D671" t="str">
            <v>151-56-4</v>
          </cell>
          <cell r="E671">
            <v>151564</v>
          </cell>
          <cell r="F671">
            <v>485</v>
          </cell>
          <cell r="G671" t="str">
            <v>Reach_1208</v>
          </cell>
          <cell r="H671">
            <v>663</v>
          </cell>
          <cell r="J671">
            <v>43.07</v>
          </cell>
          <cell r="K671">
            <v>-59.67</v>
          </cell>
          <cell r="L671">
            <v>30792.300000000003</v>
          </cell>
          <cell r="M671">
            <v>1000000</v>
          </cell>
          <cell r="N671">
            <v>0.52480746024977254</v>
          </cell>
          <cell r="P671">
            <v>6</v>
          </cell>
          <cell r="Q671">
            <v>8</v>
          </cell>
        </row>
        <row r="672">
          <cell r="D672" t="str">
            <v>115-86-6</v>
          </cell>
          <cell r="E672">
            <v>115866</v>
          </cell>
          <cell r="F672">
            <v>9</v>
          </cell>
          <cell r="G672" t="str">
            <v>Reach_946</v>
          </cell>
          <cell r="H672">
            <v>664</v>
          </cell>
          <cell r="J672">
            <v>326.29000000000002</v>
          </cell>
          <cell r="K672">
            <v>86.5</v>
          </cell>
          <cell r="L672">
            <v>6.2917600000000009E-5</v>
          </cell>
          <cell r="M672">
            <v>2.2576000000000001</v>
          </cell>
          <cell r="N672">
            <v>50118.723362727294</v>
          </cell>
          <cell r="Q672">
            <v>14</v>
          </cell>
        </row>
        <row r="673">
          <cell r="D673" t="str">
            <v>131860-97-4</v>
          </cell>
          <cell r="E673">
            <v>131860974</v>
          </cell>
          <cell r="F673">
            <v>1852</v>
          </cell>
          <cell r="G673" t="str">
            <v>Reach_4123</v>
          </cell>
          <cell r="H673">
            <v>665</v>
          </cell>
          <cell r="J673">
            <v>320.73</v>
          </cell>
          <cell r="K673">
            <v>160.94</v>
          </cell>
          <cell r="L673">
            <v>2.7059900000000002E-5</v>
          </cell>
          <cell r="M673">
            <v>62.951000000000001</v>
          </cell>
          <cell r="N673">
            <v>28.840315031266066</v>
          </cell>
          <cell r="P673">
            <v>12.86</v>
          </cell>
          <cell r="Q673">
            <v>1.1400000000000006</v>
          </cell>
        </row>
        <row r="674">
          <cell r="D674" t="str">
            <v>55934-93-5</v>
          </cell>
          <cell r="E674">
            <v>55934935</v>
          </cell>
          <cell r="F674">
            <v>3182</v>
          </cell>
          <cell r="G674" t="str">
            <v>Reach_2811</v>
          </cell>
          <cell r="H674">
            <v>666</v>
          </cell>
          <cell r="J674">
            <v>248.36</v>
          </cell>
          <cell r="K674">
            <v>54.57</v>
          </cell>
          <cell r="L674">
            <v>7.6780800000000003E-3</v>
          </cell>
          <cell r="M674">
            <v>623.49</v>
          </cell>
          <cell r="N674">
            <v>18.62087136662868</v>
          </cell>
          <cell r="O674">
            <v>13.46</v>
          </cell>
          <cell r="Q674">
            <v>13.46</v>
          </cell>
        </row>
        <row r="675">
          <cell r="D675" t="str">
            <v>108-99-6</v>
          </cell>
          <cell r="E675">
            <v>108996</v>
          </cell>
          <cell r="F675">
            <v>253</v>
          </cell>
          <cell r="G675" t="str">
            <v>Reach_767</v>
          </cell>
          <cell r="H675">
            <v>667</v>
          </cell>
          <cell r="J675">
            <v>93.13</v>
          </cell>
          <cell r="K675">
            <v>-25.92</v>
          </cell>
          <cell r="L675">
            <v>702.49099999999999</v>
          </cell>
          <cell r="M675">
            <v>540000</v>
          </cell>
          <cell r="N675">
            <v>22.387211385683404</v>
          </cell>
          <cell r="P675">
            <v>9</v>
          </cell>
          <cell r="Q675">
            <v>5</v>
          </cell>
        </row>
        <row r="676">
          <cell r="D676" t="str">
            <v>603-35-0</v>
          </cell>
          <cell r="E676">
            <v>603350</v>
          </cell>
          <cell r="F676">
            <v>751</v>
          </cell>
          <cell r="G676" t="str">
            <v>Reach_1412</v>
          </cell>
          <cell r="H676">
            <v>668</v>
          </cell>
          <cell r="J676">
            <v>262.29000000000002</v>
          </cell>
          <cell r="K676">
            <v>108.74</v>
          </cell>
          <cell r="L676">
            <v>1.3596600000000002E-3</v>
          </cell>
          <cell r="M676">
            <v>4.9287999999999998</v>
          </cell>
          <cell r="N676">
            <v>104712.85480508996</v>
          </cell>
          <cell r="Q676">
            <v>14</v>
          </cell>
        </row>
        <row r="677">
          <cell r="D677" t="str">
            <v>51981-21-6</v>
          </cell>
          <cell r="E677">
            <v>51981216</v>
          </cell>
          <cell r="F677">
            <v>5910</v>
          </cell>
          <cell r="G677" t="str">
            <v>Reach_2777</v>
          </cell>
          <cell r="H677">
            <v>669</v>
          </cell>
          <cell r="J677">
            <v>351.13</v>
          </cell>
          <cell r="K677">
            <v>0</v>
          </cell>
          <cell r="Q677">
            <v>14</v>
          </cell>
        </row>
        <row r="678">
          <cell r="D678" t="str">
            <v>6197-30-4</v>
          </cell>
          <cell r="E678">
            <v>6197304</v>
          </cell>
          <cell r="F678">
            <v>3360</v>
          </cell>
          <cell r="G678" t="str">
            <v>Reach_2157</v>
          </cell>
          <cell r="H678">
            <v>670</v>
          </cell>
          <cell r="J678">
            <v>361.49</v>
          </cell>
          <cell r="K678">
            <v>180.84</v>
          </cell>
          <cell r="L678">
            <v>4.1989500000000007E-7</v>
          </cell>
          <cell r="M678">
            <v>3.4513000000000002E-2</v>
          </cell>
          <cell r="N678">
            <v>7585775.7502918513</v>
          </cell>
          <cell r="Q678">
            <v>14</v>
          </cell>
        </row>
        <row r="679">
          <cell r="D679" t="str">
            <v>75-66-1</v>
          </cell>
          <cell r="E679">
            <v>75661</v>
          </cell>
          <cell r="F679">
            <v>3679</v>
          </cell>
          <cell r="G679" t="str">
            <v>Reach_157</v>
          </cell>
          <cell r="H679">
            <v>671</v>
          </cell>
          <cell r="J679">
            <v>90.188000000000002</v>
          </cell>
          <cell r="K679">
            <v>-82.28</v>
          </cell>
          <cell r="L679">
            <v>22394.400000000001</v>
          </cell>
          <cell r="M679">
            <v>4384.6000000000004</v>
          </cell>
          <cell r="N679">
            <v>138.0384264602886</v>
          </cell>
          <cell r="O679">
            <v>11.3</v>
          </cell>
          <cell r="Q679">
            <v>11.3</v>
          </cell>
        </row>
        <row r="680">
          <cell r="D680" t="str">
            <v>78-63-7</v>
          </cell>
          <cell r="E680">
            <v>78637</v>
          </cell>
          <cell r="F680">
            <v>3753</v>
          </cell>
          <cell r="G680" t="str">
            <v>Reach_202</v>
          </cell>
          <cell r="H680">
            <v>672</v>
          </cell>
          <cell r="J680">
            <v>290.44</v>
          </cell>
          <cell r="K680">
            <v>64.91</v>
          </cell>
          <cell r="L680">
            <v>1.2676830000000001</v>
          </cell>
          <cell r="M680">
            <v>0.14163000000000001</v>
          </cell>
          <cell r="N680">
            <v>3548133.8923357595</v>
          </cell>
          <cell r="Q680">
            <v>14</v>
          </cell>
        </row>
        <row r="681">
          <cell r="D681" t="str">
            <v>3047-33-4</v>
          </cell>
          <cell r="E681">
            <v>3047334</v>
          </cell>
          <cell r="F681">
            <v>5834</v>
          </cell>
          <cell r="G681" t="str">
            <v>Reach_1905</v>
          </cell>
          <cell r="H681">
            <v>673</v>
          </cell>
          <cell r="J681">
            <v>195.03</v>
          </cell>
          <cell r="K681">
            <v>0</v>
          </cell>
          <cell r="Q681">
            <v>14</v>
          </cell>
        </row>
        <row r="682">
          <cell r="D682" t="str">
            <v>110-60-1</v>
          </cell>
          <cell r="E682">
            <v>110601</v>
          </cell>
          <cell r="F682">
            <v>1524</v>
          </cell>
          <cell r="G682" t="str">
            <v>Reach_819</v>
          </cell>
          <cell r="H682">
            <v>674</v>
          </cell>
          <cell r="J682">
            <v>88.156000000000006</v>
          </cell>
          <cell r="K682">
            <v>0.89</v>
          </cell>
          <cell r="L682">
            <v>310.58900000000006</v>
          </cell>
          <cell r="M682">
            <v>1000000</v>
          </cell>
          <cell r="N682">
            <v>0.22908676527677729</v>
          </cell>
          <cell r="P682">
            <v>3.39</v>
          </cell>
          <cell r="Q682">
            <v>10.61</v>
          </cell>
        </row>
        <row r="683">
          <cell r="D683" t="str">
            <v>98-09-9</v>
          </cell>
          <cell r="E683">
            <v>98099</v>
          </cell>
          <cell r="F683">
            <v>1066</v>
          </cell>
          <cell r="G683" t="str">
            <v>Reach_497</v>
          </cell>
          <cell r="H683">
            <v>675</v>
          </cell>
          <cell r="J683">
            <v>176.62</v>
          </cell>
          <cell r="K683">
            <v>61.24</v>
          </cell>
          <cell r="L683">
            <v>3.2658500000000004</v>
          </cell>
          <cell r="M683">
            <v>889.84</v>
          </cell>
          <cell r="N683">
            <v>870.96358995608091</v>
          </cell>
          <cell r="Q683">
            <v>14</v>
          </cell>
        </row>
        <row r="684">
          <cell r="D684" t="str">
            <v>78-42-2</v>
          </cell>
          <cell r="E684">
            <v>78422</v>
          </cell>
          <cell r="F684">
            <v>895</v>
          </cell>
          <cell r="G684" t="str">
            <v>Reach_199</v>
          </cell>
          <cell r="H684">
            <v>676</v>
          </cell>
          <cell r="J684">
            <v>434.64</v>
          </cell>
          <cell r="K684">
            <v>86.99</v>
          </cell>
          <cell r="L684">
            <v>8.0913099999999996E-5</v>
          </cell>
          <cell r="M684">
            <v>1.8546E-4</v>
          </cell>
          <cell r="N684">
            <v>3090295432.5135956</v>
          </cell>
          <cell r="Q684">
            <v>14</v>
          </cell>
        </row>
        <row r="685">
          <cell r="D685" t="str">
            <v>2425-77-6</v>
          </cell>
          <cell r="E685">
            <v>2425776</v>
          </cell>
          <cell r="F685">
            <v>2381</v>
          </cell>
          <cell r="G685" t="str">
            <v>Reach_1805</v>
          </cell>
          <cell r="H685">
            <v>677</v>
          </cell>
          <cell r="J685">
            <v>242.45</v>
          </cell>
          <cell r="K685">
            <v>50.79</v>
          </cell>
          <cell r="L685">
            <v>2.3594100000000002E-3</v>
          </cell>
          <cell r="M685">
            <v>2.6013000000000001E-2</v>
          </cell>
          <cell r="N685">
            <v>4570881.8961487599</v>
          </cell>
          <cell r="O685">
            <v>15.9</v>
          </cell>
          <cell r="Q685">
            <v>14</v>
          </cell>
        </row>
        <row r="686">
          <cell r="D686" t="str">
            <v>541-05-9</v>
          </cell>
          <cell r="E686">
            <v>541059</v>
          </cell>
          <cell r="F686">
            <v>3126</v>
          </cell>
          <cell r="G686" t="str">
            <v>Reach_1339</v>
          </cell>
          <cell r="H686">
            <v>678</v>
          </cell>
          <cell r="J686">
            <v>222.47</v>
          </cell>
          <cell r="K686">
            <v>1.1299999999999999</v>
          </cell>
          <cell r="L686">
            <v>438.55700000000002</v>
          </cell>
          <cell r="M686">
            <v>33.984000000000002</v>
          </cell>
          <cell r="N686">
            <v>436515.83224016649</v>
          </cell>
          <cell r="Q686">
            <v>14</v>
          </cell>
        </row>
        <row r="687">
          <cell r="D687" t="str">
            <v>108-22-5</v>
          </cell>
          <cell r="E687">
            <v>108225</v>
          </cell>
          <cell r="F687">
            <v>1478</v>
          </cell>
          <cell r="G687" t="str">
            <v>Reach_735</v>
          </cell>
          <cell r="H687">
            <v>679</v>
          </cell>
          <cell r="J687">
            <v>100.12</v>
          </cell>
          <cell r="K687">
            <v>-79.63</v>
          </cell>
          <cell r="L687">
            <v>5678.5800000000008</v>
          </cell>
          <cell r="M687">
            <v>37196</v>
          </cell>
          <cell r="N687">
            <v>19.054607179632477</v>
          </cell>
          <cell r="Q687">
            <v>14</v>
          </cell>
        </row>
        <row r="688">
          <cell r="D688" t="str">
            <v>13463-41-7</v>
          </cell>
          <cell r="E688">
            <v>13463417</v>
          </cell>
          <cell r="F688">
            <v>1190</v>
          </cell>
          <cell r="G688" t="str">
            <v>Reach_2336</v>
          </cell>
          <cell r="H688">
            <v>680</v>
          </cell>
          <cell r="J688">
            <v>317.7</v>
          </cell>
          <cell r="K688">
            <v>0</v>
          </cell>
          <cell r="Q688">
            <v>14</v>
          </cell>
        </row>
        <row r="689">
          <cell r="D689" t="str">
            <v>79-92-5</v>
          </cell>
          <cell r="E689">
            <v>79925</v>
          </cell>
          <cell r="F689">
            <v>928</v>
          </cell>
          <cell r="G689" t="str">
            <v>Reach_251</v>
          </cell>
          <cell r="H689">
            <v>681</v>
          </cell>
          <cell r="J689">
            <v>136.24</v>
          </cell>
          <cell r="K689">
            <v>-15.3</v>
          </cell>
          <cell r="L689">
            <v>237.27400000000003</v>
          </cell>
          <cell r="M689">
            <v>17.648</v>
          </cell>
          <cell r="N689">
            <v>22387.211385683382</v>
          </cell>
          <cell r="Q689">
            <v>14</v>
          </cell>
        </row>
        <row r="690">
          <cell r="D690" t="str">
            <v>149-44-0</v>
          </cell>
          <cell r="E690">
            <v>149440</v>
          </cell>
          <cell r="F690">
            <v>5704</v>
          </cell>
          <cell r="G690" t="str">
            <v>Reach_1199</v>
          </cell>
          <cell r="H690">
            <v>682</v>
          </cell>
          <cell r="J690">
            <v>118.09</v>
          </cell>
          <cell r="K690">
            <v>0</v>
          </cell>
          <cell r="Q690">
            <v>14</v>
          </cell>
        </row>
        <row r="691">
          <cell r="D691" t="str">
            <v>112-55-0</v>
          </cell>
          <cell r="E691">
            <v>112550</v>
          </cell>
          <cell r="F691">
            <v>1592</v>
          </cell>
          <cell r="G691" t="str">
            <v>Reach_913</v>
          </cell>
          <cell r="H691">
            <v>683</v>
          </cell>
          <cell r="J691">
            <v>202.4</v>
          </cell>
          <cell r="K691">
            <v>15.68</v>
          </cell>
          <cell r="L691">
            <v>0.9877530000000001</v>
          </cell>
          <cell r="M691">
            <v>2.4754999999999999E-2</v>
          </cell>
          <cell r="N691">
            <v>1513561.2484362102</v>
          </cell>
          <cell r="O691">
            <v>10.7</v>
          </cell>
          <cell r="Q691">
            <v>10.7</v>
          </cell>
        </row>
        <row r="692">
          <cell r="D692" t="str">
            <v>4979-32-2</v>
          </cell>
          <cell r="E692">
            <v>4979322</v>
          </cell>
          <cell r="F692">
            <v>2990</v>
          </cell>
          <cell r="G692" t="str">
            <v>Reach_2069</v>
          </cell>
          <cell r="H692">
            <v>684</v>
          </cell>
          <cell r="J692">
            <v>346.56</v>
          </cell>
          <cell r="K692">
            <v>192.34</v>
          </cell>
          <cell r="L692">
            <v>8.23794</v>
          </cell>
          <cell r="M692">
            <v>3.3828999999999998E-2</v>
          </cell>
          <cell r="N692">
            <v>891250.93813374708</v>
          </cell>
          <cell r="Q692">
            <v>14</v>
          </cell>
        </row>
        <row r="693">
          <cell r="D693" t="str">
            <v>151-21-3</v>
          </cell>
          <cell r="E693">
            <v>151213</v>
          </cell>
          <cell r="F693">
            <v>1198</v>
          </cell>
          <cell r="G693" t="str">
            <v>Reach_1207</v>
          </cell>
          <cell r="H693">
            <v>685</v>
          </cell>
          <cell r="J693">
            <v>288.38</v>
          </cell>
          <cell r="K693">
            <v>0</v>
          </cell>
          <cell r="Q693">
            <v>14</v>
          </cell>
        </row>
        <row r="694">
          <cell r="D694" t="str">
            <v>106-23-0</v>
          </cell>
          <cell r="E694">
            <v>106230</v>
          </cell>
          <cell r="F694">
            <v>1432</v>
          </cell>
          <cell r="G694" t="str">
            <v>Reach_660</v>
          </cell>
          <cell r="H694">
            <v>686</v>
          </cell>
          <cell r="J694">
            <v>154.25</v>
          </cell>
          <cell r="K694">
            <v>-28.33</v>
          </cell>
          <cell r="L694">
            <v>33.858200000000004</v>
          </cell>
          <cell r="M694">
            <v>292.87</v>
          </cell>
          <cell r="N694">
            <v>3388.4415613920255</v>
          </cell>
          <cell r="Q694">
            <v>14</v>
          </cell>
        </row>
        <row r="695">
          <cell r="D695" t="str">
            <v>1185-55-3</v>
          </cell>
          <cell r="E695">
            <v>1185553</v>
          </cell>
          <cell r="F695">
            <v>1672</v>
          </cell>
          <cell r="G695" t="str">
            <v>Reach_1666</v>
          </cell>
          <cell r="H695">
            <v>687</v>
          </cell>
          <cell r="J695">
            <v>136.22</v>
          </cell>
          <cell r="K695">
            <v>-59.98</v>
          </cell>
          <cell r="L695">
            <v>4478.880000000001</v>
          </cell>
          <cell r="M695">
            <v>19098</v>
          </cell>
          <cell r="N695">
            <v>0.21379620895022314</v>
          </cell>
          <cell r="Q695">
            <v>14</v>
          </cell>
        </row>
        <row r="696">
          <cell r="D696" t="str">
            <v>24280-93-1</v>
          </cell>
          <cell r="E696">
            <v>24280931</v>
          </cell>
          <cell r="F696">
            <v>2383</v>
          </cell>
          <cell r="G696" t="str">
            <v>Reach_2541</v>
          </cell>
          <cell r="H696">
            <v>688</v>
          </cell>
          <cell r="J696">
            <v>320.33999999999997</v>
          </cell>
          <cell r="K696">
            <v>215.63</v>
          </cell>
          <cell r="L696">
            <v>2.1194700000000003E-8</v>
          </cell>
          <cell r="M696">
            <v>266.11</v>
          </cell>
          <cell r="N696">
            <v>16595.869074375616</v>
          </cell>
          <cell r="O696">
            <v>4.8899999999999997</v>
          </cell>
          <cell r="Q696">
            <v>4.8899999999999997</v>
          </cell>
        </row>
        <row r="697">
          <cell r="D697" t="str">
            <v>60-29-7</v>
          </cell>
          <cell r="E697">
            <v>60297</v>
          </cell>
          <cell r="F697">
            <v>750</v>
          </cell>
          <cell r="G697" t="str">
            <v>Reach_57</v>
          </cell>
          <cell r="H697">
            <v>689</v>
          </cell>
          <cell r="J697">
            <v>74.123000000000005</v>
          </cell>
          <cell r="K697">
            <v>-101.15</v>
          </cell>
          <cell r="L697">
            <v>71848.700000000012</v>
          </cell>
          <cell r="M697">
            <v>47650</v>
          </cell>
          <cell r="N697">
            <v>11.220184543019636</v>
          </cell>
          <cell r="Q697">
            <v>14</v>
          </cell>
        </row>
        <row r="698">
          <cell r="D698" t="str">
            <v>123-99-9</v>
          </cell>
          <cell r="E698">
            <v>123999</v>
          </cell>
          <cell r="F698">
            <v>1782</v>
          </cell>
          <cell r="G698" t="str">
            <v>Reach_1064</v>
          </cell>
          <cell r="H698">
            <v>690</v>
          </cell>
          <cell r="J698">
            <v>188.22</v>
          </cell>
          <cell r="K698">
            <v>127.15</v>
          </cell>
          <cell r="L698">
            <v>3.0525700000000005E-3</v>
          </cell>
          <cell r="M698">
            <v>3753</v>
          </cell>
          <cell r="N698">
            <v>50.118723362727238</v>
          </cell>
          <cell r="O698">
            <v>4.59</v>
          </cell>
          <cell r="Q698">
            <v>4.59</v>
          </cell>
        </row>
        <row r="699">
          <cell r="D699" t="str">
            <v>919-30-2</v>
          </cell>
          <cell r="E699">
            <v>919302</v>
          </cell>
          <cell r="F699">
            <v>4023</v>
          </cell>
          <cell r="G699" t="str">
            <v>Reach_1589</v>
          </cell>
          <cell r="H699">
            <v>691</v>
          </cell>
          <cell r="J699">
            <v>221.37</v>
          </cell>
          <cell r="K699">
            <v>55.9</v>
          </cell>
          <cell r="L699">
            <v>9.7842200000000012</v>
          </cell>
          <cell r="M699">
            <v>28433</v>
          </cell>
          <cell r="N699">
            <v>2.0417379446695296</v>
          </cell>
          <cell r="P699">
            <v>4.07</v>
          </cell>
          <cell r="Q699">
            <v>9.93</v>
          </cell>
        </row>
        <row r="700">
          <cell r="D700" t="str">
            <v>2935-90-2</v>
          </cell>
          <cell r="E700">
            <v>2935902</v>
          </cell>
          <cell r="F700">
            <v>2563</v>
          </cell>
          <cell r="G700" t="str">
            <v>Reach_1888</v>
          </cell>
          <cell r="H700">
            <v>692</v>
          </cell>
          <cell r="J700">
            <v>120.17</v>
          </cell>
          <cell r="K700">
            <v>-40.29</v>
          </cell>
          <cell r="L700">
            <v>251.93700000000001</v>
          </cell>
          <cell r="M700">
            <v>50382</v>
          </cell>
          <cell r="N700">
            <v>6.4565422903465572</v>
          </cell>
          <cell r="O700">
            <v>9.6</v>
          </cell>
          <cell r="Q700">
            <v>9.6</v>
          </cell>
        </row>
        <row r="701">
          <cell r="D701" t="str">
            <v>142-47-2</v>
          </cell>
          <cell r="E701">
            <v>142472</v>
          </cell>
          <cell r="F701">
            <v>5695</v>
          </cell>
          <cell r="G701" t="str">
            <v>Reach_1178</v>
          </cell>
          <cell r="H701">
            <v>693</v>
          </cell>
          <cell r="J701">
            <v>169.11</v>
          </cell>
          <cell r="K701">
            <v>0</v>
          </cell>
          <cell r="Q701">
            <v>14</v>
          </cell>
        </row>
        <row r="702">
          <cell r="D702" t="str">
            <v>10326-41-7</v>
          </cell>
          <cell r="E702">
            <v>10326417</v>
          </cell>
          <cell r="F702">
            <v>161</v>
          </cell>
          <cell r="G702" t="str">
            <v>Reach_2288</v>
          </cell>
          <cell r="H702">
            <v>694</v>
          </cell>
          <cell r="J702">
            <v>90.078000000000003</v>
          </cell>
          <cell r="K702">
            <v>22.66</v>
          </cell>
          <cell r="L702">
            <v>3.8123800000000005</v>
          </cell>
          <cell r="M702">
            <v>772000</v>
          </cell>
          <cell r="N702">
            <v>0.22387211385683392</v>
          </cell>
          <cell r="Q702">
            <v>14</v>
          </cell>
        </row>
        <row r="703">
          <cell r="D703" t="str">
            <v>15022-08-9</v>
          </cell>
          <cell r="E703">
            <v>15022089</v>
          </cell>
          <cell r="F703">
            <v>2008</v>
          </cell>
          <cell r="G703" t="str">
            <v>Reach_2375</v>
          </cell>
          <cell r="H703">
            <v>695</v>
          </cell>
          <cell r="J703">
            <v>142.15</v>
          </cell>
          <cell r="K703">
            <v>-74.19</v>
          </cell>
          <cell r="L703">
            <v>773.14</v>
          </cell>
          <cell r="M703">
            <v>14817</v>
          </cell>
          <cell r="N703">
            <v>85.113803820237663</v>
          </cell>
          <cell r="Q703">
            <v>14</v>
          </cell>
        </row>
        <row r="704">
          <cell r="D704" t="str">
            <v>1071-22-3</v>
          </cell>
          <cell r="E704">
            <v>1071223</v>
          </cell>
          <cell r="F704">
            <v>1455</v>
          </cell>
          <cell r="G704" t="str">
            <v>Reach_1640</v>
          </cell>
          <cell r="H704">
            <v>696</v>
          </cell>
          <cell r="J704">
            <v>188.52</v>
          </cell>
          <cell r="K704">
            <v>6.77</v>
          </cell>
          <cell r="L704">
            <v>60.118300000000005</v>
          </cell>
          <cell r="M704">
            <v>11299</v>
          </cell>
          <cell r="N704">
            <v>33.113112148259127</v>
          </cell>
          <cell r="Q704">
            <v>14</v>
          </cell>
        </row>
        <row r="705">
          <cell r="D705" t="str">
            <v>111-92-2</v>
          </cell>
          <cell r="E705">
            <v>111922</v>
          </cell>
          <cell r="F705">
            <v>317</v>
          </cell>
          <cell r="G705" t="str">
            <v>Reach_882</v>
          </cell>
          <cell r="H705">
            <v>697</v>
          </cell>
          <cell r="J705">
            <v>129.25</v>
          </cell>
          <cell r="K705">
            <v>-29.89</v>
          </cell>
          <cell r="L705">
            <v>341.24800000000005</v>
          </cell>
          <cell r="M705">
            <v>1984.5</v>
          </cell>
          <cell r="N705">
            <v>588.84365535558959</v>
          </cell>
          <cell r="P705">
            <v>3</v>
          </cell>
          <cell r="Q705">
            <v>11</v>
          </cell>
        </row>
        <row r="706">
          <cell r="D706" t="str">
            <v>126-71-6</v>
          </cell>
          <cell r="E706">
            <v>126716</v>
          </cell>
          <cell r="F706">
            <v>18</v>
          </cell>
          <cell r="G706" t="str">
            <v>Reach_1088</v>
          </cell>
          <cell r="H706">
            <v>698</v>
          </cell>
          <cell r="J706">
            <v>266.32</v>
          </cell>
          <cell r="K706">
            <v>16.43</v>
          </cell>
          <cell r="L706">
            <v>1.7062400000000002</v>
          </cell>
          <cell r="M706">
            <v>314.13</v>
          </cell>
          <cell r="N706">
            <v>3981.0717055349769</v>
          </cell>
          <cell r="Q706">
            <v>14</v>
          </cell>
        </row>
        <row r="707">
          <cell r="D707" t="str">
            <v>674-82-8</v>
          </cell>
          <cell r="E707">
            <v>674828</v>
          </cell>
          <cell r="F707">
            <v>3493</v>
          </cell>
          <cell r="G707" t="str">
            <v>Reach_1494</v>
          </cell>
          <cell r="H707">
            <v>699</v>
          </cell>
          <cell r="J707">
            <v>84.073999999999998</v>
          </cell>
          <cell r="K707">
            <v>-35.58</v>
          </cell>
          <cell r="L707">
            <v>1586.2700000000002</v>
          </cell>
          <cell r="M707">
            <v>93380</v>
          </cell>
          <cell r="N707">
            <v>0.40738027780411268</v>
          </cell>
          <cell r="Q707">
            <v>14</v>
          </cell>
        </row>
        <row r="708">
          <cell r="D708" t="str">
            <v>3622-84-2</v>
          </cell>
          <cell r="E708">
            <v>3622842</v>
          </cell>
          <cell r="F708">
            <v>2763</v>
          </cell>
          <cell r="G708" t="str">
            <v>Reach_1977</v>
          </cell>
          <cell r="H708">
            <v>700</v>
          </cell>
          <cell r="J708">
            <v>213.3</v>
          </cell>
          <cell r="K708">
            <v>108.02</v>
          </cell>
          <cell r="L708">
            <v>1.8928600000000004E-2</v>
          </cell>
          <cell r="M708">
            <v>1073.2</v>
          </cell>
          <cell r="N708">
            <v>204.17379446695315</v>
          </cell>
          <cell r="O708">
            <v>10.1</v>
          </cell>
          <cell r="Q708">
            <v>10.1</v>
          </cell>
        </row>
        <row r="709">
          <cell r="D709" t="str">
            <v>6358-30-1</v>
          </cell>
          <cell r="E709">
            <v>6358301</v>
          </cell>
          <cell r="F709">
            <v>3406</v>
          </cell>
          <cell r="G709" t="str">
            <v>Reach_2167</v>
          </cell>
          <cell r="H709">
            <v>701</v>
          </cell>
          <cell r="J709">
            <v>589.49</v>
          </cell>
          <cell r="K709">
            <v>339.28</v>
          </cell>
          <cell r="L709">
            <v>7.1182200000000003E-17</v>
          </cell>
          <cell r="M709">
            <v>1.59E-5</v>
          </cell>
          <cell r="N709">
            <v>2089296130.8540463</v>
          </cell>
          <cell r="Q709">
            <v>14</v>
          </cell>
        </row>
        <row r="710">
          <cell r="D710" t="str">
            <v>90-72-2</v>
          </cell>
          <cell r="E710">
            <v>90722</v>
          </cell>
          <cell r="F710">
            <v>4003</v>
          </cell>
          <cell r="G710" t="str">
            <v>Reach_366</v>
          </cell>
          <cell r="H710">
            <v>702</v>
          </cell>
          <cell r="J710">
            <v>265.39999999999998</v>
          </cell>
          <cell r="K710">
            <v>133.79</v>
          </cell>
          <cell r="L710">
            <v>2.1461300000000003E-4</v>
          </cell>
          <cell r="M710">
            <v>57958</v>
          </cell>
          <cell r="N710">
            <v>5.8884365535558905</v>
          </cell>
          <cell r="O710">
            <v>11.78</v>
          </cell>
          <cell r="P710">
            <v>5.37</v>
          </cell>
          <cell r="Q710">
            <v>8.629999999999999</v>
          </cell>
        </row>
        <row r="711">
          <cell r="D711" t="str">
            <v>98-59-9</v>
          </cell>
          <cell r="E711">
            <v>98599</v>
          </cell>
          <cell r="F711">
            <v>4188</v>
          </cell>
          <cell r="G711" t="str">
            <v>Reach_514</v>
          </cell>
          <cell r="H711">
            <v>703</v>
          </cell>
          <cell r="J711">
            <v>190.65</v>
          </cell>
          <cell r="K711">
            <v>75.290000000000006</v>
          </cell>
          <cell r="L711">
            <v>0.16129299999999999</v>
          </cell>
          <cell r="M711">
            <v>210.37</v>
          </cell>
          <cell r="N711">
            <v>3090.295432513592</v>
          </cell>
          <cell r="Q711">
            <v>14</v>
          </cell>
        </row>
        <row r="712">
          <cell r="D712" t="str">
            <v>24468-13-1</v>
          </cell>
          <cell r="E712">
            <v>24468131</v>
          </cell>
          <cell r="F712">
            <v>2395</v>
          </cell>
          <cell r="G712" t="str">
            <v>Reach_2547</v>
          </cell>
          <cell r="H712">
            <v>704</v>
          </cell>
          <cell r="J712">
            <v>192.69</v>
          </cell>
          <cell r="K712">
            <v>-8.26</v>
          </cell>
          <cell r="L712">
            <v>33.858200000000004</v>
          </cell>
          <cell r="M712">
            <v>32.180999999999997</v>
          </cell>
          <cell r="N712">
            <v>3162.2776601683804</v>
          </cell>
          <cell r="Q712">
            <v>14</v>
          </cell>
        </row>
        <row r="713">
          <cell r="D713" t="str">
            <v>2008-39-1</v>
          </cell>
          <cell r="E713">
            <v>2008391</v>
          </cell>
          <cell r="F713">
            <v>1202</v>
          </cell>
          <cell r="G713" t="str">
            <v>Reach_1744</v>
          </cell>
          <cell r="H713">
            <v>705</v>
          </cell>
          <cell r="J713">
            <v>266.13</v>
          </cell>
          <cell r="K713">
            <v>0</v>
          </cell>
          <cell r="Q713">
            <v>14</v>
          </cell>
        </row>
        <row r="714">
          <cell r="D714" t="str">
            <v>288-88-0</v>
          </cell>
          <cell r="E714">
            <v>288880</v>
          </cell>
          <cell r="F714">
            <v>584</v>
          </cell>
          <cell r="G714" t="str">
            <v>Reach_1224</v>
          </cell>
          <cell r="H714">
            <v>706</v>
          </cell>
          <cell r="J714">
            <v>69.069999999999993</v>
          </cell>
          <cell r="K714">
            <v>21.64</v>
          </cell>
          <cell r="L714">
            <v>80.379900000000006</v>
          </cell>
          <cell r="M714">
            <v>162000</v>
          </cell>
          <cell r="N714">
            <v>0.17378008287493749</v>
          </cell>
          <cell r="O714">
            <v>10.5</v>
          </cell>
          <cell r="P714">
            <v>12</v>
          </cell>
          <cell r="Q714">
            <v>2</v>
          </cell>
        </row>
        <row r="715">
          <cell r="D715" t="str">
            <v>3794-83-0</v>
          </cell>
          <cell r="E715">
            <v>3794830</v>
          </cell>
          <cell r="F715">
            <v>5869</v>
          </cell>
          <cell r="G715" t="str">
            <v>Reach_1992</v>
          </cell>
          <cell r="H715">
            <v>707</v>
          </cell>
          <cell r="J715">
            <v>293.95999999999998</v>
          </cell>
          <cell r="K715">
            <v>0</v>
          </cell>
          <cell r="Q715">
            <v>14</v>
          </cell>
        </row>
        <row r="716">
          <cell r="D716" t="str">
            <v>122-52-1</v>
          </cell>
          <cell r="E716">
            <v>122521</v>
          </cell>
          <cell r="F716">
            <v>1751</v>
          </cell>
          <cell r="G716" t="str">
            <v>Reach_1030</v>
          </cell>
          <cell r="H716">
            <v>708</v>
          </cell>
          <cell r="J716">
            <v>166.16</v>
          </cell>
          <cell r="K716">
            <v>-21.4</v>
          </cell>
          <cell r="L716">
            <v>369.24100000000004</v>
          </cell>
          <cell r="M716">
            <v>1680000000</v>
          </cell>
          <cell r="N716">
            <v>5.4954087385762458</v>
          </cell>
          <cell r="Q716">
            <v>14</v>
          </cell>
        </row>
        <row r="717">
          <cell r="D717" t="str">
            <v>7173-62-8</v>
          </cell>
          <cell r="E717">
            <v>7173628</v>
          </cell>
          <cell r="F717">
            <v>3589</v>
          </cell>
          <cell r="G717" t="str">
            <v>Reach_2229</v>
          </cell>
          <cell r="H717">
            <v>709</v>
          </cell>
          <cell r="J717">
            <v>324.60000000000002</v>
          </cell>
          <cell r="K717">
            <v>142.1</v>
          </cell>
          <cell r="L717">
            <v>6.4650500000000007E-5</v>
          </cell>
          <cell r="M717">
            <v>1.708E-4</v>
          </cell>
          <cell r="N717">
            <v>29512092.266663849</v>
          </cell>
          <cell r="P717">
            <v>3.3</v>
          </cell>
          <cell r="Q717">
            <v>10.7</v>
          </cell>
        </row>
        <row r="718">
          <cell r="D718" t="str">
            <v>98-67-9</v>
          </cell>
          <cell r="E718">
            <v>98679</v>
          </cell>
          <cell r="F718">
            <v>4190</v>
          </cell>
          <cell r="G718" t="str">
            <v>Reach_516</v>
          </cell>
          <cell r="H718">
            <v>710</v>
          </cell>
          <cell r="J718">
            <v>174.17</v>
          </cell>
          <cell r="K718">
            <v>128.74</v>
          </cell>
          <cell r="L718">
            <v>4.4388899999999998E-5</v>
          </cell>
          <cell r="M718">
            <v>24646</v>
          </cell>
          <cell r="N718">
            <v>2.2387211385683389E-2</v>
          </cell>
          <cell r="O718">
            <v>0.96</v>
          </cell>
          <cell r="Q718">
            <v>0.96</v>
          </cell>
        </row>
        <row r="719">
          <cell r="D719" t="str">
            <v>121-43-7</v>
          </cell>
          <cell r="E719">
            <v>121437</v>
          </cell>
          <cell r="F719">
            <v>1726</v>
          </cell>
          <cell r="G719" t="str">
            <v>Reach_1012</v>
          </cell>
          <cell r="H719">
            <v>711</v>
          </cell>
          <cell r="J719">
            <v>103.92</v>
          </cell>
          <cell r="K719">
            <v>-82.6</v>
          </cell>
          <cell r="L719">
            <v>20128.300000000003</v>
          </cell>
          <cell r="N719">
            <v>1.2589254117941664E-2</v>
          </cell>
          <cell r="Q719">
            <v>14</v>
          </cell>
        </row>
        <row r="720">
          <cell r="D720" t="str">
            <v>1241-94-7</v>
          </cell>
          <cell r="E720">
            <v>1241947</v>
          </cell>
          <cell r="F720">
            <v>403</v>
          </cell>
          <cell r="G720" t="str">
            <v>Reach_1675</v>
          </cell>
          <cell r="H720">
            <v>712</v>
          </cell>
          <cell r="J720">
            <v>362.41</v>
          </cell>
          <cell r="K720">
            <v>86.66</v>
          </cell>
          <cell r="L720">
            <v>4.4522199999999998E-3</v>
          </cell>
          <cell r="M720">
            <v>9.0378E-2</v>
          </cell>
          <cell r="N720">
            <v>1995262.31496888</v>
          </cell>
          <cell r="Q720">
            <v>14</v>
          </cell>
        </row>
        <row r="721">
          <cell r="D721" t="str">
            <v>2409-55-4</v>
          </cell>
          <cell r="E721">
            <v>2409554</v>
          </cell>
          <cell r="F721">
            <v>2373</v>
          </cell>
          <cell r="G721" t="str">
            <v>Reach_1800</v>
          </cell>
          <cell r="H721">
            <v>713</v>
          </cell>
          <cell r="J721">
            <v>164.25</v>
          </cell>
          <cell r="K721">
            <v>51.87</v>
          </cell>
          <cell r="L721">
            <v>1.7462300000000002</v>
          </cell>
          <cell r="M721">
            <v>534.83000000000004</v>
          </cell>
          <cell r="N721">
            <v>9332.5430079699217</v>
          </cell>
          <cell r="O721">
            <v>10.8</v>
          </cell>
          <cell r="Q721">
            <v>10.8</v>
          </cell>
        </row>
        <row r="722">
          <cell r="D722" t="str">
            <v>92-70-6</v>
          </cell>
          <cell r="E722">
            <v>92706</v>
          </cell>
          <cell r="F722">
            <v>4045</v>
          </cell>
          <cell r="G722" t="str">
            <v>Reach_389</v>
          </cell>
          <cell r="H722">
            <v>714</v>
          </cell>
          <cell r="J722">
            <v>188.18</v>
          </cell>
          <cell r="K722">
            <v>140.99</v>
          </cell>
          <cell r="L722">
            <v>8.3045899999999994E-6</v>
          </cell>
          <cell r="M722">
            <v>477.02</v>
          </cell>
          <cell r="N722">
            <v>2630.2679918953822</v>
          </cell>
          <cell r="O722">
            <v>3</v>
          </cell>
          <cell r="Q722">
            <v>3</v>
          </cell>
        </row>
        <row r="723">
          <cell r="D723" t="str">
            <v>106-22-9</v>
          </cell>
          <cell r="E723">
            <v>106229</v>
          </cell>
          <cell r="F723">
            <v>185</v>
          </cell>
          <cell r="G723" t="str">
            <v>Reach_659</v>
          </cell>
          <cell r="H723">
            <v>715</v>
          </cell>
          <cell r="J723">
            <v>156.27000000000001</v>
          </cell>
          <cell r="K723">
            <v>-12.16</v>
          </cell>
          <cell r="L723">
            <v>2.2527699999999999</v>
          </cell>
          <cell r="M723">
            <v>347.83</v>
          </cell>
          <cell r="N723">
            <v>3630.7805477010188</v>
          </cell>
          <cell r="O723">
            <v>15.9</v>
          </cell>
          <cell r="Q723">
            <v>14</v>
          </cell>
        </row>
        <row r="724">
          <cell r="D724" t="str">
            <v>2420-17-9</v>
          </cell>
          <cell r="E724">
            <v>2420179</v>
          </cell>
          <cell r="F724">
            <v>2377</v>
          </cell>
          <cell r="G724" t="str">
            <v>Reach_1802</v>
          </cell>
          <cell r="H724">
            <v>716</v>
          </cell>
          <cell r="J724">
            <v>192.18</v>
          </cell>
          <cell r="K724">
            <v>197.94</v>
          </cell>
          <cell r="L724">
            <v>5.1453800000000008E-8</v>
          </cell>
          <cell r="M724">
            <v>5643.4</v>
          </cell>
          <cell r="N724">
            <v>1.0232929922807541</v>
          </cell>
          <cell r="Q724">
            <v>14</v>
          </cell>
        </row>
        <row r="725">
          <cell r="D725" t="str">
            <v>95-75-0</v>
          </cell>
          <cell r="E725">
            <v>95750</v>
          </cell>
          <cell r="F725">
            <v>1038</v>
          </cell>
          <cell r="G725" t="str">
            <v>Reach_440</v>
          </cell>
          <cell r="H725">
            <v>717</v>
          </cell>
          <cell r="J725">
            <v>161.03</v>
          </cell>
          <cell r="K725">
            <v>3.57</v>
          </cell>
          <cell r="L725">
            <v>30.792300000000004</v>
          </cell>
          <cell r="M725">
            <v>35.997999999999998</v>
          </cell>
          <cell r="N725">
            <v>6760.8297539198229</v>
          </cell>
          <cell r="Q725">
            <v>14</v>
          </cell>
        </row>
        <row r="726">
          <cell r="D726" t="str">
            <v>78-67-1</v>
          </cell>
          <cell r="E726">
            <v>78671</v>
          </cell>
          <cell r="F726">
            <v>3754</v>
          </cell>
          <cell r="G726" t="str">
            <v>Reach_203</v>
          </cell>
          <cell r="H726">
            <v>718</v>
          </cell>
          <cell r="J726">
            <v>164.22</v>
          </cell>
          <cell r="K726">
            <v>43.85</v>
          </cell>
          <cell r="L726">
            <v>0.18662000000000001</v>
          </cell>
          <cell r="M726">
            <v>718.23</v>
          </cell>
          <cell r="N726">
            <v>741.31024130091828</v>
          </cell>
          <cell r="Q726">
            <v>14</v>
          </cell>
        </row>
        <row r="727">
          <cell r="D727" t="str">
            <v>15307-79-6</v>
          </cell>
          <cell r="E727">
            <v>15307796</v>
          </cell>
          <cell r="F727">
            <v>30</v>
          </cell>
          <cell r="G727" t="str">
            <v>Reach_2381</v>
          </cell>
          <cell r="H727">
            <v>719</v>
          </cell>
          <cell r="J727">
            <v>318.14</v>
          </cell>
          <cell r="K727">
            <v>268.52999999999997</v>
          </cell>
          <cell r="L727">
            <v>4.1722900000000006E-12</v>
          </cell>
          <cell r="N727">
            <v>3.7153522909717256</v>
          </cell>
          <cell r="O727">
            <v>4.3499999999999996</v>
          </cell>
          <cell r="Q727">
            <v>4.3499999999999996</v>
          </cell>
        </row>
        <row r="728">
          <cell r="D728" t="str">
            <v>591-27-5</v>
          </cell>
          <cell r="E728">
            <v>591275</v>
          </cell>
          <cell r="F728">
            <v>734</v>
          </cell>
          <cell r="G728" t="str">
            <v>Reach_1391</v>
          </cell>
          <cell r="H728">
            <v>720</v>
          </cell>
          <cell r="J728">
            <v>109.13</v>
          </cell>
          <cell r="K728">
            <v>53.57</v>
          </cell>
          <cell r="L728">
            <v>0.24793800000000005</v>
          </cell>
          <cell r="M728">
            <v>92732</v>
          </cell>
          <cell r="N728">
            <v>1.7378008287493756</v>
          </cell>
          <cell r="O728">
            <v>9.9</v>
          </cell>
          <cell r="P728">
            <v>10</v>
          </cell>
          <cell r="Q728">
            <v>4</v>
          </cell>
        </row>
        <row r="729">
          <cell r="D729" t="str">
            <v>121-45-9</v>
          </cell>
          <cell r="E729">
            <v>121459</v>
          </cell>
          <cell r="F729">
            <v>1727</v>
          </cell>
          <cell r="G729" t="str">
            <v>Reach_1014</v>
          </cell>
          <cell r="H729">
            <v>721</v>
          </cell>
          <cell r="J729">
            <v>124.08</v>
          </cell>
          <cell r="K729">
            <v>-57.62</v>
          </cell>
          <cell r="L729">
            <v>3039.2400000000002</v>
          </cell>
          <cell r="M729">
            <v>86875</v>
          </cell>
          <cell r="N729">
            <v>0.18620871366628672</v>
          </cell>
          <cell r="Q729">
            <v>14</v>
          </cell>
        </row>
        <row r="730">
          <cell r="D730" t="str">
            <v>106-48-9</v>
          </cell>
          <cell r="E730">
            <v>106489</v>
          </cell>
          <cell r="F730">
            <v>194</v>
          </cell>
          <cell r="G730" t="str">
            <v>Reach_670</v>
          </cell>
          <cell r="H730">
            <v>722</v>
          </cell>
          <cell r="J730">
            <v>128.56</v>
          </cell>
          <cell r="K730">
            <v>28.59</v>
          </cell>
          <cell r="L730">
            <v>5.3453299999999997</v>
          </cell>
          <cell r="M730">
            <v>11374</v>
          </cell>
          <cell r="N730">
            <v>144.54397707459285</v>
          </cell>
          <cell r="O730">
            <v>9.6</v>
          </cell>
          <cell r="Q730">
            <v>9.6</v>
          </cell>
        </row>
        <row r="731">
          <cell r="D731" t="str">
            <v>123-35-3</v>
          </cell>
          <cell r="E731">
            <v>123353</v>
          </cell>
          <cell r="F731">
            <v>390</v>
          </cell>
          <cell r="G731" t="str">
            <v>Reach_1046</v>
          </cell>
          <cell r="H731">
            <v>723</v>
          </cell>
          <cell r="J731">
            <v>136.24</v>
          </cell>
          <cell r="K731">
            <v>-64.83</v>
          </cell>
          <cell r="L731">
            <v>319.92</v>
          </cell>
          <cell r="M731">
            <v>10.84</v>
          </cell>
          <cell r="N731">
            <v>75857.757502918481</v>
          </cell>
          <cell r="Q731">
            <v>14</v>
          </cell>
        </row>
        <row r="732">
          <cell r="D732" t="str">
            <v>420-04-2</v>
          </cell>
          <cell r="E732">
            <v>420042</v>
          </cell>
          <cell r="F732">
            <v>636</v>
          </cell>
          <cell r="G732" t="str">
            <v>Reach_1268</v>
          </cell>
          <cell r="H732">
            <v>724</v>
          </cell>
          <cell r="J732">
            <v>42.042999999999999</v>
          </cell>
          <cell r="K732">
            <v>-36.07</v>
          </cell>
          <cell r="L732">
            <v>1866.2000000000003</v>
          </cell>
          <cell r="M732">
            <v>248000</v>
          </cell>
          <cell r="N732">
            <v>0.15488166189124808</v>
          </cell>
          <cell r="P732">
            <v>13</v>
          </cell>
          <cell r="Q732">
            <v>1</v>
          </cell>
        </row>
        <row r="733">
          <cell r="D733" t="str">
            <v>108-74-7</v>
          </cell>
          <cell r="E733">
            <v>108747</v>
          </cell>
          <cell r="F733">
            <v>1488</v>
          </cell>
          <cell r="G733" t="str">
            <v>Reach_754</v>
          </cell>
          <cell r="H733">
            <v>725</v>
          </cell>
          <cell r="J733">
            <v>129.21</v>
          </cell>
          <cell r="K733">
            <v>17.170000000000002</v>
          </cell>
          <cell r="L733">
            <v>305.25700000000001</v>
          </cell>
          <cell r="M733">
            <v>811000</v>
          </cell>
          <cell r="N733">
            <v>7.0794578438413795E-3</v>
          </cell>
          <cell r="P733">
            <v>8.91</v>
          </cell>
          <cell r="Q733">
            <v>5.09</v>
          </cell>
        </row>
        <row r="734">
          <cell r="D734" t="str">
            <v>116-37-0</v>
          </cell>
          <cell r="E734">
            <v>116370</v>
          </cell>
          <cell r="F734">
            <v>1648</v>
          </cell>
          <cell r="G734" t="str">
            <v>Reach_954</v>
          </cell>
          <cell r="H734">
            <v>726</v>
          </cell>
          <cell r="J734">
            <v>344.45</v>
          </cell>
          <cell r="K734">
            <v>174.61</v>
          </cell>
          <cell r="L734">
            <v>6.7849700000000004E-9</v>
          </cell>
          <cell r="M734">
            <v>1963.2</v>
          </cell>
          <cell r="N734">
            <v>11481.536214968832</v>
          </cell>
          <cell r="O734">
            <v>14.56</v>
          </cell>
          <cell r="Q734">
            <v>14</v>
          </cell>
        </row>
        <row r="735">
          <cell r="D735" t="str">
            <v>109-73-9</v>
          </cell>
          <cell r="E735">
            <v>109739</v>
          </cell>
          <cell r="F735">
            <v>263</v>
          </cell>
          <cell r="G735" t="str">
            <v>Reach_787</v>
          </cell>
          <cell r="H735">
            <v>727</v>
          </cell>
          <cell r="J735">
            <v>73.14</v>
          </cell>
          <cell r="K735">
            <v>-58.76</v>
          </cell>
          <cell r="L735">
            <v>12623.510000000002</v>
          </cell>
          <cell r="M735">
            <v>492000</v>
          </cell>
          <cell r="N735">
            <v>6.7608297539198183</v>
          </cell>
          <cell r="P735">
            <v>4</v>
          </cell>
          <cell r="Q735">
            <v>10</v>
          </cell>
        </row>
        <row r="736">
          <cell r="D736" t="str">
            <v>95-16-9</v>
          </cell>
          <cell r="E736">
            <v>95169</v>
          </cell>
          <cell r="F736">
            <v>113</v>
          </cell>
          <cell r="G736" t="str">
            <v>Reach_423</v>
          </cell>
          <cell r="H736">
            <v>728</v>
          </cell>
          <cell r="J736">
            <v>135.19</v>
          </cell>
          <cell r="K736">
            <v>56.58</v>
          </cell>
          <cell r="L736">
            <v>9.8908600000000018</v>
          </cell>
          <cell r="M736">
            <v>1120</v>
          </cell>
          <cell r="N736">
            <v>147.91083881682084</v>
          </cell>
          <cell r="P736">
            <v>11.6</v>
          </cell>
          <cell r="Q736">
            <v>2.4000000000000004</v>
          </cell>
        </row>
        <row r="737">
          <cell r="D737" t="str">
            <v>4511-42-6</v>
          </cell>
          <cell r="E737">
            <v>4511426</v>
          </cell>
          <cell r="F737">
            <v>2938</v>
          </cell>
          <cell r="G737" t="str">
            <v>Reach_2045</v>
          </cell>
          <cell r="H737">
            <v>729</v>
          </cell>
          <cell r="J737">
            <v>144.13</v>
          </cell>
          <cell r="K737">
            <v>26.08</v>
          </cell>
          <cell r="L737">
            <v>2.0928100000000002E-2</v>
          </cell>
          <cell r="M737">
            <v>15200000</v>
          </cell>
          <cell r="N737">
            <v>44.668359215096324</v>
          </cell>
          <cell r="Q737">
            <v>14</v>
          </cell>
        </row>
        <row r="738">
          <cell r="D738" t="str">
            <v>112-11-8</v>
          </cell>
          <cell r="E738">
            <v>112118</v>
          </cell>
          <cell r="F738">
            <v>1575</v>
          </cell>
          <cell r="G738" t="str">
            <v>Reach_888</v>
          </cell>
          <cell r="H738">
            <v>730</v>
          </cell>
          <cell r="J738">
            <v>324.55</v>
          </cell>
          <cell r="K738">
            <v>88.59</v>
          </cell>
          <cell r="L738">
            <v>1.5329500000000002E-3</v>
          </cell>
          <cell r="M738">
            <v>2.3284E-3</v>
          </cell>
          <cell r="N738">
            <v>831763771.10267103</v>
          </cell>
          <cell r="Q738">
            <v>14</v>
          </cell>
        </row>
        <row r="739">
          <cell r="D739" t="str">
            <v>54839-24-6</v>
          </cell>
          <cell r="E739">
            <v>54839246</v>
          </cell>
          <cell r="F739">
            <v>3154</v>
          </cell>
          <cell r="G739" t="str">
            <v>Reach_2802</v>
          </cell>
          <cell r="H739">
            <v>731</v>
          </cell>
          <cell r="J739">
            <v>146.19</v>
          </cell>
          <cell r="K739">
            <v>-38.200000000000003</v>
          </cell>
          <cell r="L739">
            <v>369.24100000000004</v>
          </cell>
          <cell r="M739">
            <v>15524</v>
          </cell>
          <cell r="N739">
            <v>10.232929922807543</v>
          </cell>
          <cell r="Q739">
            <v>14</v>
          </cell>
        </row>
        <row r="740">
          <cell r="D740" t="str">
            <v>126-58-9</v>
          </cell>
          <cell r="E740">
            <v>126589</v>
          </cell>
          <cell r="F740">
            <v>1808</v>
          </cell>
          <cell r="G740" t="str">
            <v>Reach_1087</v>
          </cell>
          <cell r="H740">
            <v>732</v>
          </cell>
          <cell r="J740">
            <v>254.28</v>
          </cell>
          <cell r="K740">
            <v>191.93</v>
          </cell>
          <cell r="L740">
            <v>2.3194200000000002E-10</v>
          </cell>
          <cell r="M740">
            <v>1000000</v>
          </cell>
          <cell r="N740">
            <v>2.4547089156850303E-3</v>
          </cell>
          <cell r="O740">
            <v>14.09</v>
          </cell>
          <cell r="Q740">
            <v>14</v>
          </cell>
        </row>
        <row r="741">
          <cell r="D741" t="str">
            <v>22818-40-2</v>
          </cell>
          <cell r="E741">
            <v>22818402</v>
          </cell>
          <cell r="F741">
            <v>2339</v>
          </cell>
          <cell r="G741" t="str">
            <v>Reach_2524</v>
          </cell>
          <cell r="H741">
            <v>733</v>
          </cell>
          <cell r="J741">
            <v>167.16</v>
          </cell>
          <cell r="K741">
            <v>238.81</v>
          </cell>
          <cell r="L741">
            <v>5.9451800000000006E-6</v>
          </cell>
          <cell r="M741">
            <v>4827.5</v>
          </cell>
          <cell r="N741">
            <v>5.6234132519034866E-3</v>
          </cell>
          <cell r="O741">
            <v>1.99</v>
          </cell>
          <cell r="Q741">
            <v>1.99</v>
          </cell>
        </row>
        <row r="742">
          <cell r="D742" t="str">
            <v>10595-60-5</v>
          </cell>
          <cell r="E742">
            <v>10595605</v>
          </cell>
          <cell r="F742">
            <v>1423</v>
          </cell>
          <cell r="G742" t="str">
            <v>Reach_2301</v>
          </cell>
          <cell r="H742">
            <v>734</v>
          </cell>
          <cell r="J742">
            <v>267.45999999999998</v>
          </cell>
          <cell r="K742">
            <v>1.1399999999999999</v>
          </cell>
          <cell r="L742">
            <v>8.3445800000000014E-2</v>
          </cell>
          <cell r="M742">
            <v>19.486000000000001</v>
          </cell>
          <cell r="N742">
            <v>42657951.880159341</v>
          </cell>
          <cell r="P742">
            <v>3.4</v>
          </cell>
          <cell r="Q742">
            <v>10.6</v>
          </cell>
        </row>
        <row r="743">
          <cell r="D743" t="str">
            <v>36177-92-1</v>
          </cell>
          <cell r="E743">
            <v>36177921</v>
          </cell>
          <cell r="F743">
            <v>2761</v>
          </cell>
          <cell r="G743" t="str">
            <v>Reach_2698</v>
          </cell>
          <cell r="H743">
            <v>735</v>
          </cell>
          <cell r="J743">
            <v>212.38</v>
          </cell>
          <cell r="K743">
            <v>80</v>
          </cell>
          <cell r="L743">
            <v>0.20394899999999999</v>
          </cell>
          <cell r="M743">
            <v>3637.8</v>
          </cell>
          <cell r="N743">
            <v>758.57757502918378</v>
          </cell>
          <cell r="P743">
            <v>3.75</v>
          </cell>
          <cell r="Q743">
            <v>10.25</v>
          </cell>
        </row>
        <row r="744">
          <cell r="D744" t="str">
            <v>74-95-3</v>
          </cell>
          <cell r="E744">
            <v>74953</v>
          </cell>
          <cell r="F744">
            <v>842</v>
          </cell>
          <cell r="G744" t="str">
            <v>Reach_118</v>
          </cell>
          <cell r="H744">
            <v>736</v>
          </cell>
          <cell r="J744">
            <v>173.85</v>
          </cell>
          <cell r="K744">
            <v>-51.64</v>
          </cell>
          <cell r="L744">
            <v>6505.04</v>
          </cell>
          <cell r="M744">
            <v>11445</v>
          </cell>
          <cell r="N744">
            <v>33.113112148259127</v>
          </cell>
          <cell r="Q744">
            <v>14</v>
          </cell>
        </row>
        <row r="745">
          <cell r="D745" t="str">
            <v>751-83-7</v>
          </cell>
          <cell r="E745">
            <v>751837</v>
          </cell>
          <cell r="F745">
            <v>6024</v>
          </cell>
          <cell r="G745" t="str">
            <v>Reach_1525</v>
          </cell>
          <cell r="H745">
            <v>737</v>
          </cell>
          <cell r="J745">
            <v>1027.3</v>
          </cell>
          <cell r="K745">
            <v>0</v>
          </cell>
          <cell r="Q745">
            <v>14</v>
          </cell>
        </row>
        <row r="746">
          <cell r="D746" t="str">
            <v>103-09-3</v>
          </cell>
          <cell r="E746">
            <v>103093</v>
          </cell>
          <cell r="F746">
            <v>1359</v>
          </cell>
          <cell r="G746" t="str">
            <v>Reach_601</v>
          </cell>
          <cell r="H746">
            <v>738</v>
          </cell>
          <cell r="J746">
            <v>172.27</v>
          </cell>
          <cell r="K746">
            <v>-20.47</v>
          </cell>
          <cell r="L746">
            <v>50.520700000000005</v>
          </cell>
          <cell r="M746">
            <v>181.78</v>
          </cell>
          <cell r="N746">
            <v>5495.4087385762541</v>
          </cell>
          <cell r="Q746">
            <v>14</v>
          </cell>
        </row>
        <row r="747">
          <cell r="D747" t="str">
            <v>21542-96-1</v>
          </cell>
          <cell r="E747">
            <v>21542961</v>
          </cell>
          <cell r="F747">
            <v>2298</v>
          </cell>
          <cell r="G747" t="str">
            <v>Reach_2506</v>
          </cell>
          <cell r="H747">
            <v>739</v>
          </cell>
          <cell r="J747">
            <v>353.68</v>
          </cell>
          <cell r="K747">
            <v>117.42</v>
          </cell>
          <cell r="L747">
            <v>2.0928100000000002E-4</v>
          </cell>
          <cell r="M747">
            <v>5.0000000000000004E-6</v>
          </cell>
          <cell r="N747">
            <v>22387211385.683411</v>
          </cell>
          <cell r="P747">
            <v>3.9</v>
          </cell>
          <cell r="Q747">
            <v>10.1</v>
          </cell>
        </row>
        <row r="748">
          <cell r="D748" t="str">
            <v>17796-82-6</v>
          </cell>
          <cell r="E748">
            <v>17796826</v>
          </cell>
          <cell r="F748">
            <v>2153</v>
          </cell>
          <cell r="G748" t="str">
            <v>Reach_2444</v>
          </cell>
          <cell r="H748">
            <v>740</v>
          </cell>
          <cell r="J748">
            <v>261.33999999999997</v>
          </cell>
          <cell r="K748">
            <v>197.79</v>
          </cell>
          <cell r="L748">
            <v>3.4658000000000002E-7</v>
          </cell>
          <cell r="M748">
            <v>104.36</v>
          </cell>
          <cell r="N748">
            <v>5754.399373371567</v>
          </cell>
          <cell r="Q748">
            <v>14</v>
          </cell>
        </row>
        <row r="749">
          <cell r="D749" t="str">
            <v>78-51-3</v>
          </cell>
          <cell r="E749">
            <v>78513</v>
          </cell>
          <cell r="F749">
            <v>93</v>
          </cell>
          <cell r="G749" t="str">
            <v>Reach_200</v>
          </cell>
          <cell r="H749">
            <v>741</v>
          </cell>
          <cell r="J749">
            <v>398.48</v>
          </cell>
          <cell r="K749">
            <v>85.78</v>
          </cell>
          <cell r="L749">
            <v>1.6395900000000003E-4</v>
          </cell>
          <cell r="M749">
            <v>2.4445000000000001</v>
          </cell>
          <cell r="N749">
            <v>1000</v>
          </cell>
          <cell r="Q749">
            <v>14</v>
          </cell>
        </row>
        <row r="750">
          <cell r="D750" t="str">
            <v>111-86-4</v>
          </cell>
          <cell r="E750">
            <v>111864</v>
          </cell>
          <cell r="F750">
            <v>313</v>
          </cell>
          <cell r="G750" t="str">
            <v>Reach_877</v>
          </cell>
          <cell r="H750">
            <v>742</v>
          </cell>
          <cell r="J750">
            <v>129.25</v>
          </cell>
          <cell r="K750">
            <v>-9.74</v>
          </cell>
          <cell r="L750">
            <v>131.16720000000001</v>
          </cell>
          <cell r="M750">
            <v>321.88</v>
          </cell>
          <cell r="N750">
            <v>630.95734448019323</v>
          </cell>
          <cell r="P750">
            <v>4</v>
          </cell>
          <cell r="Q750">
            <v>10</v>
          </cell>
        </row>
        <row r="751">
          <cell r="D751" t="str">
            <v>112-67-4</v>
          </cell>
          <cell r="E751">
            <v>112674</v>
          </cell>
          <cell r="F751">
            <v>1597</v>
          </cell>
          <cell r="G751" t="str">
            <v>Reach_918</v>
          </cell>
          <cell r="H751">
            <v>743</v>
          </cell>
          <cell r="J751">
            <v>274.88</v>
          </cell>
          <cell r="K751">
            <v>77.040000000000006</v>
          </cell>
          <cell r="L751">
            <v>0.12010330000000001</v>
          </cell>
          <cell r="M751">
            <v>1.3446E-2</v>
          </cell>
          <cell r="N751">
            <v>2511886.431509587</v>
          </cell>
          <cell r="Q751">
            <v>14</v>
          </cell>
        </row>
        <row r="752">
          <cell r="D752" t="str">
            <v>5460-09-3</v>
          </cell>
          <cell r="E752">
            <v>5460093</v>
          </cell>
          <cell r="F752">
            <v>5583</v>
          </cell>
          <cell r="G752" t="str">
            <v>Reach_2116</v>
          </cell>
          <cell r="H752">
            <v>744</v>
          </cell>
          <cell r="J752">
            <v>341.29</v>
          </cell>
          <cell r="K752">
            <v>0</v>
          </cell>
          <cell r="Q752">
            <v>14</v>
          </cell>
        </row>
        <row r="753">
          <cell r="D753" t="str">
            <v>97-36-9</v>
          </cell>
          <cell r="E753">
            <v>97369</v>
          </cell>
          <cell r="F753">
            <v>4163</v>
          </cell>
          <cell r="G753" t="str">
            <v>Reach_477</v>
          </cell>
          <cell r="H753">
            <v>745</v>
          </cell>
          <cell r="J753">
            <v>205.26</v>
          </cell>
          <cell r="K753">
            <v>137.63999999999999</v>
          </cell>
          <cell r="L753">
            <v>1.0770640000000002E-3</v>
          </cell>
          <cell r="M753">
            <v>750.72</v>
          </cell>
          <cell r="N753">
            <v>34.67368504525318</v>
          </cell>
          <cell r="O753">
            <v>10.7</v>
          </cell>
          <cell r="P753">
            <v>13.4</v>
          </cell>
          <cell r="Q753">
            <v>0.59999999999999964</v>
          </cell>
        </row>
        <row r="754">
          <cell r="D754" t="str">
            <v>36727-29-4</v>
          </cell>
          <cell r="E754">
            <v>36727294</v>
          </cell>
          <cell r="F754">
            <v>2775</v>
          </cell>
          <cell r="G754" t="str">
            <v>Reach_2703</v>
          </cell>
          <cell r="H754">
            <v>746</v>
          </cell>
          <cell r="J754">
            <v>176.69</v>
          </cell>
          <cell r="K754">
            <v>-10.89</v>
          </cell>
          <cell r="L754">
            <v>157.29400000000001</v>
          </cell>
          <cell r="M754">
            <v>3.0234000000000001</v>
          </cell>
          <cell r="N754">
            <v>602.55958607435775</v>
          </cell>
          <cell r="Q754">
            <v>14</v>
          </cell>
        </row>
        <row r="755">
          <cell r="D755" t="str">
            <v>108-87-2</v>
          </cell>
          <cell r="E755">
            <v>108872</v>
          </cell>
          <cell r="F755">
            <v>246</v>
          </cell>
          <cell r="G755" t="str">
            <v>Reach_759</v>
          </cell>
          <cell r="H755">
            <v>747</v>
          </cell>
          <cell r="J755">
            <v>98.188999999999993</v>
          </cell>
          <cell r="K755">
            <v>-74.209999999999994</v>
          </cell>
          <cell r="L755">
            <v>5545.2800000000007</v>
          </cell>
          <cell r="M755">
            <v>26.888000000000002</v>
          </cell>
          <cell r="N755">
            <v>3890.451449942811</v>
          </cell>
          <cell r="Q755">
            <v>14</v>
          </cell>
        </row>
        <row r="756">
          <cell r="D756" t="str">
            <v>99-96-7</v>
          </cell>
          <cell r="E756">
            <v>99967</v>
          </cell>
          <cell r="F756">
            <v>1093</v>
          </cell>
          <cell r="G756" t="str">
            <v>Reach_543</v>
          </cell>
          <cell r="H756">
            <v>748</v>
          </cell>
          <cell r="J756">
            <v>138.12</v>
          </cell>
          <cell r="K756">
            <v>93.83</v>
          </cell>
          <cell r="L756">
            <v>9.3709900000000005E-4</v>
          </cell>
          <cell r="M756">
            <v>11860</v>
          </cell>
          <cell r="N756">
            <v>24.547089156850305</v>
          </cell>
          <cell r="O756">
            <v>4.5999999999999996</v>
          </cell>
          <cell r="Q756">
            <v>4.5999999999999996</v>
          </cell>
        </row>
        <row r="757">
          <cell r="D757" t="str">
            <v>108-45-2</v>
          </cell>
          <cell r="E757">
            <v>108452</v>
          </cell>
          <cell r="F757">
            <v>1484</v>
          </cell>
          <cell r="G757" t="str">
            <v>Reach_746</v>
          </cell>
          <cell r="H757">
            <v>749</v>
          </cell>
          <cell r="J757">
            <v>108.15</v>
          </cell>
          <cell r="K757">
            <v>52.83</v>
          </cell>
          <cell r="L757">
            <v>0.25060399999999999</v>
          </cell>
          <cell r="M757">
            <v>20094</v>
          </cell>
          <cell r="N757">
            <v>0.40738027780411268</v>
          </cell>
          <cell r="P757">
            <v>8.9</v>
          </cell>
          <cell r="Q757">
            <v>5.0999999999999996</v>
          </cell>
        </row>
        <row r="758">
          <cell r="D758" t="str">
            <v>105-56-6</v>
          </cell>
          <cell r="E758">
            <v>105566</v>
          </cell>
          <cell r="F758">
            <v>1415</v>
          </cell>
          <cell r="G758" t="str">
            <v>Reach_643</v>
          </cell>
          <cell r="H758">
            <v>750</v>
          </cell>
          <cell r="J758">
            <v>113.12</v>
          </cell>
          <cell r="K758">
            <v>-10.91</v>
          </cell>
          <cell r="L758">
            <v>29.059400000000004</v>
          </cell>
          <cell r="M758">
            <v>22608</v>
          </cell>
          <cell r="N758">
            <v>1.0471285480508996</v>
          </cell>
          <cell r="Q758">
            <v>14</v>
          </cell>
        </row>
        <row r="759">
          <cell r="D759" t="str">
            <v>3173-72-6</v>
          </cell>
          <cell r="E759">
            <v>3173726</v>
          </cell>
          <cell r="F759">
            <v>2631</v>
          </cell>
          <cell r="G759" t="str">
            <v>Reach_1926</v>
          </cell>
          <cell r="H759">
            <v>751</v>
          </cell>
          <cell r="J759">
            <v>210.19</v>
          </cell>
          <cell r="K759">
            <v>76.78</v>
          </cell>
          <cell r="L759">
            <v>4.6121800000000004E-3</v>
          </cell>
          <cell r="M759">
            <v>422.94</v>
          </cell>
          <cell r="N759">
            <v>23442.288153199243</v>
          </cell>
          <cell r="Q759">
            <v>14</v>
          </cell>
        </row>
        <row r="760">
          <cell r="D760" t="str">
            <v>770-35-4</v>
          </cell>
          <cell r="E760">
            <v>770354</v>
          </cell>
          <cell r="F760">
            <v>3730</v>
          </cell>
          <cell r="G760" t="str">
            <v>Reach_1544</v>
          </cell>
          <cell r="H760">
            <v>752</v>
          </cell>
          <cell r="J760">
            <v>152.19</v>
          </cell>
          <cell r="K760">
            <v>20.99</v>
          </cell>
          <cell r="L760">
            <v>0.69316</v>
          </cell>
          <cell r="M760">
            <v>2904.7</v>
          </cell>
          <cell r="N760">
            <v>33.113112148259127</v>
          </cell>
          <cell r="O760">
            <v>14.87</v>
          </cell>
          <cell r="Q760">
            <v>14</v>
          </cell>
        </row>
        <row r="761">
          <cell r="D761" t="str">
            <v>95-73-8</v>
          </cell>
          <cell r="E761">
            <v>95738</v>
          </cell>
          <cell r="F761">
            <v>4131</v>
          </cell>
          <cell r="G761" t="str">
            <v>Reach_438</v>
          </cell>
          <cell r="H761">
            <v>753</v>
          </cell>
          <cell r="J761">
            <v>161.03</v>
          </cell>
          <cell r="K761">
            <v>3.57</v>
          </cell>
          <cell r="L761">
            <v>45.721900000000005</v>
          </cell>
          <cell r="M761">
            <v>61.134</v>
          </cell>
          <cell r="N761">
            <v>6760.8297539198229</v>
          </cell>
          <cell r="Q761">
            <v>14</v>
          </cell>
        </row>
        <row r="762">
          <cell r="D762" t="str">
            <v>92-84-2</v>
          </cell>
          <cell r="E762">
            <v>92842</v>
          </cell>
          <cell r="F762">
            <v>4051</v>
          </cell>
          <cell r="G762" t="str">
            <v>Reach_394</v>
          </cell>
          <cell r="H762">
            <v>754</v>
          </cell>
          <cell r="J762">
            <v>199.28</v>
          </cell>
          <cell r="K762">
            <v>121.79</v>
          </cell>
          <cell r="L762">
            <v>1.1090560000000001E-4</v>
          </cell>
          <cell r="M762">
            <v>33.235999999999997</v>
          </cell>
          <cell r="N762">
            <v>6606.9344800759654</v>
          </cell>
          <cell r="P762">
            <v>13.2</v>
          </cell>
          <cell r="Q762">
            <v>0.80000000000000071</v>
          </cell>
        </row>
        <row r="763">
          <cell r="D763" t="str">
            <v>85-40-5</v>
          </cell>
          <cell r="E763">
            <v>85405</v>
          </cell>
          <cell r="F763">
            <v>3888</v>
          </cell>
          <cell r="G763" t="str">
            <v>Reach_293</v>
          </cell>
          <cell r="H763">
            <v>755</v>
          </cell>
          <cell r="J763">
            <v>151.16999999999999</v>
          </cell>
          <cell r="K763">
            <v>172.09</v>
          </cell>
          <cell r="L763">
            <v>1.58627E-5</v>
          </cell>
          <cell r="M763">
            <v>57772</v>
          </cell>
          <cell r="N763">
            <v>1.9952623149688797</v>
          </cell>
          <cell r="O763">
            <v>9.3000000000000007</v>
          </cell>
          <cell r="Q763">
            <v>9.3000000000000007</v>
          </cell>
        </row>
        <row r="764">
          <cell r="D764" t="str">
            <v>10233-13-3</v>
          </cell>
          <cell r="E764">
            <v>10233133</v>
          </cell>
          <cell r="F764">
            <v>1339</v>
          </cell>
          <cell r="G764" t="str">
            <v>Reach_2284</v>
          </cell>
          <cell r="H764">
            <v>756</v>
          </cell>
          <cell r="J764">
            <v>242.4</v>
          </cell>
          <cell r="K764">
            <v>23.27</v>
          </cell>
          <cell r="L764">
            <v>0.50787300000000002</v>
          </cell>
          <cell r="M764">
            <v>9.0472999999999998E-2</v>
          </cell>
          <cell r="N764">
            <v>1548816.6189124861</v>
          </cell>
          <cell r="Q764">
            <v>14</v>
          </cell>
        </row>
        <row r="765">
          <cell r="D765" t="str">
            <v>90-05-1</v>
          </cell>
          <cell r="E765">
            <v>90051</v>
          </cell>
          <cell r="F765">
            <v>3990</v>
          </cell>
          <cell r="G765" t="str">
            <v>Reach_358</v>
          </cell>
          <cell r="H765">
            <v>757</v>
          </cell>
          <cell r="J765">
            <v>124.14</v>
          </cell>
          <cell r="K765">
            <v>25.15</v>
          </cell>
          <cell r="L765">
            <v>15.062900000000001</v>
          </cell>
          <cell r="M765">
            <v>38625</v>
          </cell>
          <cell r="N765">
            <v>21.877616239495538</v>
          </cell>
          <cell r="O765">
            <v>10</v>
          </cell>
          <cell r="Q765">
            <v>10</v>
          </cell>
        </row>
        <row r="766">
          <cell r="D766" t="str">
            <v>598-78-7</v>
          </cell>
          <cell r="E766">
            <v>598787</v>
          </cell>
          <cell r="F766">
            <v>3293</v>
          </cell>
          <cell r="G766" t="str">
            <v>Reach_1406</v>
          </cell>
          <cell r="H766">
            <v>758</v>
          </cell>
          <cell r="J766">
            <v>108.52</v>
          </cell>
          <cell r="K766">
            <v>8.11</v>
          </cell>
          <cell r="L766">
            <v>100.9081</v>
          </cell>
          <cell r="M766">
            <v>159000</v>
          </cell>
          <cell r="N766">
            <v>5.7543993733715713</v>
          </cell>
          <cell r="O766">
            <v>2.9</v>
          </cell>
          <cell r="Q766">
            <v>2.9</v>
          </cell>
        </row>
        <row r="767">
          <cell r="D767" t="str">
            <v>111-29-5</v>
          </cell>
          <cell r="E767">
            <v>111295</v>
          </cell>
          <cell r="F767">
            <v>1545</v>
          </cell>
          <cell r="G767" t="str">
            <v>Reach_851</v>
          </cell>
          <cell r="H767">
            <v>759</v>
          </cell>
          <cell r="J767">
            <v>104.15</v>
          </cell>
          <cell r="K767">
            <v>3.3</v>
          </cell>
          <cell r="L767">
            <v>0.55719399999999997</v>
          </cell>
          <cell r="M767">
            <v>594000</v>
          </cell>
          <cell r="N767">
            <v>1.8620871366628675</v>
          </cell>
          <cell r="O767">
            <v>15.55</v>
          </cell>
          <cell r="Q767">
            <v>14</v>
          </cell>
        </row>
        <row r="768">
          <cell r="D768" t="str">
            <v>99-63-8</v>
          </cell>
          <cell r="E768">
            <v>99638</v>
          </cell>
          <cell r="F768">
            <v>4214</v>
          </cell>
          <cell r="G768" t="str">
            <v>Reach_535</v>
          </cell>
          <cell r="H768">
            <v>760</v>
          </cell>
          <cell r="J768">
            <v>203.02</v>
          </cell>
          <cell r="K768">
            <v>68.2</v>
          </cell>
          <cell r="L768">
            <v>0.62517699999999998</v>
          </cell>
          <cell r="M768">
            <v>693.35</v>
          </cell>
          <cell r="N768">
            <v>7.5857757502918375</v>
          </cell>
          <cell r="Q768">
            <v>14</v>
          </cell>
        </row>
        <row r="769">
          <cell r="D769" t="str">
            <v>52722-86-8</v>
          </cell>
          <cell r="E769">
            <v>52722868</v>
          </cell>
          <cell r="F769">
            <v>3072</v>
          </cell>
          <cell r="G769" t="str">
            <v>Reach_2787</v>
          </cell>
          <cell r="H769">
            <v>761</v>
          </cell>
          <cell r="J769">
            <v>201.31</v>
          </cell>
          <cell r="K769">
            <v>95.51</v>
          </cell>
          <cell r="L769">
            <v>1.0850620000000001E-3</v>
          </cell>
          <cell r="M769">
            <v>85585</v>
          </cell>
          <cell r="N769">
            <v>3.8904514499428067</v>
          </cell>
          <cell r="O769">
            <v>14.74</v>
          </cell>
          <cell r="P769">
            <v>5.52</v>
          </cell>
          <cell r="Q769">
            <v>8.48</v>
          </cell>
        </row>
        <row r="770">
          <cell r="D770" t="str">
            <v>98-73-7</v>
          </cell>
          <cell r="E770">
            <v>98737</v>
          </cell>
          <cell r="F770">
            <v>1075</v>
          </cell>
          <cell r="G770" t="str">
            <v>Reach_517</v>
          </cell>
          <cell r="H770">
            <v>762</v>
          </cell>
          <cell r="J770">
            <v>178.23</v>
          </cell>
          <cell r="K770">
            <v>80.89</v>
          </cell>
          <cell r="L770">
            <v>1.0610680000000001E-2</v>
          </cell>
          <cell r="M770">
            <v>2.5636000000000001</v>
          </cell>
          <cell r="N770">
            <v>6025.595860743585</v>
          </cell>
          <cell r="O770">
            <v>4.0999999999999996</v>
          </cell>
          <cell r="Q770">
            <v>4.0999999999999996</v>
          </cell>
        </row>
        <row r="771">
          <cell r="D771" t="str">
            <v>112-25-4</v>
          </cell>
          <cell r="E771">
            <v>112254</v>
          </cell>
          <cell r="F771">
            <v>1580</v>
          </cell>
          <cell r="G771" t="str">
            <v>Reach_893</v>
          </cell>
          <cell r="H771">
            <v>763</v>
          </cell>
          <cell r="J771">
            <v>146.22999999999999</v>
          </cell>
          <cell r="K771">
            <v>2.5499999999999998</v>
          </cell>
          <cell r="L771">
            <v>6.0518200000000011</v>
          </cell>
          <cell r="M771">
            <v>8486.7999999999993</v>
          </cell>
          <cell r="N771">
            <v>35.481338923357555</v>
          </cell>
          <cell r="O771">
            <v>14.95</v>
          </cell>
          <cell r="Q771">
            <v>14</v>
          </cell>
        </row>
        <row r="772">
          <cell r="D772" t="str">
            <v>100-66-3</v>
          </cell>
          <cell r="E772">
            <v>100663</v>
          </cell>
          <cell r="F772">
            <v>136</v>
          </cell>
          <cell r="G772" t="str">
            <v>Reach_567</v>
          </cell>
          <cell r="H772">
            <v>764</v>
          </cell>
          <cell r="J772">
            <v>108.14</v>
          </cell>
          <cell r="K772">
            <v>-41.21</v>
          </cell>
          <cell r="L772">
            <v>450.55400000000003</v>
          </cell>
          <cell r="M772">
            <v>3323.4</v>
          </cell>
          <cell r="N772">
            <v>117.48975549395293</v>
          </cell>
          <cell r="Q772">
            <v>14</v>
          </cell>
        </row>
        <row r="773">
          <cell r="D773" t="str">
            <v>25498-49-1</v>
          </cell>
          <cell r="E773">
            <v>25498491</v>
          </cell>
          <cell r="F773">
            <v>2436</v>
          </cell>
          <cell r="G773" t="str">
            <v>Reach_2569</v>
          </cell>
          <cell r="H773">
            <v>765</v>
          </cell>
          <cell r="J773">
            <v>206.28</v>
          </cell>
          <cell r="K773">
            <v>25.41</v>
          </cell>
          <cell r="L773">
            <v>0.70649000000000006</v>
          </cell>
          <cell r="M773">
            <v>19762</v>
          </cell>
          <cell r="N773">
            <v>0.63095734448019325</v>
          </cell>
          <cell r="O773">
            <v>14.88</v>
          </cell>
          <cell r="Q773">
            <v>14</v>
          </cell>
        </row>
        <row r="774">
          <cell r="D774" t="str">
            <v>139-33-3</v>
          </cell>
          <cell r="E774">
            <v>139333</v>
          </cell>
          <cell r="F774">
            <v>5686</v>
          </cell>
          <cell r="G774" t="str">
            <v>Reach_1143</v>
          </cell>
          <cell r="H774">
            <v>766</v>
          </cell>
          <cell r="J774">
            <v>336.21</v>
          </cell>
          <cell r="K774">
            <v>0</v>
          </cell>
          <cell r="Q774">
            <v>14</v>
          </cell>
        </row>
        <row r="775">
          <cell r="D775" t="str">
            <v>13048-33-4</v>
          </cell>
          <cell r="E775">
            <v>13048334</v>
          </cell>
          <cell r="F775">
            <v>1837</v>
          </cell>
          <cell r="G775" t="str">
            <v>Reach_2320</v>
          </cell>
          <cell r="H775">
            <v>767</v>
          </cell>
          <cell r="J775">
            <v>226.27</v>
          </cell>
          <cell r="K775">
            <v>-29.67</v>
          </cell>
          <cell r="L775">
            <v>2.2127800000000004</v>
          </cell>
          <cell r="M775">
            <v>210.68</v>
          </cell>
          <cell r="N775">
            <v>1202.2644346174138</v>
          </cell>
          <cell r="Q775">
            <v>14</v>
          </cell>
        </row>
        <row r="776">
          <cell r="D776" t="str">
            <v>111-88-6</v>
          </cell>
          <cell r="E776">
            <v>111886</v>
          </cell>
          <cell r="F776">
            <v>1563</v>
          </cell>
          <cell r="G776" t="str">
            <v>Reach_879</v>
          </cell>
          <cell r="H776">
            <v>768</v>
          </cell>
          <cell r="J776">
            <v>146.30000000000001</v>
          </cell>
          <cell r="K776">
            <v>-28.26</v>
          </cell>
          <cell r="L776">
            <v>50.254100000000001</v>
          </cell>
          <cell r="M776">
            <v>26.454000000000001</v>
          </cell>
          <cell r="N776">
            <v>16218.100973589309</v>
          </cell>
          <cell r="O776">
            <v>10.7</v>
          </cell>
          <cell r="Q776">
            <v>10.7</v>
          </cell>
        </row>
        <row r="777">
          <cell r="D777" t="str">
            <v>431-89-0</v>
          </cell>
          <cell r="E777">
            <v>431890</v>
          </cell>
          <cell r="F777">
            <v>2907</v>
          </cell>
          <cell r="G777" t="str">
            <v>Reach_1271</v>
          </cell>
          <cell r="H777">
            <v>769</v>
          </cell>
          <cell r="J777">
            <v>170.03</v>
          </cell>
          <cell r="K777">
            <v>-152.93</v>
          </cell>
          <cell r="L777">
            <v>410564.00000000006</v>
          </cell>
          <cell r="M777">
            <v>4.4897</v>
          </cell>
          <cell r="N777">
            <v>323.59365692962825</v>
          </cell>
          <cell r="Q777">
            <v>14</v>
          </cell>
        </row>
        <row r="778">
          <cell r="D778" t="str">
            <v>79-31-2</v>
          </cell>
          <cell r="E778">
            <v>79312</v>
          </cell>
          <cell r="F778">
            <v>919</v>
          </cell>
          <cell r="G778" t="str">
            <v>Reach_239</v>
          </cell>
          <cell r="H778">
            <v>770</v>
          </cell>
          <cell r="J778">
            <v>88.105999999999995</v>
          </cell>
          <cell r="K778">
            <v>-8.2899999999999991</v>
          </cell>
          <cell r="L778">
            <v>435.89100000000002</v>
          </cell>
          <cell r="M778">
            <v>109000</v>
          </cell>
          <cell r="N778">
            <v>10</v>
          </cell>
          <cell r="O778">
            <v>4.9000000000000004</v>
          </cell>
          <cell r="Q778">
            <v>4.9000000000000004</v>
          </cell>
        </row>
        <row r="779">
          <cell r="D779" t="str">
            <v>109-53-5</v>
          </cell>
          <cell r="E779">
            <v>109535</v>
          </cell>
          <cell r="F779">
            <v>1501</v>
          </cell>
          <cell r="G779" t="str">
            <v>Reach_775</v>
          </cell>
          <cell r="H779">
            <v>771</v>
          </cell>
          <cell r="J779">
            <v>100.16</v>
          </cell>
          <cell r="K779">
            <v>-88.47</v>
          </cell>
          <cell r="L779">
            <v>11423.810000000001</v>
          </cell>
          <cell r="M779">
            <v>4383.8999999999996</v>
          </cell>
          <cell r="N779">
            <v>66.069344800759623</v>
          </cell>
          <cell r="Q779">
            <v>14</v>
          </cell>
        </row>
        <row r="780">
          <cell r="D780" t="str">
            <v>122-62-3</v>
          </cell>
          <cell r="E780">
            <v>122623</v>
          </cell>
          <cell r="F780">
            <v>1755</v>
          </cell>
          <cell r="G780" t="str">
            <v>Reach_1033</v>
          </cell>
          <cell r="H780">
            <v>772</v>
          </cell>
          <cell r="J780">
            <v>426.68</v>
          </cell>
          <cell r="K780">
            <v>51.04</v>
          </cell>
          <cell r="L780">
            <v>2.6260100000000006E-4</v>
          </cell>
          <cell r="M780">
            <v>4.86E-4</v>
          </cell>
          <cell r="N780">
            <v>12022644346.174168</v>
          </cell>
          <cell r="Q780">
            <v>14</v>
          </cell>
        </row>
        <row r="781">
          <cell r="D781" t="str">
            <v>688-84-6</v>
          </cell>
          <cell r="E781">
            <v>688846</v>
          </cell>
          <cell r="F781">
            <v>3529</v>
          </cell>
          <cell r="G781" t="str">
            <v>Reach_1504</v>
          </cell>
          <cell r="H781">
            <v>773</v>
          </cell>
          <cell r="J781">
            <v>198.31</v>
          </cell>
          <cell r="K781">
            <v>-7.79</v>
          </cell>
          <cell r="L781">
            <v>10.104140000000001</v>
          </cell>
          <cell r="M781">
            <v>27.768999999999998</v>
          </cell>
          <cell r="N781">
            <v>43651.583224016598</v>
          </cell>
          <cell r="Q781">
            <v>14</v>
          </cell>
        </row>
        <row r="782">
          <cell r="D782" t="str">
            <v>16652-76-9</v>
          </cell>
          <cell r="E782">
            <v>16652769</v>
          </cell>
          <cell r="F782">
            <v>5735</v>
          </cell>
          <cell r="G782" t="str">
            <v>Reach_2425</v>
          </cell>
          <cell r="H782">
            <v>774</v>
          </cell>
          <cell r="J782">
            <v>379.48</v>
          </cell>
          <cell r="K782">
            <v>0</v>
          </cell>
          <cell r="Q782">
            <v>14</v>
          </cell>
        </row>
        <row r="783">
          <cell r="D783" t="str">
            <v>1120-21-4</v>
          </cell>
          <cell r="E783">
            <v>1120214</v>
          </cell>
          <cell r="F783">
            <v>1567</v>
          </cell>
          <cell r="G783" t="str">
            <v>Reach_1655</v>
          </cell>
          <cell r="H783">
            <v>775</v>
          </cell>
          <cell r="J783">
            <v>156.31</v>
          </cell>
          <cell r="K783">
            <v>-32.36</v>
          </cell>
          <cell r="L783">
            <v>83.845700000000008</v>
          </cell>
          <cell r="M783">
            <v>0.11285000000000001</v>
          </cell>
          <cell r="N783">
            <v>549540.87385762564</v>
          </cell>
          <cell r="Q783">
            <v>14</v>
          </cell>
        </row>
        <row r="784">
          <cell r="D784" t="str">
            <v>598-56-1</v>
          </cell>
          <cell r="E784">
            <v>598561</v>
          </cell>
          <cell r="F784">
            <v>741</v>
          </cell>
          <cell r="G784" t="str">
            <v>Reach_1404</v>
          </cell>
          <cell r="H784">
            <v>776</v>
          </cell>
          <cell r="J784">
            <v>73.14</v>
          </cell>
          <cell r="K784">
            <v>-96.54</v>
          </cell>
          <cell r="L784">
            <v>65716.900000000009</v>
          </cell>
          <cell r="M784">
            <v>112000</v>
          </cell>
          <cell r="N784">
            <v>3.3884415613920265</v>
          </cell>
          <cell r="P784">
            <v>4</v>
          </cell>
          <cell r="Q784">
            <v>10</v>
          </cell>
        </row>
        <row r="785">
          <cell r="D785" t="str">
            <v>25013-15-4</v>
          </cell>
          <cell r="E785">
            <v>25013154</v>
          </cell>
          <cell r="F785">
            <v>2412</v>
          </cell>
          <cell r="G785" t="str">
            <v>Reach_2557</v>
          </cell>
          <cell r="H785">
            <v>777</v>
          </cell>
          <cell r="J785">
            <v>118.18</v>
          </cell>
          <cell r="K785">
            <v>-30.07</v>
          </cell>
          <cell r="L785">
            <v>277.26400000000001</v>
          </cell>
          <cell r="M785">
            <v>119.93</v>
          </cell>
          <cell r="N785">
            <v>2754.228703338169</v>
          </cell>
          <cell r="Q785">
            <v>14</v>
          </cell>
        </row>
        <row r="786">
          <cell r="D786" t="str">
            <v>127-95-7</v>
          </cell>
          <cell r="E786">
            <v>127957</v>
          </cell>
          <cell r="F786">
            <v>5652</v>
          </cell>
          <cell r="G786" t="str">
            <v>Reach_1103</v>
          </cell>
          <cell r="H786">
            <v>778</v>
          </cell>
          <cell r="J786">
            <v>128.13</v>
          </cell>
          <cell r="K786">
            <v>0</v>
          </cell>
          <cell r="Q786">
            <v>14</v>
          </cell>
        </row>
        <row r="787">
          <cell r="D787" t="str">
            <v>140-11-4</v>
          </cell>
          <cell r="E787">
            <v>140114</v>
          </cell>
          <cell r="F787">
            <v>448</v>
          </cell>
          <cell r="G787" t="str">
            <v>Reach_1147</v>
          </cell>
          <cell r="H787">
            <v>779</v>
          </cell>
          <cell r="J787">
            <v>150.18</v>
          </cell>
          <cell r="K787">
            <v>-0.5</v>
          </cell>
          <cell r="L787">
            <v>24.927100000000003</v>
          </cell>
          <cell r="M787">
            <v>2927.7</v>
          </cell>
          <cell r="N787">
            <v>120.22644346174135</v>
          </cell>
          <cell r="Q787">
            <v>14</v>
          </cell>
        </row>
        <row r="788">
          <cell r="D788" t="str">
            <v>280-57-9</v>
          </cell>
          <cell r="E788">
            <v>280579</v>
          </cell>
          <cell r="F788">
            <v>577</v>
          </cell>
          <cell r="G788" t="str">
            <v>Reach_1219</v>
          </cell>
          <cell r="H788">
            <v>780</v>
          </cell>
          <cell r="J788">
            <v>112.18</v>
          </cell>
          <cell r="K788">
            <v>20.6</v>
          </cell>
          <cell r="L788">
            <v>6.6116800000000007</v>
          </cell>
          <cell r="M788">
            <v>1000000</v>
          </cell>
          <cell r="N788">
            <v>0.32359365692962827</v>
          </cell>
          <cell r="P788">
            <v>5</v>
          </cell>
          <cell r="Q788">
            <v>9</v>
          </cell>
        </row>
        <row r="789">
          <cell r="D789" t="str">
            <v>16090-02-1</v>
          </cell>
          <cell r="E789">
            <v>16090021</v>
          </cell>
          <cell r="F789">
            <v>1200</v>
          </cell>
          <cell r="G789" t="str">
            <v>Reach_2412</v>
          </cell>
          <cell r="H789">
            <v>781</v>
          </cell>
          <cell r="J789">
            <v>924.94</v>
          </cell>
          <cell r="K789">
            <v>0</v>
          </cell>
          <cell r="Q789">
            <v>14</v>
          </cell>
        </row>
        <row r="790">
          <cell r="D790" t="str">
            <v>19372-44-2</v>
          </cell>
          <cell r="E790">
            <v>19372442</v>
          </cell>
          <cell r="F790">
            <v>5757</v>
          </cell>
          <cell r="G790" t="str">
            <v>Reach_2477</v>
          </cell>
          <cell r="H790">
            <v>782</v>
          </cell>
          <cell r="J790">
            <v>238.3</v>
          </cell>
          <cell r="K790">
            <v>0</v>
          </cell>
          <cell r="Q790">
            <v>14</v>
          </cell>
        </row>
        <row r="791">
          <cell r="D791" t="str">
            <v>3164-85-0</v>
          </cell>
          <cell r="E791">
            <v>3164850</v>
          </cell>
          <cell r="F791">
            <v>5842</v>
          </cell>
          <cell r="G791" t="str">
            <v>Reach_1924</v>
          </cell>
          <cell r="H791">
            <v>783</v>
          </cell>
          <cell r="J791">
            <v>182.31</v>
          </cell>
          <cell r="K791">
            <v>0</v>
          </cell>
          <cell r="Q791">
            <v>14</v>
          </cell>
        </row>
        <row r="792">
          <cell r="D792" t="str">
            <v>1003-14-1</v>
          </cell>
          <cell r="E792">
            <v>1003141</v>
          </cell>
          <cell r="F792">
            <v>1299</v>
          </cell>
          <cell r="G792" t="str">
            <v>Reach_1633</v>
          </cell>
          <cell r="H792">
            <v>784</v>
          </cell>
          <cell r="J792">
            <v>86.134</v>
          </cell>
          <cell r="K792">
            <v>-74.02</v>
          </cell>
          <cell r="L792">
            <v>11663.750000000002</v>
          </cell>
          <cell r="M792">
            <v>18823</v>
          </cell>
          <cell r="N792">
            <v>22.387211385683404</v>
          </cell>
          <cell r="Q792">
            <v>14</v>
          </cell>
        </row>
        <row r="793">
          <cell r="D793" t="str">
            <v>1120-49-6</v>
          </cell>
          <cell r="E793">
            <v>1120496</v>
          </cell>
          <cell r="F793">
            <v>1571</v>
          </cell>
          <cell r="G793" t="str">
            <v>Reach_1659</v>
          </cell>
          <cell r="H793">
            <v>785</v>
          </cell>
          <cell r="J793">
            <v>297.57</v>
          </cell>
          <cell r="K793">
            <v>94.47</v>
          </cell>
          <cell r="L793">
            <v>2.6793300000000002E-3</v>
          </cell>
          <cell r="M793">
            <v>2.0885999999999999E-3</v>
          </cell>
          <cell r="N793">
            <v>467735141.28719932</v>
          </cell>
          <cell r="P793">
            <v>3.1</v>
          </cell>
          <cell r="Q793">
            <v>10.9</v>
          </cell>
        </row>
        <row r="794">
          <cell r="D794" t="str">
            <v>98-51-1</v>
          </cell>
          <cell r="E794">
            <v>98511</v>
          </cell>
          <cell r="F794">
            <v>1071</v>
          </cell>
          <cell r="G794" t="str">
            <v>Reach_508</v>
          </cell>
          <cell r="H794">
            <v>786</v>
          </cell>
          <cell r="J794">
            <v>148.25</v>
          </cell>
          <cell r="K794">
            <v>-10.17</v>
          </cell>
          <cell r="L794">
            <v>78.913600000000002</v>
          </cell>
          <cell r="M794">
            <v>9.3446999999999996</v>
          </cell>
          <cell r="N794">
            <v>28183.829312644593</v>
          </cell>
          <cell r="Q794">
            <v>14</v>
          </cell>
        </row>
        <row r="795">
          <cell r="D795" t="str">
            <v>107-43-7</v>
          </cell>
          <cell r="E795">
            <v>107437</v>
          </cell>
          <cell r="F795">
            <v>1462</v>
          </cell>
          <cell r="G795" t="str">
            <v>Reach_707</v>
          </cell>
          <cell r="H795">
            <v>787</v>
          </cell>
          <cell r="J795">
            <v>117.15</v>
          </cell>
          <cell r="K795">
            <v>160.32</v>
          </cell>
          <cell r="L795">
            <v>7.1182200000000011E-5</v>
          </cell>
          <cell r="M795">
            <v>1000000</v>
          </cell>
          <cell r="N795">
            <v>1.174897554939528E-3</v>
          </cell>
          <cell r="O795">
            <v>1.9</v>
          </cell>
          <cell r="Q795">
            <v>1.9</v>
          </cell>
        </row>
        <row r="796">
          <cell r="D796" t="str">
            <v>100-61-8</v>
          </cell>
          <cell r="E796">
            <v>100618</v>
          </cell>
          <cell r="F796">
            <v>133</v>
          </cell>
          <cell r="G796" t="str">
            <v>Reach_564</v>
          </cell>
          <cell r="H796">
            <v>788</v>
          </cell>
          <cell r="J796">
            <v>107.16</v>
          </cell>
          <cell r="K796">
            <v>-20.73</v>
          </cell>
          <cell r="L796">
            <v>58.118800000000007</v>
          </cell>
          <cell r="M796">
            <v>2614</v>
          </cell>
          <cell r="N796">
            <v>41.686938347033561</v>
          </cell>
          <cell r="P796">
            <v>9</v>
          </cell>
          <cell r="Q796">
            <v>5</v>
          </cell>
        </row>
        <row r="797">
          <cell r="D797" t="str">
            <v>763-69-9</v>
          </cell>
          <cell r="E797">
            <v>763699</v>
          </cell>
          <cell r="F797">
            <v>3710</v>
          </cell>
          <cell r="G797" t="str">
            <v>Reach_1537</v>
          </cell>
          <cell r="H797">
            <v>789</v>
          </cell>
          <cell r="J797">
            <v>146.19</v>
          </cell>
          <cell r="K797">
            <v>-26.92</v>
          </cell>
          <cell r="L797">
            <v>199.95000000000002</v>
          </cell>
          <cell r="M797">
            <v>18419</v>
          </cell>
          <cell r="N797">
            <v>12.022644346174133</v>
          </cell>
          <cell r="Q797">
            <v>14</v>
          </cell>
        </row>
        <row r="798">
          <cell r="D798" t="str">
            <v>176969-34-9</v>
          </cell>
          <cell r="E798">
            <v>176969349</v>
          </cell>
          <cell r="F798">
            <v>2150</v>
          </cell>
          <cell r="G798" t="str">
            <v>Reach_4758</v>
          </cell>
          <cell r="H798">
            <v>790</v>
          </cell>
          <cell r="J798">
            <v>176.12</v>
          </cell>
          <cell r="K798">
            <v>83.32</v>
          </cell>
          <cell r="L798">
            <v>0.33325000000000005</v>
          </cell>
          <cell r="M798">
            <v>7737</v>
          </cell>
          <cell r="N798">
            <v>6.9183097091893666</v>
          </cell>
          <cell r="Q798">
            <v>14</v>
          </cell>
        </row>
        <row r="799">
          <cell r="D799" t="str">
            <v>99-66-1</v>
          </cell>
          <cell r="E799">
            <v>99661</v>
          </cell>
          <cell r="F799">
            <v>1091</v>
          </cell>
          <cell r="G799" t="str">
            <v>Reach_536</v>
          </cell>
          <cell r="H799">
            <v>791</v>
          </cell>
          <cell r="J799">
            <v>144.21</v>
          </cell>
          <cell r="K799">
            <v>37.72</v>
          </cell>
          <cell r="L799">
            <v>11.290510000000001</v>
          </cell>
          <cell r="M799">
            <v>5115.1000000000004</v>
          </cell>
          <cell r="N799">
            <v>912.01083935590987</v>
          </cell>
          <cell r="O799">
            <v>4.9000000000000004</v>
          </cell>
          <cell r="Q799">
            <v>4.9000000000000004</v>
          </cell>
        </row>
        <row r="800">
          <cell r="D800" t="str">
            <v>25307-17-9</v>
          </cell>
          <cell r="E800">
            <v>25307179</v>
          </cell>
          <cell r="F800">
            <v>2429</v>
          </cell>
          <cell r="G800" t="str">
            <v>Reach_2565</v>
          </cell>
          <cell r="H800">
            <v>792</v>
          </cell>
          <cell r="J800">
            <v>355.61</v>
          </cell>
          <cell r="K800">
            <v>174.24</v>
          </cell>
          <cell r="L800">
            <v>4.3322499999999998E-9</v>
          </cell>
          <cell r="M800">
            <v>8.5439999999999995E-4</v>
          </cell>
          <cell r="N800">
            <v>4265795.1880159294</v>
          </cell>
          <cell r="O800">
            <v>14.68</v>
          </cell>
          <cell r="P800">
            <v>4.7</v>
          </cell>
          <cell r="Q800">
            <v>9.3000000000000007</v>
          </cell>
        </row>
        <row r="801">
          <cell r="D801" t="str">
            <v>142-22-3</v>
          </cell>
          <cell r="E801">
            <v>142223</v>
          </cell>
          <cell r="F801">
            <v>1951</v>
          </cell>
          <cell r="G801" t="str">
            <v>Reach_1175</v>
          </cell>
          <cell r="H801">
            <v>793</v>
          </cell>
          <cell r="J801">
            <v>274.27</v>
          </cell>
          <cell r="K801">
            <v>43.39</v>
          </cell>
          <cell r="L801">
            <v>8.6111800000000013E-3</v>
          </cell>
          <cell r="M801">
            <v>551.71</v>
          </cell>
          <cell r="N801">
            <v>34.67368504525318</v>
          </cell>
          <cell r="Q801">
            <v>14</v>
          </cell>
        </row>
        <row r="802">
          <cell r="D802" t="str">
            <v>124-68-5</v>
          </cell>
          <cell r="E802">
            <v>124685</v>
          </cell>
          <cell r="F802">
            <v>1792</v>
          </cell>
          <cell r="G802" t="str">
            <v>Reach_1081</v>
          </cell>
          <cell r="H802">
            <v>794</v>
          </cell>
          <cell r="J802">
            <v>89.138999999999996</v>
          </cell>
          <cell r="K802">
            <v>-8.51</v>
          </cell>
          <cell r="L802">
            <v>65.983500000000006</v>
          </cell>
          <cell r="M802">
            <v>919000</v>
          </cell>
          <cell r="N802">
            <v>0.18197008586099833</v>
          </cell>
          <cell r="O802">
            <v>15.03</v>
          </cell>
          <cell r="P802">
            <v>4.5</v>
          </cell>
          <cell r="Q802">
            <v>9.5</v>
          </cell>
        </row>
        <row r="803">
          <cell r="D803" t="str">
            <v>97-00-7</v>
          </cell>
          <cell r="E803">
            <v>97007</v>
          </cell>
          <cell r="F803">
            <v>1056</v>
          </cell>
          <cell r="G803" t="str">
            <v>Reach_476</v>
          </cell>
          <cell r="H803">
            <v>795</v>
          </cell>
          <cell r="J803">
            <v>202.56</v>
          </cell>
          <cell r="K803">
            <v>93.11</v>
          </cell>
          <cell r="L803">
            <v>6.4517200000000011E-2</v>
          </cell>
          <cell r="M803">
            <v>59.17</v>
          </cell>
          <cell r="N803">
            <v>186.20871366628685</v>
          </cell>
          <cell r="Q803">
            <v>14</v>
          </cell>
        </row>
        <row r="804">
          <cell r="D804" t="str">
            <v>112-85-6</v>
          </cell>
          <cell r="E804">
            <v>112856</v>
          </cell>
          <cell r="F804">
            <v>1608</v>
          </cell>
          <cell r="G804" t="str">
            <v>Reach_927</v>
          </cell>
          <cell r="H804">
            <v>796</v>
          </cell>
          <cell r="J804">
            <v>340.59</v>
          </cell>
          <cell r="K804">
            <v>158.66999999999999</v>
          </cell>
          <cell r="L804">
            <v>6.5183700000000011E-5</v>
          </cell>
          <cell r="M804">
            <v>1.9929999999999999E-4</v>
          </cell>
          <cell r="N804">
            <v>8128305161.6410027</v>
          </cell>
          <cell r="O804">
            <v>4.9000000000000004</v>
          </cell>
          <cell r="Q804">
            <v>4.9000000000000004</v>
          </cell>
        </row>
        <row r="805">
          <cell r="D805" t="str">
            <v>109-01-3</v>
          </cell>
          <cell r="E805">
            <v>109013</v>
          </cell>
          <cell r="F805">
            <v>254</v>
          </cell>
          <cell r="G805" t="str">
            <v>Reach_768</v>
          </cell>
          <cell r="H805">
            <v>797</v>
          </cell>
          <cell r="J805">
            <v>100.17</v>
          </cell>
          <cell r="K805">
            <v>19.04</v>
          </cell>
          <cell r="L805">
            <v>927.76800000000003</v>
          </cell>
          <cell r="M805">
            <v>1000000</v>
          </cell>
          <cell r="N805">
            <v>0.25703957827688634</v>
          </cell>
          <cell r="P805">
            <v>5</v>
          </cell>
          <cell r="Q805">
            <v>9</v>
          </cell>
        </row>
        <row r="806">
          <cell r="D806" t="str">
            <v>91161-71-6</v>
          </cell>
          <cell r="E806">
            <v>91161716</v>
          </cell>
          <cell r="F806">
            <v>4012</v>
          </cell>
          <cell r="G806" t="str">
            <v>Reach_4498</v>
          </cell>
          <cell r="H806">
            <v>798</v>
          </cell>
          <cell r="J806">
            <v>291.44</v>
          </cell>
          <cell r="K806">
            <v>146.54</v>
          </cell>
          <cell r="L806">
            <v>7.7847200000000016E-5</v>
          </cell>
          <cell r="M806">
            <v>2.0181</v>
          </cell>
          <cell r="N806">
            <v>645654.22903465526</v>
          </cell>
          <cell r="Q806">
            <v>14</v>
          </cell>
        </row>
        <row r="807">
          <cell r="D807" t="str">
            <v>95-96-5</v>
          </cell>
          <cell r="E807">
            <v>95965</v>
          </cell>
          <cell r="F807">
            <v>4140</v>
          </cell>
          <cell r="G807" t="str">
            <v>Reach_448</v>
          </cell>
          <cell r="H807">
            <v>799</v>
          </cell>
          <cell r="J807">
            <v>144.13</v>
          </cell>
          <cell r="K807">
            <v>26.08</v>
          </cell>
          <cell r="L807">
            <v>2.0928100000000002E-2</v>
          </cell>
          <cell r="M807">
            <v>15200000</v>
          </cell>
          <cell r="N807">
            <v>44.668359215096324</v>
          </cell>
          <cell r="Q807">
            <v>14</v>
          </cell>
        </row>
        <row r="808">
          <cell r="D808" t="str">
            <v>108-30-5</v>
          </cell>
          <cell r="E808">
            <v>108305</v>
          </cell>
          <cell r="F808">
            <v>1481</v>
          </cell>
          <cell r="G808" t="str">
            <v>Reach_739</v>
          </cell>
          <cell r="H808">
            <v>800</v>
          </cell>
          <cell r="J808">
            <v>100.07</v>
          </cell>
          <cell r="K808">
            <v>-52.78</v>
          </cell>
          <cell r="L808">
            <v>0.23594100000000004</v>
          </cell>
          <cell r="M808">
            <v>7318.5</v>
          </cell>
          <cell r="N808">
            <v>6.4565422903465572</v>
          </cell>
          <cell r="Q808">
            <v>14</v>
          </cell>
        </row>
        <row r="809">
          <cell r="D809" t="str">
            <v>553-86-6</v>
          </cell>
          <cell r="E809">
            <v>553866</v>
          </cell>
          <cell r="F809">
            <v>3169</v>
          </cell>
          <cell r="G809" t="str">
            <v>Reach_1361</v>
          </cell>
          <cell r="H809">
            <v>801</v>
          </cell>
          <cell r="J809">
            <v>134.13</v>
          </cell>
          <cell r="K809">
            <v>31.03</v>
          </cell>
          <cell r="L809">
            <v>2.1994500000000001</v>
          </cell>
          <cell r="M809">
            <v>2625.5</v>
          </cell>
          <cell r="N809">
            <v>3.0199517204020165</v>
          </cell>
          <cell r="Q809">
            <v>14</v>
          </cell>
        </row>
        <row r="810">
          <cell r="D810" t="str">
            <v>90-43-7</v>
          </cell>
          <cell r="E810">
            <v>90437</v>
          </cell>
          <cell r="F810">
            <v>106</v>
          </cell>
          <cell r="G810" t="str">
            <v>Reach_364</v>
          </cell>
          <cell r="H810">
            <v>802</v>
          </cell>
          <cell r="J810">
            <v>170.21</v>
          </cell>
          <cell r="K810">
            <v>86.56</v>
          </cell>
          <cell r="L810">
            <v>9.4109800000000007E-2</v>
          </cell>
          <cell r="M810">
            <v>252.5</v>
          </cell>
          <cell r="N810">
            <v>1905.4607179632485</v>
          </cell>
          <cell r="O810">
            <v>10.02</v>
          </cell>
          <cell r="Q810">
            <v>10.02</v>
          </cell>
        </row>
        <row r="811">
          <cell r="D811" t="str">
            <v>109-09-1</v>
          </cell>
          <cell r="E811">
            <v>109091</v>
          </cell>
          <cell r="F811">
            <v>255</v>
          </cell>
          <cell r="G811" t="str">
            <v>Reach_770</v>
          </cell>
          <cell r="H811">
            <v>803</v>
          </cell>
          <cell r="J811">
            <v>113.55</v>
          </cell>
          <cell r="K811">
            <v>-12.6</v>
          </cell>
          <cell r="L811">
            <v>207.94800000000004</v>
          </cell>
          <cell r="M811">
            <v>1013.2</v>
          </cell>
          <cell r="N811">
            <v>28.183829312644548</v>
          </cell>
          <cell r="P811">
            <v>13</v>
          </cell>
          <cell r="Q811">
            <v>1</v>
          </cell>
        </row>
        <row r="812">
          <cell r="D812" t="str">
            <v>593-56-6</v>
          </cell>
          <cell r="E812">
            <v>593566</v>
          </cell>
          <cell r="F812">
            <v>1226</v>
          </cell>
          <cell r="G812" t="str">
            <v>Reach_1394</v>
          </cell>
          <cell r="H812">
            <v>804</v>
          </cell>
          <cell r="J812">
            <v>83.519000000000005</v>
          </cell>
          <cell r="K812">
            <v>0</v>
          </cell>
          <cell r="Q812">
            <v>14</v>
          </cell>
        </row>
        <row r="813">
          <cell r="D813" t="str">
            <v>124-64-1</v>
          </cell>
          <cell r="E813">
            <v>124641</v>
          </cell>
          <cell r="F813">
            <v>5637</v>
          </cell>
          <cell r="G813" t="str">
            <v>Reach_1080</v>
          </cell>
          <cell r="H813">
            <v>805</v>
          </cell>
          <cell r="J813">
            <v>190.56</v>
          </cell>
          <cell r="K813">
            <v>0</v>
          </cell>
          <cell r="Q813">
            <v>14</v>
          </cell>
        </row>
        <row r="814">
          <cell r="D814" t="str">
            <v>92-15-9</v>
          </cell>
          <cell r="E814">
            <v>92159</v>
          </cell>
          <cell r="F814">
            <v>4029</v>
          </cell>
          <cell r="G814" t="str">
            <v>Reach_383</v>
          </cell>
          <cell r="H814">
            <v>806</v>
          </cell>
          <cell r="J814">
            <v>207.23</v>
          </cell>
          <cell r="K814">
            <v>137.54</v>
          </cell>
          <cell r="L814">
            <v>1.1543780000000002E-3</v>
          </cell>
          <cell r="M814">
            <v>5694.2</v>
          </cell>
          <cell r="N814">
            <v>3.3884415613920265</v>
          </cell>
          <cell r="O814">
            <v>10.7</v>
          </cell>
          <cell r="P814">
            <v>13.72</v>
          </cell>
          <cell r="Q814">
            <v>0.27999999999999936</v>
          </cell>
        </row>
        <row r="815">
          <cell r="D815" t="str">
            <v>126-81-8</v>
          </cell>
          <cell r="E815">
            <v>126818</v>
          </cell>
          <cell r="F815">
            <v>408</v>
          </cell>
          <cell r="G815" t="str">
            <v>Reach_1090</v>
          </cell>
          <cell r="H815">
            <v>807</v>
          </cell>
          <cell r="J815">
            <v>140.18</v>
          </cell>
          <cell r="K815">
            <v>40.630000000000003</v>
          </cell>
          <cell r="L815">
            <v>0.63050899999999999</v>
          </cell>
          <cell r="M815">
            <v>58053</v>
          </cell>
          <cell r="N815">
            <v>19.952623149688804</v>
          </cell>
          <cell r="O815">
            <v>5.4</v>
          </cell>
          <cell r="Q815">
            <v>5.4</v>
          </cell>
        </row>
        <row r="816">
          <cell r="D816" t="str">
            <v>18423-20-6</v>
          </cell>
          <cell r="E816">
            <v>18423206</v>
          </cell>
          <cell r="F816">
            <v>5747</v>
          </cell>
          <cell r="G816" t="str">
            <v>Reach_4635</v>
          </cell>
          <cell r="H816">
            <v>808</v>
          </cell>
          <cell r="J816">
            <v>203.21</v>
          </cell>
          <cell r="K816">
            <v>0</v>
          </cell>
          <cell r="Q816">
            <v>14</v>
          </cell>
        </row>
        <row r="817">
          <cell r="D817" t="str">
            <v>629-82-3</v>
          </cell>
          <cell r="E817">
            <v>629823</v>
          </cell>
          <cell r="F817">
            <v>3392</v>
          </cell>
          <cell r="G817" t="str">
            <v>Reach_1471</v>
          </cell>
          <cell r="H817">
            <v>809</v>
          </cell>
          <cell r="J817">
            <v>242.45</v>
          </cell>
          <cell r="K817">
            <v>28.75</v>
          </cell>
          <cell r="L817">
            <v>1.1237190000000001</v>
          </cell>
          <cell r="M817">
            <v>7.1975999999999998E-2</v>
          </cell>
          <cell r="N817">
            <v>8709635.8995608315</v>
          </cell>
          <cell r="Q817">
            <v>14</v>
          </cell>
        </row>
        <row r="818">
          <cell r="D818" t="str">
            <v>124-13-0</v>
          </cell>
          <cell r="E818">
            <v>124130</v>
          </cell>
          <cell r="F818">
            <v>1786</v>
          </cell>
          <cell r="G818" t="str">
            <v>Reach_1070</v>
          </cell>
          <cell r="H818">
            <v>810</v>
          </cell>
          <cell r="J818">
            <v>128.22</v>
          </cell>
          <cell r="K818">
            <v>-31.08</v>
          </cell>
          <cell r="L818">
            <v>198.61700000000002</v>
          </cell>
          <cell r="M818">
            <v>495.81</v>
          </cell>
          <cell r="N818">
            <v>602.55958607435775</v>
          </cell>
          <cell r="Q818">
            <v>14</v>
          </cell>
        </row>
        <row r="819">
          <cell r="D819" t="str">
            <v>5343-92-0</v>
          </cell>
          <cell r="E819">
            <v>5343920</v>
          </cell>
          <cell r="F819">
            <v>3102</v>
          </cell>
          <cell r="G819" t="str">
            <v>Reach_2100</v>
          </cell>
          <cell r="H819">
            <v>811</v>
          </cell>
          <cell r="J819">
            <v>104.15</v>
          </cell>
          <cell r="K819">
            <v>-9.51</v>
          </cell>
          <cell r="L819">
            <v>0.71315499999999998</v>
          </cell>
          <cell r="M819">
            <v>54281</v>
          </cell>
          <cell r="N819">
            <v>1.5848931924611136</v>
          </cell>
          <cell r="O819">
            <v>14.86</v>
          </cell>
          <cell r="Q819">
            <v>14</v>
          </cell>
        </row>
        <row r="820">
          <cell r="D820" t="str">
            <v>1120-24-7</v>
          </cell>
          <cell r="E820">
            <v>1120247</v>
          </cell>
          <cell r="F820">
            <v>1568</v>
          </cell>
          <cell r="G820" t="str">
            <v>Reach_1656</v>
          </cell>
          <cell r="H820">
            <v>812</v>
          </cell>
          <cell r="J820">
            <v>185.36</v>
          </cell>
          <cell r="K820">
            <v>0.83</v>
          </cell>
          <cell r="L820">
            <v>13.996500000000001</v>
          </cell>
          <cell r="M820">
            <v>1.7349000000000001</v>
          </cell>
          <cell r="N820">
            <v>28840.315031266062</v>
          </cell>
          <cell r="P820">
            <v>3.9</v>
          </cell>
          <cell r="Q820">
            <v>10.1</v>
          </cell>
        </row>
        <row r="821">
          <cell r="D821" t="str">
            <v>13361-34-7</v>
          </cell>
          <cell r="E821">
            <v>13361347</v>
          </cell>
          <cell r="F821">
            <v>1870</v>
          </cell>
          <cell r="G821" t="str">
            <v>Reach_2332</v>
          </cell>
          <cell r="H821">
            <v>813</v>
          </cell>
          <cell r="J821">
            <v>197.28</v>
          </cell>
          <cell r="K821">
            <v>43.56</v>
          </cell>
          <cell r="L821">
            <v>0.34124800000000005</v>
          </cell>
          <cell r="M821">
            <v>59.802</v>
          </cell>
          <cell r="N821">
            <v>776.24711662869231</v>
          </cell>
          <cell r="Q821">
            <v>14</v>
          </cell>
        </row>
        <row r="822">
          <cell r="D822" t="str">
            <v>79-39-0</v>
          </cell>
          <cell r="E822">
            <v>79390</v>
          </cell>
          <cell r="F822">
            <v>3775</v>
          </cell>
          <cell r="G822" t="str">
            <v>Reach_244</v>
          </cell>
          <cell r="H822">
            <v>814</v>
          </cell>
          <cell r="J822">
            <v>85.106999999999999</v>
          </cell>
          <cell r="K822">
            <v>33.28</v>
          </cell>
          <cell r="L822">
            <v>3.8657000000000004</v>
          </cell>
          <cell r="M822">
            <v>284000</v>
          </cell>
          <cell r="N822">
            <v>0.54954087385762451</v>
          </cell>
          <cell r="O822">
            <v>15.1</v>
          </cell>
          <cell r="P822">
            <v>14.4</v>
          </cell>
          <cell r="Q822">
            <v>-0.40000000000000036</v>
          </cell>
        </row>
        <row r="823">
          <cell r="D823" t="str">
            <v>19438-60-9</v>
          </cell>
          <cell r="E823">
            <v>19438609</v>
          </cell>
          <cell r="F823">
            <v>2232</v>
          </cell>
          <cell r="G823" t="str">
            <v>Reach_2480</v>
          </cell>
          <cell r="H823">
            <v>815</v>
          </cell>
          <cell r="J823">
            <v>168.19</v>
          </cell>
          <cell r="K823">
            <v>5.43</v>
          </cell>
          <cell r="L823">
            <v>4.4255600000000008</v>
          </cell>
          <cell r="M823">
            <v>15.143000000000001</v>
          </cell>
          <cell r="N823">
            <v>389.04514499428063</v>
          </cell>
          <cell r="Q823">
            <v>14</v>
          </cell>
        </row>
        <row r="824">
          <cell r="D824" t="str">
            <v>137862-53-4</v>
          </cell>
          <cell r="E824">
            <v>137862534</v>
          </cell>
          <cell r="F824">
            <v>442</v>
          </cell>
          <cell r="G824" t="str">
            <v>PharmaBeta_775</v>
          </cell>
          <cell r="H824">
            <v>816</v>
          </cell>
          <cell r="J824">
            <v>435.53</v>
          </cell>
          <cell r="K824">
            <v>294.05</v>
          </cell>
          <cell r="L824">
            <v>1.090394E-13</v>
          </cell>
          <cell r="M824">
            <v>1.2626E-2</v>
          </cell>
          <cell r="N824">
            <v>4466.8359215096343</v>
          </cell>
          <cell r="Q824">
            <v>14</v>
          </cell>
        </row>
        <row r="825">
          <cell r="D825" t="str">
            <v>109-87-5</v>
          </cell>
          <cell r="E825">
            <v>109875</v>
          </cell>
          <cell r="F825">
            <v>268</v>
          </cell>
          <cell r="G825" t="str">
            <v>Reach_795</v>
          </cell>
          <cell r="H825">
            <v>817</v>
          </cell>
          <cell r="J825">
            <v>76.094999999999999</v>
          </cell>
          <cell r="K825">
            <v>-95.38</v>
          </cell>
          <cell r="L825">
            <v>54919.600000000006</v>
          </cell>
          <cell r="M825">
            <v>243000</v>
          </cell>
          <cell r="N825">
            <v>0.64565422903465541</v>
          </cell>
          <cell r="Q825">
            <v>14</v>
          </cell>
        </row>
        <row r="826">
          <cell r="D826" t="str">
            <v>626-43-7</v>
          </cell>
          <cell r="E826">
            <v>626437</v>
          </cell>
          <cell r="F826">
            <v>768</v>
          </cell>
          <cell r="G826" t="str">
            <v>Reach_1457</v>
          </cell>
          <cell r="H826">
            <v>818</v>
          </cell>
          <cell r="J826">
            <v>162.02000000000001</v>
          </cell>
          <cell r="K826">
            <v>46.15</v>
          </cell>
          <cell r="L826">
            <v>1.1343830000000001</v>
          </cell>
          <cell r="M826">
            <v>176.19</v>
          </cell>
          <cell r="N826">
            <v>234.42288153199232</v>
          </cell>
          <cell r="P826">
            <v>12</v>
          </cell>
          <cell r="Q826">
            <v>2</v>
          </cell>
        </row>
        <row r="827">
          <cell r="D827" t="str">
            <v>5567-15-7</v>
          </cell>
          <cell r="E827">
            <v>5567157</v>
          </cell>
          <cell r="F827">
            <v>706</v>
          </cell>
          <cell r="G827" t="str">
            <v>Reach_2124</v>
          </cell>
          <cell r="H827">
            <v>819</v>
          </cell>
          <cell r="J827">
            <v>818.5</v>
          </cell>
          <cell r="K827">
            <v>349.84</v>
          </cell>
          <cell r="L827">
            <v>2.3994000000000001E-23</v>
          </cell>
          <cell r="M827">
            <v>1.86E-6</v>
          </cell>
          <cell r="N827">
            <v>34673685.045253254</v>
          </cell>
          <cell r="O827">
            <v>8.4499999999999993</v>
          </cell>
          <cell r="P827">
            <v>15</v>
          </cell>
          <cell r="Q827">
            <v>-1</v>
          </cell>
        </row>
        <row r="828">
          <cell r="D828" t="str">
            <v>866-84-2</v>
          </cell>
          <cell r="E828">
            <v>866842</v>
          </cell>
          <cell r="F828">
            <v>6068</v>
          </cell>
          <cell r="G828" t="str">
            <v>Reach_1571</v>
          </cell>
          <cell r="H828">
            <v>820</v>
          </cell>
          <cell r="J828">
            <v>306.39999999999998</v>
          </cell>
          <cell r="K828">
            <v>0</v>
          </cell>
          <cell r="Q828">
            <v>14</v>
          </cell>
        </row>
        <row r="829">
          <cell r="D829" t="str">
            <v>99-76-3</v>
          </cell>
          <cell r="E829">
            <v>99763</v>
          </cell>
          <cell r="F829">
            <v>4216</v>
          </cell>
          <cell r="G829" t="str">
            <v>Reach_538</v>
          </cell>
          <cell r="H829">
            <v>821</v>
          </cell>
          <cell r="J829">
            <v>152.15</v>
          </cell>
          <cell r="K829">
            <v>51.47</v>
          </cell>
          <cell r="L829">
            <v>0.1139715</v>
          </cell>
          <cell r="M829">
            <v>5649.3</v>
          </cell>
          <cell r="N829">
            <v>100</v>
          </cell>
          <cell r="O829">
            <v>8.5</v>
          </cell>
          <cell r="Q829">
            <v>8.5</v>
          </cell>
        </row>
        <row r="830">
          <cell r="D830" t="str">
            <v>75-37-6</v>
          </cell>
          <cell r="E830">
            <v>75376</v>
          </cell>
          <cell r="F830">
            <v>3669</v>
          </cell>
          <cell r="G830" t="str">
            <v>Reach_142</v>
          </cell>
          <cell r="H830">
            <v>822</v>
          </cell>
          <cell r="J830">
            <v>66.05</v>
          </cell>
          <cell r="K830">
            <v>-158.11000000000001</v>
          </cell>
          <cell r="L830">
            <v>514538.00000000006</v>
          </cell>
          <cell r="M830">
            <v>7997.4</v>
          </cell>
          <cell r="N830">
            <v>13.489628825916535</v>
          </cell>
          <cell r="Q830">
            <v>14</v>
          </cell>
        </row>
        <row r="831">
          <cell r="D831" t="str">
            <v>75-26-3</v>
          </cell>
          <cell r="E831">
            <v>75263</v>
          </cell>
          <cell r="F831">
            <v>3660</v>
          </cell>
          <cell r="G831" t="str">
            <v>Reach_135</v>
          </cell>
          <cell r="H831">
            <v>823</v>
          </cell>
          <cell r="J831">
            <v>123</v>
          </cell>
          <cell r="K831">
            <v>-91</v>
          </cell>
          <cell r="L831">
            <v>28526.2</v>
          </cell>
          <cell r="M831">
            <v>2692.8</v>
          </cell>
          <cell r="N831">
            <v>120.22644346174135</v>
          </cell>
          <cell r="Q831">
            <v>14</v>
          </cell>
        </row>
        <row r="832">
          <cell r="D832" t="str">
            <v>112-40-3</v>
          </cell>
          <cell r="E832">
            <v>112403</v>
          </cell>
          <cell r="F832">
            <v>1587</v>
          </cell>
          <cell r="G832" t="str">
            <v>Reach_904</v>
          </cell>
          <cell r="H832">
            <v>824</v>
          </cell>
          <cell r="J832">
            <v>170.34</v>
          </cell>
          <cell r="K832">
            <v>-20.85</v>
          </cell>
          <cell r="L832">
            <v>31.4588</v>
          </cell>
          <cell r="M832">
            <v>3.5352000000000001E-2</v>
          </cell>
          <cell r="N832">
            <v>1698243.6524617488</v>
          </cell>
          <cell r="Q832">
            <v>14</v>
          </cell>
        </row>
        <row r="833">
          <cell r="D833" t="str">
            <v>15375-84-5</v>
          </cell>
          <cell r="E833">
            <v>15375845</v>
          </cell>
          <cell r="F833">
            <v>5714</v>
          </cell>
          <cell r="G833" t="str">
            <v>Reach_2386</v>
          </cell>
          <cell r="H833">
            <v>825</v>
          </cell>
          <cell r="J833">
            <v>389.14</v>
          </cell>
          <cell r="K833">
            <v>0</v>
          </cell>
          <cell r="Q833">
            <v>14</v>
          </cell>
        </row>
        <row r="834">
          <cell r="D834" t="str">
            <v>106-79-6</v>
          </cell>
          <cell r="E834">
            <v>106796</v>
          </cell>
          <cell r="F834">
            <v>1446</v>
          </cell>
          <cell r="G834" t="str">
            <v>Reach_678</v>
          </cell>
          <cell r="H834">
            <v>826</v>
          </cell>
          <cell r="J834">
            <v>230.3</v>
          </cell>
          <cell r="K834">
            <v>-27.17</v>
          </cell>
          <cell r="L834">
            <v>1.4796300000000002</v>
          </cell>
          <cell r="M834">
            <v>97.11</v>
          </cell>
          <cell r="N834">
            <v>2238.7211385683418</v>
          </cell>
          <cell r="Q834">
            <v>14</v>
          </cell>
        </row>
        <row r="835">
          <cell r="D835" t="str">
            <v>2186-92-7</v>
          </cell>
          <cell r="E835">
            <v>2186927</v>
          </cell>
          <cell r="F835">
            <v>2308</v>
          </cell>
          <cell r="G835" t="str">
            <v>Reach_1770</v>
          </cell>
          <cell r="H835">
            <v>827</v>
          </cell>
          <cell r="J835">
            <v>182.22</v>
          </cell>
          <cell r="K835">
            <v>22.91</v>
          </cell>
          <cell r="L835">
            <v>6.505040000000001</v>
          </cell>
          <cell r="M835">
            <v>1852.4</v>
          </cell>
          <cell r="N835">
            <v>33.113112148259127</v>
          </cell>
          <cell r="Q835">
            <v>14</v>
          </cell>
        </row>
        <row r="836">
          <cell r="D836" t="str">
            <v>115-19-5</v>
          </cell>
          <cell r="E836">
            <v>115195</v>
          </cell>
          <cell r="F836">
            <v>339</v>
          </cell>
          <cell r="G836" t="str">
            <v>Reach_939</v>
          </cell>
          <cell r="H836">
            <v>828</v>
          </cell>
          <cell r="J836">
            <v>84.117999999999995</v>
          </cell>
          <cell r="K836">
            <v>-35.03</v>
          </cell>
          <cell r="L836">
            <v>2172.7900000000004</v>
          </cell>
          <cell r="M836">
            <v>246000</v>
          </cell>
          <cell r="N836">
            <v>2.8183829312644542</v>
          </cell>
          <cell r="O836">
            <v>13.6</v>
          </cell>
          <cell r="Q836">
            <v>13.6</v>
          </cell>
        </row>
        <row r="837">
          <cell r="D837" t="str">
            <v>102-82-9</v>
          </cell>
          <cell r="E837">
            <v>102829</v>
          </cell>
          <cell r="F837">
            <v>156</v>
          </cell>
          <cell r="G837" t="str">
            <v>Reach_600</v>
          </cell>
          <cell r="H837">
            <v>829</v>
          </cell>
          <cell r="J837">
            <v>185.36</v>
          </cell>
          <cell r="K837">
            <v>0.83</v>
          </cell>
          <cell r="L837">
            <v>20.928100000000001</v>
          </cell>
          <cell r="M837">
            <v>32.826999999999998</v>
          </cell>
          <cell r="N837">
            <v>28840.315031266062</v>
          </cell>
          <cell r="P837">
            <v>3</v>
          </cell>
          <cell r="Q837">
            <v>11</v>
          </cell>
        </row>
        <row r="838">
          <cell r="D838" t="str">
            <v>55-63-0</v>
          </cell>
          <cell r="E838">
            <v>55630</v>
          </cell>
          <cell r="F838">
            <v>702</v>
          </cell>
          <cell r="G838" t="str">
            <v>Reach_24</v>
          </cell>
          <cell r="H838">
            <v>830</v>
          </cell>
          <cell r="J838">
            <v>227.09</v>
          </cell>
          <cell r="K838">
            <v>50.21</v>
          </cell>
          <cell r="L838">
            <v>3.6257600000000001</v>
          </cell>
          <cell r="M838">
            <v>25931</v>
          </cell>
          <cell r="N838">
            <v>32.359365692962832</v>
          </cell>
          <cell r="Q838">
            <v>14</v>
          </cell>
        </row>
        <row r="839">
          <cell r="D839" t="str">
            <v>17095-24-8</v>
          </cell>
          <cell r="E839">
            <v>17095248</v>
          </cell>
          <cell r="F839">
            <v>5738</v>
          </cell>
          <cell r="G839" t="str">
            <v>Reach_2430</v>
          </cell>
          <cell r="H839">
            <v>831</v>
          </cell>
          <cell r="J839">
            <v>991.82</v>
          </cell>
          <cell r="K839">
            <v>0</v>
          </cell>
          <cell r="Q839">
            <v>14</v>
          </cell>
        </row>
        <row r="840">
          <cell r="D840" t="str">
            <v>108-59-8</v>
          </cell>
          <cell r="E840">
            <v>108598</v>
          </cell>
          <cell r="F840">
            <v>1486</v>
          </cell>
          <cell r="G840" t="str">
            <v>Reach_749</v>
          </cell>
          <cell r="H840">
            <v>832</v>
          </cell>
          <cell r="J840">
            <v>132.12</v>
          </cell>
          <cell r="K840">
            <v>-107.58</v>
          </cell>
          <cell r="L840">
            <v>120.23660000000001</v>
          </cell>
          <cell r="M840">
            <v>115000</v>
          </cell>
          <cell r="N840">
            <v>0.81283051616409918</v>
          </cell>
          <cell r="O840">
            <v>13</v>
          </cell>
          <cell r="Q840">
            <v>13</v>
          </cell>
        </row>
        <row r="841">
          <cell r="D841" t="str">
            <v>23783-42-8</v>
          </cell>
          <cell r="E841">
            <v>23783428</v>
          </cell>
          <cell r="F841">
            <v>2359</v>
          </cell>
          <cell r="G841" t="str">
            <v>Reach_2535</v>
          </cell>
          <cell r="H841">
            <v>833</v>
          </cell>
          <cell r="J841">
            <v>208.25</v>
          </cell>
          <cell r="K841">
            <v>62.05</v>
          </cell>
          <cell r="L841">
            <v>1.4263100000000001E-2</v>
          </cell>
          <cell r="M841">
            <v>196000</v>
          </cell>
          <cell r="N841">
            <v>1.8620871366628669E-2</v>
          </cell>
          <cell r="O841">
            <v>14.88</v>
          </cell>
          <cell r="Q841">
            <v>14</v>
          </cell>
        </row>
        <row r="842">
          <cell r="D842" t="str">
            <v>126-33-0</v>
          </cell>
          <cell r="E842">
            <v>126330</v>
          </cell>
          <cell r="F842">
            <v>406</v>
          </cell>
          <cell r="G842" t="str">
            <v>Reach_1086</v>
          </cell>
          <cell r="H842">
            <v>834</v>
          </cell>
          <cell r="J842">
            <v>120.17</v>
          </cell>
          <cell r="K842">
            <v>16.29</v>
          </cell>
          <cell r="L842">
            <v>0.54519700000000004</v>
          </cell>
          <cell r="M842">
            <v>34062</v>
          </cell>
          <cell r="N842">
            <v>0.57543993733715693</v>
          </cell>
          <cell r="Q842">
            <v>14</v>
          </cell>
        </row>
        <row r="843">
          <cell r="D843" t="str">
            <v>123-91-1</v>
          </cell>
          <cell r="E843">
            <v>123911</v>
          </cell>
          <cell r="F843">
            <v>16</v>
          </cell>
          <cell r="G843" t="str">
            <v>Reach_1060</v>
          </cell>
          <cell r="H843">
            <v>835</v>
          </cell>
          <cell r="J843">
            <v>88.105999999999995</v>
          </cell>
          <cell r="K843">
            <v>-63.61</v>
          </cell>
          <cell r="L843">
            <v>5411.9800000000005</v>
          </cell>
          <cell r="M843">
            <v>44000</v>
          </cell>
          <cell r="N843">
            <v>0.47863009232263831</v>
          </cell>
          <cell r="Q843">
            <v>14</v>
          </cell>
        </row>
        <row r="844">
          <cell r="D844" t="str">
            <v>15307-93-4</v>
          </cell>
          <cell r="E844">
            <v>15307934</v>
          </cell>
          <cell r="F844">
            <v>2029</v>
          </cell>
          <cell r="G844" t="str">
            <v>Reach_2383</v>
          </cell>
          <cell r="H844">
            <v>836</v>
          </cell>
          <cell r="J844">
            <v>238.12</v>
          </cell>
          <cell r="K844">
            <v>99.66</v>
          </cell>
          <cell r="L844">
            <v>1.0397400000000001E-2</v>
          </cell>
          <cell r="M844">
            <v>2.9083999999999999</v>
          </cell>
          <cell r="N844">
            <v>38018.939632056143</v>
          </cell>
          <cell r="Q844">
            <v>14</v>
          </cell>
        </row>
        <row r="845">
          <cell r="D845" t="str">
            <v>1193-24-4</v>
          </cell>
          <cell r="E845">
            <v>1193244</v>
          </cell>
          <cell r="F845">
            <v>1690</v>
          </cell>
          <cell r="G845" t="str">
            <v>Reach_1671</v>
          </cell>
          <cell r="H845">
            <v>837</v>
          </cell>
          <cell r="J845">
            <v>112.09</v>
          </cell>
          <cell r="K845">
            <v>83.29</v>
          </cell>
          <cell r="L845">
            <v>0.23194200000000001</v>
          </cell>
          <cell r="M845">
            <v>67029</v>
          </cell>
          <cell r="N845">
            <v>3.0199517204020165</v>
          </cell>
          <cell r="O845">
            <v>5.4</v>
          </cell>
          <cell r="Q845">
            <v>5.4</v>
          </cell>
        </row>
        <row r="846">
          <cell r="D846" t="str">
            <v>821-06-7</v>
          </cell>
          <cell r="E846">
            <v>821067</v>
          </cell>
          <cell r="F846">
            <v>3818</v>
          </cell>
          <cell r="G846" t="str">
            <v>Reach_1553</v>
          </cell>
          <cell r="H846">
            <v>838</v>
          </cell>
          <cell r="J846">
            <v>213.91</v>
          </cell>
          <cell r="K846">
            <v>-15.8</v>
          </cell>
          <cell r="L846">
            <v>30.125800000000002</v>
          </cell>
          <cell r="M846">
            <v>893.85</v>
          </cell>
          <cell r="N846">
            <v>602.55958607435775</v>
          </cell>
          <cell r="Q846">
            <v>14</v>
          </cell>
        </row>
        <row r="847">
          <cell r="D847" t="str">
            <v>778-94-9</v>
          </cell>
          <cell r="E847">
            <v>778949</v>
          </cell>
          <cell r="F847">
            <v>3743</v>
          </cell>
          <cell r="G847" t="str">
            <v>Reach_1545</v>
          </cell>
          <cell r="H847">
            <v>839</v>
          </cell>
          <cell r="J847">
            <v>216.12</v>
          </cell>
          <cell r="K847">
            <v>81.47</v>
          </cell>
          <cell r="L847">
            <v>0.18395400000000001</v>
          </cell>
          <cell r="M847">
            <v>164.13</v>
          </cell>
          <cell r="N847">
            <v>208.92961308540396</v>
          </cell>
          <cell r="Q847">
            <v>14</v>
          </cell>
        </row>
        <row r="848">
          <cell r="D848" t="str">
            <v>119-64-2</v>
          </cell>
          <cell r="E848">
            <v>119642</v>
          </cell>
          <cell r="F848">
            <v>355</v>
          </cell>
          <cell r="G848" t="str">
            <v>Reach_983</v>
          </cell>
          <cell r="H848">
            <v>840</v>
          </cell>
          <cell r="J848">
            <v>132.21</v>
          </cell>
          <cell r="K848">
            <v>-4.46</v>
          </cell>
          <cell r="L848">
            <v>32.791800000000002</v>
          </cell>
          <cell r="M848">
            <v>23.774000000000001</v>
          </cell>
          <cell r="N848">
            <v>9120.1083935591087</v>
          </cell>
          <cell r="Q848">
            <v>14</v>
          </cell>
        </row>
        <row r="849">
          <cell r="D849" t="str">
            <v>145783-14-8</v>
          </cell>
          <cell r="E849">
            <v>145783148</v>
          </cell>
          <cell r="F849">
            <v>1988</v>
          </cell>
          <cell r="G849" t="str">
            <v>Reach_4907</v>
          </cell>
          <cell r="H849">
            <v>841</v>
          </cell>
          <cell r="J849">
            <v>268.13</v>
          </cell>
          <cell r="K849">
            <v>144.62</v>
          </cell>
          <cell r="L849">
            <v>6.7849700000000013E-4</v>
          </cell>
          <cell r="M849">
            <v>19.681000000000001</v>
          </cell>
          <cell r="N849">
            <v>1479.1083881682086</v>
          </cell>
          <cell r="Q849">
            <v>14</v>
          </cell>
        </row>
        <row r="850">
          <cell r="D850" t="str">
            <v>118-58-1</v>
          </cell>
          <cell r="E850">
            <v>118581</v>
          </cell>
          <cell r="F850">
            <v>1674</v>
          </cell>
          <cell r="G850" t="str">
            <v>Reach_966</v>
          </cell>
          <cell r="H850">
            <v>842</v>
          </cell>
          <cell r="J850">
            <v>228.25</v>
          </cell>
          <cell r="K850">
            <v>115.48</v>
          </cell>
          <cell r="L850">
            <v>2.3994000000000003E-3</v>
          </cell>
          <cell r="M850">
            <v>112.19</v>
          </cell>
          <cell r="N850">
            <v>20417.379446695286</v>
          </cell>
          <cell r="O850">
            <v>9.8000000000000007</v>
          </cell>
          <cell r="Q850">
            <v>9.8000000000000007</v>
          </cell>
        </row>
        <row r="851">
          <cell r="D851" t="str">
            <v>4813-57-4</v>
          </cell>
          <cell r="E851">
            <v>4813574</v>
          </cell>
          <cell r="F851">
            <v>2971</v>
          </cell>
          <cell r="G851" t="str">
            <v>Reach_2064</v>
          </cell>
          <cell r="H851">
            <v>843</v>
          </cell>
          <cell r="J851">
            <v>324.55</v>
          </cell>
          <cell r="K851">
            <v>98.5</v>
          </cell>
          <cell r="L851">
            <v>1.0530700000000001E-3</v>
          </cell>
          <cell r="M851">
            <v>1.9880000000000001E-4</v>
          </cell>
          <cell r="N851">
            <v>1202264434.6174154</v>
          </cell>
          <cell r="Q851">
            <v>14</v>
          </cell>
        </row>
        <row r="852">
          <cell r="D852" t="str">
            <v>103-74-2</v>
          </cell>
          <cell r="E852">
            <v>103742</v>
          </cell>
          <cell r="F852">
            <v>163</v>
          </cell>
          <cell r="G852" t="str">
            <v>Reach_614</v>
          </cell>
          <cell r="H852">
            <v>844</v>
          </cell>
          <cell r="J852">
            <v>123.16</v>
          </cell>
          <cell r="K852">
            <v>38.49</v>
          </cell>
          <cell r="L852">
            <v>1.23969</v>
          </cell>
          <cell r="M852">
            <v>6996.3</v>
          </cell>
          <cell r="N852">
            <v>2.3988329190194908</v>
          </cell>
          <cell r="O852">
            <v>15.01</v>
          </cell>
          <cell r="P852">
            <v>9</v>
          </cell>
          <cell r="Q852">
            <v>5</v>
          </cell>
        </row>
        <row r="853">
          <cell r="D853" t="str">
            <v>81-84-5</v>
          </cell>
          <cell r="E853">
            <v>81845</v>
          </cell>
          <cell r="F853">
            <v>3816</v>
          </cell>
          <cell r="G853" t="str">
            <v>Reach_280</v>
          </cell>
          <cell r="H853">
            <v>845</v>
          </cell>
          <cell r="J853">
            <v>198.18</v>
          </cell>
          <cell r="K853">
            <v>92.94</v>
          </cell>
          <cell r="L853">
            <v>5.4919600000000002E-5</v>
          </cell>
          <cell r="M853">
            <v>114.36</v>
          </cell>
          <cell r="N853">
            <v>1737.8008287493772</v>
          </cell>
          <cell r="Q853">
            <v>14</v>
          </cell>
        </row>
        <row r="854">
          <cell r="D854" t="str">
            <v>109-54-6</v>
          </cell>
          <cell r="E854">
            <v>109546</v>
          </cell>
          <cell r="F854">
            <v>1502</v>
          </cell>
          <cell r="G854" t="str">
            <v>Reach_776</v>
          </cell>
          <cell r="H854">
            <v>846</v>
          </cell>
          <cell r="J854">
            <v>121.61</v>
          </cell>
          <cell r="K854">
            <v>-49.8</v>
          </cell>
          <cell r="L854">
            <v>1073.0650000000003</v>
          </cell>
          <cell r="M854">
            <v>86141</v>
          </cell>
          <cell r="N854">
            <v>18.62087136662868</v>
          </cell>
          <cell r="Q854">
            <v>14</v>
          </cell>
        </row>
        <row r="855">
          <cell r="D855" t="str">
            <v>256-96-2</v>
          </cell>
          <cell r="E855">
            <v>256962</v>
          </cell>
          <cell r="F855">
            <v>2444</v>
          </cell>
          <cell r="G855" t="str">
            <v>Reach_1217</v>
          </cell>
          <cell r="H855">
            <v>847</v>
          </cell>
          <cell r="J855">
            <v>193.25</v>
          </cell>
          <cell r="K855">
            <v>104.46</v>
          </cell>
          <cell r="L855">
            <v>7.7180700000000001E-4</v>
          </cell>
          <cell r="M855">
            <v>16.911000000000001</v>
          </cell>
          <cell r="N855">
            <v>11481.536214968832</v>
          </cell>
          <cell r="Q855">
            <v>14</v>
          </cell>
        </row>
        <row r="856">
          <cell r="D856" t="str">
            <v>56-81-5</v>
          </cell>
          <cell r="E856">
            <v>56815</v>
          </cell>
          <cell r="F856">
            <v>716</v>
          </cell>
          <cell r="G856" t="str">
            <v>Reach_30</v>
          </cell>
          <cell r="H856">
            <v>848</v>
          </cell>
          <cell r="J856">
            <v>92.093999999999994</v>
          </cell>
          <cell r="K856">
            <v>19.440000000000001</v>
          </cell>
          <cell r="L856">
            <v>1.063734E-2</v>
          </cell>
          <cell r="M856">
            <v>1000000</v>
          </cell>
          <cell r="N856">
            <v>2.2387211385683389E-2</v>
          </cell>
          <cell r="O856">
            <v>14.16</v>
          </cell>
          <cell r="Q856">
            <v>14</v>
          </cell>
        </row>
        <row r="857">
          <cell r="D857" t="str">
            <v>95-82-9</v>
          </cell>
          <cell r="E857">
            <v>95829</v>
          </cell>
          <cell r="F857">
            <v>1040</v>
          </cell>
          <cell r="G857" t="str">
            <v>Reach_444</v>
          </cell>
          <cell r="H857">
            <v>849</v>
          </cell>
          <cell r="J857">
            <v>162.02000000000001</v>
          </cell>
          <cell r="K857">
            <v>46.15</v>
          </cell>
          <cell r="L857">
            <v>1.9861700000000002</v>
          </cell>
          <cell r="M857">
            <v>176.19</v>
          </cell>
          <cell r="N857">
            <v>234.42288153199232</v>
          </cell>
          <cell r="P857">
            <v>12</v>
          </cell>
          <cell r="Q857">
            <v>2</v>
          </cell>
        </row>
        <row r="858">
          <cell r="D858" t="str">
            <v>115-95-7</v>
          </cell>
          <cell r="E858">
            <v>115957</v>
          </cell>
          <cell r="F858">
            <v>1640</v>
          </cell>
          <cell r="G858" t="str">
            <v>Reach_947</v>
          </cell>
          <cell r="H858">
            <v>850</v>
          </cell>
          <cell r="J858">
            <v>196.29</v>
          </cell>
          <cell r="K858">
            <v>-2.09</v>
          </cell>
          <cell r="L858">
            <v>17.462300000000003</v>
          </cell>
          <cell r="M858">
            <v>355.33</v>
          </cell>
          <cell r="N858">
            <v>24547.089156850321</v>
          </cell>
          <cell r="Q858">
            <v>14</v>
          </cell>
        </row>
        <row r="859">
          <cell r="D859" t="str">
            <v>81-13-0</v>
          </cell>
          <cell r="E859">
            <v>81130</v>
          </cell>
          <cell r="F859">
            <v>3802</v>
          </cell>
          <cell r="G859" t="str">
            <v>Reach_272</v>
          </cell>
          <cell r="H859">
            <v>851</v>
          </cell>
          <cell r="J859">
            <v>205.26</v>
          </cell>
          <cell r="K859">
            <v>161.4</v>
          </cell>
          <cell r="L859">
            <v>1.9595099999999999E-6</v>
          </cell>
          <cell r="M859">
            <v>134000</v>
          </cell>
          <cell r="N859">
            <v>1.2022644346174125E-2</v>
          </cell>
          <cell r="O859">
            <v>13.18</v>
          </cell>
          <cell r="P859">
            <v>15.48</v>
          </cell>
          <cell r="Q859">
            <v>-1.4800000000000004</v>
          </cell>
        </row>
        <row r="860">
          <cell r="D860" t="str">
            <v>7695-91-2</v>
          </cell>
          <cell r="E860">
            <v>7695912</v>
          </cell>
          <cell r="F860">
            <v>3727</v>
          </cell>
          <cell r="G860" t="str">
            <v>Reach_2270</v>
          </cell>
          <cell r="H860">
            <v>852</v>
          </cell>
          <cell r="J860">
            <v>472.75</v>
          </cell>
          <cell r="K860">
            <v>202.99</v>
          </cell>
          <cell r="L860">
            <v>5.3719899999999997E-6</v>
          </cell>
          <cell r="M860">
            <v>1.8300000000000001E-6</v>
          </cell>
          <cell r="N860">
            <v>1819700858609.9902</v>
          </cell>
          <cell r="Q860">
            <v>14</v>
          </cell>
        </row>
        <row r="861">
          <cell r="D861" t="str">
            <v>95-80-7</v>
          </cell>
          <cell r="E861">
            <v>95807</v>
          </cell>
          <cell r="F861">
            <v>1039</v>
          </cell>
          <cell r="G861" t="str">
            <v>Reach_443</v>
          </cell>
          <cell r="H861">
            <v>853</v>
          </cell>
          <cell r="J861">
            <v>122.17</v>
          </cell>
          <cell r="K861">
            <v>67.319999999999993</v>
          </cell>
          <cell r="L861">
            <v>7.5847700000000004E-2</v>
          </cell>
          <cell r="M861">
            <v>34930</v>
          </cell>
          <cell r="N861">
            <v>1.4454397707459274</v>
          </cell>
          <cell r="P861">
            <v>9</v>
          </cell>
          <cell r="Q861">
            <v>5</v>
          </cell>
        </row>
        <row r="862">
          <cell r="D862" t="str">
            <v>14025-21-9</v>
          </cell>
          <cell r="E862">
            <v>14025219</v>
          </cell>
          <cell r="F862">
            <v>1194</v>
          </cell>
          <cell r="G862" t="str">
            <v>Reach_2355</v>
          </cell>
          <cell r="H862">
            <v>854</v>
          </cell>
          <cell r="J862">
            <v>399.58</v>
          </cell>
          <cell r="K862">
            <v>0</v>
          </cell>
          <cell r="Q862">
            <v>14</v>
          </cell>
        </row>
        <row r="863">
          <cell r="D863" t="str">
            <v>530-48-3</v>
          </cell>
          <cell r="E863">
            <v>530483</v>
          </cell>
          <cell r="F863">
            <v>3084</v>
          </cell>
          <cell r="G863" t="str">
            <v>Reach_1326</v>
          </cell>
          <cell r="H863">
            <v>855</v>
          </cell>
          <cell r="J863">
            <v>180.25</v>
          </cell>
          <cell r="K863">
            <v>21.02</v>
          </cell>
          <cell r="L863">
            <v>0.83712400000000009</v>
          </cell>
          <cell r="M863">
            <v>10.268000000000001</v>
          </cell>
          <cell r="N863">
            <v>7244.3596007499036</v>
          </cell>
          <cell r="Q863">
            <v>14</v>
          </cell>
        </row>
        <row r="864">
          <cell r="D864" t="str">
            <v>136-30-1</v>
          </cell>
          <cell r="E864">
            <v>136301</v>
          </cell>
          <cell r="F864">
            <v>5676</v>
          </cell>
          <cell r="G864" t="str">
            <v>Reach_1135</v>
          </cell>
          <cell r="H864">
            <v>856</v>
          </cell>
          <cell r="J864">
            <v>227.37</v>
          </cell>
          <cell r="K864">
            <v>0</v>
          </cell>
          <cell r="Q864">
            <v>14</v>
          </cell>
        </row>
        <row r="865">
          <cell r="D865" t="str">
            <v>112-50-5</v>
          </cell>
          <cell r="E865">
            <v>112505</v>
          </cell>
          <cell r="F865">
            <v>331</v>
          </cell>
          <cell r="G865" t="str">
            <v>Reach_910</v>
          </cell>
          <cell r="H865">
            <v>857</v>
          </cell>
          <cell r="J865">
            <v>178.23</v>
          </cell>
          <cell r="K865">
            <v>35.700000000000003</v>
          </cell>
          <cell r="L865">
            <v>0.29859200000000002</v>
          </cell>
          <cell r="M865">
            <v>3810000</v>
          </cell>
          <cell r="N865">
            <v>0.10964781961431849</v>
          </cell>
          <cell r="O865">
            <v>14.88</v>
          </cell>
          <cell r="Q865">
            <v>14</v>
          </cell>
        </row>
        <row r="866">
          <cell r="D866" t="str">
            <v>111-36-4</v>
          </cell>
          <cell r="E866">
            <v>111364</v>
          </cell>
          <cell r="F866">
            <v>298</v>
          </cell>
          <cell r="G866" t="str">
            <v>Reach_853</v>
          </cell>
          <cell r="H866">
            <v>858</v>
          </cell>
          <cell r="J866">
            <v>99.134</v>
          </cell>
          <cell r="K866">
            <v>-39</v>
          </cell>
          <cell r="L866">
            <v>2599.3500000000004</v>
          </cell>
          <cell r="M866">
            <v>7670.7</v>
          </cell>
          <cell r="N866">
            <v>181.9700858609983</v>
          </cell>
          <cell r="Q866">
            <v>14</v>
          </cell>
        </row>
        <row r="867">
          <cell r="D867" t="str">
            <v>15307-86-5</v>
          </cell>
          <cell r="E867">
            <v>15307865</v>
          </cell>
          <cell r="F867">
            <v>31</v>
          </cell>
          <cell r="G867" t="str">
            <v>Reach_2382</v>
          </cell>
          <cell r="H867">
            <v>859</v>
          </cell>
          <cell r="J867">
            <v>296.14999999999998</v>
          </cell>
          <cell r="K867">
            <v>174.6</v>
          </cell>
          <cell r="L867">
            <v>8.1846199999999992E-6</v>
          </cell>
          <cell r="M867">
            <v>16.372</v>
          </cell>
          <cell r="N867">
            <v>10471.285480509003</v>
          </cell>
          <cell r="O867">
            <v>4.3499999999999996</v>
          </cell>
          <cell r="Q867">
            <v>4.3499999999999996</v>
          </cell>
        </row>
        <row r="868">
          <cell r="D868" t="str">
            <v>101-72-4</v>
          </cell>
          <cell r="E868">
            <v>101724</v>
          </cell>
          <cell r="F868">
            <v>1326</v>
          </cell>
          <cell r="G868" t="str">
            <v>Reach_581</v>
          </cell>
          <cell r="H868">
            <v>860</v>
          </cell>
          <cell r="J868">
            <v>226.32</v>
          </cell>
          <cell r="K868">
            <v>104.37</v>
          </cell>
          <cell r="L868">
            <v>9.4776300000000008E-3</v>
          </cell>
          <cell r="M868">
            <v>12.625999999999999</v>
          </cell>
          <cell r="N868">
            <v>1905.4607179632485</v>
          </cell>
          <cell r="P868">
            <v>9.4</v>
          </cell>
          <cell r="Q868">
            <v>4.5999999999999996</v>
          </cell>
        </row>
        <row r="869">
          <cell r="D869" t="str">
            <v>103-83-3</v>
          </cell>
          <cell r="E869">
            <v>103833</v>
          </cell>
          <cell r="F869">
            <v>164</v>
          </cell>
          <cell r="G869" t="str">
            <v>Reach_615</v>
          </cell>
          <cell r="H869">
            <v>861</v>
          </cell>
          <cell r="J869">
            <v>135.21</v>
          </cell>
          <cell r="K869">
            <v>-12.84</v>
          </cell>
          <cell r="L869">
            <v>122.63600000000001</v>
          </cell>
          <cell r="M869">
            <v>1666.5</v>
          </cell>
          <cell r="N869">
            <v>56.234132519034915</v>
          </cell>
          <cell r="P869">
            <v>5</v>
          </cell>
          <cell r="Q869">
            <v>9</v>
          </cell>
        </row>
        <row r="870">
          <cell r="D870" t="str">
            <v>2312-35-8</v>
          </cell>
          <cell r="E870">
            <v>2312358</v>
          </cell>
          <cell r="F870">
            <v>548</v>
          </cell>
          <cell r="G870" t="str">
            <v>Reach_1783</v>
          </cell>
          <cell r="H870">
            <v>862</v>
          </cell>
          <cell r="J870">
            <v>350.48</v>
          </cell>
          <cell r="K870">
            <v>168.77</v>
          </cell>
          <cell r="L870">
            <v>5.3320000000000004E-8</v>
          </cell>
          <cell r="M870">
            <v>8.7067000000000005E-2</v>
          </cell>
          <cell r="N870">
            <v>52480.746024977314</v>
          </cell>
          <cell r="Q870">
            <v>14</v>
          </cell>
        </row>
        <row r="871">
          <cell r="D871" t="str">
            <v>78-69-3</v>
          </cell>
          <cell r="E871">
            <v>78693</v>
          </cell>
          <cell r="F871">
            <v>3755</v>
          </cell>
          <cell r="G871" t="str">
            <v>Reach_204</v>
          </cell>
          <cell r="H871">
            <v>863</v>
          </cell>
          <cell r="J871">
            <v>158.29</v>
          </cell>
          <cell r="K871">
            <v>-11.77</v>
          </cell>
          <cell r="L871">
            <v>9.504290000000001</v>
          </cell>
          <cell r="M871">
            <v>46.304000000000002</v>
          </cell>
          <cell r="N871">
            <v>3981.0717055349769</v>
          </cell>
          <cell r="O871">
            <v>16</v>
          </cell>
          <cell r="Q871">
            <v>14</v>
          </cell>
        </row>
        <row r="872">
          <cell r="D872" t="str">
            <v>2528-61-2</v>
          </cell>
          <cell r="E872">
            <v>2528612</v>
          </cell>
          <cell r="F872">
            <v>2428</v>
          </cell>
          <cell r="G872" t="str">
            <v>Reach_1831</v>
          </cell>
          <cell r="H872">
            <v>864</v>
          </cell>
          <cell r="J872">
            <v>148.63</v>
          </cell>
          <cell r="K872">
            <v>-18.3</v>
          </cell>
          <cell r="L872">
            <v>853.12000000000012</v>
          </cell>
          <cell r="M872">
            <v>150.47</v>
          </cell>
          <cell r="N872">
            <v>95.499258602143655</v>
          </cell>
          <cell r="Q872">
            <v>14</v>
          </cell>
        </row>
        <row r="873">
          <cell r="D873" t="str">
            <v>756-79-6</v>
          </cell>
          <cell r="E873">
            <v>756796</v>
          </cell>
          <cell r="F873">
            <v>3680</v>
          </cell>
          <cell r="G873" t="str">
            <v>Reach_1526</v>
          </cell>
          <cell r="H873">
            <v>865</v>
          </cell>
          <cell r="J873">
            <v>124.08</v>
          </cell>
          <cell r="K873">
            <v>-48.25</v>
          </cell>
          <cell r="L873">
            <v>122.63600000000001</v>
          </cell>
          <cell r="M873">
            <v>71096</v>
          </cell>
          <cell r="N873">
            <v>0.25703957827688634</v>
          </cell>
          <cell r="Q873">
            <v>14</v>
          </cell>
        </row>
        <row r="874">
          <cell r="D874" t="str">
            <v>105-74-8</v>
          </cell>
          <cell r="E874">
            <v>105748</v>
          </cell>
          <cell r="F874">
            <v>1419</v>
          </cell>
          <cell r="G874" t="str">
            <v>Reach_648</v>
          </cell>
          <cell r="H874">
            <v>866</v>
          </cell>
          <cell r="J874">
            <v>398.63</v>
          </cell>
          <cell r="K874">
            <v>56.36</v>
          </cell>
          <cell r="L874">
            <v>2.6526700000000002E-4</v>
          </cell>
          <cell r="M874">
            <v>1.3190000000000001E-4</v>
          </cell>
          <cell r="N874">
            <v>21877616239.495541</v>
          </cell>
          <cell r="Q874">
            <v>14</v>
          </cell>
        </row>
        <row r="875">
          <cell r="D875" t="str">
            <v>149-30-4</v>
          </cell>
          <cell r="E875">
            <v>149304</v>
          </cell>
          <cell r="F875">
            <v>478</v>
          </cell>
          <cell r="G875" t="str">
            <v>Reach_1198</v>
          </cell>
          <cell r="H875">
            <v>867</v>
          </cell>
          <cell r="J875">
            <v>167.25</v>
          </cell>
          <cell r="K875">
            <v>85.76</v>
          </cell>
          <cell r="L875">
            <v>5.6119300000000002E-3</v>
          </cell>
          <cell r="M875">
            <v>140.74</v>
          </cell>
          <cell r="N875">
            <v>724.43596007499025</v>
          </cell>
          <cell r="O875">
            <v>6.9</v>
          </cell>
          <cell r="Q875">
            <v>6.9</v>
          </cell>
        </row>
        <row r="876">
          <cell r="D876" t="str">
            <v>100-63-0</v>
          </cell>
          <cell r="E876">
            <v>100630</v>
          </cell>
          <cell r="F876">
            <v>134</v>
          </cell>
          <cell r="G876" t="str">
            <v>Reach_565</v>
          </cell>
          <cell r="H876">
            <v>868</v>
          </cell>
          <cell r="J876">
            <v>108.15</v>
          </cell>
          <cell r="K876">
            <v>25.2</v>
          </cell>
          <cell r="L876">
            <v>5.1320500000000004</v>
          </cell>
          <cell r="M876">
            <v>369000</v>
          </cell>
          <cell r="N876">
            <v>6.1659500186148231</v>
          </cell>
          <cell r="P876">
            <v>5</v>
          </cell>
          <cell r="Q876">
            <v>9</v>
          </cell>
        </row>
        <row r="877">
          <cell r="D877" t="str">
            <v>304-59-6</v>
          </cell>
          <cell r="E877">
            <v>304596</v>
          </cell>
          <cell r="F877">
            <v>5833</v>
          </cell>
          <cell r="G877" t="str">
            <v>Reach_1230</v>
          </cell>
          <cell r="H877">
            <v>869</v>
          </cell>
          <cell r="J877">
            <v>210.16</v>
          </cell>
          <cell r="K877">
            <v>0</v>
          </cell>
          <cell r="Q877">
            <v>14</v>
          </cell>
        </row>
        <row r="878">
          <cell r="D878" t="str">
            <v>661-95-0</v>
          </cell>
          <cell r="E878">
            <v>661950</v>
          </cell>
          <cell r="F878">
            <v>3466</v>
          </cell>
          <cell r="G878" t="str">
            <v>Reach_1492</v>
          </cell>
          <cell r="H878">
            <v>870</v>
          </cell>
          <cell r="J878">
            <v>309.83999999999997</v>
          </cell>
          <cell r="K878">
            <v>-37.840000000000003</v>
          </cell>
          <cell r="L878">
            <v>6265.1</v>
          </cell>
          <cell r="M878">
            <v>51.189</v>
          </cell>
          <cell r="N878">
            <v>8511.3803820237772</v>
          </cell>
          <cell r="Q878">
            <v>14</v>
          </cell>
        </row>
        <row r="879">
          <cell r="D879" t="str">
            <v>328-84-7</v>
          </cell>
          <cell r="E879">
            <v>328847</v>
          </cell>
          <cell r="F879">
            <v>2665</v>
          </cell>
          <cell r="G879" t="str">
            <v>Reach_1235</v>
          </cell>
          <cell r="H879">
            <v>871</v>
          </cell>
          <cell r="J879">
            <v>215</v>
          </cell>
          <cell r="K879">
            <v>1.45</v>
          </cell>
          <cell r="L879">
            <v>175.95600000000002</v>
          </cell>
          <cell r="M879">
            <v>8.2547999999999995</v>
          </cell>
          <cell r="N879">
            <v>17378.008287493791</v>
          </cell>
          <cell r="Q879">
            <v>14</v>
          </cell>
        </row>
        <row r="880">
          <cell r="D880" t="str">
            <v>2043-57-4</v>
          </cell>
          <cell r="E880">
            <v>2043574</v>
          </cell>
          <cell r="F880">
            <v>2264</v>
          </cell>
          <cell r="G880" t="str">
            <v>Reach_1748</v>
          </cell>
          <cell r="H880">
            <v>872</v>
          </cell>
          <cell r="J880">
            <v>473.99</v>
          </cell>
          <cell r="K880">
            <v>-15.79</v>
          </cell>
          <cell r="L880">
            <v>386.57</v>
          </cell>
          <cell r="M880">
            <v>6.1830000000000001E-4</v>
          </cell>
          <cell r="N880">
            <v>4265795.1880159294</v>
          </cell>
          <cell r="Q880">
            <v>14</v>
          </cell>
        </row>
        <row r="881">
          <cell r="D881" t="str">
            <v>366-18-7</v>
          </cell>
          <cell r="E881">
            <v>366187</v>
          </cell>
          <cell r="F881">
            <v>2770</v>
          </cell>
          <cell r="G881" t="str">
            <v>Reach_1252</v>
          </cell>
          <cell r="H881">
            <v>873</v>
          </cell>
          <cell r="J881">
            <v>156.19</v>
          </cell>
          <cell r="K881">
            <v>77.84</v>
          </cell>
          <cell r="L881">
            <v>0.37857200000000002</v>
          </cell>
          <cell r="M881">
            <v>3887.3</v>
          </cell>
          <cell r="N881">
            <v>23.988329190194907</v>
          </cell>
          <cell r="P881">
            <v>9.6</v>
          </cell>
          <cell r="Q881">
            <v>4.4000000000000004</v>
          </cell>
        </row>
        <row r="882">
          <cell r="D882" t="str">
            <v>80-53-5</v>
          </cell>
          <cell r="E882">
            <v>80535</v>
          </cell>
          <cell r="F882">
            <v>3793</v>
          </cell>
          <cell r="G882" t="str">
            <v>Reach_265</v>
          </cell>
          <cell r="H882">
            <v>874</v>
          </cell>
          <cell r="J882">
            <v>172.27</v>
          </cell>
          <cell r="K882">
            <v>49.38</v>
          </cell>
          <cell r="L882">
            <v>2.7593100000000002E-2</v>
          </cell>
          <cell r="M882">
            <v>137000</v>
          </cell>
          <cell r="N882">
            <v>208.92961308540396</v>
          </cell>
          <cell r="O882">
            <v>15.62</v>
          </cell>
          <cell r="Q882">
            <v>14</v>
          </cell>
        </row>
        <row r="883">
          <cell r="D883" t="str">
            <v>137-16-6</v>
          </cell>
          <cell r="E883">
            <v>137166</v>
          </cell>
          <cell r="F883">
            <v>5680</v>
          </cell>
          <cell r="G883" t="str">
            <v>Reach_1136</v>
          </cell>
          <cell r="H883">
            <v>875</v>
          </cell>
          <cell r="J883">
            <v>293.38</v>
          </cell>
          <cell r="K883">
            <v>0</v>
          </cell>
          <cell r="Q883">
            <v>14</v>
          </cell>
        </row>
        <row r="884">
          <cell r="D884" t="str">
            <v>110-03-2</v>
          </cell>
          <cell r="E884">
            <v>110032</v>
          </cell>
          <cell r="F884">
            <v>1513</v>
          </cell>
          <cell r="G884" t="str">
            <v>Reach_802</v>
          </cell>
          <cell r="H884">
            <v>876</v>
          </cell>
          <cell r="J884">
            <v>146.22999999999999</v>
          </cell>
          <cell r="K884">
            <v>19.329999999999998</v>
          </cell>
          <cell r="L884">
            <v>0.57718899999999995</v>
          </cell>
          <cell r="M884">
            <v>148000</v>
          </cell>
          <cell r="N884">
            <v>33.113112148259127</v>
          </cell>
          <cell r="O884">
            <v>15.57</v>
          </cell>
          <cell r="Q884">
            <v>14</v>
          </cell>
        </row>
        <row r="885">
          <cell r="D885" t="str">
            <v>134-32-7</v>
          </cell>
          <cell r="E885">
            <v>134327</v>
          </cell>
          <cell r="F885">
            <v>430</v>
          </cell>
          <cell r="G885" t="str">
            <v>Reach_1127</v>
          </cell>
          <cell r="H885">
            <v>877</v>
          </cell>
          <cell r="J885">
            <v>143.19</v>
          </cell>
          <cell r="K885">
            <v>70.849999999999994</v>
          </cell>
          <cell r="L885">
            <v>0.14929600000000001</v>
          </cell>
          <cell r="M885">
            <v>80.997</v>
          </cell>
          <cell r="N885">
            <v>177.82794100389242</v>
          </cell>
          <cell r="Q885">
            <v>14</v>
          </cell>
        </row>
        <row r="886">
          <cell r="D886" t="str">
            <v>34090-76-1</v>
          </cell>
          <cell r="E886">
            <v>34090761</v>
          </cell>
          <cell r="F886">
            <v>2690</v>
          </cell>
          <cell r="G886" t="str">
            <v>Reach_2670</v>
          </cell>
          <cell r="H886">
            <v>878</v>
          </cell>
          <cell r="J886">
            <v>166.18</v>
          </cell>
          <cell r="K886">
            <v>25.32</v>
          </cell>
          <cell r="L886">
            <v>2.62601</v>
          </cell>
          <cell r="M886">
            <v>5330.1</v>
          </cell>
          <cell r="N886">
            <v>4570.8818961487532</v>
          </cell>
          <cell r="Q886">
            <v>14</v>
          </cell>
        </row>
        <row r="887">
          <cell r="D887" t="str">
            <v>100-37-8</v>
          </cell>
          <cell r="E887">
            <v>100378</v>
          </cell>
          <cell r="F887">
            <v>123</v>
          </cell>
          <cell r="G887" t="str">
            <v>Reach_553</v>
          </cell>
          <cell r="H887">
            <v>879</v>
          </cell>
          <cell r="J887">
            <v>117.19</v>
          </cell>
          <cell r="K887">
            <v>-15.6</v>
          </cell>
          <cell r="L887">
            <v>86.378400000000013</v>
          </cell>
          <cell r="M887">
            <v>395000</v>
          </cell>
          <cell r="N887">
            <v>1.1220184543019636</v>
          </cell>
          <cell r="O887">
            <v>15.03</v>
          </cell>
          <cell r="P887">
            <v>4</v>
          </cell>
          <cell r="Q887">
            <v>10</v>
          </cell>
        </row>
        <row r="888">
          <cell r="D888" t="str">
            <v>1709-70-2</v>
          </cell>
          <cell r="E888">
            <v>1709702</v>
          </cell>
          <cell r="F888">
            <v>2121</v>
          </cell>
          <cell r="G888" t="str">
            <v>Reach_1711</v>
          </cell>
          <cell r="H888">
            <v>880</v>
          </cell>
          <cell r="J888">
            <v>775.22</v>
          </cell>
          <cell r="K888">
            <v>349.84</v>
          </cell>
          <cell r="L888">
            <v>4.1856200000000003E-20</v>
          </cell>
          <cell r="M888">
            <v>3.6899999999999999E-14</v>
          </cell>
          <cell r="N888">
            <v>1.479108388168217E+17</v>
          </cell>
          <cell r="O888">
            <v>10.83</v>
          </cell>
          <cell r="Q888">
            <v>10.83</v>
          </cell>
        </row>
        <row r="889">
          <cell r="D889" t="str">
            <v>75-36-5</v>
          </cell>
          <cell r="E889">
            <v>75365</v>
          </cell>
          <cell r="F889">
            <v>858</v>
          </cell>
          <cell r="G889" t="str">
            <v>Reach_141</v>
          </cell>
          <cell r="H889">
            <v>881</v>
          </cell>
          <cell r="J889">
            <v>78.498000000000005</v>
          </cell>
          <cell r="K889">
            <v>-80.5</v>
          </cell>
          <cell r="L889">
            <v>39723.4</v>
          </cell>
          <cell r="M889">
            <v>56476</v>
          </cell>
          <cell r="N889">
            <v>0.33884415613920255</v>
          </cell>
          <cell r="Q889">
            <v>14</v>
          </cell>
        </row>
        <row r="890">
          <cell r="D890" t="str">
            <v>6271-80-3</v>
          </cell>
          <cell r="E890">
            <v>6271803</v>
          </cell>
          <cell r="F890">
            <v>3376</v>
          </cell>
          <cell r="G890" t="str">
            <v>Reach_4379</v>
          </cell>
          <cell r="H890">
            <v>882</v>
          </cell>
          <cell r="J890">
            <v>233.66</v>
          </cell>
          <cell r="K890">
            <v>122.83</v>
          </cell>
          <cell r="L890">
            <v>1.137049E-3</v>
          </cell>
          <cell r="M890">
            <v>2.1244999999999998</v>
          </cell>
          <cell r="N890">
            <v>16595.869074375616</v>
          </cell>
          <cell r="Q890">
            <v>14</v>
          </cell>
        </row>
        <row r="891">
          <cell r="D891" t="str">
            <v>3039-83-6</v>
          </cell>
          <cell r="E891">
            <v>3039836</v>
          </cell>
          <cell r="F891">
            <v>5832</v>
          </cell>
          <cell r="G891" t="str">
            <v>Reach_1903</v>
          </cell>
          <cell r="H891">
            <v>883</v>
          </cell>
          <cell r="J891">
            <v>130.1</v>
          </cell>
          <cell r="K891">
            <v>0</v>
          </cell>
          <cell r="Q891">
            <v>14</v>
          </cell>
        </row>
        <row r="892">
          <cell r="D892" t="str">
            <v>15834-04-5</v>
          </cell>
          <cell r="E892">
            <v>15834045</v>
          </cell>
          <cell r="F892">
            <v>2060</v>
          </cell>
          <cell r="G892" t="str">
            <v>Reach_2402</v>
          </cell>
          <cell r="H892">
            <v>884</v>
          </cell>
          <cell r="J892">
            <v>472.62</v>
          </cell>
          <cell r="K892">
            <v>150.07</v>
          </cell>
          <cell r="L892">
            <v>1.191702E-6</v>
          </cell>
          <cell r="M892">
            <v>3.3633999999999997E-2</v>
          </cell>
          <cell r="N892">
            <v>5495408.7385762529</v>
          </cell>
          <cell r="Q892">
            <v>14</v>
          </cell>
        </row>
        <row r="893">
          <cell r="D893" t="str">
            <v>110964-79-9</v>
          </cell>
          <cell r="E893">
            <v>110964799</v>
          </cell>
          <cell r="F893">
            <v>1534</v>
          </cell>
          <cell r="G893" t="str">
            <v>Reach_4077</v>
          </cell>
          <cell r="H893">
            <v>885</v>
          </cell>
          <cell r="J893">
            <v>245.21</v>
          </cell>
          <cell r="K893">
            <v>174.49</v>
          </cell>
          <cell r="L893">
            <v>1.1103890000000002E-5</v>
          </cell>
          <cell r="M893">
            <v>286.18</v>
          </cell>
          <cell r="N893">
            <v>0.83176377110267097</v>
          </cell>
          <cell r="O893">
            <v>1.57</v>
          </cell>
          <cell r="Q893">
            <v>1.57</v>
          </cell>
        </row>
        <row r="894">
          <cell r="D894" t="str">
            <v>15687-27-1</v>
          </cell>
          <cell r="E894">
            <v>15687271</v>
          </cell>
          <cell r="F894">
            <v>493</v>
          </cell>
          <cell r="G894" t="str">
            <v>Reach_2393</v>
          </cell>
          <cell r="H894">
            <v>886</v>
          </cell>
          <cell r="J894">
            <v>206.29</v>
          </cell>
          <cell r="K894">
            <v>94.22</v>
          </cell>
          <cell r="L894">
            <v>2.4793800000000001E-2</v>
          </cell>
          <cell r="M894">
            <v>27.51</v>
          </cell>
          <cell r="N894">
            <v>6165.9500186148289</v>
          </cell>
          <cell r="O894">
            <v>4.3</v>
          </cell>
          <cell r="Q894">
            <v>4.3</v>
          </cell>
        </row>
        <row r="895">
          <cell r="D895" t="str">
            <v>20298-69-5</v>
          </cell>
          <cell r="E895">
            <v>20298695</v>
          </cell>
          <cell r="F895">
            <v>2258</v>
          </cell>
          <cell r="G895" t="str">
            <v>Reach_2492</v>
          </cell>
          <cell r="H895">
            <v>887</v>
          </cell>
          <cell r="J895">
            <v>198.31</v>
          </cell>
          <cell r="K895">
            <v>10.93</v>
          </cell>
          <cell r="L895">
            <v>7.104890000000001</v>
          </cell>
          <cell r="M895">
            <v>0.43053999999999998</v>
          </cell>
          <cell r="N895">
            <v>26302.679918953829</v>
          </cell>
          <cell r="Q895">
            <v>14</v>
          </cell>
        </row>
        <row r="896">
          <cell r="D896" t="str">
            <v>60142-95-2</v>
          </cell>
          <cell r="E896">
            <v>60142952</v>
          </cell>
          <cell r="F896">
            <v>5945</v>
          </cell>
          <cell r="G896" t="str">
            <v>Reach_2845</v>
          </cell>
          <cell r="H896">
            <v>888</v>
          </cell>
          <cell r="J896">
            <v>207.7</v>
          </cell>
          <cell r="K896">
            <v>0</v>
          </cell>
          <cell r="Q896">
            <v>14</v>
          </cell>
        </row>
        <row r="897">
          <cell r="D897" t="str">
            <v>29964-84-9</v>
          </cell>
          <cell r="E897">
            <v>29964849</v>
          </cell>
          <cell r="F897">
            <v>2581</v>
          </cell>
          <cell r="G897" t="str">
            <v>Reach_2640</v>
          </cell>
          <cell r="H897">
            <v>889</v>
          </cell>
          <cell r="J897">
            <v>226.36</v>
          </cell>
          <cell r="K897">
            <v>13.74</v>
          </cell>
          <cell r="L897">
            <v>1.5596100000000002</v>
          </cell>
          <cell r="M897">
            <v>1.4874000000000001</v>
          </cell>
          <cell r="N897">
            <v>416869.38347033598</v>
          </cell>
          <cell r="Q897">
            <v>14</v>
          </cell>
        </row>
        <row r="898">
          <cell r="D898" t="str">
            <v>6535-46-2</v>
          </cell>
          <cell r="E898">
            <v>6535462</v>
          </cell>
          <cell r="F898">
            <v>3451</v>
          </cell>
          <cell r="G898" t="str">
            <v>Reach_2193</v>
          </cell>
          <cell r="H898">
            <v>890</v>
          </cell>
          <cell r="J898">
            <v>484.77</v>
          </cell>
          <cell r="K898">
            <v>290.17</v>
          </cell>
          <cell r="L898">
            <v>1.1343830000000002E-14</v>
          </cell>
          <cell r="M898">
            <v>1.6640000000000001E-4</v>
          </cell>
          <cell r="N898">
            <v>1621810097.358937</v>
          </cell>
          <cell r="O898">
            <v>9.24</v>
          </cell>
          <cell r="Q898">
            <v>9.24</v>
          </cell>
        </row>
        <row r="899">
          <cell r="D899" t="str">
            <v>109-83-1</v>
          </cell>
          <cell r="E899">
            <v>109831</v>
          </cell>
          <cell r="F899">
            <v>1510</v>
          </cell>
          <cell r="G899" t="str">
            <v>Reach_793</v>
          </cell>
          <cell r="H899">
            <v>891</v>
          </cell>
          <cell r="J899">
            <v>75.111999999999995</v>
          </cell>
          <cell r="K899">
            <v>-35.770000000000003</v>
          </cell>
          <cell r="L899">
            <v>114.77130000000001</v>
          </cell>
          <cell r="M899">
            <v>1000000</v>
          </cell>
          <cell r="N899">
            <v>7.0794578438413788E-2</v>
          </cell>
          <cell r="O899">
            <v>15.03</v>
          </cell>
          <cell r="P899">
            <v>4.0999999999999996</v>
          </cell>
          <cell r="Q899">
            <v>9.9</v>
          </cell>
        </row>
        <row r="900">
          <cell r="D900" t="str">
            <v>18379-25-4</v>
          </cell>
          <cell r="E900">
            <v>18379254</v>
          </cell>
          <cell r="F900">
            <v>2187</v>
          </cell>
          <cell r="G900" t="str">
            <v>Reach_2460</v>
          </cell>
          <cell r="H900">
            <v>892</v>
          </cell>
          <cell r="J900">
            <v>247.67</v>
          </cell>
          <cell r="K900">
            <v>-7.5</v>
          </cell>
          <cell r="L900">
            <v>111.1722</v>
          </cell>
          <cell r="M900">
            <v>182.13</v>
          </cell>
          <cell r="N900">
            <v>181970.08586099857</v>
          </cell>
          <cell r="Q900">
            <v>14</v>
          </cell>
        </row>
        <row r="901">
          <cell r="D901" t="str">
            <v>186817-80-1</v>
          </cell>
          <cell r="E901">
            <v>186817801</v>
          </cell>
          <cell r="F901">
            <v>2203</v>
          </cell>
          <cell r="G901" t="str">
            <v>Reach_4193</v>
          </cell>
          <cell r="H901">
            <v>893</v>
          </cell>
          <cell r="J901">
            <v>202.29</v>
          </cell>
          <cell r="K901">
            <v>28.41</v>
          </cell>
          <cell r="L901">
            <v>0.12410230000000001</v>
          </cell>
          <cell r="M901">
            <v>795.95</v>
          </cell>
          <cell r="N901">
            <v>489.77881936844625</v>
          </cell>
          <cell r="O901">
            <v>12.62</v>
          </cell>
          <cell r="Q901">
            <v>12.62</v>
          </cell>
        </row>
        <row r="902">
          <cell r="D902" t="str">
            <v>67786-25-8</v>
          </cell>
          <cell r="E902">
            <v>67786258</v>
          </cell>
          <cell r="F902">
            <v>5986</v>
          </cell>
          <cell r="G902" t="str">
            <v>Reach_2887</v>
          </cell>
          <cell r="H902">
            <v>894</v>
          </cell>
          <cell r="J902">
            <v>1221.2</v>
          </cell>
          <cell r="K902">
            <v>0</v>
          </cell>
          <cell r="Q902">
            <v>14</v>
          </cell>
        </row>
        <row r="903">
          <cell r="D903" t="str">
            <v>873-94-9</v>
          </cell>
          <cell r="E903">
            <v>873949</v>
          </cell>
          <cell r="F903">
            <v>3931</v>
          </cell>
          <cell r="G903" t="str">
            <v>Reach_1582</v>
          </cell>
          <cell r="H903">
            <v>895</v>
          </cell>
          <cell r="J903">
            <v>140.22999999999999</v>
          </cell>
          <cell r="K903">
            <v>6.67</v>
          </cell>
          <cell r="L903">
            <v>115.971</v>
          </cell>
          <cell r="M903">
            <v>1828.7</v>
          </cell>
          <cell r="N903">
            <v>257.03957827688663</v>
          </cell>
          <cell r="Q903">
            <v>14</v>
          </cell>
        </row>
        <row r="904">
          <cell r="D904" t="str">
            <v>1758-73-2</v>
          </cell>
          <cell r="E904">
            <v>1758732</v>
          </cell>
          <cell r="F904">
            <v>2144</v>
          </cell>
          <cell r="G904" t="str">
            <v>Reach_1717</v>
          </cell>
          <cell r="H904">
            <v>896</v>
          </cell>
          <cell r="J904">
            <v>108.12</v>
          </cell>
          <cell r="K904">
            <v>0</v>
          </cell>
          <cell r="Q904">
            <v>14</v>
          </cell>
        </row>
        <row r="905">
          <cell r="D905" t="str">
            <v>85-68-7</v>
          </cell>
          <cell r="E905">
            <v>85687</v>
          </cell>
          <cell r="F905">
            <v>968</v>
          </cell>
          <cell r="G905" t="str">
            <v>Reach_299</v>
          </cell>
          <cell r="H905">
            <v>897</v>
          </cell>
          <cell r="J905">
            <v>312.37</v>
          </cell>
          <cell r="K905">
            <v>61.05</v>
          </cell>
          <cell r="L905">
            <v>5.8652000000000001E-3</v>
          </cell>
          <cell r="M905">
            <v>2.2722000000000002</v>
          </cell>
          <cell r="N905">
            <v>69183.097091893651</v>
          </cell>
          <cell r="Q905">
            <v>14</v>
          </cell>
        </row>
        <row r="906">
          <cell r="D906" t="str">
            <v>16111-62-9</v>
          </cell>
          <cell r="E906">
            <v>16111629</v>
          </cell>
          <cell r="F906">
            <v>2079</v>
          </cell>
          <cell r="G906" t="str">
            <v>Reach_2413</v>
          </cell>
          <cell r="H906">
            <v>898</v>
          </cell>
          <cell r="J906">
            <v>346.46</v>
          </cell>
          <cell r="K906">
            <v>63.56</v>
          </cell>
          <cell r="L906">
            <v>3.02591E-4</v>
          </cell>
          <cell r="M906">
            <v>1.1644000000000001</v>
          </cell>
          <cell r="N906">
            <v>9332543.0079699196</v>
          </cell>
          <cell r="Q906">
            <v>14</v>
          </cell>
        </row>
        <row r="907">
          <cell r="D907" t="str">
            <v>894-86-0</v>
          </cell>
          <cell r="E907">
            <v>894860</v>
          </cell>
          <cell r="F907">
            <v>6077</v>
          </cell>
          <cell r="G907" t="str">
            <v>Reach_1586</v>
          </cell>
          <cell r="H907">
            <v>899</v>
          </cell>
          <cell r="J907">
            <v>308.25</v>
          </cell>
          <cell r="K907">
            <v>0</v>
          </cell>
          <cell r="Q907">
            <v>14</v>
          </cell>
        </row>
        <row r="908">
          <cell r="D908" t="str">
            <v>599-64-4</v>
          </cell>
          <cell r="E908">
            <v>599644</v>
          </cell>
          <cell r="F908">
            <v>3299</v>
          </cell>
          <cell r="G908" t="str">
            <v>Reach_1410</v>
          </cell>
          <cell r="H908">
            <v>900</v>
          </cell>
          <cell r="J908">
            <v>212.29</v>
          </cell>
          <cell r="K908">
            <v>102.69</v>
          </cell>
          <cell r="L908">
            <v>3.9056900000000003E-3</v>
          </cell>
          <cell r="M908">
            <v>12.866</v>
          </cell>
          <cell r="N908">
            <v>13182.567385564091</v>
          </cell>
          <cell r="O908">
            <v>10.01</v>
          </cell>
          <cell r="Q908">
            <v>10.01</v>
          </cell>
        </row>
        <row r="909">
          <cell r="D909" t="str">
            <v>55589-62-3</v>
          </cell>
          <cell r="E909">
            <v>55589623</v>
          </cell>
          <cell r="F909">
            <v>63</v>
          </cell>
          <cell r="G909" t="str">
            <v>Reach_2810</v>
          </cell>
          <cell r="H909">
            <v>901</v>
          </cell>
          <cell r="J909">
            <v>201.24</v>
          </cell>
          <cell r="K909">
            <v>224.71</v>
          </cell>
          <cell r="L909">
            <v>5.8252100000000008E-9</v>
          </cell>
          <cell r="N909">
            <v>5.0118723362727212E-3</v>
          </cell>
          <cell r="O909">
            <v>8.2200000000000006</v>
          </cell>
          <cell r="Q909">
            <v>8.2200000000000006</v>
          </cell>
        </row>
        <row r="910">
          <cell r="D910" t="str">
            <v>4767-03-7</v>
          </cell>
          <cell r="E910">
            <v>4767037</v>
          </cell>
          <cell r="F910">
            <v>1272</v>
          </cell>
          <cell r="G910" t="str">
            <v>Reach_2063</v>
          </cell>
          <cell r="H910">
            <v>902</v>
          </cell>
          <cell r="J910">
            <v>134.13</v>
          </cell>
          <cell r="K910">
            <v>86.19</v>
          </cell>
          <cell r="L910">
            <v>1.6529200000000002E-4</v>
          </cell>
          <cell r="M910">
            <v>881000</v>
          </cell>
          <cell r="N910">
            <v>8.5113803820237616E-2</v>
          </cell>
          <cell r="O910">
            <v>4.0199999999999996</v>
          </cell>
          <cell r="Q910">
            <v>4.0199999999999996</v>
          </cell>
        </row>
        <row r="911">
          <cell r="D911" t="str">
            <v>6259-76-3</v>
          </cell>
          <cell r="E911">
            <v>6259763</v>
          </cell>
          <cell r="F911">
            <v>3375</v>
          </cell>
          <cell r="G911" t="str">
            <v>Reach_2159</v>
          </cell>
          <cell r="H911">
            <v>903</v>
          </cell>
          <cell r="J911">
            <v>222.28</v>
          </cell>
          <cell r="K911">
            <v>99.68</v>
          </cell>
          <cell r="L911">
            <v>3.2525200000000005E-3</v>
          </cell>
          <cell r="M911">
            <v>24.927</v>
          </cell>
          <cell r="N911">
            <v>114815.36214968823</v>
          </cell>
          <cell r="O911">
            <v>9.8000000000000007</v>
          </cell>
          <cell r="Q911">
            <v>9.8000000000000007</v>
          </cell>
        </row>
        <row r="912">
          <cell r="D912" t="str">
            <v>4698-11-7</v>
          </cell>
          <cell r="E912">
            <v>4698117</v>
          </cell>
          <cell r="F912">
            <v>1270</v>
          </cell>
          <cell r="G912" t="str">
            <v>Reach_2056</v>
          </cell>
          <cell r="H912">
            <v>904</v>
          </cell>
          <cell r="J912">
            <v>223.28</v>
          </cell>
          <cell r="K912">
            <v>126.2</v>
          </cell>
          <cell r="L912">
            <v>1.4129800000000001E-3</v>
          </cell>
          <cell r="M912">
            <v>20.541</v>
          </cell>
          <cell r="N912">
            <v>2238.7211385683418</v>
          </cell>
          <cell r="P912">
            <v>13.2</v>
          </cell>
          <cell r="Q912">
            <v>0.80000000000000071</v>
          </cell>
        </row>
        <row r="913">
          <cell r="D913" t="str">
            <v>18282-59-2</v>
          </cell>
          <cell r="E913">
            <v>18282592</v>
          </cell>
          <cell r="F913">
            <v>2175</v>
          </cell>
          <cell r="G913" t="str">
            <v>Reach_2456</v>
          </cell>
          <cell r="H913">
            <v>905</v>
          </cell>
          <cell r="J913">
            <v>225.91</v>
          </cell>
          <cell r="K913">
            <v>37.15</v>
          </cell>
          <cell r="L913">
            <v>7.2248600000000005</v>
          </cell>
          <cell r="M913">
            <v>13.236000000000001</v>
          </cell>
          <cell r="N913">
            <v>14791.083881682089</v>
          </cell>
          <cell r="Q913">
            <v>14</v>
          </cell>
        </row>
        <row r="914">
          <cell r="D914" t="str">
            <v>212322-56-0</v>
          </cell>
          <cell r="E914">
            <v>212322560</v>
          </cell>
          <cell r="F914">
            <v>2287</v>
          </cell>
          <cell r="G914" t="str">
            <v>Reach_4214</v>
          </cell>
          <cell r="H914">
            <v>906</v>
          </cell>
          <cell r="J914">
            <v>342.4</v>
          </cell>
          <cell r="K914">
            <v>205.61</v>
          </cell>
          <cell r="L914">
            <v>1.0677330000000002E-7</v>
          </cell>
          <cell r="M914">
            <v>943.95</v>
          </cell>
          <cell r="N914">
            <v>8.709635899560805</v>
          </cell>
          <cell r="Q914">
            <v>14</v>
          </cell>
        </row>
        <row r="915">
          <cell r="D915" t="str">
            <v>29518-11-4</v>
          </cell>
          <cell r="E915">
            <v>29518114</v>
          </cell>
          <cell r="F915">
            <v>2568</v>
          </cell>
          <cell r="G915" t="str">
            <v>Reach_4273</v>
          </cell>
          <cell r="H915">
            <v>907</v>
          </cell>
          <cell r="J915">
            <v>177.2</v>
          </cell>
          <cell r="K915">
            <v>102.49</v>
          </cell>
          <cell r="L915">
            <v>1.0957260000000002E-2</v>
          </cell>
          <cell r="M915">
            <v>361.56</v>
          </cell>
          <cell r="N915">
            <v>3.4673685045253171</v>
          </cell>
          <cell r="Q915">
            <v>14</v>
          </cell>
        </row>
        <row r="916">
          <cell r="D916" t="str">
            <v>7534-94-3</v>
          </cell>
          <cell r="E916">
            <v>7534943</v>
          </cell>
          <cell r="F916">
            <v>3668</v>
          </cell>
          <cell r="G916" t="str">
            <v>Reach_2260</v>
          </cell>
          <cell r="H916">
            <v>908</v>
          </cell>
          <cell r="J916">
            <v>222.33</v>
          </cell>
          <cell r="K916">
            <v>54.11</v>
          </cell>
          <cell r="L916">
            <v>1.4396400000000003</v>
          </cell>
          <cell r="M916">
            <v>56.395000000000003</v>
          </cell>
          <cell r="N916">
            <v>57543.993733715732</v>
          </cell>
          <cell r="Q916">
            <v>14</v>
          </cell>
        </row>
        <row r="917">
          <cell r="D917" t="str">
            <v>682-09-7</v>
          </cell>
          <cell r="E917">
            <v>682097</v>
          </cell>
          <cell r="F917">
            <v>3510</v>
          </cell>
          <cell r="G917" t="str">
            <v>Reach_1499</v>
          </cell>
          <cell r="H917">
            <v>909</v>
          </cell>
          <cell r="J917">
            <v>214.31</v>
          </cell>
          <cell r="K917">
            <v>55.17</v>
          </cell>
          <cell r="L917">
            <v>2.0794800000000002E-2</v>
          </cell>
          <cell r="M917">
            <v>298.58999999999997</v>
          </cell>
          <cell r="N917">
            <v>74.131024130091816</v>
          </cell>
          <cell r="O917">
            <v>15.14</v>
          </cell>
          <cell r="Q917">
            <v>14</v>
          </cell>
        </row>
        <row r="918">
          <cell r="D918" t="str">
            <v>112-02-7</v>
          </cell>
          <cell r="E918">
            <v>112027</v>
          </cell>
          <cell r="F918">
            <v>7</v>
          </cell>
          <cell r="G918" t="str">
            <v>Reach_884</v>
          </cell>
          <cell r="H918">
            <v>910</v>
          </cell>
          <cell r="J918">
            <v>320.01</v>
          </cell>
          <cell r="K918">
            <v>212.55</v>
          </cell>
          <cell r="L918">
            <v>3.7324000000000004E-8</v>
          </cell>
          <cell r="M918">
            <v>5.8672999999999998E-3</v>
          </cell>
          <cell r="N918">
            <v>1513.5612484362093</v>
          </cell>
          <cell r="Q918">
            <v>14</v>
          </cell>
        </row>
        <row r="919">
          <cell r="D919" t="str">
            <v>2942-59-8</v>
          </cell>
          <cell r="E919">
            <v>2942598</v>
          </cell>
          <cell r="F919">
            <v>2566</v>
          </cell>
          <cell r="G919" t="str">
            <v>Reach_1890</v>
          </cell>
          <cell r="H919">
            <v>911</v>
          </cell>
          <cell r="J919">
            <v>157.56</v>
          </cell>
          <cell r="K919">
            <v>85.43</v>
          </cell>
          <cell r="L919">
            <v>0.15995999999999999</v>
          </cell>
          <cell r="M919">
            <v>1967.5</v>
          </cell>
          <cell r="N919">
            <v>9.7723722095581103</v>
          </cell>
          <cell r="O919">
            <v>2.89</v>
          </cell>
          <cell r="P919">
            <v>15.87</v>
          </cell>
          <cell r="Q919">
            <v>-1.8699999999999992</v>
          </cell>
        </row>
        <row r="920">
          <cell r="D920" t="str">
            <v>17689-77-9</v>
          </cell>
          <cell r="E920">
            <v>17689779</v>
          </cell>
          <cell r="F920">
            <v>2148</v>
          </cell>
          <cell r="G920" t="str">
            <v>Reach_2441</v>
          </cell>
          <cell r="H920">
            <v>912</v>
          </cell>
          <cell r="J920">
            <v>234.28</v>
          </cell>
          <cell r="K920">
            <v>-33.74</v>
          </cell>
          <cell r="L920">
            <v>10.170790000000002</v>
          </cell>
          <cell r="M920">
            <v>3652.8</v>
          </cell>
          <cell r="N920">
            <v>5.4954087385762458</v>
          </cell>
          <cell r="Q920">
            <v>14</v>
          </cell>
        </row>
        <row r="921">
          <cell r="D921" t="str">
            <v>1719-58-0</v>
          </cell>
          <cell r="E921">
            <v>1719580</v>
          </cell>
          <cell r="F921">
            <v>2125</v>
          </cell>
          <cell r="G921" t="str">
            <v>Reach_1712</v>
          </cell>
          <cell r="H921">
            <v>913</v>
          </cell>
          <cell r="J921">
            <v>120.66</v>
          </cell>
          <cell r="K921">
            <v>-91.52</v>
          </cell>
          <cell r="L921">
            <v>10050.820000000002</v>
          </cell>
          <cell r="N921">
            <v>691.83097091893671</v>
          </cell>
          <cell r="Q921">
            <v>14</v>
          </cell>
        </row>
        <row r="922">
          <cell r="D922" t="str">
            <v>1333-07-9</v>
          </cell>
          <cell r="E922">
            <v>1333079</v>
          </cell>
          <cell r="F922">
            <v>1866</v>
          </cell>
          <cell r="G922" t="str">
            <v>Reach_1678</v>
          </cell>
          <cell r="H922">
            <v>914</v>
          </cell>
          <cell r="J922">
            <v>171.22</v>
          </cell>
          <cell r="K922">
            <v>91.19</v>
          </cell>
          <cell r="L922">
            <v>8.0779800000000002E-3</v>
          </cell>
          <cell r="M922">
            <v>2300.6</v>
          </cell>
          <cell r="N922">
            <v>8.3176377110267108</v>
          </cell>
          <cell r="O922">
            <v>10.1</v>
          </cell>
          <cell r="Q922">
            <v>10.1</v>
          </cell>
        </row>
        <row r="923">
          <cell r="D923" t="str">
            <v>24605-36-5</v>
          </cell>
          <cell r="E923">
            <v>24605365</v>
          </cell>
          <cell r="F923">
            <v>5791</v>
          </cell>
          <cell r="G923" t="str">
            <v>Reach_2550</v>
          </cell>
          <cell r="H923">
            <v>915</v>
          </cell>
          <cell r="J923">
            <v>297.22000000000003</v>
          </cell>
          <cell r="K923">
            <v>0</v>
          </cell>
          <cell r="Q923">
            <v>14</v>
          </cell>
        </row>
        <row r="924">
          <cell r="D924" t="str">
            <v>107-19-7</v>
          </cell>
          <cell r="E924">
            <v>107197</v>
          </cell>
          <cell r="F924">
            <v>214</v>
          </cell>
          <cell r="G924" t="str">
            <v>Reach_698</v>
          </cell>
          <cell r="H924">
            <v>916</v>
          </cell>
          <cell r="J924">
            <v>56.064</v>
          </cell>
          <cell r="K924">
            <v>-48.98</v>
          </cell>
          <cell r="L924">
            <v>1310.3390000000002</v>
          </cell>
          <cell r="M924">
            <v>368000</v>
          </cell>
          <cell r="N924">
            <v>0.38018939632056115</v>
          </cell>
          <cell r="O924">
            <v>13.6</v>
          </cell>
          <cell r="Q924">
            <v>13.6</v>
          </cell>
        </row>
        <row r="925">
          <cell r="D925" t="str">
            <v>2702-72-9</v>
          </cell>
          <cell r="E925">
            <v>2702729</v>
          </cell>
          <cell r="F925">
            <v>1210</v>
          </cell>
          <cell r="G925" t="str">
            <v>Reach_1856</v>
          </cell>
          <cell r="H925">
            <v>917</v>
          </cell>
          <cell r="J925">
            <v>243.02</v>
          </cell>
          <cell r="K925">
            <v>0</v>
          </cell>
          <cell r="Q925">
            <v>14</v>
          </cell>
        </row>
        <row r="926">
          <cell r="D926" t="str">
            <v>2136-89-2</v>
          </cell>
          <cell r="E926">
            <v>2136892</v>
          </cell>
          <cell r="F926">
            <v>2291</v>
          </cell>
          <cell r="G926" t="str">
            <v>Reach_1761</v>
          </cell>
          <cell r="H926">
            <v>918</v>
          </cell>
          <cell r="J926">
            <v>229.92</v>
          </cell>
          <cell r="K926">
            <v>40.49</v>
          </cell>
          <cell r="L926">
            <v>1.5462800000000001</v>
          </cell>
          <cell r="M926">
            <v>7.6585999999999999</v>
          </cell>
          <cell r="N926">
            <v>34673.685045253202</v>
          </cell>
          <cell r="Q926">
            <v>14</v>
          </cell>
        </row>
        <row r="927">
          <cell r="D927" t="str">
            <v>75-29-6</v>
          </cell>
          <cell r="E927">
            <v>75296</v>
          </cell>
          <cell r="F927">
            <v>3664</v>
          </cell>
          <cell r="G927" t="str">
            <v>Reach_137</v>
          </cell>
          <cell r="H927">
            <v>919</v>
          </cell>
          <cell r="J927">
            <v>78.542000000000002</v>
          </cell>
          <cell r="K927">
            <v>-114.33</v>
          </cell>
          <cell r="L927">
            <v>67849.700000000012</v>
          </cell>
          <cell r="M927">
            <v>4322.6000000000004</v>
          </cell>
          <cell r="N927">
            <v>100</v>
          </cell>
          <cell r="Q927">
            <v>14</v>
          </cell>
        </row>
        <row r="928">
          <cell r="D928" t="str">
            <v>79-14-1</v>
          </cell>
          <cell r="E928">
            <v>79141</v>
          </cell>
          <cell r="F928">
            <v>3766</v>
          </cell>
          <cell r="G928" t="str">
            <v>Reach_232</v>
          </cell>
          <cell r="H928">
            <v>920</v>
          </cell>
          <cell r="J928">
            <v>76.051000000000002</v>
          </cell>
          <cell r="K928">
            <v>23.33</v>
          </cell>
          <cell r="L928">
            <v>2.2661000000000002</v>
          </cell>
          <cell r="M928">
            <v>386000</v>
          </cell>
          <cell r="N928">
            <v>8.5113803820237616E-2</v>
          </cell>
          <cell r="O928">
            <v>3.8</v>
          </cell>
          <cell r="Q928">
            <v>3.8</v>
          </cell>
        </row>
        <row r="929">
          <cell r="D929" t="str">
            <v>32539-83-6</v>
          </cell>
          <cell r="E929">
            <v>32539836</v>
          </cell>
          <cell r="F929">
            <v>2655</v>
          </cell>
          <cell r="G929" t="str">
            <v>Reach_2662</v>
          </cell>
          <cell r="H929">
            <v>921</v>
          </cell>
          <cell r="J929">
            <v>222.37</v>
          </cell>
          <cell r="K929">
            <v>56.76</v>
          </cell>
          <cell r="L929">
            <v>0.15995999999999999</v>
          </cell>
          <cell r="M929">
            <v>1.0415000000000001</v>
          </cell>
          <cell r="N929">
            <v>602559.58607435878</v>
          </cell>
          <cell r="Q929">
            <v>14</v>
          </cell>
        </row>
        <row r="930">
          <cell r="D930" t="str">
            <v>520-26-3</v>
          </cell>
          <cell r="E930">
            <v>520263</v>
          </cell>
          <cell r="F930">
            <v>3051</v>
          </cell>
          <cell r="G930" t="str">
            <v>Reach_1322</v>
          </cell>
          <cell r="H930">
            <v>922</v>
          </cell>
          <cell r="J930">
            <v>610.57000000000005</v>
          </cell>
          <cell r="K930">
            <v>349.84</v>
          </cell>
          <cell r="L930">
            <v>1.63959E-24</v>
          </cell>
          <cell r="M930">
            <v>1662.4</v>
          </cell>
          <cell r="N930">
            <v>0.19054607179632471</v>
          </cell>
          <cell r="O930">
            <v>9.26</v>
          </cell>
          <cell r="Q930">
            <v>9.26</v>
          </cell>
        </row>
        <row r="931">
          <cell r="D931" t="str">
            <v>101-14-4</v>
          </cell>
          <cell r="E931">
            <v>101144</v>
          </cell>
          <cell r="F931">
            <v>1315</v>
          </cell>
          <cell r="G931" t="str">
            <v>Reach_573</v>
          </cell>
          <cell r="H931">
            <v>923</v>
          </cell>
          <cell r="J931">
            <v>267.16000000000003</v>
          </cell>
          <cell r="K931">
            <v>156.63</v>
          </cell>
          <cell r="L931">
            <v>5.2386900000000005E-4</v>
          </cell>
          <cell r="M931">
            <v>7.6733000000000002</v>
          </cell>
          <cell r="N931">
            <v>2951.2092266663899</v>
          </cell>
          <cell r="P931">
            <v>10.69</v>
          </cell>
          <cell r="Q931">
            <v>3.3100000000000005</v>
          </cell>
        </row>
        <row r="932">
          <cell r="D932" t="str">
            <v>67-52-7</v>
          </cell>
          <cell r="E932">
            <v>67527</v>
          </cell>
          <cell r="F932">
            <v>3495</v>
          </cell>
          <cell r="G932" t="str">
            <v>Reach_83</v>
          </cell>
          <cell r="H932">
            <v>924</v>
          </cell>
          <cell r="J932">
            <v>128.09</v>
          </cell>
          <cell r="K932">
            <v>199.01</v>
          </cell>
          <cell r="L932">
            <v>7.4648000000000008E-8</v>
          </cell>
          <cell r="M932">
            <v>13553</v>
          </cell>
          <cell r="N932">
            <v>5.6234132519034884E-2</v>
          </cell>
          <cell r="O932">
            <v>4</v>
          </cell>
          <cell r="Q932">
            <v>4</v>
          </cell>
        </row>
        <row r="933">
          <cell r="D933" t="str">
            <v>96-31-1</v>
          </cell>
          <cell r="E933">
            <v>96311</v>
          </cell>
          <cell r="F933">
            <v>1052</v>
          </cell>
          <cell r="G933" t="str">
            <v>Reach_460</v>
          </cell>
          <cell r="H933">
            <v>925</v>
          </cell>
          <cell r="J933">
            <v>88.111999999999995</v>
          </cell>
          <cell r="K933">
            <v>20.190000000000001</v>
          </cell>
          <cell r="L933">
            <v>0.20394899999999999</v>
          </cell>
          <cell r="M933">
            <v>167000</v>
          </cell>
          <cell r="N933">
            <v>0.23988329190194901</v>
          </cell>
          <cell r="O933">
            <v>14.3</v>
          </cell>
          <cell r="P933">
            <v>14</v>
          </cell>
          <cell r="Q933">
            <v>0</v>
          </cell>
        </row>
        <row r="934">
          <cell r="D934" t="str">
            <v>122-60-1</v>
          </cell>
          <cell r="E934">
            <v>122601</v>
          </cell>
          <cell r="F934">
            <v>381</v>
          </cell>
          <cell r="G934" t="str">
            <v>Reach_1032</v>
          </cell>
          <cell r="H934">
            <v>926</v>
          </cell>
          <cell r="J934">
            <v>150.18</v>
          </cell>
          <cell r="K934">
            <v>12.95</v>
          </cell>
          <cell r="L934">
            <v>4.7321499999999999</v>
          </cell>
          <cell r="M934">
            <v>1084.5</v>
          </cell>
          <cell r="N934">
            <v>40.738027780411301</v>
          </cell>
          <cell r="Q934">
            <v>14</v>
          </cell>
        </row>
        <row r="935">
          <cell r="D935" t="str">
            <v>108-18-9</v>
          </cell>
          <cell r="E935">
            <v>108189</v>
          </cell>
          <cell r="F935">
            <v>231</v>
          </cell>
          <cell r="G935" t="str">
            <v>Reach_732</v>
          </cell>
          <cell r="H935">
            <v>927</v>
          </cell>
          <cell r="J935">
            <v>101.19</v>
          </cell>
          <cell r="K935">
            <v>-77.7</v>
          </cell>
          <cell r="L935">
            <v>87.844700000000017</v>
          </cell>
          <cell r="M935">
            <v>60024</v>
          </cell>
          <cell r="N935">
            <v>43.651583224016612</v>
          </cell>
          <cell r="Q935">
            <v>14</v>
          </cell>
        </row>
        <row r="936">
          <cell r="D936" t="str">
            <v>110-44-1</v>
          </cell>
          <cell r="E936">
            <v>110441</v>
          </cell>
          <cell r="F936">
            <v>1521</v>
          </cell>
          <cell r="G936" t="str">
            <v>Reach_815</v>
          </cell>
          <cell r="H936">
            <v>928</v>
          </cell>
          <cell r="J936">
            <v>112.13</v>
          </cell>
          <cell r="K936">
            <v>24.62</v>
          </cell>
          <cell r="L936">
            <v>1.3156710000000003</v>
          </cell>
          <cell r="M936">
            <v>2179.1999999999998</v>
          </cell>
          <cell r="N936">
            <v>41.686938347033561</v>
          </cell>
          <cell r="Q936">
            <v>14</v>
          </cell>
        </row>
        <row r="937">
          <cell r="D937" t="str">
            <v>84-74-2</v>
          </cell>
          <cell r="E937">
            <v>84742</v>
          </cell>
          <cell r="F937">
            <v>963</v>
          </cell>
          <cell r="G937" t="str">
            <v>Reach_290</v>
          </cell>
          <cell r="H937">
            <v>929</v>
          </cell>
          <cell r="J937">
            <v>278.35000000000002</v>
          </cell>
          <cell r="K937">
            <v>6.04</v>
          </cell>
          <cell r="L937">
            <v>3.0392400000000003E-2</v>
          </cell>
          <cell r="M937">
            <v>14.851000000000001</v>
          </cell>
          <cell r="N937">
            <v>40738.027780411358</v>
          </cell>
          <cell r="Q937">
            <v>14</v>
          </cell>
        </row>
        <row r="938">
          <cell r="D938" t="str">
            <v>110-64-5</v>
          </cell>
          <cell r="E938">
            <v>110645</v>
          </cell>
          <cell r="F938">
            <v>1527</v>
          </cell>
          <cell r="G938" t="str">
            <v>Reach_823</v>
          </cell>
          <cell r="H938">
            <v>930</v>
          </cell>
          <cell r="J938">
            <v>88.105999999999995</v>
          </cell>
          <cell r="K938">
            <v>-8.82</v>
          </cell>
          <cell r="L938">
            <v>0.72515200000000013</v>
          </cell>
          <cell r="M938">
            <v>250000</v>
          </cell>
          <cell r="N938">
            <v>0.37153522909717251</v>
          </cell>
          <cell r="Q938">
            <v>14</v>
          </cell>
        </row>
        <row r="939">
          <cell r="D939" t="str">
            <v>7785-26-4</v>
          </cell>
          <cell r="E939">
            <v>7785264</v>
          </cell>
          <cell r="F939">
            <v>887</v>
          </cell>
          <cell r="G939" t="str">
            <v>Reach_2273</v>
          </cell>
          <cell r="H939">
            <v>931</v>
          </cell>
          <cell r="J939">
            <v>136.24</v>
          </cell>
          <cell r="K939">
            <v>-13.62</v>
          </cell>
          <cell r="L939">
            <v>535.86599999999999</v>
          </cell>
          <cell r="M939">
            <v>28.271999999999998</v>
          </cell>
          <cell r="N939">
            <v>18620.871366628675</v>
          </cell>
          <cell r="Q939">
            <v>14</v>
          </cell>
        </row>
        <row r="940">
          <cell r="D940" t="str">
            <v>627-93-0</v>
          </cell>
          <cell r="E940">
            <v>627930</v>
          </cell>
          <cell r="F940">
            <v>3378</v>
          </cell>
          <cell r="G940" t="str">
            <v>Reach_1460</v>
          </cell>
          <cell r="H940">
            <v>932</v>
          </cell>
          <cell r="J940">
            <v>174.2</v>
          </cell>
          <cell r="K940">
            <v>-71.540000000000006</v>
          </cell>
          <cell r="L940">
            <v>91.577100000000016</v>
          </cell>
          <cell r="M940">
            <v>12974</v>
          </cell>
          <cell r="N940">
            <v>24.547089156850305</v>
          </cell>
          <cell r="Q940">
            <v>14</v>
          </cell>
        </row>
        <row r="941">
          <cell r="D941" t="str">
            <v>118-69-4</v>
          </cell>
          <cell r="E941">
            <v>118694</v>
          </cell>
          <cell r="F941">
            <v>1676</v>
          </cell>
          <cell r="G941" t="str">
            <v>Reach_968</v>
          </cell>
          <cell r="H941">
            <v>933</v>
          </cell>
          <cell r="J941">
            <v>161.03</v>
          </cell>
          <cell r="K941">
            <v>3.57</v>
          </cell>
          <cell r="L941">
            <v>47.721400000000003</v>
          </cell>
          <cell r="M941">
            <v>61.134</v>
          </cell>
          <cell r="N941">
            <v>6760.8297539198229</v>
          </cell>
          <cell r="Q941">
            <v>14</v>
          </cell>
        </row>
        <row r="942">
          <cell r="D942" t="str">
            <v>324763-46-4</v>
          </cell>
          <cell r="E942">
            <v>324763464</v>
          </cell>
          <cell r="F942">
            <v>2653</v>
          </cell>
          <cell r="G942" t="str">
            <v>Reach_4281</v>
          </cell>
          <cell r="H942">
            <v>934</v>
          </cell>
          <cell r="J942">
            <v>461.61</v>
          </cell>
          <cell r="K942">
            <v>305.52</v>
          </cell>
          <cell r="L942">
            <v>1.7195700000000003E-14</v>
          </cell>
          <cell r="M942">
            <v>9.7313999999999994E-3</v>
          </cell>
          <cell r="N942">
            <v>4073802.7780411378</v>
          </cell>
          <cell r="Q942">
            <v>14</v>
          </cell>
        </row>
        <row r="943">
          <cell r="D943" t="str">
            <v>104-75-6</v>
          </cell>
          <cell r="E943">
            <v>104756</v>
          </cell>
          <cell r="F943">
            <v>169</v>
          </cell>
          <cell r="G943" t="str">
            <v>Reach_628</v>
          </cell>
          <cell r="H943">
            <v>935</v>
          </cell>
          <cell r="J943">
            <v>129.25</v>
          </cell>
          <cell r="K943">
            <v>-20.96</v>
          </cell>
          <cell r="L943">
            <v>218.61199999999999</v>
          </cell>
          <cell r="M943">
            <v>359.5</v>
          </cell>
          <cell r="N943">
            <v>537.03179637025301</v>
          </cell>
          <cell r="P943">
            <v>4</v>
          </cell>
          <cell r="Q943">
            <v>10</v>
          </cell>
        </row>
        <row r="944">
          <cell r="D944" t="str">
            <v>1975-78-6</v>
          </cell>
          <cell r="E944">
            <v>1975786</v>
          </cell>
          <cell r="F944">
            <v>2239</v>
          </cell>
          <cell r="G944" t="str">
            <v>Reach_1741</v>
          </cell>
          <cell r="H944">
            <v>936</v>
          </cell>
          <cell r="J944">
            <v>153.27000000000001</v>
          </cell>
          <cell r="K944">
            <v>11.38</v>
          </cell>
          <cell r="L944">
            <v>5.2653500000000006</v>
          </cell>
          <cell r="M944">
            <v>109.18</v>
          </cell>
          <cell r="N944">
            <v>6025.595860743585</v>
          </cell>
          <cell r="Q944">
            <v>14</v>
          </cell>
        </row>
        <row r="945">
          <cell r="D945" t="str">
            <v>5593-70-4</v>
          </cell>
          <cell r="E945">
            <v>5593704</v>
          </cell>
          <cell r="F945">
            <v>5934</v>
          </cell>
          <cell r="G945" t="str">
            <v>Reach_2129</v>
          </cell>
          <cell r="H945">
            <v>937</v>
          </cell>
          <cell r="J945">
            <v>388.26</v>
          </cell>
          <cell r="K945">
            <v>0</v>
          </cell>
          <cell r="Q945">
            <v>14</v>
          </cell>
        </row>
        <row r="946">
          <cell r="D946" t="str">
            <v>28178-42-9</v>
          </cell>
          <cell r="E946">
            <v>28178429</v>
          </cell>
          <cell r="F946">
            <v>2524</v>
          </cell>
          <cell r="G946" t="str">
            <v>Reach_2614</v>
          </cell>
          <cell r="H946">
            <v>938</v>
          </cell>
          <cell r="J946">
            <v>203.29</v>
          </cell>
          <cell r="K946">
            <v>21.39</v>
          </cell>
          <cell r="L946">
            <v>3.3325000000000005</v>
          </cell>
          <cell r="M946">
            <v>16.213000000000001</v>
          </cell>
          <cell r="N946">
            <v>316227.7660168382</v>
          </cell>
          <cell r="Q946">
            <v>14</v>
          </cell>
        </row>
        <row r="947">
          <cell r="D947" t="str">
            <v>141-57-1</v>
          </cell>
          <cell r="E947">
            <v>141571</v>
          </cell>
          <cell r="F947">
            <v>1936</v>
          </cell>
          <cell r="G947" t="str">
            <v>Reach_1164</v>
          </cell>
          <cell r="H947">
            <v>939</v>
          </cell>
          <cell r="J947">
            <v>177.53</v>
          </cell>
          <cell r="K947">
            <v>-51.41</v>
          </cell>
          <cell r="L947">
            <v>1786.2200000000003</v>
          </cell>
          <cell r="M947">
            <v>8949.6</v>
          </cell>
          <cell r="N947">
            <v>977.23722095581138</v>
          </cell>
          <cell r="Q947">
            <v>14</v>
          </cell>
        </row>
        <row r="948">
          <cell r="D948" t="str">
            <v>102-60-3</v>
          </cell>
          <cell r="E948">
            <v>102603</v>
          </cell>
          <cell r="F948">
            <v>1347</v>
          </cell>
          <cell r="G948" t="str">
            <v>Reach_594</v>
          </cell>
          <cell r="H948">
            <v>940</v>
          </cell>
          <cell r="J948">
            <v>292.42</v>
          </cell>
          <cell r="K948">
            <v>153.54</v>
          </cell>
          <cell r="L948">
            <v>1.1583770000000002E-6</v>
          </cell>
          <cell r="M948">
            <v>306000</v>
          </cell>
          <cell r="N948">
            <v>8.3176377110267055E-3</v>
          </cell>
          <cell r="O948">
            <v>14.28</v>
          </cell>
          <cell r="P948">
            <v>6.78</v>
          </cell>
          <cell r="Q948">
            <v>7.22</v>
          </cell>
        </row>
        <row r="949">
          <cell r="D949" t="str">
            <v>638-29-9</v>
          </cell>
          <cell r="E949">
            <v>638299</v>
          </cell>
          <cell r="F949">
            <v>3418</v>
          </cell>
          <cell r="G949" t="str">
            <v>Reach_1477</v>
          </cell>
          <cell r="H949">
            <v>941</v>
          </cell>
          <cell r="J949">
            <v>120.58</v>
          </cell>
          <cell r="K949">
            <v>-42.38</v>
          </cell>
          <cell r="L949">
            <v>3972.3400000000006</v>
          </cell>
          <cell r="M949">
            <v>2603.4</v>
          </cell>
          <cell r="N949">
            <v>10</v>
          </cell>
          <cell r="Q949">
            <v>14</v>
          </cell>
        </row>
        <row r="950">
          <cell r="D950" t="str">
            <v>34893-92-0</v>
          </cell>
          <cell r="E950">
            <v>34893920</v>
          </cell>
          <cell r="F950">
            <v>2717</v>
          </cell>
          <cell r="G950" t="str">
            <v>Reach_2684</v>
          </cell>
          <cell r="H950">
            <v>942</v>
          </cell>
          <cell r="J950">
            <v>188.01</v>
          </cell>
          <cell r="K950">
            <v>24.19</v>
          </cell>
          <cell r="L950">
            <v>14.929600000000002</v>
          </cell>
          <cell r="M950">
            <v>155.62</v>
          </cell>
          <cell r="N950">
            <v>7585.7757502918394</v>
          </cell>
          <cell r="Q950">
            <v>14</v>
          </cell>
        </row>
        <row r="951">
          <cell r="D951" t="str">
            <v>53928-30-6</v>
          </cell>
          <cell r="E951">
            <v>53928306</v>
          </cell>
          <cell r="F951">
            <v>3115</v>
          </cell>
          <cell r="G951" t="str">
            <v>Reach_2795</v>
          </cell>
          <cell r="H951">
            <v>943</v>
          </cell>
          <cell r="J951">
            <v>490.6</v>
          </cell>
          <cell r="K951">
            <v>240.26</v>
          </cell>
          <cell r="L951">
            <v>5.2786800000000004E-10</v>
          </cell>
          <cell r="M951">
            <v>0.17349999999999999</v>
          </cell>
          <cell r="N951">
            <v>371535.2290971732</v>
          </cell>
          <cell r="Q951">
            <v>14</v>
          </cell>
        </row>
        <row r="952">
          <cell r="D952" t="str">
            <v>274-09-9</v>
          </cell>
          <cell r="E952">
            <v>274099</v>
          </cell>
          <cell r="F952">
            <v>2504</v>
          </cell>
          <cell r="G952" t="str">
            <v>Reach_1218</v>
          </cell>
          <cell r="H952">
            <v>944</v>
          </cell>
          <cell r="J952">
            <v>122.12</v>
          </cell>
          <cell r="K952">
            <v>3.73</v>
          </cell>
          <cell r="L952">
            <v>185.28700000000001</v>
          </cell>
          <cell r="M952">
            <v>366.87</v>
          </cell>
          <cell r="N952">
            <v>112.20184543019634</v>
          </cell>
          <cell r="Q952">
            <v>14</v>
          </cell>
        </row>
        <row r="953">
          <cell r="D953" t="str">
            <v>980-26-7</v>
          </cell>
          <cell r="E953">
            <v>980267</v>
          </cell>
          <cell r="F953">
            <v>4177</v>
          </cell>
          <cell r="G953" t="str">
            <v>Reach_1624</v>
          </cell>
          <cell r="H953">
            <v>945</v>
          </cell>
          <cell r="J953">
            <v>340.38</v>
          </cell>
          <cell r="K953">
            <v>247.09</v>
          </cell>
          <cell r="L953">
            <v>1.9195200000000003E-12</v>
          </cell>
          <cell r="M953">
            <v>3.2524999999999998E-2</v>
          </cell>
          <cell r="N953">
            <v>60255.95860743591</v>
          </cell>
          <cell r="O953">
            <v>10.8</v>
          </cell>
          <cell r="P953">
            <v>14</v>
          </cell>
          <cell r="Q953">
            <v>0</v>
          </cell>
        </row>
        <row r="954">
          <cell r="D954" t="str">
            <v>2687-91-4</v>
          </cell>
          <cell r="E954">
            <v>2687914</v>
          </cell>
          <cell r="F954">
            <v>2489</v>
          </cell>
          <cell r="G954" t="str">
            <v>Reach_1853</v>
          </cell>
          <cell r="H954">
            <v>946</v>
          </cell>
          <cell r="J954">
            <v>113.16</v>
          </cell>
          <cell r="K954">
            <v>29.96</v>
          </cell>
          <cell r="L954">
            <v>13.729900000000001</v>
          </cell>
          <cell r="M954">
            <v>48213</v>
          </cell>
          <cell r="N954">
            <v>2.3988329190194908</v>
          </cell>
          <cell r="P954">
            <v>14.3</v>
          </cell>
          <cell r="Q954">
            <v>-0.30000000000000071</v>
          </cell>
        </row>
        <row r="955">
          <cell r="D955" t="str">
            <v>60207-89-8</v>
          </cell>
          <cell r="E955">
            <v>60207898</v>
          </cell>
          <cell r="F955">
            <v>3308</v>
          </cell>
          <cell r="G955" t="str">
            <v>Reach_2846</v>
          </cell>
          <cell r="H955">
            <v>947</v>
          </cell>
          <cell r="J955">
            <v>354.08</v>
          </cell>
          <cell r="K955">
            <v>129.87</v>
          </cell>
          <cell r="L955">
            <v>6.2384400000000003E-4</v>
          </cell>
          <cell r="M955">
            <v>0.38347999999999999</v>
          </cell>
          <cell r="N955">
            <v>331131.12148259126</v>
          </cell>
          <cell r="Q955">
            <v>14</v>
          </cell>
        </row>
        <row r="956">
          <cell r="D956" t="str">
            <v>93-68-5</v>
          </cell>
          <cell r="E956">
            <v>93685</v>
          </cell>
          <cell r="F956">
            <v>4078</v>
          </cell>
          <cell r="G956" t="str">
            <v>Reach_405</v>
          </cell>
          <cell r="H956">
            <v>948</v>
          </cell>
          <cell r="J956">
            <v>191.23</v>
          </cell>
          <cell r="K956">
            <v>134.69</v>
          </cell>
          <cell r="L956">
            <v>1.4263100000000001E-3</v>
          </cell>
          <cell r="M956">
            <v>792.99</v>
          </cell>
          <cell r="N956">
            <v>9.7723722095581103</v>
          </cell>
          <cell r="O956">
            <v>10.7</v>
          </cell>
          <cell r="P956">
            <v>13.4</v>
          </cell>
          <cell r="Q956">
            <v>0.59999999999999964</v>
          </cell>
        </row>
        <row r="957">
          <cell r="D957" t="str">
            <v>156-43-4</v>
          </cell>
          <cell r="E957">
            <v>156434</v>
          </cell>
          <cell r="F957">
            <v>2048</v>
          </cell>
          <cell r="G957" t="str">
            <v>Reach_1213</v>
          </cell>
          <cell r="H957">
            <v>949</v>
          </cell>
          <cell r="J957">
            <v>137.18</v>
          </cell>
          <cell r="K957">
            <v>39.56</v>
          </cell>
          <cell r="L957">
            <v>2.9325999999999999</v>
          </cell>
          <cell r="M957">
            <v>4688.6000000000004</v>
          </cell>
          <cell r="N957">
            <v>44.668359215096324</v>
          </cell>
          <cell r="P957">
            <v>8.6</v>
          </cell>
          <cell r="Q957">
            <v>5.4</v>
          </cell>
        </row>
        <row r="958">
          <cell r="D958" t="str">
            <v>88-85-7</v>
          </cell>
          <cell r="E958">
            <v>88857</v>
          </cell>
          <cell r="F958">
            <v>989</v>
          </cell>
          <cell r="G958" t="str">
            <v>Reach_333</v>
          </cell>
          <cell r="H958">
            <v>950</v>
          </cell>
          <cell r="J958">
            <v>240.22</v>
          </cell>
          <cell r="K958">
            <v>138.02000000000001</v>
          </cell>
          <cell r="L958">
            <v>9.9175200000000008E-3</v>
          </cell>
          <cell r="M958">
            <v>268.81</v>
          </cell>
          <cell r="N958">
            <v>4677.3514128719844</v>
          </cell>
          <cell r="O958">
            <v>4.2</v>
          </cell>
          <cell r="Q958">
            <v>4.2</v>
          </cell>
        </row>
        <row r="959">
          <cell r="D959" t="str">
            <v>126-92-1</v>
          </cell>
          <cell r="E959">
            <v>126921</v>
          </cell>
          <cell r="F959">
            <v>5646</v>
          </cell>
          <cell r="G959" t="str">
            <v>Reach_1091</v>
          </cell>
          <cell r="H959">
            <v>951</v>
          </cell>
          <cell r="J959">
            <v>232.28</v>
          </cell>
          <cell r="K959">
            <v>0</v>
          </cell>
          <cell r="Q959">
            <v>14</v>
          </cell>
        </row>
        <row r="960">
          <cell r="D960" t="str">
            <v>125-12-2</v>
          </cell>
          <cell r="E960">
            <v>125122</v>
          </cell>
          <cell r="F960">
            <v>1796</v>
          </cell>
          <cell r="G960" t="str">
            <v>Reach_1083</v>
          </cell>
          <cell r="H960">
            <v>952</v>
          </cell>
          <cell r="J960">
            <v>196.29</v>
          </cell>
          <cell r="K960">
            <v>34.11</v>
          </cell>
          <cell r="L960">
            <v>14.263100000000001</v>
          </cell>
          <cell r="M960">
            <v>384.77</v>
          </cell>
          <cell r="N960">
            <v>7244.3596007499036</v>
          </cell>
          <cell r="Q960">
            <v>14</v>
          </cell>
        </row>
        <row r="961">
          <cell r="D961" t="str">
            <v>95-92-1</v>
          </cell>
          <cell r="E961">
            <v>95921</v>
          </cell>
          <cell r="F961">
            <v>1042</v>
          </cell>
          <cell r="G961" t="str">
            <v>Reach_447</v>
          </cell>
          <cell r="H961">
            <v>953</v>
          </cell>
          <cell r="J961">
            <v>146.13999999999999</v>
          </cell>
          <cell r="K961">
            <v>-95.3</v>
          </cell>
          <cell r="L961">
            <v>97.442300000000003</v>
          </cell>
          <cell r="M961">
            <v>17839</v>
          </cell>
          <cell r="N961">
            <v>2.5118864315095806</v>
          </cell>
          <cell r="Q961">
            <v>14</v>
          </cell>
        </row>
        <row r="962">
          <cell r="D962" t="str">
            <v>17832-28-9</v>
          </cell>
          <cell r="E962">
            <v>17832289</v>
          </cell>
          <cell r="F962">
            <v>2154</v>
          </cell>
          <cell r="G962" t="str">
            <v>Reach_2445</v>
          </cell>
          <cell r="H962">
            <v>954</v>
          </cell>
          <cell r="J962">
            <v>116.16</v>
          </cell>
          <cell r="K962">
            <v>-21.65</v>
          </cell>
          <cell r="L962">
            <v>33.058400000000006</v>
          </cell>
          <cell r="M962">
            <v>102000</v>
          </cell>
          <cell r="N962">
            <v>2.691534803926916</v>
          </cell>
          <cell r="O962">
            <v>15.9</v>
          </cell>
          <cell r="Q962">
            <v>14</v>
          </cell>
        </row>
        <row r="963">
          <cell r="D963" t="str">
            <v>105-34-0</v>
          </cell>
          <cell r="E963">
            <v>105340</v>
          </cell>
          <cell r="F963">
            <v>1412</v>
          </cell>
          <cell r="G963" t="str">
            <v>Reach_638</v>
          </cell>
          <cell r="H963">
            <v>955</v>
          </cell>
          <cell r="J963">
            <v>99.09</v>
          </cell>
          <cell r="K963">
            <v>-22.61</v>
          </cell>
          <cell r="L963">
            <v>46.921599999999998</v>
          </cell>
          <cell r="M963">
            <v>120000</v>
          </cell>
          <cell r="N963">
            <v>0.33884415613920255</v>
          </cell>
          <cell r="Q963">
            <v>14</v>
          </cell>
        </row>
        <row r="964">
          <cell r="D964" t="str">
            <v>10540-29-1</v>
          </cell>
          <cell r="E964">
            <v>10540291</v>
          </cell>
          <cell r="F964">
            <v>174</v>
          </cell>
          <cell r="G964" t="str">
            <v>Reach_2294</v>
          </cell>
          <cell r="H964">
            <v>956</v>
          </cell>
          <cell r="J964">
            <v>371.52</v>
          </cell>
          <cell r="K964">
            <v>180.85</v>
          </cell>
          <cell r="L964">
            <v>4.6121799999999999E-6</v>
          </cell>
          <cell r="M964">
            <v>8.6348999999999992E-3</v>
          </cell>
          <cell r="N964">
            <v>1995262.31496888</v>
          </cell>
          <cell r="P964">
            <v>6</v>
          </cell>
          <cell r="Q964">
            <v>8</v>
          </cell>
        </row>
        <row r="965">
          <cell r="D965" t="str">
            <v>108-23-6</v>
          </cell>
          <cell r="E965">
            <v>108236</v>
          </cell>
          <cell r="F965">
            <v>1479</v>
          </cell>
          <cell r="G965" t="str">
            <v>Reach_736</v>
          </cell>
          <cell r="H965">
            <v>957</v>
          </cell>
          <cell r="J965">
            <v>122.55</v>
          </cell>
          <cell r="K965">
            <v>-68.22</v>
          </cell>
          <cell r="L965">
            <v>4025.6600000000003</v>
          </cell>
          <cell r="M965">
            <v>4438.8</v>
          </cell>
          <cell r="N965">
            <v>10.964781961431854</v>
          </cell>
          <cell r="Q965">
            <v>14</v>
          </cell>
        </row>
        <row r="966">
          <cell r="D966" t="str">
            <v>106-91-2</v>
          </cell>
          <cell r="E966">
            <v>106912</v>
          </cell>
          <cell r="F966">
            <v>1449</v>
          </cell>
          <cell r="G966" t="str">
            <v>Reach_681</v>
          </cell>
          <cell r="H966">
            <v>958</v>
          </cell>
          <cell r="J966">
            <v>142.15</v>
          </cell>
          <cell r="K966">
            <v>-23.31</v>
          </cell>
          <cell r="L966">
            <v>82.912600000000012</v>
          </cell>
          <cell r="M966">
            <v>25823</v>
          </cell>
          <cell r="N966">
            <v>6.4565422903465572</v>
          </cell>
          <cell r="Q966">
            <v>14</v>
          </cell>
        </row>
        <row r="967">
          <cell r="D967" t="str">
            <v>78-11-5</v>
          </cell>
          <cell r="E967">
            <v>78115</v>
          </cell>
          <cell r="F967">
            <v>892</v>
          </cell>
          <cell r="G967" t="str">
            <v>Reach_194</v>
          </cell>
          <cell r="H967">
            <v>959</v>
          </cell>
          <cell r="J967">
            <v>316.14</v>
          </cell>
          <cell r="K967">
            <v>119.48</v>
          </cell>
          <cell r="L967">
            <v>5.6119300000000009E-4</v>
          </cell>
          <cell r="M967">
            <v>6267.7</v>
          </cell>
          <cell r="N967">
            <v>239.88329190194912</v>
          </cell>
          <cell r="Q967">
            <v>14</v>
          </cell>
        </row>
        <row r="968">
          <cell r="D968" t="str">
            <v>636-30-6</v>
          </cell>
          <cell r="E968">
            <v>636306</v>
          </cell>
          <cell r="F968">
            <v>774</v>
          </cell>
          <cell r="G968" t="str">
            <v>Reach_1474</v>
          </cell>
          <cell r="H968">
            <v>960</v>
          </cell>
          <cell r="J968">
            <v>196.47</v>
          </cell>
          <cell r="K968">
            <v>70.95</v>
          </cell>
          <cell r="L968">
            <v>0.25593600000000005</v>
          </cell>
          <cell r="M968">
            <v>26.696000000000002</v>
          </cell>
          <cell r="N968">
            <v>1023.2929922807547</v>
          </cell>
          <cell r="P968">
            <v>13</v>
          </cell>
          <cell r="Q968">
            <v>1</v>
          </cell>
        </row>
        <row r="969">
          <cell r="D969" t="str">
            <v>63-05-8</v>
          </cell>
          <cell r="E969">
            <v>63058</v>
          </cell>
          <cell r="F969">
            <v>75</v>
          </cell>
          <cell r="G969" t="str">
            <v>Reach_67</v>
          </cell>
          <cell r="H969">
            <v>961</v>
          </cell>
          <cell r="J969">
            <v>286.42</v>
          </cell>
          <cell r="K969">
            <v>145.19999999999999</v>
          </cell>
          <cell r="L969">
            <v>2.3594100000000001E-4</v>
          </cell>
          <cell r="M969">
            <v>21.812000000000001</v>
          </cell>
          <cell r="N969">
            <v>575.43993733715706</v>
          </cell>
          <cell r="Q969">
            <v>14</v>
          </cell>
        </row>
        <row r="970">
          <cell r="D970" t="str">
            <v>124-63-0</v>
          </cell>
          <cell r="E970">
            <v>124630</v>
          </cell>
          <cell r="F970">
            <v>404</v>
          </cell>
          <cell r="G970" t="str">
            <v>Reach_1079</v>
          </cell>
          <cell r="H970">
            <v>962</v>
          </cell>
          <cell r="J970">
            <v>114.55</v>
          </cell>
          <cell r="K970">
            <v>-7.51</v>
          </cell>
          <cell r="L970">
            <v>305.25700000000001</v>
          </cell>
          <cell r="M970">
            <v>71322</v>
          </cell>
          <cell r="N970">
            <v>18.62087136662868</v>
          </cell>
          <cell r="Q970">
            <v>14</v>
          </cell>
        </row>
        <row r="971">
          <cell r="D971" t="str">
            <v>79-30-1</v>
          </cell>
          <cell r="E971">
            <v>79301</v>
          </cell>
          <cell r="F971">
            <v>3770</v>
          </cell>
          <cell r="G971" t="str">
            <v>Reach_238</v>
          </cell>
          <cell r="H971">
            <v>963</v>
          </cell>
          <cell r="J971">
            <v>106.55</v>
          </cell>
          <cell r="K971">
            <v>-66.55</v>
          </cell>
          <cell r="L971">
            <v>7971.34</v>
          </cell>
          <cell r="M971">
            <v>6568.3</v>
          </cell>
          <cell r="N971">
            <v>2.7542287033381663</v>
          </cell>
          <cell r="Q971">
            <v>14</v>
          </cell>
        </row>
        <row r="972">
          <cell r="D972" t="str">
            <v>4488-57-7</v>
          </cell>
          <cell r="E972">
            <v>4488577</v>
          </cell>
          <cell r="F972">
            <v>2933</v>
          </cell>
          <cell r="G972" t="str">
            <v>Reach_2040</v>
          </cell>
          <cell r="H972">
            <v>964</v>
          </cell>
          <cell r="J972">
            <v>134.22</v>
          </cell>
          <cell r="K972">
            <v>-17.96</v>
          </cell>
          <cell r="L972">
            <v>231.94200000000001</v>
          </cell>
          <cell r="M972">
            <v>883.25</v>
          </cell>
          <cell r="N972">
            <v>2398.8329190194918</v>
          </cell>
          <cell r="Q972">
            <v>14</v>
          </cell>
        </row>
        <row r="973">
          <cell r="D973" t="str">
            <v>135-19-3</v>
          </cell>
          <cell r="E973">
            <v>135193</v>
          </cell>
          <cell r="F973">
            <v>435</v>
          </cell>
          <cell r="G973" t="str">
            <v>Reach_1129</v>
          </cell>
          <cell r="H973">
            <v>965</v>
          </cell>
          <cell r="J973">
            <v>144.16999999999999</v>
          </cell>
          <cell r="K973">
            <v>67.72</v>
          </cell>
          <cell r="L973">
            <v>2.1861200000000001E-2</v>
          </cell>
          <cell r="M973">
            <v>249.55</v>
          </cell>
          <cell r="N973">
            <v>489.77881936844625</v>
          </cell>
          <cell r="O973">
            <v>9.6</v>
          </cell>
          <cell r="Q973">
            <v>9.6</v>
          </cell>
        </row>
        <row r="974">
          <cell r="D974" t="str">
            <v>211915-06-9</v>
          </cell>
          <cell r="E974">
            <v>211915069</v>
          </cell>
          <cell r="F974">
            <v>2286</v>
          </cell>
          <cell r="G974" t="str">
            <v>Reach_4213</v>
          </cell>
          <cell r="H974">
            <v>966</v>
          </cell>
          <cell r="J974">
            <v>627.75</v>
          </cell>
          <cell r="K974">
            <v>349.84</v>
          </cell>
          <cell r="L974">
            <v>4.2389400000000003E-18</v>
          </cell>
          <cell r="M974">
            <v>4.7625999999999996E-3</v>
          </cell>
          <cell r="N974">
            <v>380189.39632056188</v>
          </cell>
          <cell r="Q974">
            <v>14</v>
          </cell>
        </row>
        <row r="975">
          <cell r="D975" t="str">
            <v>29761-21-5</v>
          </cell>
          <cell r="E975">
            <v>29761215</v>
          </cell>
          <cell r="F975">
            <v>588</v>
          </cell>
          <cell r="G975" t="str">
            <v>Reach_2630</v>
          </cell>
          <cell r="H975">
            <v>967</v>
          </cell>
          <cell r="J975">
            <v>390.46</v>
          </cell>
          <cell r="K975">
            <v>88.92</v>
          </cell>
          <cell r="L975">
            <v>6.2917600000000002E-6</v>
          </cell>
          <cell r="M975">
            <v>9.1120000000000003E-3</v>
          </cell>
          <cell r="N975">
            <v>19054607.1796325</v>
          </cell>
          <cell r="Q975">
            <v>14</v>
          </cell>
        </row>
        <row r="976">
          <cell r="D976" t="str">
            <v>98-92-0</v>
          </cell>
          <cell r="E976">
            <v>98920</v>
          </cell>
          <cell r="F976">
            <v>1079</v>
          </cell>
          <cell r="G976" t="str">
            <v>Reach_524</v>
          </cell>
          <cell r="H976">
            <v>968</v>
          </cell>
          <cell r="J976">
            <v>122.13</v>
          </cell>
          <cell r="K976">
            <v>99.37</v>
          </cell>
          <cell r="L976">
            <v>2.6393400000000001E-2</v>
          </cell>
          <cell r="M976">
            <v>180000</v>
          </cell>
          <cell r="N976">
            <v>0.35481338923357542</v>
          </cell>
          <cell r="O976">
            <v>14.8</v>
          </cell>
          <cell r="P976">
            <v>11</v>
          </cell>
          <cell r="Q976">
            <v>3</v>
          </cell>
        </row>
        <row r="977">
          <cell r="D977" t="str">
            <v>56-41-7</v>
          </cell>
          <cell r="E977">
            <v>56417</v>
          </cell>
          <cell r="F977">
            <v>3198</v>
          </cell>
          <cell r="G977" t="str">
            <v>Reach_28</v>
          </cell>
          <cell r="H977">
            <v>969</v>
          </cell>
          <cell r="J977">
            <v>89.094999999999999</v>
          </cell>
          <cell r="K977">
            <v>244.05</v>
          </cell>
          <cell r="L977">
            <v>3.5724400000000001E-6</v>
          </cell>
          <cell r="M977">
            <v>557000</v>
          </cell>
          <cell r="N977">
            <v>1.0232929922807533E-3</v>
          </cell>
          <cell r="O977">
            <v>2.2999999999999998</v>
          </cell>
          <cell r="P977">
            <v>4.2</v>
          </cell>
          <cell r="Q977">
            <v>2.2999999999999998</v>
          </cell>
        </row>
        <row r="978">
          <cell r="D978" t="str">
            <v>624-48-6</v>
          </cell>
          <cell r="E978">
            <v>624486</v>
          </cell>
          <cell r="F978">
            <v>3369</v>
          </cell>
          <cell r="G978" t="str">
            <v>Reach_1452</v>
          </cell>
          <cell r="H978">
            <v>970</v>
          </cell>
          <cell r="J978">
            <v>144.13</v>
          </cell>
          <cell r="K978">
            <v>-95.85</v>
          </cell>
          <cell r="L978">
            <v>10.62401</v>
          </cell>
          <cell r="M978">
            <v>17803</v>
          </cell>
          <cell r="N978">
            <v>16.218100973589298</v>
          </cell>
          <cell r="Q978">
            <v>14</v>
          </cell>
        </row>
        <row r="979">
          <cell r="D979" t="str">
            <v>128-04-1</v>
          </cell>
          <cell r="E979">
            <v>128041</v>
          </cell>
          <cell r="F979">
            <v>1188</v>
          </cell>
          <cell r="G979" t="str">
            <v>Reach_1105</v>
          </cell>
          <cell r="H979">
            <v>971</v>
          </cell>
          <cell r="J979">
            <v>143.21</v>
          </cell>
          <cell r="K979">
            <v>0</v>
          </cell>
          <cell r="Q979">
            <v>14</v>
          </cell>
        </row>
        <row r="980">
          <cell r="D980" t="str">
            <v>504-60-9</v>
          </cell>
          <cell r="E980">
            <v>504609</v>
          </cell>
          <cell r="F980">
            <v>3006</v>
          </cell>
          <cell r="G980" t="str">
            <v>Reach_1305</v>
          </cell>
          <cell r="H980">
            <v>972</v>
          </cell>
          <cell r="J980">
            <v>68.119</v>
          </cell>
          <cell r="K980">
            <v>-108.58</v>
          </cell>
          <cell r="L980">
            <v>54919.600000000006</v>
          </cell>
          <cell r="M980">
            <v>461.7</v>
          </cell>
          <cell r="N980">
            <v>281.83829312644554</v>
          </cell>
          <cell r="Q980">
            <v>14</v>
          </cell>
        </row>
        <row r="981">
          <cell r="D981" t="str">
            <v>106-31-0</v>
          </cell>
          <cell r="E981">
            <v>106310</v>
          </cell>
          <cell r="F981">
            <v>1434</v>
          </cell>
          <cell r="G981" t="str">
            <v>Reach_664</v>
          </cell>
          <cell r="H981">
            <v>973</v>
          </cell>
          <cell r="J981">
            <v>158.19999999999999</v>
          </cell>
          <cell r="K981">
            <v>-44.6</v>
          </cell>
          <cell r="L981">
            <v>48.121300000000005</v>
          </cell>
          <cell r="M981">
            <v>3008.8</v>
          </cell>
          <cell r="N981">
            <v>24.547089156850305</v>
          </cell>
          <cell r="Q981">
            <v>14</v>
          </cell>
        </row>
        <row r="982">
          <cell r="D982" t="str">
            <v>1653-19-6</v>
          </cell>
          <cell r="E982">
            <v>1653196</v>
          </cell>
          <cell r="F982">
            <v>2099</v>
          </cell>
          <cell r="G982" t="str">
            <v>Reach_1704</v>
          </cell>
          <cell r="H982">
            <v>974</v>
          </cell>
          <cell r="J982">
            <v>122.98</v>
          </cell>
          <cell r="K982">
            <v>-88.69</v>
          </cell>
          <cell r="L982">
            <v>6238.4400000000005</v>
          </cell>
          <cell r="M982">
            <v>524.69000000000005</v>
          </cell>
          <cell r="N982">
            <v>1047.1285480509</v>
          </cell>
          <cell r="Q982">
            <v>14</v>
          </cell>
        </row>
        <row r="983">
          <cell r="D983" t="str">
            <v>869-24-9</v>
          </cell>
          <cell r="E983">
            <v>869249</v>
          </cell>
          <cell r="F983">
            <v>6071</v>
          </cell>
          <cell r="G983" t="str">
            <v>Reach_1576</v>
          </cell>
          <cell r="H983">
            <v>975</v>
          </cell>
          <cell r="J983">
            <v>172.1</v>
          </cell>
          <cell r="K983">
            <v>0</v>
          </cell>
          <cell r="Q983">
            <v>14</v>
          </cell>
        </row>
        <row r="984">
          <cell r="D984" t="str">
            <v>1247119-31-8</v>
          </cell>
          <cell r="E984">
            <v>1247119318</v>
          </cell>
          <cell r="F984">
            <v>5639</v>
          </cell>
          <cell r="G984" t="str">
            <v>Reach_5015</v>
          </cell>
          <cell r="H984">
            <v>976</v>
          </cell>
          <cell r="J984">
            <v>341.33</v>
          </cell>
          <cell r="K984">
            <v>0</v>
          </cell>
          <cell r="Q984">
            <v>14</v>
          </cell>
        </row>
        <row r="985">
          <cell r="D985" t="str">
            <v>71786-67-9</v>
          </cell>
          <cell r="E985">
            <v>71786679</v>
          </cell>
          <cell r="F985">
            <v>6009</v>
          </cell>
          <cell r="G985" t="str">
            <v>Reach_2931</v>
          </cell>
          <cell r="H985">
            <v>977</v>
          </cell>
          <cell r="J985">
            <v>291.77999999999997</v>
          </cell>
          <cell r="K985">
            <v>0</v>
          </cell>
          <cell r="Q985">
            <v>14</v>
          </cell>
        </row>
        <row r="986">
          <cell r="D986" t="str">
            <v>123-51-3</v>
          </cell>
          <cell r="E986">
            <v>123513</v>
          </cell>
          <cell r="F986">
            <v>394</v>
          </cell>
          <cell r="G986" t="str">
            <v>Reach_1051</v>
          </cell>
          <cell r="H986">
            <v>978</v>
          </cell>
          <cell r="J986">
            <v>88.15</v>
          </cell>
          <cell r="K986">
            <v>-61.49</v>
          </cell>
          <cell r="L986">
            <v>511.87200000000001</v>
          </cell>
          <cell r="M986">
            <v>26772</v>
          </cell>
          <cell r="N986">
            <v>18.197008586099841</v>
          </cell>
          <cell r="O986">
            <v>15.9</v>
          </cell>
          <cell r="Q986">
            <v>14</v>
          </cell>
        </row>
        <row r="987">
          <cell r="D987" t="str">
            <v>155-04-4</v>
          </cell>
          <cell r="E987">
            <v>155044</v>
          </cell>
          <cell r="F987">
            <v>5716</v>
          </cell>
          <cell r="G987" t="str">
            <v>Reach_1211</v>
          </cell>
          <cell r="H987">
            <v>979</v>
          </cell>
          <cell r="J987">
            <v>397.87</v>
          </cell>
          <cell r="K987">
            <v>0</v>
          </cell>
          <cell r="Q987">
            <v>14</v>
          </cell>
        </row>
        <row r="988">
          <cell r="D988" t="str">
            <v>108-03-2</v>
          </cell>
          <cell r="E988">
            <v>108032</v>
          </cell>
          <cell r="F988">
            <v>1475</v>
          </cell>
          <cell r="G988" t="str">
            <v>Reach_726</v>
          </cell>
          <cell r="H988">
            <v>980</v>
          </cell>
          <cell r="J988">
            <v>89.094999999999999</v>
          </cell>
          <cell r="K988">
            <v>-26.19</v>
          </cell>
          <cell r="L988">
            <v>1269.0160000000001</v>
          </cell>
          <cell r="M988">
            <v>15327</v>
          </cell>
          <cell r="N988">
            <v>8.9125093813374576</v>
          </cell>
          <cell r="O988">
            <v>8.8000000000000007</v>
          </cell>
          <cell r="Q988">
            <v>8.8000000000000007</v>
          </cell>
        </row>
        <row r="989">
          <cell r="D989" t="str">
            <v>104-12-1</v>
          </cell>
          <cell r="E989">
            <v>104121</v>
          </cell>
          <cell r="F989">
            <v>1384</v>
          </cell>
          <cell r="G989" t="str">
            <v>Reach_618</v>
          </cell>
          <cell r="H989">
            <v>981</v>
          </cell>
          <cell r="J989">
            <v>153.57</v>
          </cell>
          <cell r="K989">
            <v>-6.23</v>
          </cell>
          <cell r="L989">
            <v>33.458300000000001</v>
          </cell>
          <cell r="M989">
            <v>8866.1</v>
          </cell>
          <cell r="N989">
            <v>1737.8008287493772</v>
          </cell>
          <cell r="Q989">
            <v>14</v>
          </cell>
        </row>
        <row r="990">
          <cell r="D990" t="str">
            <v>657-84-1</v>
          </cell>
          <cell r="E990">
            <v>657841</v>
          </cell>
          <cell r="F990">
            <v>5976</v>
          </cell>
          <cell r="G990" t="str">
            <v>Reach_1490</v>
          </cell>
          <cell r="H990">
            <v>982</v>
          </cell>
          <cell r="J990">
            <v>194.19</v>
          </cell>
          <cell r="K990">
            <v>0</v>
          </cell>
          <cell r="Q990">
            <v>14</v>
          </cell>
        </row>
        <row r="991">
          <cell r="D991" t="str">
            <v>614-45-9</v>
          </cell>
          <cell r="E991">
            <v>614459</v>
          </cell>
          <cell r="F991">
            <v>3334</v>
          </cell>
          <cell r="G991" t="str">
            <v>Reach_1424</v>
          </cell>
          <cell r="H991">
            <v>983</v>
          </cell>
          <cell r="J991">
            <v>194.23</v>
          </cell>
          <cell r="K991">
            <v>33.97</v>
          </cell>
          <cell r="L991">
            <v>3.1192200000000003</v>
          </cell>
          <cell r="M991">
            <v>331.95</v>
          </cell>
          <cell r="N991">
            <v>776.24711662869231</v>
          </cell>
          <cell r="Q991">
            <v>14</v>
          </cell>
        </row>
        <row r="992">
          <cell r="D992" t="str">
            <v>67-48-1</v>
          </cell>
          <cell r="E992">
            <v>67481</v>
          </cell>
          <cell r="F992">
            <v>1231</v>
          </cell>
          <cell r="G992" t="str">
            <v>Reach_81</v>
          </cell>
          <cell r="H992">
            <v>984</v>
          </cell>
          <cell r="J992">
            <v>139.63</v>
          </cell>
          <cell r="K992">
            <v>0</v>
          </cell>
          <cell r="Q992">
            <v>14</v>
          </cell>
        </row>
        <row r="993">
          <cell r="D993" t="str">
            <v>1912-24-9</v>
          </cell>
          <cell r="E993">
            <v>1912249</v>
          </cell>
          <cell r="F993">
            <v>37</v>
          </cell>
          <cell r="G993" t="str">
            <v>Reach_1734</v>
          </cell>
          <cell r="H993">
            <v>985</v>
          </cell>
          <cell r="J993">
            <v>215.69</v>
          </cell>
          <cell r="K993">
            <v>113.91</v>
          </cell>
          <cell r="L993">
            <v>3.8123800000000002E-3</v>
          </cell>
          <cell r="M993">
            <v>14.85</v>
          </cell>
          <cell r="N993">
            <v>660.69344800759643</v>
          </cell>
          <cell r="P993">
            <v>12.3</v>
          </cell>
          <cell r="Q993">
            <v>1.6999999999999993</v>
          </cell>
        </row>
        <row r="994">
          <cell r="D994" t="str">
            <v>618-88-2</v>
          </cell>
          <cell r="E994">
            <v>618882</v>
          </cell>
          <cell r="F994">
            <v>3358</v>
          </cell>
          <cell r="G994" t="str">
            <v>Reach_1440</v>
          </cell>
          <cell r="H994">
            <v>986</v>
          </cell>
          <cell r="J994">
            <v>211.13</v>
          </cell>
          <cell r="K994">
            <v>169.18</v>
          </cell>
          <cell r="L994">
            <v>2.4260599999999999E-5</v>
          </cell>
          <cell r="M994">
            <v>3682.8</v>
          </cell>
          <cell r="N994">
            <v>37.153522909717275</v>
          </cell>
          <cell r="O994">
            <v>2.73</v>
          </cell>
          <cell r="Q994">
            <v>2.73</v>
          </cell>
        </row>
        <row r="995">
          <cell r="D995" t="str">
            <v>38051-10-4</v>
          </cell>
          <cell r="E995">
            <v>38051104</v>
          </cell>
          <cell r="F995">
            <v>2812</v>
          </cell>
          <cell r="G995" t="str">
            <v>Reach_2714</v>
          </cell>
          <cell r="H995">
            <v>987</v>
          </cell>
          <cell r="J995">
            <v>582.99</v>
          </cell>
          <cell r="K995">
            <v>90.27</v>
          </cell>
          <cell r="L995">
            <v>2.7459799999999999E-6</v>
          </cell>
          <cell r="M995">
            <v>0.24493000000000001</v>
          </cell>
          <cell r="N995">
            <v>2041.7379446695318</v>
          </cell>
          <cell r="Q995">
            <v>14</v>
          </cell>
        </row>
        <row r="996">
          <cell r="D996" t="str">
            <v>122-51-0</v>
          </cell>
          <cell r="E996">
            <v>122510</v>
          </cell>
          <cell r="F996">
            <v>1750</v>
          </cell>
          <cell r="G996" t="str">
            <v>Reach_1029</v>
          </cell>
          <cell r="H996">
            <v>988</v>
          </cell>
          <cell r="J996">
            <v>148.19999999999999</v>
          </cell>
          <cell r="K996">
            <v>-38.26</v>
          </cell>
          <cell r="L996">
            <v>931.76700000000005</v>
          </cell>
          <cell r="M996">
            <v>32556</v>
          </cell>
          <cell r="N996">
            <v>28.183829312644548</v>
          </cell>
          <cell r="Q996">
            <v>14</v>
          </cell>
        </row>
        <row r="997">
          <cell r="D997" t="str">
            <v>102-01-2</v>
          </cell>
          <cell r="E997">
            <v>102012</v>
          </cell>
          <cell r="F997">
            <v>1334</v>
          </cell>
          <cell r="G997" t="str">
            <v>Reach_587</v>
          </cell>
          <cell r="H997">
            <v>989</v>
          </cell>
          <cell r="J997">
            <v>177.2</v>
          </cell>
          <cell r="K997">
            <v>123.67</v>
          </cell>
          <cell r="L997">
            <v>4.14563E-3</v>
          </cell>
          <cell r="M997">
            <v>7696.1</v>
          </cell>
          <cell r="N997">
            <v>10.232929922807543</v>
          </cell>
          <cell r="O997">
            <v>10.7</v>
          </cell>
          <cell r="P997">
            <v>13.4</v>
          </cell>
          <cell r="Q997">
            <v>0.59999999999999964</v>
          </cell>
        </row>
        <row r="998">
          <cell r="D998" t="str">
            <v>101-37-1</v>
          </cell>
          <cell r="E998">
            <v>101371</v>
          </cell>
          <cell r="F998">
            <v>1318</v>
          </cell>
          <cell r="G998" t="str">
            <v>Reach_575</v>
          </cell>
          <cell r="H998">
            <v>990</v>
          </cell>
          <cell r="J998">
            <v>249.27</v>
          </cell>
          <cell r="K998">
            <v>124.07</v>
          </cell>
          <cell r="L998">
            <v>2.8126300000000003E-2</v>
          </cell>
          <cell r="M998">
            <v>177.4</v>
          </cell>
          <cell r="N998">
            <v>186208.71366628664</v>
          </cell>
          <cell r="P998">
            <v>11.7</v>
          </cell>
          <cell r="Q998">
            <v>2.3000000000000007</v>
          </cell>
        </row>
        <row r="999">
          <cell r="D999" t="str">
            <v>91-17-8</v>
          </cell>
          <cell r="E999">
            <v>91178</v>
          </cell>
          <cell r="F999">
            <v>1005</v>
          </cell>
          <cell r="G999" t="str">
            <v>Reach_371</v>
          </cell>
          <cell r="H999">
            <v>991</v>
          </cell>
          <cell r="J999">
            <v>138.25</v>
          </cell>
          <cell r="K999">
            <v>-28.86</v>
          </cell>
          <cell r="L999">
            <v>125.5686</v>
          </cell>
          <cell r="M999">
            <v>1.9231</v>
          </cell>
          <cell r="N999">
            <v>15848.931924611146</v>
          </cell>
          <cell r="Q999">
            <v>14</v>
          </cell>
        </row>
        <row r="1000">
          <cell r="D1000" t="str">
            <v>2943-75-1</v>
          </cell>
          <cell r="E1000">
            <v>2943751</v>
          </cell>
          <cell r="F1000">
            <v>2567</v>
          </cell>
          <cell r="G1000" t="str">
            <v>Reach_1891</v>
          </cell>
          <cell r="H1000">
            <v>992</v>
          </cell>
          <cell r="J1000">
            <v>276.49</v>
          </cell>
          <cell r="K1000">
            <v>53.49</v>
          </cell>
          <cell r="L1000">
            <v>0.19461800000000001</v>
          </cell>
          <cell r="M1000">
            <v>7.8693999999999997</v>
          </cell>
          <cell r="N1000">
            <v>17378.008287493791</v>
          </cell>
          <cell r="Q1000">
            <v>14</v>
          </cell>
        </row>
        <row r="1001">
          <cell r="D1001" t="str">
            <v>110-12-3</v>
          </cell>
          <cell r="E1001">
            <v>110123</v>
          </cell>
          <cell r="F1001">
            <v>273</v>
          </cell>
          <cell r="G1001" t="str">
            <v>Reach_804</v>
          </cell>
          <cell r="H1001">
            <v>993</v>
          </cell>
          <cell r="J1001">
            <v>114.19</v>
          </cell>
          <cell r="K1001">
            <v>-54.26</v>
          </cell>
          <cell r="L1001">
            <v>891.77700000000016</v>
          </cell>
          <cell r="M1001">
            <v>3982.2</v>
          </cell>
          <cell r="N1001">
            <v>45.708818961487509</v>
          </cell>
          <cell r="Q1001">
            <v>14</v>
          </cell>
        </row>
        <row r="1002">
          <cell r="D1002" t="str">
            <v>865-48-5</v>
          </cell>
          <cell r="E1002">
            <v>865485</v>
          </cell>
          <cell r="F1002">
            <v>6066</v>
          </cell>
          <cell r="G1002" t="str">
            <v>Reach_1570</v>
          </cell>
          <cell r="H1002">
            <v>994</v>
          </cell>
          <cell r="J1002">
            <v>96.105999999999995</v>
          </cell>
          <cell r="K1002">
            <v>0</v>
          </cell>
          <cell r="Q1002">
            <v>14</v>
          </cell>
        </row>
        <row r="1003">
          <cell r="D1003" t="str">
            <v>306-83-2</v>
          </cell>
          <cell r="E1003">
            <v>306832</v>
          </cell>
          <cell r="F1003">
            <v>2607</v>
          </cell>
          <cell r="G1003" t="str">
            <v>Reach_1231</v>
          </cell>
          <cell r="H1003">
            <v>995</v>
          </cell>
          <cell r="J1003">
            <v>152.93</v>
          </cell>
          <cell r="K1003">
            <v>-99.64</v>
          </cell>
          <cell r="L1003">
            <v>94109.8</v>
          </cell>
          <cell r="M1003">
            <v>1717.8</v>
          </cell>
          <cell r="N1003">
            <v>147.91083881682084</v>
          </cell>
          <cell r="Q1003">
            <v>14</v>
          </cell>
        </row>
        <row r="1004">
          <cell r="D1004" t="str">
            <v>3277-26-7</v>
          </cell>
          <cell r="E1004">
            <v>3277267</v>
          </cell>
          <cell r="F1004">
            <v>2662</v>
          </cell>
          <cell r="G1004" t="str">
            <v>Reach_1940</v>
          </cell>
          <cell r="H1004">
            <v>996</v>
          </cell>
          <cell r="J1004">
            <v>132.31</v>
          </cell>
          <cell r="K1004">
            <v>-110.63</v>
          </cell>
          <cell r="L1004">
            <v>5332</v>
          </cell>
          <cell r="M1004">
            <v>742.36</v>
          </cell>
          <cell r="N1004">
            <v>14125.375446227561</v>
          </cell>
          <cell r="Q1004">
            <v>14</v>
          </cell>
        </row>
        <row r="1005">
          <cell r="D1005" t="str">
            <v>88-60-8</v>
          </cell>
          <cell r="E1005">
            <v>88608</v>
          </cell>
          <cell r="F1005">
            <v>3961</v>
          </cell>
          <cell r="G1005" t="str">
            <v>Reach_327</v>
          </cell>
          <cell r="H1005">
            <v>997</v>
          </cell>
          <cell r="J1005">
            <v>164.25</v>
          </cell>
          <cell r="K1005">
            <v>51.87</v>
          </cell>
          <cell r="L1005">
            <v>1.0717320000000001</v>
          </cell>
          <cell r="M1005">
            <v>553.73</v>
          </cell>
          <cell r="N1005">
            <v>9332.5430079699217</v>
          </cell>
          <cell r="O1005">
            <v>10.8</v>
          </cell>
          <cell r="Q1005">
            <v>10.8</v>
          </cell>
        </row>
        <row r="1006">
          <cell r="D1006" t="str">
            <v>150-76-5</v>
          </cell>
          <cell r="E1006">
            <v>150765</v>
          </cell>
          <cell r="F1006">
            <v>483</v>
          </cell>
          <cell r="G1006" t="str">
            <v>Reach_1204</v>
          </cell>
          <cell r="H1006">
            <v>998</v>
          </cell>
          <cell r="J1006">
            <v>124.14</v>
          </cell>
          <cell r="K1006">
            <v>25.15</v>
          </cell>
          <cell r="L1006">
            <v>1.1063900000000002</v>
          </cell>
          <cell r="M1006">
            <v>66550</v>
          </cell>
          <cell r="N1006">
            <v>38.904514499428075</v>
          </cell>
          <cell r="O1006">
            <v>10.1</v>
          </cell>
          <cell r="Q1006">
            <v>10.1</v>
          </cell>
        </row>
        <row r="1007">
          <cell r="D1007" t="str">
            <v>105-95-3</v>
          </cell>
          <cell r="E1007">
            <v>105953</v>
          </cell>
          <cell r="F1007">
            <v>1422</v>
          </cell>
          <cell r="G1007" t="str">
            <v>Reach_652</v>
          </cell>
          <cell r="H1007">
            <v>999</v>
          </cell>
          <cell r="J1007">
            <v>270.37</v>
          </cell>
          <cell r="K1007">
            <v>71.08</v>
          </cell>
          <cell r="L1007">
            <v>5.8385400000000005E-5</v>
          </cell>
          <cell r="M1007">
            <v>17.98</v>
          </cell>
          <cell r="N1007">
            <v>51286.138399136544</v>
          </cell>
          <cell r="Q1007">
            <v>14</v>
          </cell>
        </row>
        <row r="1008">
          <cell r="D1008" t="str">
            <v>7085-85-0</v>
          </cell>
          <cell r="E1008">
            <v>7085850</v>
          </cell>
          <cell r="F1008">
            <v>3571</v>
          </cell>
          <cell r="G1008" t="str">
            <v>Reach_2224</v>
          </cell>
          <cell r="H1008">
            <v>1000</v>
          </cell>
          <cell r="J1008">
            <v>125.13</v>
          </cell>
          <cell r="K1008">
            <v>-9.32</v>
          </cell>
          <cell r="L1008">
            <v>39.056899999999999</v>
          </cell>
          <cell r="M1008">
            <v>5609.6</v>
          </cell>
          <cell r="N1008">
            <v>26.302679918953825</v>
          </cell>
          <cell r="Q1008">
            <v>14</v>
          </cell>
        </row>
        <row r="1009">
          <cell r="D1009" t="str">
            <v>104-67-6</v>
          </cell>
          <cell r="E1009">
            <v>104676</v>
          </cell>
          <cell r="F1009">
            <v>1398</v>
          </cell>
          <cell r="G1009" t="str">
            <v>Reach_626</v>
          </cell>
          <cell r="H1009">
            <v>1001</v>
          </cell>
          <cell r="J1009">
            <v>184.28</v>
          </cell>
          <cell r="K1009">
            <v>10.66</v>
          </cell>
          <cell r="L1009">
            <v>0.54519700000000004</v>
          </cell>
          <cell r="M1009">
            <v>57.680999999999997</v>
          </cell>
          <cell r="N1009">
            <v>1148.1536214968839</v>
          </cell>
          <cell r="Q1009">
            <v>14</v>
          </cell>
        </row>
        <row r="1010">
          <cell r="D1010" t="str">
            <v>5766-67-6</v>
          </cell>
          <cell r="E1010">
            <v>5766676</v>
          </cell>
          <cell r="F1010">
            <v>3236</v>
          </cell>
          <cell r="G1010" t="str">
            <v>Reach_2135</v>
          </cell>
          <cell r="H1010">
            <v>1002</v>
          </cell>
          <cell r="J1010">
            <v>216.25</v>
          </cell>
          <cell r="K1010">
            <v>159.44999999999999</v>
          </cell>
          <cell r="L1010">
            <v>2.23944E-5</v>
          </cell>
          <cell r="M1010">
            <v>1000000</v>
          </cell>
          <cell r="N1010">
            <v>6.7608297539198132E-3</v>
          </cell>
          <cell r="Q1010">
            <v>14</v>
          </cell>
        </row>
        <row r="1011">
          <cell r="D1011" t="str">
            <v>124-26-5</v>
          </cell>
          <cell r="E1011">
            <v>124265</v>
          </cell>
          <cell r="F1011">
            <v>1789</v>
          </cell>
          <cell r="G1011" t="str">
            <v>Reach_1074</v>
          </cell>
          <cell r="H1011">
            <v>1003</v>
          </cell>
          <cell r="J1011">
            <v>283.5</v>
          </cell>
          <cell r="K1011">
            <v>152</v>
          </cell>
          <cell r="L1011">
            <v>8.9177699999999998E-5</v>
          </cell>
          <cell r="M1011">
            <v>3.3958999999999999E-3</v>
          </cell>
          <cell r="N1011">
            <v>5011872.3362727314</v>
          </cell>
          <cell r="O1011">
            <v>15.1</v>
          </cell>
          <cell r="P1011">
            <v>14.3</v>
          </cell>
          <cell r="Q1011">
            <v>-0.30000000000000071</v>
          </cell>
        </row>
        <row r="1012">
          <cell r="D1012" t="str">
            <v>64-67-5</v>
          </cell>
          <cell r="E1012">
            <v>64675</v>
          </cell>
          <cell r="F1012">
            <v>3442</v>
          </cell>
          <cell r="G1012" t="str">
            <v>Reach_73</v>
          </cell>
          <cell r="H1012">
            <v>1004</v>
          </cell>
          <cell r="J1012">
            <v>154.18</v>
          </cell>
          <cell r="K1012">
            <v>37.78</v>
          </cell>
          <cell r="L1012">
            <v>32.125300000000003</v>
          </cell>
          <cell r="M1012">
            <v>20470</v>
          </cell>
          <cell r="N1012">
            <v>13.803842646028851</v>
          </cell>
          <cell r="Q1012">
            <v>14</v>
          </cell>
        </row>
        <row r="1013">
          <cell r="D1013" t="str">
            <v>111-55-7</v>
          </cell>
          <cell r="E1013">
            <v>111557</v>
          </cell>
          <cell r="F1013">
            <v>305</v>
          </cell>
          <cell r="G1013" t="str">
            <v>Reach_861</v>
          </cell>
          <cell r="H1013">
            <v>1005</v>
          </cell>
          <cell r="J1013">
            <v>146.13999999999999</v>
          </cell>
          <cell r="K1013">
            <v>-95.3</v>
          </cell>
          <cell r="L1013">
            <v>78.913600000000002</v>
          </cell>
          <cell r="M1013">
            <v>201000</v>
          </cell>
          <cell r="N1013">
            <v>2.5118864315095806</v>
          </cell>
          <cell r="Q1013">
            <v>14</v>
          </cell>
        </row>
        <row r="1014">
          <cell r="D1014" t="str">
            <v>494799-38-1</v>
          </cell>
          <cell r="E1014">
            <v>494799381</v>
          </cell>
          <cell r="F1014">
            <v>2982</v>
          </cell>
          <cell r="G1014" t="str">
            <v>Reach_4662</v>
          </cell>
          <cell r="H1014">
            <v>1006</v>
          </cell>
          <cell r="J1014">
            <v>257.33</v>
          </cell>
          <cell r="K1014">
            <v>125.46</v>
          </cell>
          <cell r="L1014">
            <v>5.47863E-4</v>
          </cell>
          <cell r="M1014">
            <v>16.193999999999999</v>
          </cell>
          <cell r="N1014">
            <v>57543.993733715732</v>
          </cell>
          <cell r="Q1014">
            <v>14</v>
          </cell>
        </row>
        <row r="1015">
          <cell r="D1015" t="str">
            <v>141-02-6</v>
          </cell>
          <cell r="E1015">
            <v>141026</v>
          </cell>
          <cell r="F1015">
            <v>1931</v>
          </cell>
          <cell r="G1015" t="str">
            <v>Reach_1155</v>
          </cell>
          <cell r="H1015">
            <v>1007</v>
          </cell>
          <cell r="J1015">
            <v>340.5</v>
          </cell>
          <cell r="K1015">
            <v>28.94</v>
          </cell>
          <cell r="L1015">
            <v>0.25993500000000003</v>
          </cell>
          <cell r="M1015">
            <v>9.7754000000000001E-3</v>
          </cell>
          <cell r="N1015">
            <v>87096358.99560827</v>
          </cell>
          <cell r="Q1015">
            <v>14</v>
          </cell>
        </row>
        <row r="1016">
          <cell r="D1016" t="str">
            <v>56-89-3</v>
          </cell>
          <cell r="E1016">
            <v>56893</v>
          </cell>
          <cell r="F1016">
            <v>717</v>
          </cell>
          <cell r="G1016" t="str">
            <v>Reach_33</v>
          </cell>
          <cell r="H1016">
            <v>1008</v>
          </cell>
          <cell r="J1016">
            <v>240.3</v>
          </cell>
          <cell r="K1016">
            <v>301.29000000000002</v>
          </cell>
          <cell r="L1016">
            <v>3.4924600000000008E-8</v>
          </cell>
          <cell r="M1016">
            <v>1182.2</v>
          </cell>
          <cell r="N1016">
            <v>4.5708818961487455E-5</v>
          </cell>
          <cell r="O1016">
            <v>1.37</v>
          </cell>
          <cell r="P1016">
            <v>5</v>
          </cell>
          <cell r="Q1016">
            <v>1.37</v>
          </cell>
        </row>
        <row r="1017">
          <cell r="D1017" t="str">
            <v>37763-23-8</v>
          </cell>
          <cell r="E1017">
            <v>37763238</v>
          </cell>
          <cell r="F1017">
            <v>2807</v>
          </cell>
          <cell r="G1017" t="str">
            <v>Reach_2712</v>
          </cell>
          <cell r="H1017">
            <v>1009</v>
          </cell>
          <cell r="J1017">
            <v>181.19</v>
          </cell>
          <cell r="K1017">
            <v>88.25</v>
          </cell>
          <cell r="L1017">
            <v>2.0261600000000001E-2</v>
          </cell>
          <cell r="M1017">
            <v>30790</v>
          </cell>
          <cell r="N1017">
            <v>1.1481536214968828</v>
          </cell>
          <cell r="P1017">
            <v>12.45</v>
          </cell>
          <cell r="Q1017">
            <v>1.5500000000000007</v>
          </cell>
        </row>
        <row r="1018">
          <cell r="D1018" t="str">
            <v>123-96-6</v>
          </cell>
          <cell r="E1018">
            <v>123966</v>
          </cell>
          <cell r="F1018">
            <v>399</v>
          </cell>
          <cell r="G1018" t="str">
            <v>Reach_1063</v>
          </cell>
          <cell r="H1018">
            <v>1010</v>
          </cell>
          <cell r="J1018">
            <v>130.22999999999999</v>
          </cell>
          <cell r="K1018">
            <v>-27.45</v>
          </cell>
          <cell r="L1018">
            <v>32.258600000000001</v>
          </cell>
          <cell r="M1018">
            <v>1827.6</v>
          </cell>
          <cell r="N1018">
            <v>537.03179637025301</v>
          </cell>
          <cell r="O1018">
            <v>16</v>
          </cell>
          <cell r="Q1018">
            <v>14</v>
          </cell>
        </row>
        <row r="1019">
          <cell r="D1019" t="str">
            <v>111-65-9</v>
          </cell>
          <cell r="E1019">
            <v>111659</v>
          </cell>
          <cell r="F1019">
            <v>306</v>
          </cell>
          <cell r="G1019" t="str">
            <v>Reach_863</v>
          </cell>
          <cell r="H1019">
            <v>1011</v>
          </cell>
          <cell r="J1019">
            <v>114.23</v>
          </cell>
          <cell r="K1019">
            <v>-68.45</v>
          </cell>
          <cell r="L1019">
            <v>1972.8400000000004</v>
          </cell>
          <cell r="M1019">
            <v>8.1844000000000001</v>
          </cell>
          <cell r="N1019">
            <v>18620.871366628675</v>
          </cell>
          <cell r="Q1019">
            <v>14</v>
          </cell>
        </row>
        <row r="1020">
          <cell r="D1020" t="str">
            <v>96-69-5</v>
          </cell>
          <cell r="E1020">
            <v>96695</v>
          </cell>
          <cell r="F1020">
            <v>4152</v>
          </cell>
          <cell r="G1020" t="str">
            <v>Reach_469</v>
          </cell>
          <cell r="H1020">
            <v>1012</v>
          </cell>
          <cell r="J1020">
            <v>358.54</v>
          </cell>
          <cell r="K1020">
            <v>196.91</v>
          </cell>
          <cell r="L1020">
            <v>2.8926100000000003E-8</v>
          </cell>
          <cell r="M1020">
            <v>1.3138E-2</v>
          </cell>
          <cell r="N1020">
            <v>173780082.87493807</v>
          </cell>
          <cell r="O1020">
            <v>10.5</v>
          </cell>
          <cell r="Q1020">
            <v>10.5</v>
          </cell>
        </row>
        <row r="1021">
          <cell r="D1021" t="str">
            <v>41253-21-8</v>
          </cell>
          <cell r="E1021">
            <v>41253218</v>
          </cell>
          <cell r="F1021">
            <v>5878</v>
          </cell>
          <cell r="G1021" t="str">
            <v>Reach_2741</v>
          </cell>
          <cell r="H1021">
            <v>1013</v>
          </cell>
          <cell r="J1021">
            <v>91.052999999999997</v>
          </cell>
          <cell r="K1021">
            <v>0</v>
          </cell>
          <cell r="Q1021">
            <v>14</v>
          </cell>
        </row>
        <row r="1022">
          <cell r="D1022" t="str">
            <v>97-52-9</v>
          </cell>
          <cell r="E1022">
            <v>97529</v>
          </cell>
          <cell r="F1022">
            <v>4165</v>
          </cell>
          <cell r="G1022" t="str">
            <v>Reach_479</v>
          </cell>
          <cell r="H1022">
            <v>1014</v>
          </cell>
          <cell r="J1022">
            <v>168.15</v>
          </cell>
          <cell r="K1022">
            <v>96.84</v>
          </cell>
          <cell r="L1022">
            <v>1.4263100000000001E-2</v>
          </cell>
          <cell r="M1022">
            <v>1038.7</v>
          </cell>
          <cell r="N1022">
            <v>35.481338923357555</v>
          </cell>
          <cell r="P1022">
            <v>12.86</v>
          </cell>
          <cell r="Q1022">
            <v>1.1400000000000006</v>
          </cell>
        </row>
        <row r="1023">
          <cell r="D1023" t="str">
            <v>111-17-1</v>
          </cell>
          <cell r="E1023">
            <v>111171</v>
          </cell>
          <cell r="F1023">
            <v>1539</v>
          </cell>
          <cell r="G1023" t="str">
            <v>Reach_846</v>
          </cell>
          <cell r="H1023">
            <v>1015</v>
          </cell>
          <cell r="J1023">
            <v>178.21</v>
          </cell>
          <cell r="K1023">
            <v>126.62</v>
          </cell>
          <cell r="L1023">
            <v>1.9061900000000001E-3</v>
          </cell>
          <cell r="M1023">
            <v>68508</v>
          </cell>
          <cell r="N1023">
            <v>0.660693448007596</v>
          </cell>
          <cell r="O1023">
            <v>3.97</v>
          </cell>
          <cell r="Q1023">
            <v>3.97</v>
          </cell>
        </row>
        <row r="1024">
          <cell r="D1024" t="str">
            <v>95-68-1</v>
          </cell>
          <cell r="E1024">
            <v>95681</v>
          </cell>
          <cell r="F1024">
            <v>1036</v>
          </cell>
          <cell r="G1024" t="str">
            <v>Reach_437</v>
          </cell>
          <cell r="H1024">
            <v>1016</v>
          </cell>
          <cell r="J1024">
            <v>121.18</v>
          </cell>
          <cell r="K1024">
            <v>29.14</v>
          </cell>
          <cell r="L1024">
            <v>23.727399999999999</v>
          </cell>
          <cell r="M1024">
            <v>1004.3</v>
          </cell>
          <cell r="N1024">
            <v>147.91083881682084</v>
          </cell>
          <cell r="Q1024">
            <v>14</v>
          </cell>
        </row>
        <row r="1025">
          <cell r="D1025" t="str">
            <v>89-63-4</v>
          </cell>
          <cell r="E1025">
            <v>89634</v>
          </cell>
          <cell r="F1025">
            <v>992</v>
          </cell>
          <cell r="G1025" t="str">
            <v>Reach_348</v>
          </cell>
          <cell r="H1025">
            <v>1017</v>
          </cell>
          <cell r="J1025">
            <v>172.57</v>
          </cell>
          <cell r="K1025">
            <v>93.21</v>
          </cell>
          <cell r="L1025">
            <v>3.6790799999999999E-2</v>
          </cell>
          <cell r="M1025">
            <v>407.71</v>
          </cell>
          <cell r="N1025">
            <v>457.0881896148756</v>
          </cell>
          <cell r="P1025">
            <v>15</v>
          </cell>
          <cell r="Q1025">
            <v>-1</v>
          </cell>
        </row>
        <row r="1026">
          <cell r="D1026" t="str">
            <v>39515-51-0</v>
          </cell>
          <cell r="E1026">
            <v>39515510</v>
          </cell>
          <cell r="F1026">
            <v>625</v>
          </cell>
          <cell r="G1026" t="str">
            <v>Reach_2726</v>
          </cell>
          <cell r="H1026">
            <v>1018</v>
          </cell>
          <cell r="J1026">
            <v>198.22</v>
          </cell>
          <cell r="K1026">
            <v>83.57</v>
          </cell>
          <cell r="L1026">
            <v>2.1861200000000001E-2</v>
          </cell>
          <cell r="M1026">
            <v>43.908000000000001</v>
          </cell>
          <cell r="N1026">
            <v>5888.4365535558973</v>
          </cell>
          <cell r="Q1026">
            <v>14</v>
          </cell>
        </row>
        <row r="1027">
          <cell r="D1027" t="str">
            <v>100-69-6</v>
          </cell>
          <cell r="E1027">
            <v>100696</v>
          </cell>
          <cell r="F1027">
            <v>1309</v>
          </cell>
          <cell r="G1027" t="str">
            <v>Reach_569</v>
          </cell>
          <cell r="H1027">
            <v>1019</v>
          </cell>
          <cell r="J1027">
            <v>105.14</v>
          </cell>
          <cell r="K1027">
            <v>-15.16</v>
          </cell>
          <cell r="L1027">
            <v>342.58100000000002</v>
          </cell>
          <cell r="M1027">
            <v>334000</v>
          </cell>
          <cell r="N1027">
            <v>51.28613839913649</v>
          </cell>
          <cell r="P1027">
            <v>9.1</v>
          </cell>
          <cell r="Q1027">
            <v>4.9000000000000004</v>
          </cell>
        </row>
        <row r="1028">
          <cell r="D1028" t="str">
            <v>75-63-8</v>
          </cell>
          <cell r="E1028">
            <v>75638</v>
          </cell>
          <cell r="F1028">
            <v>3678</v>
          </cell>
          <cell r="G1028" t="str">
            <v>Reach_154</v>
          </cell>
          <cell r="H1028">
            <v>1020</v>
          </cell>
          <cell r="J1028">
            <v>148.91</v>
          </cell>
          <cell r="K1028">
            <v>-108.85</v>
          </cell>
          <cell r="L1028">
            <v>1178372</v>
          </cell>
          <cell r="M1028">
            <v>214.67</v>
          </cell>
          <cell r="N1028">
            <v>38.904514499428075</v>
          </cell>
          <cell r="Q1028">
            <v>14</v>
          </cell>
        </row>
        <row r="1029">
          <cell r="D1029" t="str">
            <v>993-00-0</v>
          </cell>
          <cell r="E1029">
            <v>993000</v>
          </cell>
          <cell r="F1029">
            <v>4201</v>
          </cell>
          <cell r="G1029" t="str">
            <v>Reach_1626</v>
          </cell>
          <cell r="H1029">
            <v>1021</v>
          </cell>
          <cell r="J1029">
            <v>80.59</v>
          </cell>
          <cell r="K1029">
            <v>-119.24</v>
          </cell>
          <cell r="L1029">
            <v>382571.00000000006</v>
          </cell>
          <cell r="N1029">
            <v>24.547089156850305</v>
          </cell>
          <cell r="Q1029">
            <v>14</v>
          </cell>
        </row>
        <row r="1030">
          <cell r="D1030" t="str">
            <v>20769-85-1</v>
          </cell>
          <cell r="E1030">
            <v>20769851</v>
          </cell>
          <cell r="F1030">
            <v>2273</v>
          </cell>
          <cell r="G1030" t="str">
            <v>Reach_2498</v>
          </cell>
          <cell r="H1030">
            <v>1022</v>
          </cell>
          <cell r="J1030">
            <v>229.91</v>
          </cell>
          <cell r="K1030">
            <v>16.78</v>
          </cell>
          <cell r="L1030">
            <v>382.57100000000003</v>
          </cell>
          <cell r="M1030">
            <v>519.92999999999995</v>
          </cell>
          <cell r="N1030">
            <v>6.7608297539198183</v>
          </cell>
          <cell r="Q1030">
            <v>14</v>
          </cell>
        </row>
        <row r="1031">
          <cell r="D1031" t="str">
            <v>6422-99-7</v>
          </cell>
          <cell r="E1031">
            <v>6422997</v>
          </cell>
          <cell r="F1031">
            <v>5966</v>
          </cell>
          <cell r="G1031" t="str">
            <v>Reach_2183</v>
          </cell>
          <cell r="H1031">
            <v>1023</v>
          </cell>
          <cell r="J1031">
            <v>318.45999999999998</v>
          </cell>
          <cell r="K1031">
            <v>0</v>
          </cell>
          <cell r="Q1031">
            <v>14</v>
          </cell>
        </row>
        <row r="1032">
          <cell r="D1032" t="str">
            <v>109-92-2</v>
          </cell>
          <cell r="E1032">
            <v>109922</v>
          </cell>
          <cell r="F1032">
            <v>1512</v>
          </cell>
          <cell r="G1032" t="str">
            <v>Reach_797</v>
          </cell>
          <cell r="H1032">
            <v>1024</v>
          </cell>
          <cell r="J1032">
            <v>72.106999999999999</v>
          </cell>
          <cell r="K1032">
            <v>-102.6</v>
          </cell>
          <cell r="L1032">
            <v>69582.600000000006</v>
          </cell>
          <cell r="M1032">
            <v>7241.5</v>
          </cell>
          <cell r="N1032">
            <v>8.1283051616409931</v>
          </cell>
          <cell r="Q1032">
            <v>14</v>
          </cell>
        </row>
        <row r="1033">
          <cell r="D1033" t="str">
            <v>938-18-1</v>
          </cell>
          <cell r="E1033">
            <v>938181</v>
          </cell>
          <cell r="F1033">
            <v>4085</v>
          </cell>
          <cell r="G1033" t="str">
            <v>Reach_1612</v>
          </cell>
          <cell r="H1033">
            <v>1025</v>
          </cell>
          <cell r="J1033">
            <v>182.65</v>
          </cell>
          <cell r="K1033">
            <v>54.34</v>
          </cell>
          <cell r="L1033">
            <v>1.42631</v>
          </cell>
          <cell r="M1033">
            <v>118.1</v>
          </cell>
          <cell r="N1033">
            <v>1202.2644346174138</v>
          </cell>
          <cell r="Q1033">
            <v>14</v>
          </cell>
        </row>
        <row r="1034">
          <cell r="D1034" t="str">
            <v>122-00-9</v>
          </cell>
          <cell r="E1034">
            <v>122009</v>
          </cell>
          <cell r="F1034">
            <v>1740</v>
          </cell>
          <cell r="G1034" t="str">
            <v>Reach_1023</v>
          </cell>
          <cell r="H1034">
            <v>1026</v>
          </cell>
          <cell r="J1034">
            <v>134.18</v>
          </cell>
          <cell r="K1034">
            <v>7.85</v>
          </cell>
          <cell r="L1034">
            <v>11.317170000000001</v>
          </cell>
          <cell r="M1034">
            <v>577.05999999999995</v>
          </cell>
          <cell r="N1034">
            <v>165.95869074375622</v>
          </cell>
          <cell r="Q1034">
            <v>14</v>
          </cell>
        </row>
        <row r="1035">
          <cell r="D1035" t="str">
            <v>95-14-7</v>
          </cell>
          <cell r="E1035">
            <v>95147</v>
          </cell>
          <cell r="F1035">
            <v>112</v>
          </cell>
          <cell r="G1035" t="str">
            <v>Reach_422</v>
          </cell>
          <cell r="H1035">
            <v>1027</v>
          </cell>
          <cell r="J1035">
            <v>119.13</v>
          </cell>
          <cell r="K1035">
            <v>85.2</v>
          </cell>
          <cell r="L1035">
            <v>3.2791800000000005E-3</v>
          </cell>
          <cell r="M1035">
            <v>7700</v>
          </cell>
          <cell r="N1035">
            <v>14.791083881682074</v>
          </cell>
          <cell r="O1035">
            <v>8.5</v>
          </cell>
          <cell r="P1035">
            <v>12.4</v>
          </cell>
          <cell r="Q1035">
            <v>1.5999999999999996</v>
          </cell>
        </row>
        <row r="1036">
          <cell r="D1036" t="str">
            <v>52556-42-0</v>
          </cell>
          <cell r="E1036">
            <v>52556420</v>
          </cell>
          <cell r="F1036">
            <v>5912</v>
          </cell>
          <cell r="G1036" t="str">
            <v>Reach_2782</v>
          </cell>
          <cell r="H1036">
            <v>1028</v>
          </cell>
          <cell r="J1036">
            <v>218.2</v>
          </cell>
          <cell r="K1036">
            <v>0</v>
          </cell>
          <cell r="Q1036">
            <v>14</v>
          </cell>
        </row>
        <row r="1037">
          <cell r="D1037" t="str">
            <v>125971-95-1</v>
          </cell>
          <cell r="E1037">
            <v>125971951</v>
          </cell>
          <cell r="F1037">
            <v>1801</v>
          </cell>
          <cell r="G1037" t="str">
            <v>Reach_4827</v>
          </cell>
          <cell r="H1037">
            <v>1029</v>
          </cell>
          <cell r="J1037">
            <v>654.83000000000004</v>
          </cell>
          <cell r="K1037">
            <v>347.88</v>
          </cell>
          <cell r="L1037">
            <v>1.7329000000000004E-17</v>
          </cell>
          <cell r="M1037">
            <v>1.7E-6</v>
          </cell>
          <cell r="N1037">
            <v>29512092266.663944</v>
          </cell>
          <cell r="O1037">
            <v>14.32</v>
          </cell>
          <cell r="P1037">
            <v>15.94</v>
          </cell>
          <cell r="Q1037">
            <v>-1.9399999999999995</v>
          </cell>
        </row>
        <row r="1038">
          <cell r="D1038" t="str">
            <v>98-16-8</v>
          </cell>
          <cell r="E1038">
            <v>98168</v>
          </cell>
          <cell r="F1038">
            <v>1068</v>
          </cell>
          <cell r="G1038" t="str">
            <v>Reach_501</v>
          </cell>
          <cell r="H1038">
            <v>1030</v>
          </cell>
          <cell r="J1038">
            <v>161.13</v>
          </cell>
          <cell r="K1038">
            <v>9.58</v>
          </cell>
          <cell r="L1038">
            <v>91.44380000000001</v>
          </cell>
          <cell r="M1038">
            <v>4352.5</v>
          </cell>
          <cell r="N1038">
            <v>109.64781961431861</v>
          </cell>
          <cell r="P1038">
            <v>11</v>
          </cell>
          <cell r="Q1038">
            <v>3</v>
          </cell>
        </row>
        <row r="1039">
          <cell r="D1039" t="str">
            <v>560-62-3</v>
          </cell>
          <cell r="E1039">
            <v>560623</v>
          </cell>
          <cell r="F1039">
            <v>3185</v>
          </cell>
          <cell r="G1039" t="str">
            <v>Reach_4357</v>
          </cell>
          <cell r="H1039">
            <v>1031</v>
          </cell>
          <cell r="J1039">
            <v>302.41000000000003</v>
          </cell>
          <cell r="K1039">
            <v>172.69</v>
          </cell>
          <cell r="L1039">
            <v>2.7193200000000003E-7</v>
          </cell>
          <cell r="M1039">
            <v>67.897000000000006</v>
          </cell>
          <cell r="N1039">
            <v>18.197008586099841</v>
          </cell>
          <cell r="Q1039">
            <v>14</v>
          </cell>
        </row>
        <row r="1040">
          <cell r="D1040" t="str">
            <v>128-69-8</v>
          </cell>
          <cell r="E1040">
            <v>128698</v>
          </cell>
          <cell r="F1040">
            <v>1822</v>
          </cell>
          <cell r="G1040" t="str">
            <v>Reach_1112</v>
          </cell>
          <cell r="H1040">
            <v>1032</v>
          </cell>
          <cell r="J1040">
            <v>392.32</v>
          </cell>
          <cell r="K1040">
            <v>265.06</v>
          </cell>
          <cell r="L1040">
            <v>1.094393E-11</v>
          </cell>
          <cell r="M1040">
            <v>3.0807999999999999E-2</v>
          </cell>
          <cell r="N1040">
            <v>1819700.8586099846</v>
          </cell>
          <cell r="Q1040">
            <v>14</v>
          </cell>
        </row>
        <row r="1041">
          <cell r="D1041" t="str">
            <v>105-39-5</v>
          </cell>
          <cell r="E1041">
            <v>105395</v>
          </cell>
          <cell r="F1041">
            <v>173</v>
          </cell>
          <cell r="G1041" t="str">
            <v>Reach_639</v>
          </cell>
          <cell r="H1041">
            <v>1033</v>
          </cell>
          <cell r="J1041">
            <v>122.55</v>
          </cell>
          <cell r="K1041">
            <v>-48.64</v>
          </cell>
          <cell r="L1041">
            <v>695.82600000000002</v>
          </cell>
          <cell r="M1041">
            <v>20771</v>
          </cell>
          <cell r="N1041">
            <v>13.182567385564075</v>
          </cell>
          <cell r="Q1041">
            <v>14</v>
          </cell>
        </row>
        <row r="1042">
          <cell r="D1042" t="str">
            <v>86-28-2</v>
          </cell>
          <cell r="E1042">
            <v>86282</v>
          </cell>
          <cell r="F1042">
            <v>3903</v>
          </cell>
          <cell r="G1042" t="str">
            <v>Reach_301</v>
          </cell>
          <cell r="H1042">
            <v>1034</v>
          </cell>
          <cell r="J1042">
            <v>195.27</v>
          </cell>
          <cell r="K1042">
            <v>103.07</v>
          </cell>
          <cell r="L1042">
            <v>4.6788300000000001E-3</v>
          </cell>
          <cell r="M1042">
            <v>9.7316000000000003</v>
          </cell>
          <cell r="N1042">
            <v>18620.871366628675</v>
          </cell>
          <cell r="Q1042">
            <v>14</v>
          </cell>
        </row>
        <row r="1043">
          <cell r="D1043" t="str">
            <v>106-51-4</v>
          </cell>
          <cell r="E1043">
            <v>106514</v>
          </cell>
          <cell r="F1043">
            <v>197</v>
          </cell>
          <cell r="G1043" t="str">
            <v>Reach_673</v>
          </cell>
          <cell r="H1043">
            <v>1035</v>
          </cell>
          <cell r="J1043">
            <v>108.1</v>
          </cell>
          <cell r="K1043">
            <v>23.74</v>
          </cell>
          <cell r="L1043">
            <v>3.4124800000000004</v>
          </cell>
          <cell r="M1043">
            <v>12170</v>
          </cell>
          <cell r="N1043">
            <v>1.778279410038923</v>
          </cell>
          <cell r="Q1043">
            <v>14</v>
          </cell>
        </row>
        <row r="1044">
          <cell r="D1044" t="str">
            <v>22984-54-9</v>
          </cell>
          <cell r="E1044">
            <v>22984549</v>
          </cell>
          <cell r="F1044">
            <v>2341</v>
          </cell>
          <cell r="G1044" t="str">
            <v>Reach_2525</v>
          </cell>
          <cell r="H1044">
            <v>1036</v>
          </cell>
          <cell r="J1044">
            <v>301.47000000000003</v>
          </cell>
          <cell r="K1044">
            <v>3.23</v>
          </cell>
          <cell r="L1044">
            <v>5.4653E-2</v>
          </cell>
          <cell r="M1044">
            <v>0.69799</v>
          </cell>
          <cell r="N1044">
            <v>6760829753.9198313</v>
          </cell>
          <cell r="Q1044">
            <v>14</v>
          </cell>
        </row>
        <row r="1045">
          <cell r="D1045" t="str">
            <v>2905-62-6</v>
          </cell>
          <cell r="E1045">
            <v>2905626</v>
          </cell>
          <cell r="F1045">
            <v>2556</v>
          </cell>
          <cell r="G1045" t="str">
            <v>Reach_1882</v>
          </cell>
          <cell r="H1045">
            <v>1037</v>
          </cell>
          <cell r="J1045">
            <v>209.46</v>
          </cell>
          <cell r="K1045">
            <v>54.07</v>
          </cell>
          <cell r="L1045">
            <v>1.1797050000000002</v>
          </cell>
          <cell r="M1045">
            <v>9.9847999999999999</v>
          </cell>
          <cell r="N1045">
            <v>537.03179637025301</v>
          </cell>
          <cell r="Q1045">
            <v>14</v>
          </cell>
        </row>
        <row r="1046">
          <cell r="D1046" t="str">
            <v>457-68-1</v>
          </cell>
          <cell r="E1046">
            <v>457681</v>
          </cell>
          <cell r="F1046">
            <v>2945</v>
          </cell>
          <cell r="G1046" t="str">
            <v>Reach_1281</v>
          </cell>
          <cell r="H1046">
            <v>1038</v>
          </cell>
          <cell r="J1046">
            <v>204.22</v>
          </cell>
          <cell r="K1046">
            <v>40.549999999999997</v>
          </cell>
          <cell r="L1046">
            <v>1.42631</v>
          </cell>
          <cell r="M1046">
            <v>0.83192999999999995</v>
          </cell>
          <cell r="N1046">
            <v>26302.679918953829</v>
          </cell>
          <cell r="Q1046">
            <v>14</v>
          </cell>
        </row>
        <row r="1047">
          <cell r="D1047" t="str">
            <v>58670-89-6</v>
          </cell>
          <cell r="E1047">
            <v>58670896</v>
          </cell>
          <cell r="F1047">
            <v>3252</v>
          </cell>
          <cell r="G1047" t="str">
            <v>Reach_2831</v>
          </cell>
          <cell r="H1047">
            <v>1039</v>
          </cell>
          <cell r="J1047">
            <v>354.66</v>
          </cell>
          <cell r="K1047">
            <v>131.44999999999999</v>
          </cell>
          <cell r="L1047">
            <v>6.5450300000000002E-7</v>
          </cell>
          <cell r="M1047">
            <v>5.4199999999999998E-6</v>
          </cell>
          <cell r="N1047">
            <v>38904514499.428131</v>
          </cell>
          <cell r="O1047">
            <v>15.9</v>
          </cell>
          <cell r="Q1047">
            <v>14</v>
          </cell>
        </row>
        <row r="1048">
          <cell r="D1048" t="str">
            <v>78-86-4</v>
          </cell>
          <cell r="E1048">
            <v>78864</v>
          </cell>
          <cell r="F1048">
            <v>3760</v>
          </cell>
          <cell r="G1048" t="str">
            <v>Reach_212</v>
          </cell>
          <cell r="H1048">
            <v>1040</v>
          </cell>
          <cell r="J1048">
            <v>92.569000000000003</v>
          </cell>
          <cell r="K1048">
            <v>-101.12</v>
          </cell>
          <cell r="L1048">
            <v>19061.900000000001</v>
          </cell>
          <cell r="M1048">
            <v>543.19000000000005</v>
          </cell>
          <cell r="N1048">
            <v>309.02954325135937</v>
          </cell>
          <cell r="Q1048">
            <v>14</v>
          </cell>
        </row>
        <row r="1049">
          <cell r="D1049" t="str">
            <v>20592-85-2</v>
          </cell>
          <cell r="E1049">
            <v>20592852</v>
          </cell>
          <cell r="F1049">
            <v>2271</v>
          </cell>
          <cell r="G1049" t="str">
            <v>Reach_2496</v>
          </cell>
          <cell r="H1049">
            <v>1041</v>
          </cell>
          <cell r="J1049">
            <v>299.05</v>
          </cell>
          <cell r="K1049">
            <v>90.27</v>
          </cell>
          <cell r="L1049">
            <v>2.7459800000000001E-9</v>
          </cell>
          <cell r="M1049">
            <v>1000000</v>
          </cell>
          <cell r="N1049">
            <v>3.5481338923357504E-6</v>
          </cell>
          <cell r="O1049">
            <v>2.29</v>
          </cell>
          <cell r="P1049">
            <v>3.11</v>
          </cell>
          <cell r="Q1049">
            <v>2.29</v>
          </cell>
        </row>
        <row r="1050">
          <cell r="D1050" t="str">
            <v>56718-71-9</v>
          </cell>
          <cell r="E1050">
            <v>56718719</v>
          </cell>
          <cell r="F1050">
            <v>3211</v>
          </cell>
          <cell r="G1050" t="str">
            <v>Reach_2821</v>
          </cell>
          <cell r="H1050">
            <v>1042</v>
          </cell>
          <cell r="J1050">
            <v>152.19</v>
          </cell>
          <cell r="K1050">
            <v>47.05</v>
          </cell>
          <cell r="L1050">
            <v>1.0197450000000001</v>
          </cell>
          <cell r="M1050">
            <v>1790.7</v>
          </cell>
          <cell r="N1050">
            <v>61.659500186148257</v>
          </cell>
          <cell r="O1050">
            <v>10.039999999999999</v>
          </cell>
          <cell r="Q1050">
            <v>10.039999999999999</v>
          </cell>
        </row>
        <row r="1051">
          <cell r="D1051" t="str">
            <v>71-41-0</v>
          </cell>
          <cell r="E1051">
            <v>71410</v>
          </cell>
          <cell r="F1051">
            <v>820</v>
          </cell>
          <cell r="G1051" t="str">
            <v>Reach_102</v>
          </cell>
          <cell r="H1051">
            <v>1043</v>
          </cell>
          <cell r="J1051">
            <v>88.15</v>
          </cell>
          <cell r="K1051">
            <v>-49.96</v>
          </cell>
          <cell r="L1051">
            <v>353.245</v>
          </cell>
          <cell r="M1051">
            <v>29553</v>
          </cell>
          <cell r="N1051">
            <v>21.379620895022335</v>
          </cell>
          <cell r="O1051">
            <v>15.9</v>
          </cell>
          <cell r="Q1051">
            <v>14</v>
          </cell>
        </row>
        <row r="1052">
          <cell r="D1052" t="str">
            <v>1115-20-4</v>
          </cell>
          <cell r="E1052">
            <v>1115204</v>
          </cell>
          <cell r="F1052">
            <v>1550</v>
          </cell>
          <cell r="G1052" t="str">
            <v>Reach_1648</v>
          </cell>
          <cell r="H1052">
            <v>1044</v>
          </cell>
          <cell r="J1052">
            <v>204.27</v>
          </cell>
          <cell r="K1052">
            <v>80.89</v>
          </cell>
          <cell r="L1052">
            <v>2.2394400000000001E-3</v>
          </cell>
          <cell r="M1052">
            <v>4583.3999999999996</v>
          </cell>
          <cell r="N1052">
            <v>11.748975549395301</v>
          </cell>
          <cell r="Q1052">
            <v>14</v>
          </cell>
        </row>
        <row r="1053">
          <cell r="D1053" t="str">
            <v>21351-39-3</v>
          </cell>
          <cell r="E1053">
            <v>21351393</v>
          </cell>
          <cell r="F1053">
            <v>1205</v>
          </cell>
          <cell r="G1053" t="str">
            <v>Reach_2505</v>
          </cell>
          <cell r="H1053">
            <v>1045</v>
          </cell>
          <cell r="J1053">
            <v>158.13</v>
          </cell>
          <cell r="K1053">
            <v>0</v>
          </cell>
          <cell r="Q1053">
            <v>14</v>
          </cell>
        </row>
        <row r="1054">
          <cell r="D1054" t="str">
            <v>121-17-5</v>
          </cell>
          <cell r="E1054">
            <v>121175</v>
          </cell>
          <cell r="F1054">
            <v>1723</v>
          </cell>
          <cell r="G1054" t="str">
            <v>Reach_1008</v>
          </cell>
          <cell r="H1054">
            <v>1046</v>
          </cell>
          <cell r="J1054">
            <v>225.55</v>
          </cell>
          <cell r="K1054">
            <v>52.08</v>
          </cell>
          <cell r="L1054">
            <v>15.7294</v>
          </cell>
          <cell r="M1054">
            <v>57.018999999999998</v>
          </cell>
          <cell r="N1054">
            <v>2630.2679918953822</v>
          </cell>
          <cell r="Q1054">
            <v>14</v>
          </cell>
        </row>
        <row r="1055">
          <cell r="D1055" t="str">
            <v>98-11-3</v>
          </cell>
          <cell r="E1055">
            <v>98113</v>
          </cell>
          <cell r="F1055">
            <v>4179</v>
          </cell>
          <cell r="G1055" t="str">
            <v>Reach_499</v>
          </cell>
          <cell r="H1055">
            <v>1047</v>
          </cell>
          <cell r="J1055">
            <v>158.18</v>
          </cell>
          <cell r="K1055">
            <v>88.75</v>
          </cell>
          <cell r="L1055">
            <v>2.2794300000000003E-3</v>
          </cell>
          <cell r="M1055">
            <v>7133.5</v>
          </cell>
          <cell r="N1055">
            <v>6.7608297539198184E-2</v>
          </cell>
          <cell r="O1055">
            <v>0.7</v>
          </cell>
          <cell r="Q1055">
            <v>0.7</v>
          </cell>
        </row>
        <row r="1056">
          <cell r="D1056" t="str">
            <v>2494-89-5</v>
          </cell>
          <cell r="E1056">
            <v>2494895</v>
          </cell>
          <cell r="F1056">
            <v>2409</v>
          </cell>
          <cell r="G1056" t="str">
            <v>Reach_1820</v>
          </cell>
          <cell r="H1056">
            <v>1048</v>
          </cell>
          <cell r="J1056">
            <v>281.31</v>
          </cell>
          <cell r="K1056">
            <v>203.59</v>
          </cell>
          <cell r="L1056">
            <v>1.242356E-9</v>
          </cell>
          <cell r="M1056">
            <v>5238.6000000000004</v>
          </cell>
          <cell r="N1056">
            <v>2.0892961308540387E-4</v>
          </cell>
          <cell r="O1056">
            <v>-3.44</v>
          </cell>
          <cell r="P1056">
            <v>12.57</v>
          </cell>
          <cell r="Q1056">
            <v>-3.44</v>
          </cell>
        </row>
        <row r="1057">
          <cell r="D1057" t="str">
            <v>875-74-1</v>
          </cell>
          <cell r="E1057">
            <v>875741</v>
          </cell>
          <cell r="F1057">
            <v>3936</v>
          </cell>
          <cell r="G1057" t="str">
            <v>Reach_1583</v>
          </cell>
          <cell r="H1057">
            <v>1049</v>
          </cell>
          <cell r="J1057">
            <v>151.16999999999999</v>
          </cell>
          <cell r="K1057">
            <v>238.73</v>
          </cell>
          <cell r="L1057">
            <v>3.6524200000000005E-6</v>
          </cell>
          <cell r="M1057">
            <v>43801</v>
          </cell>
          <cell r="N1057">
            <v>1.6982436524617429E-2</v>
          </cell>
          <cell r="O1057">
            <v>1.8</v>
          </cell>
          <cell r="Q1057">
            <v>1.8</v>
          </cell>
        </row>
        <row r="1058">
          <cell r="D1058" t="str">
            <v>141-97-9</v>
          </cell>
          <cell r="E1058">
            <v>141979</v>
          </cell>
          <cell r="F1058">
            <v>459</v>
          </cell>
          <cell r="G1058" t="str">
            <v>Reach_1170</v>
          </cell>
          <cell r="H1058">
            <v>1050</v>
          </cell>
          <cell r="J1058">
            <v>130.13999999999999</v>
          </cell>
          <cell r="K1058">
            <v>-19.23</v>
          </cell>
          <cell r="L1058">
            <v>123.83570000000002</v>
          </cell>
          <cell r="M1058">
            <v>20034</v>
          </cell>
          <cell r="N1058">
            <v>0.63095734448019325</v>
          </cell>
          <cell r="O1058">
            <v>10.6</v>
          </cell>
          <cell r="Q1058">
            <v>10.6</v>
          </cell>
        </row>
        <row r="1059">
          <cell r="D1059" t="str">
            <v>1583-59-1</v>
          </cell>
          <cell r="E1059">
            <v>1583591</v>
          </cell>
          <cell r="F1059">
            <v>2061</v>
          </cell>
          <cell r="G1059" t="str">
            <v>Reach_1697</v>
          </cell>
          <cell r="H1059">
            <v>1051</v>
          </cell>
          <cell r="J1059">
            <v>158.1</v>
          </cell>
          <cell r="K1059">
            <v>10.41</v>
          </cell>
          <cell r="L1059">
            <v>142.63100000000003</v>
          </cell>
          <cell r="M1059">
            <v>728.5</v>
          </cell>
          <cell r="N1059">
            <v>4265.7951880159299</v>
          </cell>
          <cell r="Q1059">
            <v>14</v>
          </cell>
        </row>
        <row r="1060">
          <cell r="D1060" t="str">
            <v>35435-21-3</v>
          </cell>
          <cell r="E1060">
            <v>35435213</v>
          </cell>
          <cell r="F1060">
            <v>2734</v>
          </cell>
          <cell r="G1060" t="str">
            <v>Reach_2690</v>
          </cell>
          <cell r="H1060">
            <v>1052</v>
          </cell>
          <cell r="J1060">
            <v>276.49</v>
          </cell>
          <cell r="K1060">
            <v>39.82</v>
          </cell>
          <cell r="L1060">
            <v>0.98508700000000005</v>
          </cell>
          <cell r="M1060">
            <v>8.3148</v>
          </cell>
          <cell r="N1060">
            <v>11220.184543019639</v>
          </cell>
          <cell r="Q1060">
            <v>14</v>
          </cell>
        </row>
        <row r="1061">
          <cell r="D1061" t="str">
            <v>895525-72-1</v>
          </cell>
          <cell r="E1061">
            <v>895525721</v>
          </cell>
          <cell r="F1061">
            <v>3978</v>
          </cell>
          <cell r="G1061" t="str">
            <v>Reach_4523</v>
          </cell>
          <cell r="H1061">
            <v>1053</v>
          </cell>
          <cell r="J1061">
            <v>220.31</v>
          </cell>
          <cell r="K1061">
            <v>55.6</v>
          </cell>
          <cell r="L1061">
            <v>0.32258599999999998</v>
          </cell>
          <cell r="M1061">
            <v>208.34</v>
          </cell>
          <cell r="N1061">
            <v>6760.8297539198229</v>
          </cell>
          <cell r="Q1061">
            <v>14</v>
          </cell>
        </row>
        <row r="1062">
          <cell r="D1062" t="str">
            <v>107-95-9</v>
          </cell>
          <cell r="E1062">
            <v>107959</v>
          </cell>
          <cell r="F1062">
            <v>1472</v>
          </cell>
          <cell r="G1062" t="str">
            <v>Reach_722</v>
          </cell>
          <cell r="H1062">
            <v>1054</v>
          </cell>
          <cell r="J1062">
            <v>89.094999999999999</v>
          </cell>
          <cell r="K1062">
            <v>256.32</v>
          </cell>
          <cell r="L1062">
            <v>3.2125300000000002E-5</v>
          </cell>
          <cell r="M1062">
            <v>657000</v>
          </cell>
          <cell r="N1062">
            <v>8.1283051616409918E-5</v>
          </cell>
          <cell r="O1062">
            <v>3.7</v>
          </cell>
          <cell r="P1062">
            <v>3.7</v>
          </cell>
          <cell r="Q1062">
            <v>3.7</v>
          </cell>
        </row>
        <row r="1063">
          <cell r="D1063" t="str">
            <v>120-55-8</v>
          </cell>
          <cell r="E1063">
            <v>120558</v>
          </cell>
          <cell r="F1063">
            <v>1714</v>
          </cell>
          <cell r="G1063" t="str">
            <v>Reach_997</v>
          </cell>
          <cell r="H1063">
            <v>1055</v>
          </cell>
          <cell r="J1063">
            <v>314.33999999999997</v>
          </cell>
          <cell r="K1063">
            <v>59.8</v>
          </cell>
          <cell r="L1063">
            <v>10.610680000000002</v>
          </cell>
          <cell r="M1063">
            <v>72.427000000000007</v>
          </cell>
          <cell r="N1063">
            <v>1096.4781961431863</v>
          </cell>
          <cell r="Q1063">
            <v>14</v>
          </cell>
        </row>
        <row r="1064">
          <cell r="D1064" t="str">
            <v>583-78-8</v>
          </cell>
          <cell r="E1064">
            <v>583788</v>
          </cell>
          <cell r="F1064">
            <v>728</v>
          </cell>
          <cell r="G1064" t="str">
            <v>Reach_1383</v>
          </cell>
          <cell r="H1064">
            <v>1056</v>
          </cell>
          <cell r="J1064">
            <v>163</v>
          </cell>
          <cell r="K1064">
            <v>46.79</v>
          </cell>
          <cell r="L1064">
            <v>6.1051400000000005</v>
          </cell>
          <cell r="M1064">
            <v>3602.5</v>
          </cell>
          <cell r="N1064">
            <v>630.95734448019323</v>
          </cell>
          <cell r="O1064">
            <v>7.5</v>
          </cell>
          <cell r="Q1064">
            <v>7.5</v>
          </cell>
        </row>
        <row r="1065">
          <cell r="D1065" t="str">
            <v>98-52-2</v>
          </cell>
          <cell r="E1065">
            <v>98522</v>
          </cell>
          <cell r="F1065">
            <v>1072</v>
          </cell>
          <cell r="G1065" t="str">
            <v>Reach_509</v>
          </cell>
          <cell r="H1065">
            <v>1057</v>
          </cell>
          <cell r="J1065">
            <v>156.27000000000001</v>
          </cell>
          <cell r="K1065">
            <v>4.34</v>
          </cell>
          <cell r="L1065">
            <v>1.4396400000000003</v>
          </cell>
          <cell r="M1065">
            <v>80.971000000000004</v>
          </cell>
          <cell r="N1065">
            <v>2630.2679918953822</v>
          </cell>
          <cell r="O1065">
            <v>16</v>
          </cell>
          <cell r="Q1065">
            <v>14</v>
          </cell>
        </row>
        <row r="1066">
          <cell r="D1066" t="str">
            <v>585-07-9</v>
          </cell>
          <cell r="E1066">
            <v>585079</v>
          </cell>
          <cell r="F1066">
            <v>3248</v>
          </cell>
          <cell r="G1066" t="str">
            <v>Reach_1385</v>
          </cell>
          <cell r="H1066">
            <v>1058</v>
          </cell>
          <cell r="J1066">
            <v>142.19999999999999</v>
          </cell>
          <cell r="K1066">
            <v>-47.87</v>
          </cell>
          <cell r="L1066">
            <v>822.46100000000001</v>
          </cell>
          <cell r="M1066">
            <v>4509.3999999999996</v>
          </cell>
          <cell r="N1066">
            <v>436.51583224016622</v>
          </cell>
          <cell r="Q1066">
            <v>14</v>
          </cell>
        </row>
        <row r="1067">
          <cell r="D1067" t="str">
            <v>96-34-4</v>
          </cell>
          <cell r="E1067">
            <v>96344</v>
          </cell>
          <cell r="F1067">
            <v>4145</v>
          </cell>
          <cell r="G1067" t="str">
            <v>Reach_463</v>
          </cell>
          <cell r="H1067">
            <v>1059</v>
          </cell>
          <cell r="J1067">
            <v>108.52</v>
          </cell>
          <cell r="K1067">
            <v>-60.95</v>
          </cell>
          <cell r="L1067">
            <v>1359.66</v>
          </cell>
          <cell r="M1067">
            <v>58017</v>
          </cell>
          <cell r="N1067">
            <v>4.2657951880159271</v>
          </cell>
          <cell r="Q1067">
            <v>14</v>
          </cell>
        </row>
        <row r="1068">
          <cell r="D1068" t="str">
            <v>5308-25-8</v>
          </cell>
          <cell r="E1068">
            <v>5308258</v>
          </cell>
          <cell r="F1068">
            <v>3087</v>
          </cell>
          <cell r="G1068" t="str">
            <v>Reach_2096</v>
          </cell>
          <cell r="H1068">
            <v>1060</v>
          </cell>
          <cell r="J1068">
            <v>114.19</v>
          </cell>
          <cell r="K1068">
            <v>9.89</v>
          </cell>
          <cell r="L1068">
            <v>159.96</v>
          </cell>
          <cell r="M1068">
            <v>723000</v>
          </cell>
          <cell r="N1068">
            <v>0.79432823472428149</v>
          </cell>
          <cell r="P1068">
            <v>5</v>
          </cell>
          <cell r="Q1068">
            <v>9</v>
          </cell>
        </row>
        <row r="1069">
          <cell r="D1069" t="str">
            <v>28479-22-3</v>
          </cell>
          <cell r="E1069">
            <v>28479223</v>
          </cell>
          <cell r="F1069">
            <v>2533</v>
          </cell>
          <cell r="G1069" t="str">
            <v>Reach_2618</v>
          </cell>
          <cell r="H1069">
            <v>1061</v>
          </cell>
          <cell r="J1069">
            <v>167.6</v>
          </cell>
          <cell r="K1069">
            <v>11.45</v>
          </cell>
          <cell r="L1069">
            <v>27.059900000000003</v>
          </cell>
          <cell r="M1069">
            <v>2498.6</v>
          </cell>
          <cell r="N1069">
            <v>6025.595860743585</v>
          </cell>
          <cell r="Q1069">
            <v>14</v>
          </cell>
        </row>
        <row r="1070">
          <cell r="D1070" t="str">
            <v>533-68-6</v>
          </cell>
          <cell r="E1070">
            <v>533686</v>
          </cell>
          <cell r="F1070">
            <v>3099</v>
          </cell>
          <cell r="G1070" t="str">
            <v>Reach_1330</v>
          </cell>
          <cell r="H1070">
            <v>1062</v>
          </cell>
          <cell r="J1070">
            <v>195.06</v>
          </cell>
          <cell r="K1070">
            <v>-17.600000000000001</v>
          </cell>
          <cell r="L1070">
            <v>149.29600000000002</v>
          </cell>
          <cell r="M1070">
            <v>1845.3</v>
          </cell>
          <cell r="N1070">
            <v>131.82567385564084</v>
          </cell>
          <cell r="Q1070">
            <v>14</v>
          </cell>
        </row>
        <row r="1071">
          <cell r="D1071" t="str">
            <v>150-78-7</v>
          </cell>
          <cell r="E1071">
            <v>150787</v>
          </cell>
          <cell r="F1071">
            <v>484</v>
          </cell>
          <cell r="G1071" t="str">
            <v>Reach_1205</v>
          </cell>
          <cell r="H1071">
            <v>1063</v>
          </cell>
          <cell r="J1071">
            <v>138.16999999999999</v>
          </cell>
          <cell r="K1071">
            <v>-5.6</v>
          </cell>
          <cell r="L1071">
            <v>11.383820000000002</v>
          </cell>
          <cell r="M1071">
            <v>2670.8</v>
          </cell>
          <cell r="N1071">
            <v>141.25375446227542</v>
          </cell>
          <cell r="Q1071">
            <v>14</v>
          </cell>
        </row>
        <row r="1072">
          <cell r="D1072" t="str">
            <v>3290-92-4</v>
          </cell>
          <cell r="E1072">
            <v>3290924</v>
          </cell>
          <cell r="F1072">
            <v>2669</v>
          </cell>
          <cell r="G1072" t="str">
            <v>Reach_1942</v>
          </cell>
          <cell r="H1072">
            <v>1064</v>
          </cell>
          <cell r="J1072">
            <v>338.4</v>
          </cell>
          <cell r="K1072">
            <v>-8.5299999999999994</v>
          </cell>
          <cell r="L1072">
            <v>1.82621E-2</v>
          </cell>
          <cell r="M1072">
            <v>22.89</v>
          </cell>
          <cell r="N1072">
            <v>31622.77660168384</v>
          </cell>
          <cell r="Q1072">
            <v>14</v>
          </cell>
        </row>
        <row r="1073">
          <cell r="D1073" t="str">
            <v>120-71-8</v>
          </cell>
          <cell r="E1073">
            <v>120718</v>
          </cell>
          <cell r="F1073">
            <v>1718</v>
          </cell>
          <cell r="G1073" t="str">
            <v>Reach_1000</v>
          </cell>
          <cell r="H1073">
            <v>1065</v>
          </cell>
          <cell r="J1073">
            <v>137.18</v>
          </cell>
          <cell r="K1073">
            <v>45.82</v>
          </cell>
          <cell r="L1073">
            <v>4.2122800000000007</v>
          </cell>
          <cell r="M1073">
            <v>8282.7000000000007</v>
          </cell>
          <cell r="N1073">
            <v>50.118723362727238</v>
          </cell>
          <cell r="P1073">
            <v>9.4</v>
          </cell>
          <cell r="Q1073">
            <v>4.5999999999999996</v>
          </cell>
        </row>
        <row r="1074">
          <cell r="D1074" t="str">
            <v>141-05-9</v>
          </cell>
          <cell r="E1074">
            <v>141059</v>
          </cell>
          <cell r="F1074">
            <v>454</v>
          </cell>
          <cell r="G1074" t="str">
            <v>Reach_1156</v>
          </cell>
          <cell r="H1074">
            <v>1066</v>
          </cell>
          <cell r="J1074">
            <v>172.18</v>
          </cell>
          <cell r="K1074">
            <v>-72.25</v>
          </cell>
          <cell r="L1074">
            <v>23.727399999999999</v>
          </cell>
          <cell r="M1074">
            <v>3628.4</v>
          </cell>
          <cell r="N1074">
            <v>158.48931924611153</v>
          </cell>
          <cell r="Q1074">
            <v>14</v>
          </cell>
        </row>
        <row r="1075">
          <cell r="D1075" t="str">
            <v>115-84-4</v>
          </cell>
          <cell r="E1075">
            <v>115844</v>
          </cell>
          <cell r="F1075">
            <v>1639</v>
          </cell>
          <cell r="G1075" t="str">
            <v>Reach_945</v>
          </cell>
          <cell r="H1075">
            <v>1067</v>
          </cell>
          <cell r="J1075">
            <v>160.26</v>
          </cell>
          <cell r="K1075">
            <v>42.69</v>
          </cell>
          <cell r="L1075">
            <v>8.0646499999999996E-2</v>
          </cell>
          <cell r="M1075">
            <v>31733</v>
          </cell>
          <cell r="N1075">
            <v>134.89628825916537</v>
          </cell>
          <cell r="O1075">
            <v>15.28</v>
          </cell>
          <cell r="Q1075">
            <v>14</v>
          </cell>
        </row>
        <row r="1076">
          <cell r="D1076" t="str">
            <v>92-69-3</v>
          </cell>
          <cell r="E1076">
            <v>92693</v>
          </cell>
          <cell r="F1076">
            <v>1013</v>
          </cell>
          <cell r="G1076" t="str">
            <v>Reach_388</v>
          </cell>
          <cell r="H1076">
            <v>1068</v>
          </cell>
          <cell r="J1076">
            <v>170.21</v>
          </cell>
          <cell r="K1076">
            <v>86.56</v>
          </cell>
          <cell r="L1076">
            <v>2.3060900000000002E-3</v>
          </cell>
          <cell r="M1076">
            <v>195.15</v>
          </cell>
          <cell r="N1076">
            <v>1905.4607179632485</v>
          </cell>
          <cell r="O1076">
            <v>9.1999999999999993</v>
          </cell>
          <cell r="Q1076">
            <v>9.1999999999999993</v>
          </cell>
        </row>
        <row r="1077">
          <cell r="D1077" t="str">
            <v>100-47-0</v>
          </cell>
          <cell r="E1077">
            <v>100470</v>
          </cell>
          <cell r="F1077">
            <v>128</v>
          </cell>
          <cell r="G1077" t="str">
            <v>Reach_560</v>
          </cell>
          <cell r="H1077">
            <v>1069</v>
          </cell>
          <cell r="J1077">
            <v>103.13</v>
          </cell>
          <cell r="K1077">
            <v>-7.49</v>
          </cell>
          <cell r="L1077">
            <v>74.781300000000016</v>
          </cell>
          <cell r="M1077">
            <v>4234</v>
          </cell>
          <cell r="N1077">
            <v>34.67368504525318</v>
          </cell>
          <cell r="Q1077">
            <v>14</v>
          </cell>
        </row>
        <row r="1078">
          <cell r="D1078" t="str">
            <v>115-21-9</v>
          </cell>
          <cell r="E1078">
            <v>115219</v>
          </cell>
          <cell r="F1078">
            <v>1633</v>
          </cell>
          <cell r="G1078" t="str">
            <v>Reach_940</v>
          </cell>
          <cell r="H1078">
            <v>1070</v>
          </cell>
          <cell r="J1078">
            <v>163.51</v>
          </cell>
          <cell r="K1078">
            <v>-64.11</v>
          </cell>
          <cell r="L1078">
            <v>4892.1100000000006</v>
          </cell>
          <cell r="M1078">
            <v>19409</v>
          </cell>
          <cell r="N1078">
            <v>316.22776601683825</v>
          </cell>
          <cell r="Q1078">
            <v>14</v>
          </cell>
        </row>
        <row r="1079">
          <cell r="D1079" t="str">
            <v>106904-09-0</v>
          </cell>
          <cell r="E1079">
            <v>106904090</v>
          </cell>
          <cell r="F1079">
            <v>1448</v>
          </cell>
          <cell r="G1079" t="str">
            <v>Reach_4075</v>
          </cell>
          <cell r="H1079">
            <v>1071</v>
          </cell>
          <cell r="J1079">
            <v>248.68</v>
          </cell>
          <cell r="K1079">
            <v>157.16999999999999</v>
          </cell>
          <cell r="L1079">
            <v>7.2648500000000008E-5</v>
          </cell>
          <cell r="M1079">
            <v>390.87</v>
          </cell>
          <cell r="N1079">
            <v>19.498445997580465</v>
          </cell>
          <cell r="Q1079">
            <v>14</v>
          </cell>
        </row>
        <row r="1080">
          <cell r="D1080" t="str">
            <v>115-46-8</v>
          </cell>
          <cell r="E1080">
            <v>115468</v>
          </cell>
          <cell r="F1080">
            <v>1637</v>
          </cell>
          <cell r="G1080" t="str">
            <v>Reach_942</v>
          </cell>
          <cell r="H1080">
            <v>1072</v>
          </cell>
          <cell r="J1080">
            <v>267.37</v>
          </cell>
          <cell r="K1080">
            <v>151.22999999999999</v>
          </cell>
          <cell r="L1080">
            <v>1.1170540000000001E-6</v>
          </cell>
          <cell r="M1080">
            <v>460.4</v>
          </cell>
          <cell r="N1080">
            <v>2818.3829312644561</v>
          </cell>
          <cell r="P1080">
            <v>3.5</v>
          </cell>
          <cell r="Q1080">
            <v>10.5</v>
          </cell>
        </row>
        <row r="1081">
          <cell r="D1081" t="str">
            <v>75-89-8</v>
          </cell>
          <cell r="E1081">
            <v>75898</v>
          </cell>
          <cell r="F1081">
            <v>866</v>
          </cell>
          <cell r="G1081" t="str">
            <v>Reach_165</v>
          </cell>
          <cell r="H1081">
            <v>1073</v>
          </cell>
          <cell r="J1081">
            <v>100.04</v>
          </cell>
          <cell r="K1081">
            <v>-91.03</v>
          </cell>
          <cell r="L1081">
            <v>9997.5</v>
          </cell>
          <cell r="M1081">
            <v>595000</v>
          </cell>
          <cell r="N1081">
            <v>1.8620871366628675</v>
          </cell>
          <cell r="O1081">
            <v>12.3</v>
          </cell>
          <cell r="Q1081">
            <v>12.3</v>
          </cell>
        </row>
        <row r="1082">
          <cell r="D1082" t="str">
            <v>95-23-8</v>
          </cell>
          <cell r="E1082">
            <v>95238</v>
          </cell>
          <cell r="F1082">
            <v>4123</v>
          </cell>
          <cell r="G1082" t="str">
            <v>Reach_424</v>
          </cell>
          <cell r="H1082">
            <v>1074</v>
          </cell>
          <cell r="J1082">
            <v>149.16</v>
          </cell>
          <cell r="K1082">
            <v>130.49</v>
          </cell>
          <cell r="L1082">
            <v>1.6262600000000002E-3</v>
          </cell>
          <cell r="M1082">
            <v>9374.2999999999993</v>
          </cell>
          <cell r="N1082">
            <v>1.9498445997580454</v>
          </cell>
          <cell r="O1082">
            <v>13.02</v>
          </cell>
          <cell r="P1082">
            <v>7.99</v>
          </cell>
          <cell r="Q1082">
            <v>6.01</v>
          </cell>
        </row>
        <row r="1083">
          <cell r="D1083" t="str">
            <v>112-42-5</v>
          </cell>
          <cell r="E1083">
            <v>112425</v>
          </cell>
          <cell r="F1083">
            <v>329</v>
          </cell>
          <cell r="G1083" t="str">
            <v>Reach_906</v>
          </cell>
          <cell r="H1083">
            <v>1075</v>
          </cell>
          <cell r="J1083">
            <v>172.31</v>
          </cell>
          <cell r="K1083">
            <v>18.670000000000002</v>
          </cell>
          <cell r="L1083">
            <v>0.67983000000000016</v>
          </cell>
          <cell r="M1083">
            <v>19.509</v>
          </cell>
          <cell r="N1083">
            <v>19054.607179632505</v>
          </cell>
          <cell r="O1083">
            <v>15.9</v>
          </cell>
          <cell r="Q1083">
            <v>14</v>
          </cell>
        </row>
        <row r="1084">
          <cell r="D1084" t="str">
            <v>81-25-4</v>
          </cell>
          <cell r="E1084">
            <v>81254</v>
          </cell>
          <cell r="F1084">
            <v>100</v>
          </cell>
          <cell r="G1084" t="str">
            <v>Reach_274</v>
          </cell>
          <cell r="H1084">
            <v>1076</v>
          </cell>
          <cell r="J1084">
            <v>408.58</v>
          </cell>
          <cell r="K1084">
            <v>233.42</v>
          </cell>
          <cell r="L1084">
            <v>1.2876780000000001E-12</v>
          </cell>
          <cell r="M1084">
            <v>109.22</v>
          </cell>
          <cell r="N1084">
            <v>3311.3112148259115</v>
          </cell>
          <cell r="O1084">
            <v>4.8899999999999997</v>
          </cell>
          <cell r="Q1084">
            <v>4.8899999999999997</v>
          </cell>
        </row>
        <row r="1085">
          <cell r="D1085" t="str">
            <v>98-53-3</v>
          </cell>
          <cell r="E1085">
            <v>98533</v>
          </cell>
          <cell r="F1085">
            <v>4186</v>
          </cell>
          <cell r="G1085" t="str">
            <v>Reach_510</v>
          </cell>
          <cell r="H1085">
            <v>1077</v>
          </cell>
          <cell r="J1085">
            <v>154.25</v>
          </cell>
          <cell r="K1085">
            <v>8.41</v>
          </cell>
          <cell r="L1085">
            <v>23.0609</v>
          </cell>
          <cell r="M1085">
            <v>341.72</v>
          </cell>
          <cell r="N1085">
            <v>812.83051616409978</v>
          </cell>
          <cell r="Q1085">
            <v>14</v>
          </cell>
        </row>
        <row r="1086">
          <cell r="D1086" t="str">
            <v>90-80-2</v>
          </cell>
          <cell r="E1086">
            <v>90802</v>
          </cell>
          <cell r="F1086">
            <v>4006</v>
          </cell>
          <cell r="G1086" t="str">
            <v>Reach_367</v>
          </cell>
          <cell r="H1086">
            <v>1078</v>
          </cell>
          <cell r="J1086">
            <v>178.14</v>
          </cell>
          <cell r="K1086">
            <v>136.53</v>
          </cell>
          <cell r="L1086">
            <v>3.6790800000000001E-7</v>
          </cell>
          <cell r="M1086">
            <v>149000</v>
          </cell>
          <cell r="N1086">
            <v>1.0471285480508989E-2</v>
          </cell>
          <cell r="O1086">
            <v>11.41</v>
          </cell>
          <cell r="Q1086">
            <v>11.41</v>
          </cell>
        </row>
        <row r="1087">
          <cell r="D1087" t="str">
            <v>6041-94-7</v>
          </cell>
          <cell r="E1087">
            <v>6041947</v>
          </cell>
          <cell r="F1087">
            <v>3310</v>
          </cell>
          <cell r="G1087" t="str">
            <v>Reach_2151</v>
          </cell>
          <cell r="H1087">
            <v>1079</v>
          </cell>
          <cell r="J1087">
            <v>436.3</v>
          </cell>
          <cell r="K1087">
            <v>276.02</v>
          </cell>
          <cell r="L1087">
            <v>1.2636840000000001E-13</v>
          </cell>
          <cell r="M1087">
            <v>1.0163E-2</v>
          </cell>
          <cell r="N1087">
            <v>380189396.32056242</v>
          </cell>
          <cell r="O1087">
            <v>9.2799999999999994</v>
          </cell>
          <cell r="Q1087">
            <v>9.2799999999999994</v>
          </cell>
        </row>
        <row r="1088">
          <cell r="D1088" t="str">
            <v>897671-34-0</v>
          </cell>
          <cell r="E1088">
            <v>897671340</v>
          </cell>
          <cell r="F1088">
            <v>3985</v>
          </cell>
          <cell r="G1088" t="str">
            <v>Reach_4491</v>
          </cell>
          <cell r="H1088">
            <v>1080</v>
          </cell>
          <cell r="J1088">
            <v>261.27</v>
          </cell>
          <cell r="K1088">
            <v>151.66999999999999</v>
          </cell>
          <cell r="L1088">
            <v>1.7329000000000002E-4</v>
          </cell>
          <cell r="M1088">
            <v>873.09</v>
          </cell>
          <cell r="N1088">
            <v>100</v>
          </cell>
          <cell r="Q1088">
            <v>14</v>
          </cell>
        </row>
        <row r="1089">
          <cell r="D1089" t="str">
            <v>500011-86-9</v>
          </cell>
          <cell r="E1089">
            <v>500011869</v>
          </cell>
          <cell r="F1089">
            <v>2992</v>
          </cell>
          <cell r="G1089" t="str">
            <v>Reach_4012</v>
          </cell>
          <cell r="H1089">
            <v>1081</v>
          </cell>
          <cell r="J1089">
            <v>302.52</v>
          </cell>
          <cell r="K1089">
            <v>171.07</v>
          </cell>
          <cell r="L1089">
            <v>1.83954E-5</v>
          </cell>
          <cell r="M1089">
            <v>156.03</v>
          </cell>
          <cell r="N1089">
            <v>112.20184543019634</v>
          </cell>
          <cell r="O1089">
            <v>3.43</v>
          </cell>
          <cell r="P1089">
            <v>13.51</v>
          </cell>
          <cell r="Q1089">
            <v>0.49000000000000021</v>
          </cell>
        </row>
        <row r="1090">
          <cell r="D1090" t="str">
            <v>56962-04-0</v>
          </cell>
          <cell r="E1090">
            <v>56962040</v>
          </cell>
          <cell r="F1090">
            <v>3217</v>
          </cell>
          <cell r="G1090" t="str">
            <v>Reach_4359</v>
          </cell>
          <cell r="H1090">
            <v>1082</v>
          </cell>
          <cell r="J1090">
            <v>207.46</v>
          </cell>
          <cell r="K1090">
            <v>56.35</v>
          </cell>
          <cell r="L1090">
            <v>0.39990000000000003</v>
          </cell>
          <cell r="M1090">
            <v>1291.0999999999999</v>
          </cell>
          <cell r="N1090">
            <v>1122.0184543019636</v>
          </cell>
          <cell r="Q1090">
            <v>14</v>
          </cell>
        </row>
        <row r="1091">
          <cell r="D1091" t="str">
            <v>7023-61-2</v>
          </cell>
          <cell r="E1091">
            <v>7023612</v>
          </cell>
          <cell r="F1091">
            <v>6004</v>
          </cell>
          <cell r="G1091" t="str">
            <v>Reach_2220</v>
          </cell>
          <cell r="H1091">
            <v>1083</v>
          </cell>
          <cell r="J1091">
            <v>458.89</v>
          </cell>
          <cell r="K1091">
            <v>0</v>
          </cell>
          <cell r="Q1091">
            <v>14</v>
          </cell>
        </row>
        <row r="1092">
          <cell r="D1092" t="str">
            <v>5188-07-8</v>
          </cell>
          <cell r="E1092">
            <v>5188078</v>
          </cell>
          <cell r="F1092">
            <v>5582</v>
          </cell>
          <cell r="G1092" t="str">
            <v>Reach_2084</v>
          </cell>
          <cell r="H1092">
            <v>1084</v>
          </cell>
          <cell r="J1092">
            <v>70.09</v>
          </cell>
          <cell r="K1092">
            <v>0</v>
          </cell>
          <cell r="Q1092">
            <v>14</v>
          </cell>
        </row>
        <row r="1093">
          <cell r="D1093" t="str">
            <v>623-03-0</v>
          </cell>
          <cell r="E1093">
            <v>623030</v>
          </cell>
          <cell r="F1093">
            <v>763</v>
          </cell>
          <cell r="G1093" t="str">
            <v>Reach_1447</v>
          </cell>
          <cell r="H1093">
            <v>1085</v>
          </cell>
          <cell r="J1093">
            <v>137.57</v>
          </cell>
          <cell r="K1093">
            <v>22.93</v>
          </cell>
          <cell r="L1093">
            <v>2.9325999999999999</v>
          </cell>
          <cell r="M1093">
            <v>2538.9</v>
          </cell>
          <cell r="N1093">
            <v>151.3561248436209</v>
          </cell>
          <cell r="Q1093">
            <v>14</v>
          </cell>
        </row>
        <row r="1094">
          <cell r="D1094" t="str">
            <v>80286-58-4</v>
          </cell>
          <cell r="E1094">
            <v>80286584</v>
          </cell>
          <cell r="F1094">
            <v>3790</v>
          </cell>
          <cell r="G1094" t="str">
            <v>Reach_4445</v>
          </cell>
          <cell r="H1094">
            <v>1086</v>
          </cell>
          <cell r="J1094">
            <v>248.37</v>
          </cell>
          <cell r="K1094">
            <v>124.33</v>
          </cell>
          <cell r="L1094">
            <v>7.1848700000000008E-4</v>
          </cell>
          <cell r="M1094">
            <v>44.512999999999998</v>
          </cell>
          <cell r="N1094">
            <v>331131.12148259126</v>
          </cell>
          <cell r="Q1094">
            <v>14</v>
          </cell>
        </row>
        <row r="1095">
          <cell r="D1095" t="str">
            <v>600-00-0</v>
          </cell>
          <cell r="E1095">
            <v>600000</v>
          </cell>
          <cell r="F1095">
            <v>3302</v>
          </cell>
          <cell r="G1095" t="str">
            <v>Reach_1411</v>
          </cell>
          <cell r="H1095">
            <v>1087</v>
          </cell>
          <cell r="J1095">
            <v>195.06</v>
          </cell>
          <cell r="K1095">
            <v>-11.3</v>
          </cell>
          <cell r="L1095">
            <v>290.59400000000005</v>
          </cell>
          <cell r="M1095">
            <v>1464.4</v>
          </cell>
          <cell r="N1095">
            <v>120.22644346174135</v>
          </cell>
          <cell r="Q1095">
            <v>14</v>
          </cell>
        </row>
        <row r="1096">
          <cell r="D1096" t="str">
            <v>110-25-8</v>
          </cell>
          <cell r="E1096">
            <v>110258</v>
          </cell>
          <cell r="F1096">
            <v>1515</v>
          </cell>
          <cell r="G1096" t="str">
            <v>Reach_809</v>
          </cell>
          <cell r="H1096">
            <v>1088</v>
          </cell>
          <cell r="J1096">
            <v>353.55</v>
          </cell>
          <cell r="K1096">
            <v>196.12</v>
          </cell>
          <cell r="L1096">
            <v>2.3060900000000002E-7</v>
          </cell>
          <cell r="M1096">
            <v>5.9854999999999998E-2</v>
          </cell>
          <cell r="N1096">
            <v>6760829.7539198333</v>
          </cell>
          <cell r="O1096">
            <v>3.3</v>
          </cell>
          <cell r="Q1096">
            <v>3.3</v>
          </cell>
        </row>
        <row r="1097">
          <cell r="D1097" t="str">
            <v>72714-62-6</v>
          </cell>
          <cell r="E1097">
            <v>72714626</v>
          </cell>
          <cell r="F1097">
            <v>3610</v>
          </cell>
          <cell r="G1097" t="str">
            <v>Reach_4417</v>
          </cell>
          <cell r="H1097">
            <v>1089</v>
          </cell>
          <cell r="J1097">
            <v>329.57</v>
          </cell>
          <cell r="K1097">
            <v>43.22</v>
          </cell>
          <cell r="L1097">
            <v>2.7193200000000006</v>
          </cell>
          <cell r="M1097">
            <v>1.6363000000000001</v>
          </cell>
          <cell r="N1097">
            <v>251188.64315095844</v>
          </cell>
          <cell r="Q1097">
            <v>14</v>
          </cell>
        </row>
        <row r="1098">
          <cell r="D1098" t="str">
            <v>595-37-9</v>
          </cell>
          <cell r="E1098">
            <v>595379</v>
          </cell>
          <cell r="F1098">
            <v>738</v>
          </cell>
          <cell r="G1098" t="str">
            <v>Reach_1400</v>
          </cell>
          <cell r="H1098">
            <v>1090</v>
          </cell>
          <cell r="J1098">
            <v>116.16</v>
          </cell>
          <cell r="K1098">
            <v>21.61</v>
          </cell>
          <cell r="L1098">
            <v>96.109300000000005</v>
          </cell>
          <cell r="M1098">
            <v>30923</v>
          </cell>
          <cell r="N1098">
            <v>87.096358995608071</v>
          </cell>
          <cell r="Q1098">
            <v>14</v>
          </cell>
        </row>
        <row r="1099">
          <cell r="D1099" t="str">
            <v>76114-73-3</v>
          </cell>
          <cell r="E1099">
            <v>76114733</v>
          </cell>
          <cell r="F1099">
            <v>3699</v>
          </cell>
          <cell r="G1099" t="str">
            <v>Reach_4431</v>
          </cell>
          <cell r="H1099">
            <v>1091</v>
          </cell>
          <cell r="J1099">
            <v>155.19999999999999</v>
          </cell>
          <cell r="K1099">
            <v>30.29</v>
          </cell>
          <cell r="L1099">
            <v>18.795300000000001</v>
          </cell>
          <cell r="M1099">
            <v>782.06</v>
          </cell>
          <cell r="N1099">
            <v>43.651583224016612</v>
          </cell>
          <cell r="O1099">
            <v>12</v>
          </cell>
          <cell r="Q1099">
            <v>12</v>
          </cell>
        </row>
        <row r="1100">
          <cell r="D1100" t="str">
            <v>456-04-2</v>
          </cell>
          <cell r="E1100">
            <v>456042</v>
          </cell>
          <cell r="F1100">
            <v>2944</v>
          </cell>
          <cell r="G1100" t="str">
            <v>Reach_1280</v>
          </cell>
          <cell r="H1100">
            <v>1092</v>
          </cell>
          <cell r="J1100">
            <v>172.59</v>
          </cell>
          <cell r="K1100">
            <v>25.42</v>
          </cell>
          <cell r="L1100">
            <v>6.8382900000000006</v>
          </cell>
          <cell r="M1100">
            <v>1561.3</v>
          </cell>
          <cell r="N1100">
            <v>134.89628825916537</v>
          </cell>
          <cell r="Q1100">
            <v>14</v>
          </cell>
        </row>
        <row r="1101">
          <cell r="D1101" t="str">
            <v>3687-46-5</v>
          </cell>
          <cell r="E1101">
            <v>3687465</v>
          </cell>
          <cell r="F1101">
            <v>2782</v>
          </cell>
          <cell r="G1101" t="str">
            <v>Reach_1982</v>
          </cell>
          <cell r="H1101">
            <v>1093</v>
          </cell>
          <cell r="J1101">
            <v>422.74</v>
          </cell>
          <cell r="K1101">
            <v>161.29</v>
          </cell>
          <cell r="L1101">
            <v>1.7462300000000001E-6</v>
          </cell>
          <cell r="M1101">
            <v>2.2700000000000001E-7</v>
          </cell>
          <cell r="N1101">
            <v>2754228703338.1719</v>
          </cell>
          <cell r="Q1101">
            <v>14</v>
          </cell>
        </row>
        <row r="1102">
          <cell r="D1102" t="str">
            <v>274693-53-7</v>
          </cell>
          <cell r="E1102">
            <v>274693537</v>
          </cell>
          <cell r="F1102">
            <v>2508</v>
          </cell>
          <cell r="G1102" t="str">
            <v>Reach_5010</v>
          </cell>
          <cell r="H1102">
            <v>1094</v>
          </cell>
          <cell r="J1102">
            <v>307.35000000000002</v>
          </cell>
          <cell r="K1102">
            <v>154.79</v>
          </cell>
          <cell r="L1102">
            <v>6.158460000000001E-7</v>
          </cell>
          <cell r="M1102">
            <v>1107.8</v>
          </cell>
          <cell r="N1102">
            <v>162.18100973589304</v>
          </cell>
          <cell r="Q1102">
            <v>14</v>
          </cell>
        </row>
        <row r="1103">
          <cell r="D1103" t="str">
            <v>59-67-6</v>
          </cell>
          <cell r="E1103">
            <v>59676</v>
          </cell>
          <cell r="F1103">
            <v>739</v>
          </cell>
          <cell r="G1103" t="str">
            <v>Reach_52</v>
          </cell>
          <cell r="H1103">
            <v>1095</v>
          </cell>
          <cell r="J1103">
            <v>123.11</v>
          </cell>
          <cell r="K1103">
            <v>63.27</v>
          </cell>
          <cell r="L1103">
            <v>1.2476880000000001E-2</v>
          </cell>
          <cell r="M1103">
            <v>41003</v>
          </cell>
          <cell r="N1103">
            <v>4.8977881936844625</v>
          </cell>
          <cell r="O1103">
            <v>1.96</v>
          </cell>
          <cell r="P1103">
            <v>9</v>
          </cell>
          <cell r="Q1103">
            <v>1.96</v>
          </cell>
        </row>
        <row r="1104">
          <cell r="D1104" t="str">
            <v>74860-00-7</v>
          </cell>
          <cell r="E1104">
            <v>74860007</v>
          </cell>
          <cell r="F1104">
            <v>3648</v>
          </cell>
          <cell r="G1104" t="str">
            <v>Reach_4424</v>
          </cell>
          <cell r="H1104">
            <v>1096</v>
          </cell>
          <cell r="J1104">
            <v>352.39</v>
          </cell>
          <cell r="K1104">
            <v>253.83</v>
          </cell>
          <cell r="L1104">
            <v>6.3850700000000008E-11</v>
          </cell>
          <cell r="M1104">
            <v>0.19989999999999999</v>
          </cell>
          <cell r="N1104">
            <v>194984.45997580473</v>
          </cell>
          <cell r="Q1104">
            <v>14</v>
          </cell>
        </row>
        <row r="1105">
          <cell r="D1105" t="str">
            <v>360-64-5</v>
          </cell>
          <cell r="E1105">
            <v>360645</v>
          </cell>
          <cell r="F1105">
            <v>2756</v>
          </cell>
          <cell r="G1105" t="str">
            <v>Reach_1251</v>
          </cell>
          <cell r="H1105">
            <v>1097</v>
          </cell>
          <cell r="J1105">
            <v>189.14</v>
          </cell>
          <cell r="K1105">
            <v>90.16</v>
          </cell>
          <cell r="L1105">
            <v>8.0113299999999998E-2</v>
          </cell>
          <cell r="M1105">
            <v>420.08</v>
          </cell>
          <cell r="N1105">
            <v>9.3325430079699103</v>
          </cell>
          <cell r="O1105">
            <v>12.69</v>
          </cell>
          <cell r="Q1105">
            <v>12.69</v>
          </cell>
        </row>
        <row r="1106">
          <cell r="D1106" t="str">
            <v>1307233-94-8</v>
          </cell>
          <cell r="E1106">
            <v>1307233948</v>
          </cell>
          <cell r="F1106">
            <v>1841</v>
          </cell>
          <cell r="G1106" t="str">
            <v>Reach_5143</v>
          </cell>
          <cell r="H1106">
            <v>1098</v>
          </cell>
          <cell r="J1106">
            <v>400.87</v>
          </cell>
          <cell r="K1106">
            <v>254.47</v>
          </cell>
          <cell r="L1106">
            <v>5.7718900000000007E-11</v>
          </cell>
          <cell r="M1106">
            <v>14.765000000000001</v>
          </cell>
          <cell r="N1106">
            <v>5495.4087385762541</v>
          </cell>
          <cell r="Q1106">
            <v>14</v>
          </cell>
        </row>
        <row r="1107">
          <cell r="D1107" t="str">
            <v>13290-96-5</v>
          </cell>
          <cell r="E1107">
            <v>13290965</v>
          </cell>
          <cell r="F1107">
            <v>1862</v>
          </cell>
          <cell r="G1107" t="str">
            <v>Reach_2328</v>
          </cell>
          <cell r="H1107">
            <v>1099</v>
          </cell>
          <cell r="J1107">
            <v>239.18</v>
          </cell>
          <cell r="K1107">
            <v>76.88</v>
          </cell>
          <cell r="L1107">
            <v>2.4927100000000001E-2</v>
          </cell>
          <cell r="M1107">
            <v>156.94999999999999</v>
          </cell>
          <cell r="N1107">
            <v>30.199517204020164</v>
          </cell>
          <cell r="Q1107">
            <v>14</v>
          </cell>
        </row>
        <row r="1108">
          <cell r="D1108" t="str">
            <v>21535-43-3</v>
          </cell>
          <cell r="E1108">
            <v>21535433</v>
          </cell>
          <cell r="F1108">
            <v>2297</v>
          </cell>
          <cell r="G1108" t="str">
            <v>Reach_4218</v>
          </cell>
          <cell r="H1108">
            <v>1100</v>
          </cell>
          <cell r="J1108">
            <v>259.74</v>
          </cell>
          <cell r="K1108">
            <v>170.16</v>
          </cell>
          <cell r="L1108">
            <v>5.5319500000000005E-6</v>
          </cell>
          <cell r="M1108">
            <v>3.5678000000000001</v>
          </cell>
          <cell r="N1108">
            <v>1380.3842646028863</v>
          </cell>
          <cell r="O1108">
            <v>12.69</v>
          </cell>
          <cell r="Q1108">
            <v>12.69</v>
          </cell>
        </row>
        <row r="1109">
          <cell r="D1109" t="str">
            <v>96-99-1</v>
          </cell>
          <cell r="E1109">
            <v>96991</v>
          </cell>
          <cell r="F1109">
            <v>4160</v>
          </cell>
          <cell r="G1109" t="str">
            <v>Reach_475</v>
          </cell>
          <cell r="H1109">
            <v>1101</v>
          </cell>
          <cell r="J1109">
            <v>201.57</v>
          </cell>
          <cell r="K1109">
            <v>125.62</v>
          </cell>
          <cell r="L1109">
            <v>5.7585600000000002E-4</v>
          </cell>
          <cell r="M1109">
            <v>499.77</v>
          </cell>
          <cell r="N1109">
            <v>218.77616239495524</v>
          </cell>
          <cell r="O1109">
            <v>3.17</v>
          </cell>
          <cell r="Q1109">
            <v>3.17</v>
          </cell>
        </row>
        <row r="1110">
          <cell r="D1110" t="str">
            <v>87-60-5</v>
          </cell>
          <cell r="E1110">
            <v>87605</v>
          </cell>
          <cell r="F1110">
            <v>3937</v>
          </cell>
          <cell r="G1110" t="str">
            <v>Reach_312</v>
          </cell>
          <cell r="H1110">
            <v>1102</v>
          </cell>
          <cell r="J1110">
            <v>141.6</v>
          </cell>
          <cell r="K1110">
            <v>41.77</v>
          </cell>
          <cell r="L1110">
            <v>4.7321499999999999</v>
          </cell>
          <cell r="M1110">
            <v>508.39</v>
          </cell>
          <cell r="N1110">
            <v>186.20871366628685</v>
          </cell>
          <cell r="P1110">
            <v>10.47</v>
          </cell>
          <cell r="Q1110">
            <v>3.5299999999999994</v>
          </cell>
        </row>
        <row r="1111">
          <cell r="D1111" t="str">
            <v>102-77-2</v>
          </cell>
          <cell r="E1111">
            <v>102772</v>
          </cell>
          <cell r="F1111">
            <v>1353</v>
          </cell>
          <cell r="G1111" t="str">
            <v>Reach_598</v>
          </cell>
          <cell r="H1111">
            <v>1103</v>
          </cell>
          <cell r="J1111">
            <v>252.36</v>
          </cell>
          <cell r="K1111">
            <v>150.68</v>
          </cell>
          <cell r="L1111">
            <v>6.7849700000000013E-4</v>
          </cell>
          <cell r="M1111">
            <v>95.531000000000006</v>
          </cell>
          <cell r="N1111">
            <v>10.471285480509</v>
          </cell>
          <cell r="Q1111">
            <v>14</v>
          </cell>
        </row>
        <row r="1112">
          <cell r="D1112" t="str">
            <v>36768-62-4</v>
          </cell>
          <cell r="E1112">
            <v>36768624</v>
          </cell>
          <cell r="F1112">
            <v>2776</v>
          </cell>
          <cell r="G1112" t="str">
            <v>Reach_2704</v>
          </cell>
          <cell r="H1112">
            <v>1104</v>
          </cell>
          <cell r="J1112">
            <v>156.28</v>
          </cell>
          <cell r="K1112">
            <v>52.11</v>
          </cell>
          <cell r="L1112">
            <v>85.045400000000015</v>
          </cell>
          <cell r="M1112">
            <v>130000</v>
          </cell>
          <cell r="N1112">
            <v>8.709635899560805</v>
          </cell>
          <cell r="Q1112">
            <v>14</v>
          </cell>
        </row>
        <row r="1113">
          <cell r="D1113" t="str">
            <v>132335-44-5</v>
          </cell>
          <cell r="E1113">
            <v>132335445</v>
          </cell>
          <cell r="F1113">
            <v>1857</v>
          </cell>
          <cell r="G1113" t="str">
            <v>Reach_4125</v>
          </cell>
          <cell r="H1113">
            <v>1105</v>
          </cell>
          <cell r="J1113">
            <v>185.29</v>
          </cell>
          <cell r="K1113">
            <v>69.69</v>
          </cell>
          <cell r="L1113">
            <v>1.7195700000000001E-2</v>
          </cell>
          <cell r="M1113">
            <v>23924</v>
          </cell>
          <cell r="N1113">
            <v>10.232929922807543</v>
          </cell>
          <cell r="O1113">
            <v>15.44</v>
          </cell>
          <cell r="Q1113">
            <v>14</v>
          </cell>
        </row>
        <row r="1114">
          <cell r="D1114" t="str">
            <v>2436-29-5</v>
          </cell>
          <cell r="E1114">
            <v>2436295</v>
          </cell>
          <cell r="F1114">
            <v>2389</v>
          </cell>
          <cell r="G1114" t="str">
            <v>Reach_4774</v>
          </cell>
          <cell r="H1114">
            <v>1106</v>
          </cell>
          <cell r="J1114">
            <v>203.2</v>
          </cell>
          <cell r="K1114">
            <v>177.32</v>
          </cell>
          <cell r="L1114">
            <v>7.318170000000001E-6</v>
          </cell>
          <cell r="M1114">
            <v>2055.9</v>
          </cell>
          <cell r="N1114">
            <v>10</v>
          </cell>
          <cell r="Q1114">
            <v>14</v>
          </cell>
        </row>
        <row r="1115">
          <cell r="D1115" t="str">
            <v>109-59-1</v>
          </cell>
          <cell r="E1115">
            <v>109591</v>
          </cell>
          <cell r="F1115">
            <v>257</v>
          </cell>
          <cell r="G1115" t="str">
            <v>Reach_778</v>
          </cell>
          <cell r="H1115">
            <v>1107</v>
          </cell>
          <cell r="J1115">
            <v>104.15</v>
          </cell>
          <cell r="K1115">
            <v>-43.5</v>
          </cell>
          <cell r="L1115">
            <v>238.60700000000003</v>
          </cell>
          <cell r="M1115">
            <v>252000</v>
          </cell>
          <cell r="N1115">
            <v>1</v>
          </cell>
          <cell r="O1115">
            <v>14.95</v>
          </cell>
          <cell r="Q1115">
            <v>14</v>
          </cell>
        </row>
        <row r="1116">
          <cell r="D1116" t="str">
            <v>94-04-2</v>
          </cell>
          <cell r="E1116">
            <v>94042</v>
          </cell>
          <cell r="F1116">
            <v>4096</v>
          </cell>
          <cell r="G1116" t="str">
            <v>Reach_410</v>
          </cell>
          <cell r="H1116">
            <v>1108</v>
          </cell>
          <cell r="J1116">
            <v>170.25</v>
          </cell>
          <cell r="K1116">
            <v>-21.78</v>
          </cell>
          <cell r="L1116">
            <v>54.919600000000003</v>
          </cell>
          <cell r="M1116">
            <v>203.87</v>
          </cell>
          <cell r="N1116">
            <v>3981.0717055349769</v>
          </cell>
          <cell r="Q1116">
            <v>14</v>
          </cell>
        </row>
        <row r="1117">
          <cell r="D1117" t="str">
            <v>2146-71-6</v>
          </cell>
          <cell r="E1117">
            <v>2146716</v>
          </cell>
          <cell r="F1117">
            <v>2295</v>
          </cell>
          <cell r="G1117" t="str">
            <v>Reach_1764</v>
          </cell>
          <cell r="H1117">
            <v>1109</v>
          </cell>
          <cell r="J1117">
            <v>226.36</v>
          </cell>
          <cell r="K1117">
            <v>23.66</v>
          </cell>
          <cell r="L1117">
            <v>0.71048900000000004</v>
          </cell>
          <cell r="M1117">
            <v>3.8210999999999999</v>
          </cell>
          <cell r="N1117">
            <v>436515.83224016649</v>
          </cell>
          <cell r="Q1117">
            <v>14</v>
          </cell>
        </row>
        <row r="1118">
          <cell r="D1118" t="str">
            <v>85480-89-3</v>
          </cell>
          <cell r="E1118">
            <v>85480893</v>
          </cell>
          <cell r="F1118">
            <v>6060</v>
          </cell>
          <cell r="G1118" t="str">
            <v>Reach_2985</v>
          </cell>
          <cell r="H1118">
            <v>1110</v>
          </cell>
          <cell r="J1118">
            <v>499.2</v>
          </cell>
          <cell r="K1118">
            <v>0</v>
          </cell>
          <cell r="Q1118">
            <v>14</v>
          </cell>
        </row>
        <row r="1119">
          <cell r="D1119" t="str">
            <v>1647-12-7</v>
          </cell>
          <cell r="E1119">
            <v>1647127</v>
          </cell>
          <cell r="F1119">
            <v>2093</v>
          </cell>
          <cell r="G1119" t="str">
            <v>Reach_4810</v>
          </cell>
          <cell r="H1119">
            <v>1111</v>
          </cell>
          <cell r="J1119">
            <v>128.16999999999999</v>
          </cell>
          <cell r="K1119">
            <v>-57.42</v>
          </cell>
          <cell r="L1119">
            <v>1155.711</v>
          </cell>
          <cell r="M1119">
            <v>4493.6000000000004</v>
          </cell>
          <cell r="N1119">
            <v>134.89628825916537</v>
          </cell>
          <cell r="Q1119">
            <v>14</v>
          </cell>
        </row>
        <row r="1120">
          <cell r="D1120" t="str">
            <v>109-77-3</v>
          </cell>
          <cell r="E1120">
            <v>109773</v>
          </cell>
          <cell r="F1120">
            <v>266</v>
          </cell>
          <cell r="G1120" t="str">
            <v>Reach_791</v>
          </cell>
          <cell r="H1120">
            <v>1112</v>
          </cell>
          <cell r="J1120">
            <v>66.064999999999998</v>
          </cell>
          <cell r="K1120">
            <v>-12.3</v>
          </cell>
          <cell r="L1120">
            <v>15.196200000000001</v>
          </cell>
          <cell r="M1120">
            <v>68542</v>
          </cell>
          <cell r="N1120">
            <v>0.25118864315095801</v>
          </cell>
          <cell r="Q1120">
            <v>14</v>
          </cell>
        </row>
        <row r="1121">
          <cell r="D1121" t="str">
            <v>116-02-9</v>
          </cell>
          <cell r="E1121">
            <v>116029</v>
          </cell>
          <cell r="F1121">
            <v>1642</v>
          </cell>
          <cell r="G1121" t="str">
            <v>Reach_949</v>
          </cell>
          <cell r="H1121">
            <v>1113</v>
          </cell>
          <cell r="J1121">
            <v>142.24</v>
          </cell>
          <cell r="K1121">
            <v>2.66</v>
          </cell>
          <cell r="L1121">
            <v>6.06515</v>
          </cell>
          <cell r="M1121">
            <v>934.15</v>
          </cell>
          <cell r="N1121">
            <v>851.13803820237763</v>
          </cell>
          <cell r="O1121">
            <v>16</v>
          </cell>
          <cell r="Q1121">
            <v>14</v>
          </cell>
        </row>
        <row r="1122">
          <cell r="D1122" t="str">
            <v>101-43-9</v>
          </cell>
          <cell r="E1122">
            <v>101439</v>
          </cell>
          <cell r="F1122">
            <v>1322</v>
          </cell>
          <cell r="G1122" t="str">
            <v>Reach_578</v>
          </cell>
          <cell r="H1122">
            <v>1114</v>
          </cell>
          <cell r="J1122">
            <v>168.24</v>
          </cell>
          <cell r="K1122">
            <v>-13.12</v>
          </cell>
          <cell r="L1122">
            <v>29.059400000000004</v>
          </cell>
          <cell r="M1122">
            <v>712.02</v>
          </cell>
          <cell r="N1122">
            <v>3467.3685045253224</v>
          </cell>
          <cell r="Q1122">
            <v>14</v>
          </cell>
        </row>
        <row r="1123">
          <cell r="D1123" t="str">
            <v>15968-01-1</v>
          </cell>
          <cell r="E1123">
            <v>15968011</v>
          </cell>
          <cell r="F1123">
            <v>5728</v>
          </cell>
          <cell r="G1123" t="str">
            <v>Reach_2406</v>
          </cell>
          <cell r="H1123">
            <v>1115</v>
          </cell>
          <cell r="J1123">
            <v>210.1</v>
          </cell>
          <cell r="K1123">
            <v>0</v>
          </cell>
          <cell r="Q1123">
            <v>14</v>
          </cell>
        </row>
        <row r="1124">
          <cell r="D1124" t="str">
            <v>1843-05-6</v>
          </cell>
          <cell r="E1124">
            <v>1843056</v>
          </cell>
          <cell r="F1124">
            <v>2191</v>
          </cell>
          <cell r="G1124" t="str">
            <v>Reach_1725</v>
          </cell>
          <cell r="H1124">
            <v>1116</v>
          </cell>
          <cell r="J1124">
            <v>326.44</v>
          </cell>
          <cell r="K1124">
            <v>177.27</v>
          </cell>
          <cell r="L1124">
            <v>9.2243599999999999E-6</v>
          </cell>
          <cell r="M1124">
            <v>0.23047000000000001</v>
          </cell>
          <cell r="N1124">
            <v>9120108.3935591076</v>
          </cell>
          <cell r="O1124">
            <v>9.73</v>
          </cell>
          <cell r="Q1124">
            <v>9.73</v>
          </cell>
        </row>
        <row r="1125">
          <cell r="D1125" t="str">
            <v>106-20-7</v>
          </cell>
          <cell r="E1125">
            <v>106207</v>
          </cell>
          <cell r="F1125">
            <v>1430</v>
          </cell>
          <cell r="G1125" t="str">
            <v>Reach_657</v>
          </cell>
          <cell r="H1125">
            <v>1117</v>
          </cell>
          <cell r="J1125">
            <v>241.46</v>
          </cell>
          <cell r="K1125">
            <v>28.24</v>
          </cell>
          <cell r="L1125">
            <v>0.70515700000000014</v>
          </cell>
          <cell r="M1125">
            <v>1.6738E-3</v>
          </cell>
          <cell r="N1125">
            <v>3630780.5477010179</v>
          </cell>
          <cell r="P1125">
            <v>3.1</v>
          </cell>
          <cell r="Q1125">
            <v>10.9</v>
          </cell>
        </row>
        <row r="1126">
          <cell r="D1126" t="str">
            <v>938063-63-9</v>
          </cell>
          <cell r="E1126">
            <v>938063639</v>
          </cell>
          <cell r="F1126">
            <v>4084</v>
          </cell>
          <cell r="G1126" t="str">
            <v>Reach_4574</v>
          </cell>
          <cell r="H1126">
            <v>1118</v>
          </cell>
          <cell r="J1126">
            <v>218.32</v>
          </cell>
          <cell r="K1126">
            <v>53.61</v>
          </cell>
          <cell r="L1126">
            <v>0.44522200000000006</v>
          </cell>
          <cell r="M1126">
            <v>386.28</v>
          </cell>
          <cell r="N1126">
            <v>128.82495516931343</v>
          </cell>
          <cell r="Q1126">
            <v>14</v>
          </cell>
        </row>
        <row r="1127">
          <cell r="D1127" t="str">
            <v>123-92-2</v>
          </cell>
          <cell r="E1127">
            <v>123922</v>
          </cell>
          <cell r="F1127">
            <v>398</v>
          </cell>
          <cell r="G1127" t="str">
            <v>Reach_1061</v>
          </cell>
          <cell r="H1127">
            <v>1119</v>
          </cell>
          <cell r="J1127">
            <v>130.19</v>
          </cell>
          <cell r="K1127">
            <v>-56.05</v>
          </cell>
          <cell r="L1127">
            <v>755.81100000000004</v>
          </cell>
          <cell r="M1127">
            <v>3462.2</v>
          </cell>
          <cell r="N1127">
            <v>181.9700858609983</v>
          </cell>
          <cell r="Q1127">
            <v>14</v>
          </cell>
        </row>
        <row r="1128">
          <cell r="D1128" t="str">
            <v>110-89-4</v>
          </cell>
          <cell r="E1128">
            <v>110894</v>
          </cell>
          <cell r="F1128">
            <v>289</v>
          </cell>
          <cell r="G1128" t="str">
            <v>Reach_836</v>
          </cell>
          <cell r="H1128">
            <v>1120</v>
          </cell>
          <cell r="J1128">
            <v>85.150999999999996</v>
          </cell>
          <cell r="K1128">
            <v>-24.69</v>
          </cell>
          <cell r="L1128">
            <v>3852.3700000000003</v>
          </cell>
          <cell r="M1128">
            <v>315000</v>
          </cell>
          <cell r="N1128">
            <v>15.488166189124817</v>
          </cell>
          <cell r="P1128">
            <v>3</v>
          </cell>
          <cell r="Q1128">
            <v>11</v>
          </cell>
        </row>
        <row r="1129">
          <cell r="D1129" t="str">
            <v>31024-26-7</v>
          </cell>
          <cell r="E1129">
            <v>31024267</v>
          </cell>
          <cell r="F1129">
            <v>2616</v>
          </cell>
          <cell r="G1129" t="str">
            <v>Reach_4278</v>
          </cell>
          <cell r="H1129">
            <v>1121</v>
          </cell>
          <cell r="J1129">
            <v>147.29</v>
          </cell>
          <cell r="K1129">
            <v>-12.09</v>
          </cell>
          <cell r="L1129">
            <v>378.572</v>
          </cell>
          <cell r="M1129">
            <v>22338</v>
          </cell>
          <cell r="N1129">
            <v>22.387211385683404</v>
          </cell>
          <cell r="P1129">
            <v>3.69</v>
          </cell>
          <cell r="Q1129">
            <v>10.31</v>
          </cell>
        </row>
        <row r="1130">
          <cell r="D1130" t="str">
            <v>494799-36-9</v>
          </cell>
          <cell r="E1130">
            <v>494799369</v>
          </cell>
          <cell r="F1130">
            <v>2981</v>
          </cell>
          <cell r="G1130" t="str">
            <v>Reach_4659</v>
          </cell>
          <cell r="H1130">
            <v>1122</v>
          </cell>
          <cell r="J1130">
            <v>229.28</v>
          </cell>
          <cell r="K1130">
            <v>163.33000000000001</v>
          </cell>
          <cell r="L1130">
            <v>1.93285E-5</v>
          </cell>
          <cell r="M1130">
            <v>49.366</v>
          </cell>
          <cell r="N1130">
            <v>18197.008586099837</v>
          </cell>
          <cell r="Q1130">
            <v>14</v>
          </cell>
        </row>
        <row r="1131">
          <cell r="D1131" t="str">
            <v>430-67-1</v>
          </cell>
          <cell r="E1131">
            <v>430671</v>
          </cell>
          <cell r="F1131">
            <v>2905</v>
          </cell>
          <cell r="G1131" t="str">
            <v>Reach_4615</v>
          </cell>
          <cell r="H1131">
            <v>1123</v>
          </cell>
          <cell r="J1131">
            <v>81.066000000000003</v>
          </cell>
          <cell r="K1131">
            <v>-94.91</v>
          </cell>
          <cell r="L1131">
            <v>97175.700000000012</v>
          </cell>
          <cell r="M1131">
            <v>909000</v>
          </cell>
          <cell r="N1131">
            <v>0.45708818961487502</v>
          </cell>
          <cell r="Q1131">
            <v>14</v>
          </cell>
        </row>
        <row r="1132">
          <cell r="D1132" t="str">
            <v>25260-60-0</v>
          </cell>
          <cell r="E1132">
            <v>25260600</v>
          </cell>
          <cell r="F1132">
            <v>2425</v>
          </cell>
          <cell r="G1132" t="str">
            <v>Reach_4247</v>
          </cell>
          <cell r="H1132">
            <v>1124</v>
          </cell>
          <cell r="J1132">
            <v>172.18</v>
          </cell>
          <cell r="K1132">
            <v>-72.25</v>
          </cell>
          <cell r="L1132">
            <v>67.316500000000005</v>
          </cell>
          <cell r="M1132">
            <v>12238</v>
          </cell>
          <cell r="N1132">
            <v>14.791083881682074</v>
          </cell>
          <cell r="Q1132">
            <v>14</v>
          </cell>
        </row>
        <row r="1133">
          <cell r="D1133" t="str">
            <v>103041-38-9</v>
          </cell>
          <cell r="E1133">
            <v>103041389</v>
          </cell>
          <cell r="F1133">
            <v>1357</v>
          </cell>
          <cell r="G1133" t="str">
            <v>Reach_4061</v>
          </cell>
          <cell r="H1133">
            <v>1125</v>
          </cell>
          <cell r="J1133">
            <v>194.24</v>
          </cell>
          <cell r="K1133">
            <v>77.989999999999995</v>
          </cell>
          <cell r="L1133">
            <v>0.13596600000000003</v>
          </cell>
          <cell r="M1133">
            <v>2890.7</v>
          </cell>
          <cell r="N1133">
            <v>39.810717055349755</v>
          </cell>
          <cell r="Q1133">
            <v>14</v>
          </cell>
        </row>
        <row r="1134">
          <cell r="D1134" t="str">
            <v>41263-74-5</v>
          </cell>
          <cell r="E1134">
            <v>41263745</v>
          </cell>
          <cell r="F1134">
            <v>2874</v>
          </cell>
          <cell r="G1134" t="str">
            <v>Reach_4315</v>
          </cell>
          <cell r="H1134">
            <v>1126</v>
          </cell>
          <cell r="J1134">
            <v>196.16</v>
          </cell>
          <cell r="K1134">
            <v>139.27000000000001</v>
          </cell>
          <cell r="L1134">
            <v>8.0246600000000005E-4</v>
          </cell>
          <cell r="M1134">
            <v>1489.9</v>
          </cell>
          <cell r="N1134">
            <v>79.432823472428197</v>
          </cell>
          <cell r="O1134">
            <v>4.0599999999999996</v>
          </cell>
          <cell r="Q1134">
            <v>4.0599999999999996</v>
          </cell>
        </row>
        <row r="1135">
          <cell r="D1135" t="str">
            <v>618-83-7</v>
          </cell>
          <cell r="E1135">
            <v>618837</v>
          </cell>
          <cell r="F1135">
            <v>3357</v>
          </cell>
          <cell r="G1135" t="str">
            <v>Reach_1439</v>
          </cell>
          <cell r="H1135">
            <v>1127</v>
          </cell>
          <cell r="J1135">
            <v>182.13</v>
          </cell>
          <cell r="K1135">
            <v>159.44</v>
          </cell>
          <cell r="L1135">
            <v>5.6252599999999999E-7</v>
          </cell>
          <cell r="M1135">
            <v>7555.9</v>
          </cell>
          <cell r="N1135">
            <v>19.054607179632477</v>
          </cell>
          <cell r="Q1135">
            <v>14</v>
          </cell>
        </row>
        <row r="1136">
          <cell r="D1136" t="str">
            <v>88-95-9</v>
          </cell>
          <cell r="E1136">
            <v>88959</v>
          </cell>
          <cell r="F1136">
            <v>3965</v>
          </cell>
          <cell r="G1136" t="str">
            <v>Reach_334</v>
          </cell>
          <cell r="H1136">
            <v>1128</v>
          </cell>
          <cell r="J1136">
            <v>203.02</v>
          </cell>
          <cell r="K1136">
            <v>68.2</v>
          </cell>
          <cell r="L1136">
            <v>0.70515700000000014</v>
          </cell>
          <cell r="M1136">
            <v>715.79</v>
          </cell>
          <cell r="N1136">
            <v>7.5857757502918375</v>
          </cell>
          <cell r="Q1136">
            <v>14</v>
          </cell>
        </row>
        <row r="1137">
          <cell r="D1137" t="str">
            <v>103-69-5</v>
          </cell>
          <cell r="E1137">
            <v>103695</v>
          </cell>
          <cell r="F1137">
            <v>162</v>
          </cell>
          <cell r="G1137" t="str">
            <v>Reach_611</v>
          </cell>
          <cell r="H1137">
            <v>1129</v>
          </cell>
          <cell r="J1137">
            <v>121.18</v>
          </cell>
          <cell r="K1137">
            <v>-8.99</v>
          </cell>
          <cell r="L1137">
            <v>41.323</v>
          </cell>
          <cell r="M1137">
            <v>1472.3</v>
          </cell>
          <cell r="N1137">
            <v>128.82495516931343</v>
          </cell>
          <cell r="P1137">
            <v>9</v>
          </cell>
          <cell r="Q1137">
            <v>5</v>
          </cell>
        </row>
        <row r="1138">
          <cell r="D1138" t="str">
            <v>32257-57-1</v>
          </cell>
          <cell r="E1138">
            <v>32257571</v>
          </cell>
          <cell r="F1138">
            <v>5843</v>
          </cell>
          <cell r="G1138" t="str">
            <v>Reach_4560</v>
          </cell>
          <cell r="H1138">
            <v>1130</v>
          </cell>
          <cell r="J1138">
            <v>1093</v>
          </cell>
          <cell r="K1138">
            <v>0</v>
          </cell>
          <cell r="Q1138">
            <v>14</v>
          </cell>
        </row>
        <row r="1139">
          <cell r="D1139" t="str">
            <v>75128-73-3</v>
          </cell>
          <cell r="E1139">
            <v>75128733</v>
          </cell>
          <cell r="F1139">
            <v>3658</v>
          </cell>
          <cell r="G1139" t="str">
            <v>Reach_2945</v>
          </cell>
          <cell r="H1139">
            <v>1131</v>
          </cell>
          <cell r="J1139">
            <v>309.29000000000002</v>
          </cell>
          <cell r="K1139">
            <v>287.54000000000002</v>
          </cell>
          <cell r="L1139">
            <v>3.2258600000000002E-12</v>
          </cell>
          <cell r="M1139">
            <v>32672</v>
          </cell>
          <cell r="N1139">
            <v>0.17782794100389224</v>
          </cell>
          <cell r="P1139">
            <v>8.91</v>
          </cell>
          <cell r="Q1139">
            <v>5.09</v>
          </cell>
        </row>
        <row r="1140">
          <cell r="D1140" t="str">
            <v>1555-62-0</v>
          </cell>
          <cell r="E1140">
            <v>1555620</v>
          </cell>
          <cell r="F1140">
            <v>2042</v>
          </cell>
          <cell r="G1140" t="str">
            <v>Reach_4166</v>
          </cell>
          <cell r="H1140">
            <v>1132</v>
          </cell>
          <cell r="J1140">
            <v>291.49</v>
          </cell>
          <cell r="K1140">
            <v>146.63999999999999</v>
          </cell>
          <cell r="L1140">
            <v>2.6926600000000004E-5</v>
          </cell>
          <cell r="M1140">
            <v>24.324000000000002</v>
          </cell>
          <cell r="N1140">
            <v>29512.092266663854</v>
          </cell>
          <cell r="P1140">
            <v>9.5</v>
          </cell>
          <cell r="Q1140">
            <v>4.5</v>
          </cell>
        </row>
        <row r="1141">
          <cell r="D1141" t="str">
            <v>617-45-8</v>
          </cell>
          <cell r="E1141">
            <v>617458</v>
          </cell>
          <cell r="F1141">
            <v>3351</v>
          </cell>
          <cell r="G1141" t="str">
            <v>Reach_1434</v>
          </cell>
          <cell r="H1141">
            <v>1133</v>
          </cell>
          <cell r="J1141">
            <v>133.1</v>
          </cell>
          <cell r="K1141">
            <v>218.2</v>
          </cell>
          <cell r="L1141">
            <v>3.4924600000000001E-5</v>
          </cell>
          <cell r="M1141">
            <v>192000</v>
          </cell>
          <cell r="N1141">
            <v>4.786300923226377E-5</v>
          </cell>
          <cell r="Q1141">
            <v>14</v>
          </cell>
        </row>
        <row r="1142">
          <cell r="D1142" t="str">
            <v>10420-33-4</v>
          </cell>
          <cell r="E1142">
            <v>10420334</v>
          </cell>
          <cell r="F1142">
            <v>1387</v>
          </cell>
          <cell r="G1142" t="str">
            <v>Reach_2292</v>
          </cell>
          <cell r="H1142">
            <v>1134</v>
          </cell>
          <cell r="J1142">
            <v>188.18</v>
          </cell>
          <cell r="K1142">
            <v>-46.23</v>
          </cell>
          <cell r="L1142">
            <v>23.994</v>
          </cell>
          <cell r="M1142">
            <v>89410</v>
          </cell>
          <cell r="N1142">
            <v>0.18197008586099833</v>
          </cell>
          <cell r="Q1142">
            <v>14</v>
          </cell>
        </row>
        <row r="1143">
          <cell r="D1143" t="str">
            <v>517-23-7</v>
          </cell>
          <cell r="E1143">
            <v>517237</v>
          </cell>
          <cell r="F1143">
            <v>3044</v>
          </cell>
          <cell r="G1143" t="str">
            <v>Reach_1321</v>
          </cell>
          <cell r="H1143">
            <v>1135</v>
          </cell>
          <cell r="J1143">
            <v>128.13</v>
          </cell>
          <cell r="K1143">
            <v>12.65</v>
          </cell>
          <cell r="L1143">
            <v>4.1323000000000008</v>
          </cell>
          <cell r="M1143">
            <v>34838</v>
          </cell>
          <cell r="N1143">
            <v>3.548133892335753E-2</v>
          </cell>
          <cell r="Q1143">
            <v>14</v>
          </cell>
        </row>
        <row r="1144">
          <cell r="D1144" t="str">
            <v>2370-88-9</v>
          </cell>
          <cell r="E1144">
            <v>2370889</v>
          </cell>
          <cell r="F1144">
            <v>2355</v>
          </cell>
          <cell r="G1144" t="str">
            <v>Reach_1786</v>
          </cell>
          <cell r="H1144">
            <v>1136</v>
          </cell>
          <cell r="J1144">
            <v>236.48</v>
          </cell>
          <cell r="K1144">
            <v>-42.85</v>
          </cell>
          <cell r="L1144">
            <v>1089.0610000000001</v>
          </cell>
          <cell r="M1144">
            <v>4054</v>
          </cell>
          <cell r="N1144">
            <v>39810.717055349742</v>
          </cell>
          <cell r="Q1144">
            <v>14</v>
          </cell>
        </row>
        <row r="1145">
          <cell r="D1145" t="str">
            <v>50-78-2</v>
          </cell>
          <cell r="E1145">
            <v>50782</v>
          </cell>
          <cell r="F1145">
            <v>666</v>
          </cell>
          <cell r="G1145" t="str">
            <v>Reach_9</v>
          </cell>
          <cell r="H1145">
            <v>1137</v>
          </cell>
          <cell r="J1145">
            <v>180.16</v>
          </cell>
          <cell r="K1145">
            <v>93.06</v>
          </cell>
          <cell r="L1145">
            <v>8.7444800000000007E-3</v>
          </cell>
          <cell r="M1145">
            <v>2330.8000000000002</v>
          </cell>
          <cell r="N1145">
            <v>13.489628825916535</v>
          </cell>
          <cell r="O1145">
            <v>3.5</v>
          </cell>
          <cell r="Q1145">
            <v>3.5</v>
          </cell>
        </row>
        <row r="1146">
          <cell r="D1146" t="str">
            <v>35037-73-1</v>
          </cell>
          <cell r="E1146">
            <v>35037731</v>
          </cell>
          <cell r="F1146">
            <v>2720</v>
          </cell>
          <cell r="G1146" t="str">
            <v>Reach_2685</v>
          </cell>
          <cell r="H1146">
            <v>1138</v>
          </cell>
          <cell r="J1146">
            <v>203.12</v>
          </cell>
          <cell r="K1146">
            <v>-4</v>
          </cell>
          <cell r="L1146">
            <v>96.375900000000001</v>
          </cell>
          <cell r="M1146">
            <v>51.134999999999998</v>
          </cell>
          <cell r="N1146">
            <v>4365.1583224016631</v>
          </cell>
          <cell r="Q1146">
            <v>14</v>
          </cell>
        </row>
        <row r="1147">
          <cell r="D1147" t="str">
            <v>128-08-5</v>
          </cell>
          <cell r="E1147">
            <v>128085</v>
          </cell>
          <cell r="F1147">
            <v>1815</v>
          </cell>
          <cell r="G1147" t="str">
            <v>Reach_1106</v>
          </cell>
          <cell r="H1147">
            <v>1139</v>
          </cell>
          <cell r="J1147">
            <v>177.99</v>
          </cell>
          <cell r="K1147">
            <v>121.02</v>
          </cell>
          <cell r="L1147">
            <v>9.2110300000000005E-4</v>
          </cell>
          <cell r="M1147">
            <v>130000</v>
          </cell>
          <cell r="N1147">
            <v>6.4565422903465536E-2</v>
          </cell>
          <cell r="Q1147">
            <v>14</v>
          </cell>
        </row>
        <row r="1148">
          <cell r="D1148" t="str">
            <v>18171-19-2</v>
          </cell>
          <cell r="E1148">
            <v>18171192</v>
          </cell>
          <cell r="F1148">
            <v>2172</v>
          </cell>
          <cell r="G1148" t="str">
            <v>Reach_2455</v>
          </cell>
          <cell r="H1148">
            <v>1140</v>
          </cell>
          <cell r="J1148">
            <v>182.72</v>
          </cell>
          <cell r="K1148">
            <v>-21.02</v>
          </cell>
          <cell r="L1148">
            <v>128.10130000000001</v>
          </cell>
          <cell r="M1148">
            <v>559.77</v>
          </cell>
          <cell r="N1148">
            <v>66.069344800759623</v>
          </cell>
          <cell r="Q1148">
            <v>14</v>
          </cell>
        </row>
        <row r="1149">
          <cell r="D1149" t="str">
            <v>98-29-3</v>
          </cell>
          <cell r="E1149">
            <v>98293</v>
          </cell>
          <cell r="F1149">
            <v>4181</v>
          </cell>
          <cell r="G1149" t="str">
            <v>Reach_503</v>
          </cell>
          <cell r="H1149">
            <v>1141</v>
          </cell>
          <cell r="J1149">
            <v>166.22</v>
          </cell>
          <cell r="K1149">
            <v>83.28</v>
          </cell>
          <cell r="L1149">
            <v>4.4388900000000009E-2</v>
          </cell>
          <cell r="M1149">
            <v>856.04</v>
          </cell>
          <cell r="N1149">
            <v>870.96358995608091</v>
          </cell>
          <cell r="O1149">
            <v>10</v>
          </cell>
          <cell r="Q1149">
            <v>10</v>
          </cell>
        </row>
        <row r="1150">
          <cell r="D1150" t="str">
            <v>3380-34-5</v>
          </cell>
          <cell r="E1150">
            <v>3380345</v>
          </cell>
          <cell r="F1150">
            <v>48</v>
          </cell>
          <cell r="G1150" t="str">
            <v>Reach_1954</v>
          </cell>
          <cell r="H1150">
            <v>1142</v>
          </cell>
          <cell r="J1150">
            <v>289.55</v>
          </cell>
          <cell r="K1150">
            <v>136.79</v>
          </cell>
          <cell r="L1150">
            <v>6.1984500000000005E-4</v>
          </cell>
          <cell r="M1150">
            <v>2.9626999999999999</v>
          </cell>
          <cell r="N1150">
            <v>45708.818961487581</v>
          </cell>
          <cell r="O1150">
            <v>8.8000000000000007</v>
          </cell>
          <cell r="Q1150">
            <v>8.8000000000000007</v>
          </cell>
        </row>
        <row r="1151">
          <cell r="D1151" t="str">
            <v>117-08-8</v>
          </cell>
          <cell r="E1151">
            <v>117088</v>
          </cell>
          <cell r="F1151">
            <v>1655</v>
          </cell>
          <cell r="G1151" t="str">
            <v>Reach_957</v>
          </cell>
          <cell r="H1151">
            <v>1143</v>
          </cell>
          <cell r="J1151">
            <v>285.89999999999998</v>
          </cell>
          <cell r="K1151">
            <v>111.11</v>
          </cell>
          <cell r="L1151">
            <v>6.8782800000000008E-5</v>
          </cell>
          <cell r="M1151">
            <v>6.6398000000000001</v>
          </cell>
          <cell r="N1151">
            <v>44668.359215096389</v>
          </cell>
          <cell r="Q1151">
            <v>14</v>
          </cell>
        </row>
        <row r="1152">
          <cell r="D1152" t="str">
            <v>2536-05-2</v>
          </cell>
          <cell r="E1152">
            <v>2536052</v>
          </cell>
          <cell r="F1152">
            <v>1249</v>
          </cell>
          <cell r="G1152" t="str">
            <v>Reach_1833</v>
          </cell>
          <cell r="H1152">
            <v>1144</v>
          </cell>
          <cell r="J1152">
            <v>250.26</v>
          </cell>
          <cell r="K1152">
            <v>98.71</v>
          </cell>
          <cell r="L1152">
            <v>6.3317500000000006E-3</v>
          </cell>
          <cell r="M1152">
            <v>35.137</v>
          </cell>
          <cell r="N1152">
            <v>165958.69074375604</v>
          </cell>
          <cell r="Q1152">
            <v>14</v>
          </cell>
        </row>
        <row r="1153">
          <cell r="D1153" t="str">
            <v>7585-39-9</v>
          </cell>
          <cell r="E1153">
            <v>7585399</v>
          </cell>
          <cell r="F1153">
            <v>6405</v>
          </cell>
          <cell r="G1153" t="str">
            <v>Reach_2263</v>
          </cell>
          <cell r="H1153">
            <v>1145</v>
          </cell>
          <cell r="J1153">
            <v>1137</v>
          </cell>
          <cell r="K1153">
            <v>0</v>
          </cell>
          <cell r="Q1153">
            <v>14</v>
          </cell>
        </row>
        <row r="1154">
          <cell r="D1154" t="str">
            <v>89-72-5</v>
          </cell>
          <cell r="E1154">
            <v>89725</v>
          </cell>
          <cell r="F1154">
            <v>993</v>
          </cell>
          <cell r="G1154" t="str">
            <v>Reach_350</v>
          </cell>
          <cell r="H1154">
            <v>1146</v>
          </cell>
          <cell r="J1154">
            <v>150.22</v>
          </cell>
          <cell r="K1154">
            <v>38.56</v>
          </cell>
          <cell r="L1154">
            <v>5.3453299999999997</v>
          </cell>
          <cell r="M1154">
            <v>960.51</v>
          </cell>
          <cell r="N1154">
            <v>2884.0315031266077</v>
          </cell>
          <cell r="O1154">
            <v>10.8</v>
          </cell>
          <cell r="Q1154">
            <v>10.8</v>
          </cell>
        </row>
        <row r="1155">
          <cell r="D1155" t="str">
            <v>157577-99-6</v>
          </cell>
          <cell r="E1155">
            <v>157577996</v>
          </cell>
          <cell r="F1155">
            <v>5722</v>
          </cell>
          <cell r="G1155" t="str">
            <v>Reach_4167</v>
          </cell>
          <cell r="H1155">
            <v>1147</v>
          </cell>
          <cell r="J1155">
            <v>860.83</v>
          </cell>
          <cell r="K1155">
            <v>0</v>
          </cell>
          <cell r="Q1155">
            <v>14</v>
          </cell>
        </row>
        <row r="1156">
          <cell r="D1156" t="str">
            <v>67-43-6</v>
          </cell>
          <cell r="E1156">
            <v>67436</v>
          </cell>
          <cell r="F1156">
            <v>82</v>
          </cell>
          <cell r="G1156" t="str">
            <v>Reach_80</v>
          </cell>
          <cell r="H1156">
            <v>1148</v>
          </cell>
          <cell r="J1156">
            <v>393.35</v>
          </cell>
          <cell r="K1156">
            <v>334.15</v>
          </cell>
          <cell r="L1156">
            <v>1.61293E-14</v>
          </cell>
          <cell r="M1156">
            <v>1.98</v>
          </cell>
          <cell r="N1156">
            <v>1.2302687708123802E-5</v>
          </cell>
          <cell r="O1156">
            <v>0.98</v>
          </cell>
          <cell r="P1156">
            <v>2.93</v>
          </cell>
          <cell r="Q1156">
            <v>0.98</v>
          </cell>
        </row>
        <row r="1157">
          <cell r="D1157" t="str">
            <v>103-71-9</v>
          </cell>
          <cell r="E1157">
            <v>103719</v>
          </cell>
          <cell r="F1157">
            <v>1378</v>
          </cell>
          <cell r="G1157" t="str">
            <v>Reach_612</v>
          </cell>
          <cell r="H1157">
            <v>1149</v>
          </cell>
          <cell r="J1157">
            <v>119.12</v>
          </cell>
          <cell r="K1157">
            <v>-37.340000000000003</v>
          </cell>
          <cell r="L1157">
            <v>290.59400000000005</v>
          </cell>
          <cell r="M1157">
            <v>39756</v>
          </cell>
          <cell r="N1157">
            <v>389.04514499428063</v>
          </cell>
          <cell r="Q1157">
            <v>14</v>
          </cell>
        </row>
        <row r="1158">
          <cell r="D1158" t="str">
            <v>80584-91-4</v>
          </cell>
          <cell r="E1158">
            <v>80584914</v>
          </cell>
          <cell r="F1158">
            <v>3795</v>
          </cell>
          <cell r="G1158" t="str">
            <v>Reach_2959</v>
          </cell>
          <cell r="H1158">
            <v>1150</v>
          </cell>
          <cell r="J1158">
            <v>468.56</v>
          </cell>
          <cell r="K1158">
            <v>301</v>
          </cell>
          <cell r="L1158">
            <v>3.5724400000000008E-14</v>
          </cell>
          <cell r="M1158">
            <v>1.9599999999999999E-6</v>
          </cell>
          <cell r="N1158">
            <v>21379.620895022348</v>
          </cell>
          <cell r="O1158">
            <v>4.22</v>
          </cell>
          <cell r="P1158">
            <v>8.08</v>
          </cell>
          <cell r="Q1158">
            <v>4.22</v>
          </cell>
        </row>
        <row r="1159">
          <cell r="D1159" t="str">
            <v>115-27-5</v>
          </cell>
          <cell r="E1159">
            <v>115275</v>
          </cell>
          <cell r="F1159">
            <v>1635</v>
          </cell>
          <cell r="G1159" t="str">
            <v>Reach_941</v>
          </cell>
          <cell r="H1159">
            <v>1151</v>
          </cell>
          <cell r="J1159">
            <v>370.83</v>
          </cell>
          <cell r="K1159">
            <v>129.63999999999999</v>
          </cell>
          <cell r="L1159">
            <v>8.6111800000000018E-5</v>
          </cell>
          <cell r="M1159">
            <v>0.70765999999999996</v>
          </cell>
          <cell r="N1159">
            <v>23442.288153199243</v>
          </cell>
          <cell r="Q1159">
            <v>14</v>
          </cell>
        </row>
        <row r="1160">
          <cell r="D1160" t="str">
            <v>103-49-1</v>
          </cell>
          <cell r="E1160">
            <v>103491</v>
          </cell>
          <cell r="F1160">
            <v>1368</v>
          </cell>
          <cell r="G1160" t="str">
            <v>Reach_607</v>
          </cell>
          <cell r="H1160">
            <v>1152</v>
          </cell>
          <cell r="J1160">
            <v>197.28</v>
          </cell>
          <cell r="K1160">
            <v>74.37</v>
          </cell>
          <cell r="L1160">
            <v>0.13290010000000002</v>
          </cell>
          <cell r="M1160">
            <v>12.212999999999999</v>
          </cell>
          <cell r="N1160">
            <v>1737.8008287493772</v>
          </cell>
          <cell r="P1160">
            <v>5.6</v>
          </cell>
          <cell r="Q1160">
            <v>8.4</v>
          </cell>
        </row>
        <row r="1161">
          <cell r="D1161" t="str">
            <v>504-29-0</v>
          </cell>
          <cell r="E1161">
            <v>504290</v>
          </cell>
          <cell r="F1161">
            <v>658</v>
          </cell>
          <cell r="G1161" t="str">
            <v>Reach_1304</v>
          </cell>
          <cell r="H1161">
            <v>1153</v>
          </cell>
          <cell r="J1161">
            <v>94.119</v>
          </cell>
          <cell r="K1161">
            <v>26.76</v>
          </cell>
          <cell r="L1161">
            <v>12.996750000000002</v>
          </cell>
          <cell r="M1161">
            <v>15876</v>
          </cell>
          <cell r="N1161">
            <v>3.3884415613920265</v>
          </cell>
          <cell r="P1161">
            <v>7</v>
          </cell>
          <cell r="Q1161">
            <v>7</v>
          </cell>
        </row>
        <row r="1162">
          <cell r="D1162" t="str">
            <v>83066-88-0</v>
          </cell>
          <cell r="E1162">
            <v>83066880</v>
          </cell>
          <cell r="F1162">
            <v>950</v>
          </cell>
          <cell r="G1162" t="str">
            <v>Reach_4461</v>
          </cell>
          <cell r="H1162">
            <v>1154</v>
          </cell>
          <cell r="J1162">
            <v>327.26</v>
          </cell>
          <cell r="K1162">
            <v>162.84</v>
          </cell>
          <cell r="L1162">
            <v>3.7457300000000005E-5</v>
          </cell>
          <cell r="M1162">
            <v>55.87</v>
          </cell>
          <cell r="N1162">
            <v>3801.8939632056172</v>
          </cell>
          <cell r="O1162">
            <v>3.09</v>
          </cell>
          <cell r="P1162">
            <v>13</v>
          </cell>
          <cell r="Q1162">
            <v>1</v>
          </cell>
        </row>
        <row r="1163">
          <cell r="D1163" t="str">
            <v>1569-01-3</v>
          </cell>
          <cell r="E1163">
            <v>1569013</v>
          </cell>
          <cell r="F1163">
            <v>2052</v>
          </cell>
          <cell r="G1163" t="str">
            <v>Reach_1693</v>
          </cell>
          <cell r="H1163">
            <v>1155</v>
          </cell>
          <cell r="J1163">
            <v>118.18</v>
          </cell>
          <cell r="K1163">
            <v>-33.54</v>
          </cell>
          <cell r="L1163">
            <v>179.95500000000004</v>
          </cell>
          <cell r="M1163">
            <v>49656</v>
          </cell>
          <cell r="N1163">
            <v>3.0902954325135905</v>
          </cell>
          <cell r="O1163">
            <v>15.05</v>
          </cell>
          <cell r="Q1163">
            <v>14</v>
          </cell>
        </row>
        <row r="1164">
          <cell r="D1164" t="str">
            <v>96-05-9</v>
          </cell>
          <cell r="E1164">
            <v>96059</v>
          </cell>
          <cell r="F1164">
            <v>1043</v>
          </cell>
          <cell r="G1164" t="str">
            <v>Reach_449</v>
          </cell>
          <cell r="H1164">
            <v>1156</v>
          </cell>
          <cell r="J1164">
            <v>126.16</v>
          </cell>
          <cell r="K1164">
            <v>-56.1</v>
          </cell>
          <cell r="L1164">
            <v>889.1110000000001</v>
          </cell>
          <cell r="M1164">
            <v>2550</v>
          </cell>
          <cell r="N1164">
            <v>131.82567385564084</v>
          </cell>
          <cell r="Q1164">
            <v>14</v>
          </cell>
        </row>
        <row r="1165">
          <cell r="D1165" t="str">
            <v>108-67-8</v>
          </cell>
          <cell r="E1165">
            <v>108678</v>
          </cell>
          <cell r="F1165">
            <v>242</v>
          </cell>
          <cell r="G1165" t="str">
            <v>Reach_751</v>
          </cell>
          <cell r="H1165">
            <v>1157</v>
          </cell>
          <cell r="J1165">
            <v>120.19</v>
          </cell>
          <cell r="K1165">
            <v>-22.46</v>
          </cell>
          <cell r="L1165">
            <v>267.93299999999999</v>
          </cell>
          <cell r="M1165">
            <v>85.23</v>
          </cell>
          <cell r="N1165">
            <v>4265.7951880159299</v>
          </cell>
          <cell r="Q1165">
            <v>14</v>
          </cell>
        </row>
        <row r="1166">
          <cell r="D1166" t="str">
            <v>156-87-6</v>
          </cell>
          <cell r="E1166">
            <v>156876</v>
          </cell>
          <cell r="F1166">
            <v>494</v>
          </cell>
          <cell r="G1166" t="str">
            <v>Reach_1216</v>
          </cell>
          <cell r="H1166">
            <v>1158</v>
          </cell>
          <cell r="J1166">
            <v>75.111999999999995</v>
          </cell>
          <cell r="K1166">
            <v>-15.36</v>
          </cell>
          <cell r="L1166">
            <v>20.794800000000002</v>
          </cell>
          <cell r="M1166">
            <v>1000000</v>
          </cell>
          <cell r="N1166">
            <v>7.5857757502918358E-2</v>
          </cell>
          <cell r="O1166">
            <v>15.34</v>
          </cell>
          <cell r="P1166">
            <v>4</v>
          </cell>
          <cell r="Q1166">
            <v>10</v>
          </cell>
        </row>
        <row r="1167">
          <cell r="D1167" t="str">
            <v>140-90-9</v>
          </cell>
          <cell r="E1167">
            <v>140909</v>
          </cell>
          <cell r="F1167">
            <v>1196</v>
          </cell>
          <cell r="G1167" t="str">
            <v>Reach_1153</v>
          </cell>
          <cell r="H1167">
            <v>1159</v>
          </cell>
          <cell r="J1167">
            <v>144.19</v>
          </cell>
          <cell r="K1167">
            <v>0</v>
          </cell>
          <cell r="Q1167">
            <v>14</v>
          </cell>
        </row>
        <row r="1168">
          <cell r="D1168" t="str">
            <v>3452-07-1</v>
          </cell>
          <cell r="E1168">
            <v>3452071</v>
          </cell>
          <cell r="F1168">
            <v>1261</v>
          </cell>
          <cell r="G1168" t="str">
            <v>Reach_1963</v>
          </cell>
          <cell r="H1168">
            <v>1160</v>
          </cell>
          <cell r="J1168">
            <v>280.54000000000002</v>
          </cell>
          <cell r="K1168">
            <v>50.38</v>
          </cell>
          <cell r="L1168">
            <v>5.4519700000000004E-2</v>
          </cell>
          <cell r="M1168">
            <v>5.7000000000000003E-5</v>
          </cell>
          <cell r="N1168">
            <v>10715193052.376066</v>
          </cell>
          <cell r="Q1168">
            <v>14</v>
          </cell>
        </row>
        <row r="1169">
          <cell r="D1169" t="str">
            <v>27344-41-8</v>
          </cell>
          <cell r="E1169">
            <v>27344418</v>
          </cell>
          <cell r="F1169">
            <v>1212</v>
          </cell>
          <cell r="G1169" t="str">
            <v>Reach_2602</v>
          </cell>
          <cell r="H1169">
            <v>1161</v>
          </cell>
          <cell r="J1169">
            <v>562.57000000000005</v>
          </cell>
          <cell r="K1169">
            <v>0</v>
          </cell>
          <cell r="Q1169">
            <v>14</v>
          </cell>
        </row>
        <row r="1170">
          <cell r="D1170" t="str">
            <v>7048-04-6</v>
          </cell>
          <cell r="E1170">
            <v>7048046</v>
          </cell>
          <cell r="F1170">
            <v>5585</v>
          </cell>
          <cell r="G1170" t="str">
            <v>Reach_4410</v>
          </cell>
          <cell r="H1170">
            <v>1162</v>
          </cell>
          <cell r="J1170">
            <v>157.62</v>
          </cell>
          <cell r="K1170">
            <v>0</v>
          </cell>
          <cell r="Q1170">
            <v>14</v>
          </cell>
        </row>
        <row r="1171">
          <cell r="D1171" t="str">
            <v>515-74-2</v>
          </cell>
          <cell r="E1171">
            <v>515742</v>
          </cell>
          <cell r="F1171">
            <v>5906</v>
          </cell>
          <cell r="G1171" t="str">
            <v>Reach_1319</v>
          </cell>
          <cell r="H1171">
            <v>1163</v>
          </cell>
          <cell r="J1171">
            <v>195.17</v>
          </cell>
          <cell r="K1171">
            <v>0</v>
          </cell>
          <cell r="Q1171">
            <v>14</v>
          </cell>
        </row>
        <row r="1172">
          <cell r="D1172" t="str">
            <v>102-69-2</v>
          </cell>
          <cell r="E1172">
            <v>102692</v>
          </cell>
          <cell r="F1172">
            <v>154</v>
          </cell>
          <cell r="G1172" t="str">
            <v>Reach_595</v>
          </cell>
          <cell r="H1172">
            <v>1164</v>
          </cell>
          <cell r="J1172">
            <v>143.28</v>
          </cell>
          <cell r="K1172">
            <v>-33.700000000000003</v>
          </cell>
          <cell r="L1172">
            <v>403.899</v>
          </cell>
          <cell r="M1172">
            <v>1639.8</v>
          </cell>
          <cell r="N1172">
            <v>977.23722095581138</v>
          </cell>
          <cell r="P1172">
            <v>3</v>
          </cell>
          <cell r="Q1172">
            <v>11</v>
          </cell>
        </row>
        <row r="1173">
          <cell r="D1173" t="str">
            <v>139-89-9</v>
          </cell>
          <cell r="E1173">
            <v>139899</v>
          </cell>
          <cell r="F1173">
            <v>5689</v>
          </cell>
          <cell r="G1173" t="str">
            <v>Reach_1145</v>
          </cell>
          <cell r="H1173">
            <v>1165</v>
          </cell>
          <cell r="J1173">
            <v>344.21</v>
          </cell>
          <cell r="K1173">
            <v>0</v>
          </cell>
          <cell r="Q1173">
            <v>14</v>
          </cell>
        </row>
        <row r="1174">
          <cell r="D1174" t="str">
            <v>2437-25-4</v>
          </cell>
          <cell r="E1174">
            <v>2437254</v>
          </cell>
          <cell r="F1174">
            <v>559</v>
          </cell>
          <cell r="G1174" t="str">
            <v>Reach_1810</v>
          </cell>
          <cell r="H1174">
            <v>1166</v>
          </cell>
          <cell r="J1174">
            <v>181.32</v>
          </cell>
          <cell r="K1174">
            <v>24.68</v>
          </cell>
          <cell r="L1174">
            <v>0.83712400000000009</v>
          </cell>
          <cell r="M1174">
            <v>6.3513000000000002</v>
          </cell>
          <cell r="N1174">
            <v>58884.365535558936</v>
          </cell>
          <cell r="Q1174">
            <v>14</v>
          </cell>
        </row>
        <row r="1175">
          <cell r="D1175" t="str">
            <v>932742-30-8</v>
          </cell>
          <cell r="E1175">
            <v>932742308</v>
          </cell>
          <cell r="F1175">
            <v>4067</v>
          </cell>
          <cell r="G1175" t="str">
            <v>Reach_4751</v>
          </cell>
          <cell r="H1175">
            <v>1167</v>
          </cell>
          <cell r="J1175">
            <v>703.15</v>
          </cell>
          <cell r="K1175">
            <v>273.12</v>
          </cell>
          <cell r="L1175">
            <v>1.1930350000000003E-12</v>
          </cell>
          <cell r="M1175">
            <v>1.65E-10</v>
          </cell>
          <cell r="N1175">
            <v>9.3325430079699232E+16</v>
          </cell>
          <cell r="P1175">
            <v>7.55</v>
          </cell>
          <cell r="Q1175">
            <v>6.45</v>
          </cell>
        </row>
        <row r="1176">
          <cell r="D1176" t="str">
            <v>99-87-6</v>
          </cell>
          <cell r="E1176">
            <v>99876</v>
          </cell>
          <cell r="F1176">
            <v>1092</v>
          </cell>
          <cell r="G1176" t="str">
            <v>Reach_540</v>
          </cell>
          <cell r="H1176">
            <v>1168</v>
          </cell>
          <cell r="J1176">
            <v>134.22</v>
          </cell>
          <cell r="K1176">
            <v>-28.15</v>
          </cell>
          <cell r="L1176">
            <v>151.96199999999999</v>
          </cell>
          <cell r="M1176">
            <v>41.420999999999999</v>
          </cell>
          <cell r="N1176">
            <v>10000</v>
          </cell>
          <cell r="Q1176">
            <v>14</v>
          </cell>
        </row>
        <row r="1177">
          <cell r="D1177" t="str">
            <v>62-23-7</v>
          </cell>
          <cell r="E1177">
            <v>62237</v>
          </cell>
          <cell r="F1177">
            <v>761</v>
          </cell>
          <cell r="G1177" t="str">
            <v>Reach_62</v>
          </cell>
          <cell r="H1177">
            <v>1169</v>
          </cell>
          <cell r="J1177">
            <v>167.12</v>
          </cell>
          <cell r="K1177">
            <v>115.94</v>
          </cell>
          <cell r="L1177">
            <v>3.3724900000000002E-4</v>
          </cell>
          <cell r="M1177">
            <v>377.67</v>
          </cell>
          <cell r="N1177">
            <v>48.977881936844632</v>
          </cell>
          <cell r="O1177">
            <v>3.3</v>
          </cell>
          <cell r="Q1177">
            <v>3.3</v>
          </cell>
        </row>
        <row r="1178">
          <cell r="D1178" t="str">
            <v>88-44-8</v>
          </cell>
          <cell r="E1178">
            <v>88448</v>
          </cell>
          <cell r="F1178">
            <v>3956</v>
          </cell>
          <cell r="G1178" t="str">
            <v>Reach_323</v>
          </cell>
          <cell r="H1178">
            <v>1170</v>
          </cell>
          <cell r="J1178">
            <v>187.22</v>
          </cell>
          <cell r="K1178">
            <v>139.16999999999999</v>
          </cell>
          <cell r="L1178">
            <v>9.4243100000000013E-6</v>
          </cell>
          <cell r="M1178">
            <v>8386.7000000000007</v>
          </cell>
          <cell r="N1178">
            <v>2.9512092266663844E-2</v>
          </cell>
          <cell r="O1178">
            <v>-0.93</v>
          </cell>
          <cell r="P1178">
            <v>11.19</v>
          </cell>
          <cell r="Q1178">
            <v>-0.93</v>
          </cell>
        </row>
        <row r="1179">
          <cell r="D1179" t="str">
            <v>961-69-3</v>
          </cell>
          <cell r="E1179">
            <v>961693</v>
          </cell>
          <cell r="F1179">
            <v>6093</v>
          </cell>
          <cell r="G1179" t="str">
            <v>Reach_1620</v>
          </cell>
          <cell r="H1179">
            <v>1171</v>
          </cell>
          <cell r="J1179">
            <v>301.39</v>
          </cell>
          <cell r="K1179">
            <v>0</v>
          </cell>
          <cell r="Q1179">
            <v>14</v>
          </cell>
        </row>
        <row r="1180">
          <cell r="D1180" t="str">
            <v>10563-26-5</v>
          </cell>
          <cell r="E1180">
            <v>10563265</v>
          </cell>
          <cell r="F1180">
            <v>1417</v>
          </cell>
          <cell r="G1180" t="str">
            <v>Reach_2297</v>
          </cell>
          <cell r="H1180">
            <v>1172</v>
          </cell>
          <cell r="J1180">
            <v>174.3</v>
          </cell>
          <cell r="K1180">
            <v>87.85</v>
          </cell>
          <cell r="L1180">
            <v>9.2376900000000012E-2</v>
          </cell>
          <cell r="M1180">
            <v>1000000</v>
          </cell>
          <cell r="N1180">
            <v>2.1877616239495523E-2</v>
          </cell>
          <cell r="P1180">
            <v>3.46</v>
          </cell>
          <cell r="Q1180">
            <v>10.54</v>
          </cell>
        </row>
        <row r="1181">
          <cell r="D1181" t="str">
            <v>96-20-8</v>
          </cell>
          <cell r="E1181">
            <v>96208</v>
          </cell>
          <cell r="F1181">
            <v>4141</v>
          </cell>
          <cell r="G1181" t="str">
            <v>Reach_454</v>
          </cell>
          <cell r="H1181">
            <v>1173</v>
          </cell>
          <cell r="J1181">
            <v>89.138999999999996</v>
          </cell>
          <cell r="K1181">
            <v>-14.7</v>
          </cell>
          <cell r="L1181">
            <v>36.257600000000004</v>
          </cell>
          <cell r="M1181">
            <v>833000</v>
          </cell>
          <cell r="N1181">
            <v>0.19952623149688795</v>
          </cell>
          <cell r="O1181">
            <v>15.03</v>
          </cell>
          <cell r="P1181">
            <v>4.5</v>
          </cell>
          <cell r="Q1181">
            <v>9.5</v>
          </cell>
        </row>
        <row r="1182">
          <cell r="D1182" t="str">
            <v>70356-09-1</v>
          </cell>
          <cell r="E1182">
            <v>70356091</v>
          </cell>
          <cell r="F1182">
            <v>3560</v>
          </cell>
          <cell r="G1182" t="str">
            <v>Reach_2917</v>
          </cell>
          <cell r="H1182">
            <v>1174</v>
          </cell>
          <cell r="J1182">
            <v>310.39</v>
          </cell>
          <cell r="K1182">
            <v>155.08000000000001</v>
          </cell>
          <cell r="L1182">
            <v>1.8128799999999999E-4</v>
          </cell>
          <cell r="M1182">
            <v>1.7644</v>
          </cell>
          <cell r="N1182">
            <v>32359.365692962871</v>
          </cell>
          <cell r="O1182">
            <v>8.15</v>
          </cell>
          <cell r="Q1182">
            <v>8.15</v>
          </cell>
        </row>
        <row r="1183">
          <cell r="D1183" t="str">
            <v>5888-33-5</v>
          </cell>
          <cell r="E1183">
            <v>5888335</v>
          </cell>
          <cell r="F1183">
            <v>3257</v>
          </cell>
          <cell r="G1183" t="str">
            <v>Reach_2140</v>
          </cell>
          <cell r="H1183">
            <v>1175</v>
          </cell>
          <cell r="J1183">
            <v>208.3</v>
          </cell>
          <cell r="K1183">
            <v>43.86</v>
          </cell>
          <cell r="L1183">
            <v>1.02641</v>
          </cell>
          <cell r="M1183">
            <v>86.963999999999999</v>
          </cell>
          <cell r="N1183">
            <v>16218.100973589309</v>
          </cell>
          <cell r="Q1183">
            <v>14</v>
          </cell>
        </row>
        <row r="1184">
          <cell r="D1184" t="str">
            <v>112-29-8</v>
          </cell>
          <cell r="E1184">
            <v>112298</v>
          </cell>
          <cell r="F1184">
            <v>324</v>
          </cell>
          <cell r="G1184" t="str">
            <v>Reach_895</v>
          </cell>
          <cell r="H1184">
            <v>1176</v>
          </cell>
          <cell r="J1184">
            <v>221.19</v>
          </cell>
          <cell r="K1184">
            <v>4.7</v>
          </cell>
          <cell r="L1184">
            <v>9.4642999999999997</v>
          </cell>
          <cell r="M1184">
            <v>0.17219999999999999</v>
          </cell>
          <cell r="N1184">
            <v>398107.17055349716</v>
          </cell>
          <cell r="Q1184">
            <v>14</v>
          </cell>
        </row>
        <row r="1185">
          <cell r="D1185" t="str">
            <v>6166-86-5</v>
          </cell>
          <cell r="E1185">
            <v>6166865</v>
          </cell>
          <cell r="F1185">
            <v>3347</v>
          </cell>
          <cell r="G1185" t="str">
            <v>Reach_2156</v>
          </cell>
          <cell r="H1185">
            <v>1177</v>
          </cell>
          <cell r="J1185">
            <v>295.60000000000002</v>
          </cell>
          <cell r="K1185">
            <v>-21.57</v>
          </cell>
          <cell r="L1185">
            <v>218.61199999999999</v>
          </cell>
          <cell r="M1185">
            <v>1159.5999999999999</v>
          </cell>
          <cell r="N1185">
            <v>158489.31924611164</v>
          </cell>
          <cell r="Q1185">
            <v>14</v>
          </cell>
        </row>
        <row r="1186">
          <cell r="D1186" t="str">
            <v>873-32-5</v>
          </cell>
          <cell r="E1186">
            <v>873325</v>
          </cell>
          <cell r="F1186">
            <v>3927</v>
          </cell>
          <cell r="G1186" t="str">
            <v>Reach_1581</v>
          </cell>
          <cell r="H1186">
            <v>1178</v>
          </cell>
          <cell r="J1186">
            <v>137.57</v>
          </cell>
          <cell r="K1186">
            <v>22.93</v>
          </cell>
          <cell r="L1186">
            <v>5.6785800000000002</v>
          </cell>
          <cell r="M1186">
            <v>2335.4</v>
          </cell>
          <cell r="N1186">
            <v>151.3561248436209</v>
          </cell>
          <cell r="Q1186">
            <v>14</v>
          </cell>
        </row>
        <row r="1187">
          <cell r="D1187" t="str">
            <v>350-46-9</v>
          </cell>
          <cell r="E1187">
            <v>350469</v>
          </cell>
          <cell r="F1187">
            <v>611</v>
          </cell>
          <cell r="G1187" t="str">
            <v>Reach_1242</v>
          </cell>
          <cell r="H1187">
            <v>1179</v>
          </cell>
          <cell r="J1187">
            <v>141.1</v>
          </cell>
          <cell r="K1187">
            <v>25.38</v>
          </cell>
          <cell r="L1187">
            <v>37.457300000000004</v>
          </cell>
          <cell r="M1187">
            <v>1382.7</v>
          </cell>
          <cell r="N1187">
            <v>102.32929922807544</v>
          </cell>
          <cell r="Q1187">
            <v>14</v>
          </cell>
        </row>
        <row r="1188">
          <cell r="D1188" t="str">
            <v>124-30-1</v>
          </cell>
          <cell r="E1188">
            <v>124301</v>
          </cell>
          <cell r="F1188">
            <v>1791</v>
          </cell>
          <cell r="G1188" t="str">
            <v>Reach_1076</v>
          </cell>
          <cell r="H1188">
            <v>1180</v>
          </cell>
          <cell r="J1188">
            <v>269.52</v>
          </cell>
          <cell r="K1188">
            <v>94.34</v>
          </cell>
          <cell r="L1188">
            <v>1.1597100000000001E-2</v>
          </cell>
          <cell r="M1188">
            <v>9.7429999999999999E-4</v>
          </cell>
          <cell r="N1188">
            <v>51286138.399136536</v>
          </cell>
          <cell r="P1188">
            <v>3.5</v>
          </cell>
          <cell r="Q1188">
            <v>10.5</v>
          </cell>
        </row>
        <row r="1189">
          <cell r="D1189" t="str">
            <v>2163-00-0</v>
          </cell>
          <cell r="E1189">
            <v>2163000</v>
          </cell>
          <cell r="F1189">
            <v>2301</v>
          </cell>
          <cell r="G1189" t="str">
            <v>Reach_1768</v>
          </cell>
          <cell r="H1189">
            <v>1181</v>
          </cell>
          <cell r="J1189">
            <v>155.07</v>
          </cell>
          <cell r="K1189">
            <v>-28.49</v>
          </cell>
          <cell r="L1189">
            <v>39.323500000000003</v>
          </cell>
          <cell r="M1189">
            <v>210.64</v>
          </cell>
          <cell r="N1189">
            <v>6309.5734448019384</v>
          </cell>
          <cell r="Q1189">
            <v>14</v>
          </cell>
        </row>
        <row r="1190">
          <cell r="D1190" t="str">
            <v>6289-46-9</v>
          </cell>
          <cell r="E1190">
            <v>6289469</v>
          </cell>
          <cell r="F1190">
            <v>3381</v>
          </cell>
          <cell r="G1190" t="str">
            <v>Reach_2161</v>
          </cell>
          <cell r="H1190">
            <v>1182</v>
          </cell>
          <cell r="J1190">
            <v>228.2</v>
          </cell>
          <cell r="K1190">
            <v>35.85</v>
          </cell>
          <cell r="L1190">
            <v>7.4248100000000011E-2</v>
          </cell>
          <cell r="M1190">
            <v>51318</v>
          </cell>
          <cell r="N1190">
            <v>1.0232929922807535E-2</v>
          </cell>
          <cell r="Q1190">
            <v>14</v>
          </cell>
        </row>
        <row r="1191">
          <cell r="D1191" t="str">
            <v>2807-30-9</v>
          </cell>
          <cell r="E1191">
            <v>2807309</v>
          </cell>
          <cell r="F1191">
            <v>2522</v>
          </cell>
          <cell r="G1191" t="str">
            <v>Reach_1870</v>
          </cell>
          <cell r="H1191">
            <v>1183</v>
          </cell>
          <cell r="J1191">
            <v>104.15</v>
          </cell>
          <cell r="K1191">
            <v>-32.14</v>
          </cell>
          <cell r="L1191">
            <v>182.62100000000004</v>
          </cell>
          <cell r="M1191">
            <v>188000</v>
          </cell>
          <cell r="N1191">
            <v>1.2022644346174129</v>
          </cell>
          <cell r="O1191">
            <v>14.95</v>
          </cell>
          <cell r="Q1191">
            <v>14</v>
          </cell>
        </row>
        <row r="1192">
          <cell r="D1192" t="str">
            <v>65-45-2</v>
          </cell>
          <cell r="E1192">
            <v>65452</v>
          </cell>
          <cell r="F1192">
            <v>784</v>
          </cell>
          <cell r="G1192" t="str">
            <v>Reach_76</v>
          </cell>
          <cell r="H1192">
            <v>1184</v>
          </cell>
          <cell r="J1192">
            <v>137.13999999999999</v>
          </cell>
          <cell r="K1192">
            <v>118.01</v>
          </cell>
          <cell r="L1192">
            <v>3.9990000000000001</v>
          </cell>
          <cell r="M1192">
            <v>7548.2</v>
          </cell>
          <cell r="N1192">
            <v>10.715193052376069</v>
          </cell>
          <cell r="O1192">
            <v>8.3000000000000007</v>
          </cell>
          <cell r="Q1192">
            <v>8.3000000000000007</v>
          </cell>
        </row>
        <row r="1193">
          <cell r="D1193" t="str">
            <v>590-19-2</v>
          </cell>
          <cell r="E1193">
            <v>590192</v>
          </cell>
          <cell r="F1193">
            <v>3264</v>
          </cell>
          <cell r="G1193" t="str">
            <v>Reach_1387</v>
          </cell>
          <cell r="H1193">
            <v>1185</v>
          </cell>
          <cell r="J1193">
            <v>54.091999999999999</v>
          </cell>
          <cell r="K1193">
            <v>-117.86</v>
          </cell>
          <cell r="L1193">
            <v>165292</v>
          </cell>
          <cell r="M1193">
            <v>3323.8</v>
          </cell>
          <cell r="N1193">
            <v>114.81536214968835</v>
          </cell>
          <cell r="Q1193">
            <v>14</v>
          </cell>
        </row>
        <row r="1194">
          <cell r="D1194" t="str">
            <v>62889-66-1</v>
          </cell>
          <cell r="E1194">
            <v>62889661</v>
          </cell>
          <cell r="F1194">
            <v>3379</v>
          </cell>
          <cell r="G1194" t="str">
            <v>Reach_4380</v>
          </cell>
          <cell r="H1194">
            <v>1186</v>
          </cell>
          <cell r="J1194">
            <v>315.54000000000002</v>
          </cell>
          <cell r="K1194">
            <v>137.22999999999999</v>
          </cell>
          <cell r="L1194">
            <v>7.9713400000000005E-7</v>
          </cell>
          <cell r="M1194">
            <v>5.3546000000000003E-2</v>
          </cell>
          <cell r="N1194">
            <v>169824.36524617471</v>
          </cell>
          <cell r="Q1194">
            <v>14</v>
          </cell>
        </row>
        <row r="1195">
          <cell r="D1195" t="str">
            <v>56-40-6</v>
          </cell>
          <cell r="E1195">
            <v>56406</v>
          </cell>
          <cell r="F1195">
            <v>3197</v>
          </cell>
          <cell r="G1195" t="str">
            <v>Reach_27</v>
          </cell>
          <cell r="H1195">
            <v>1187</v>
          </cell>
          <cell r="J1195">
            <v>75.067999999999998</v>
          </cell>
          <cell r="K1195">
            <v>246.17</v>
          </cell>
          <cell r="L1195">
            <v>1.0917270000000001E-5</v>
          </cell>
          <cell r="M1195">
            <v>182000</v>
          </cell>
          <cell r="N1195">
            <v>3.8904514499428012E-4</v>
          </cell>
          <cell r="O1195">
            <v>2.2999999999999998</v>
          </cell>
          <cell r="P1195">
            <v>4.2</v>
          </cell>
          <cell r="Q1195">
            <v>2.2999999999999998</v>
          </cell>
        </row>
        <row r="1196">
          <cell r="D1196" t="str">
            <v>97-63-2</v>
          </cell>
          <cell r="E1196">
            <v>97632</v>
          </cell>
          <cell r="F1196">
            <v>4167</v>
          </cell>
          <cell r="G1196" t="str">
            <v>Reach_483</v>
          </cell>
          <cell r="H1196">
            <v>1188</v>
          </cell>
          <cell r="J1196">
            <v>114.14</v>
          </cell>
          <cell r="K1196">
            <v>-67.05</v>
          </cell>
          <cell r="L1196">
            <v>2386.0700000000002</v>
          </cell>
          <cell r="M1196">
            <v>10787</v>
          </cell>
          <cell r="N1196">
            <v>58.884365535558949</v>
          </cell>
          <cell r="Q1196">
            <v>14</v>
          </cell>
        </row>
        <row r="1197">
          <cell r="D1197" t="str">
            <v>123-28-4</v>
          </cell>
          <cell r="E1197">
            <v>123284</v>
          </cell>
          <cell r="F1197">
            <v>1767</v>
          </cell>
          <cell r="G1197" t="str">
            <v>Reach_1043</v>
          </cell>
          <cell r="H1197">
            <v>1189</v>
          </cell>
          <cell r="J1197">
            <v>514.85</v>
          </cell>
          <cell r="K1197">
            <v>155.21</v>
          </cell>
          <cell r="L1197">
            <v>8.6778300000000004E-7</v>
          </cell>
          <cell r="M1197">
            <v>9.64E-7</v>
          </cell>
          <cell r="N1197">
            <v>616595001861.48279</v>
          </cell>
          <cell r="Q1197">
            <v>14</v>
          </cell>
        </row>
        <row r="1198">
          <cell r="D1198" t="str">
            <v>3081-14-9</v>
          </cell>
          <cell r="E1198">
            <v>3081149</v>
          </cell>
          <cell r="F1198">
            <v>2612</v>
          </cell>
          <cell r="G1198" t="str">
            <v>Reach_1913</v>
          </cell>
          <cell r="H1198">
            <v>1190</v>
          </cell>
          <cell r="J1198">
            <v>304.52</v>
          </cell>
          <cell r="K1198">
            <v>112.67</v>
          </cell>
          <cell r="L1198">
            <v>1.095726E-3</v>
          </cell>
          <cell r="M1198">
            <v>4.3393000000000001E-2</v>
          </cell>
          <cell r="N1198">
            <v>1995262.31496888</v>
          </cell>
          <cell r="P1198">
            <v>7.7</v>
          </cell>
          <cell r="Q1198">
            <v>6.3</v>
          </cell>
        </row>
        <row r="1199">
          <cell r="D1199" t="str">
            <v>93-58-3</v>
          </cell>
          <cell r="E1199">
            <v>93583</v>
          </cell>
          <cell r="F1199">
            <v>4073</v>
          </cell>
          <cell r="G1199" t="str">
            <v>Reach_403</v>
          </cell>
          <cell r="H1199">
            <v>1191</v>
          </cell>
          <cell r="J1199">
            <v>136.15</v>
          </cell>
          <cell r="K1199">
            <v>-11.87</v>
          </cell>
          <cell r="L1199">
            <v>50.520700000000005</v>
          </cell>
          <cell r="M1199">
            <v>2087.6</v>
          </cell>
          <cell r="N1199">
            <v>67.60829753919819</v>
          </cell>
          <cell r="Q1199">
            <v>14</v>
          </cell>
        </row>
        <row r="1200">
          <cell r="D1200" t="str">
            <v>91-64-5</v>
          </cell>
          <cell r="E1200">
            <v>91645</v>
          </cell>
          <cell r="F1200">
            <v>1008</v>
          </cell>
          <cell r="G1200" t="str">
            <v>Reach_377</v>
          </cell>
          <cell r="H1200">
            <v>1192</v>
          </cell>
          <cell r="J1200">
            <v>146.15</v>
          </cell>
          <cell r="K1200">
            <v>33.340000000000003</v>
          </cell>
          <cell r="L1200">
            <v>8.7578100000000006E-2</v>
          </cell>
          <cell r="M1200">
            <v>1409.7</v>
          </cell>
          <cell r="N1200">
            <v>32.359365692962832</v>
          </cell>
          <cell r="Q1200">
            <v>14</v>
          </cell>
        </row>
        <row r="1201">
          <cell r="D1201" t="str">
            <v>15356-60-2</v>
          </cell>
          <cell r="E1201">
            <v>15356602</v>
          </cell>
          <cell r="F1201">
            <v>486</v>
          </cell>
          <cell r="G1201" t="str">
            <v>Reach_2385</v>
          </cell>
          <cell r="H1201">
            <v>1193</v>
          </cell>
          <cell r="J1201">
            <v>156.27000000000001</v>
          </cell>
          <cell r="K1201">
            <v>-5.9</v>
          </cell>
          <cell r="L1201">
            <v>1.022411</v>
          </cell>
          <cell r="M1201">
            <v>938.09</v>
          </cell>
          <cell r="N1201">
            <v>2398.8329190194918</v>
          </cell>
          <cell r="O1201">
            <v>16</v>
          </cell>
          <cell r="Q1201">
            <v>14</v>
          </cell>
        </row>
        <row r="1202">
          <cell r="D1202" t="str">
            <v>39605-45-3</v>
          </cell>
          <cell r="E1202">
            <v>39605453</v>
          </cell>
          <cell r="F1202">
            <v>2843</v>
          </cell>
          <cell r="G1202" t="str">
            <v>Reach_4309</v>
          </cell>
          <cell r="H1202">
            <v>1194</v>
          </cell>
          <cell r="J1202">
            <v>369.99</v>
          </cell>
          <cell r="K1202">
            <v>179.77</v>
          </cell>
          <cell r="L1202">
            <v>5.1053900000000004E-6</v>
          </cell>
          <cell r="M1202">
            <v>7.0678E-3</v>
          </cell>
          <cell r="N1202">
            <v>257039578.27688673</v>
          </cell>
          <cell r="P1202">
            <v>12.3</v>
          </cell>
          <cell r="Q1202">
            <v>1.6999999999999993</v>
          </cell>
        </row>
        <row r="1203">
          <cell r="D1203" t="str">
            <v>64354-92-3</v>
          </cell>
          <cell r="E1203">
            <v>64354923</v>
          </cell>
          <cell r="F1203">
            <v>3434</v>
          </cell>
          <cell r="G1203" t="str">
            <v>Reach_2865</v>
          </cell>
          <cell r="H1203">
            <v>1195</v>
          </cell>
          <cell r="J1203">
            <v>211.35</v>
          </cell>
          <cell r="K1203">
            <v>48.23</v>
          </cell>
          <cell r="L1203">
            <v>0.16529200000000002</v>
          </cell>
          <cell r="M1203">
            <v>10.381</v>
          </cell>
          <cell r="N1203">
            <v>8511.3803820237772</v>
          </cell>
          <cell r="Q1203">
            <v>14</v>
          </cell>
        </row>
        <row r="1204">
          <cell r="D1204" t="str">
            <v>18996-35-5</v>
          </cell>
          <cell r="E1204">
            <v>18996355</v>
          </cell>
          <cell r="F1204">
            <v>5752</v>
          </cell>
          <cell r="G1204" t="str">
            <v>Reach_2473</v>
          </cell>
          <cell r="H1204">
            <v>1196</v>
          </cell>
          <cell r="J1204">
            <v>214.11</v>
          </cell>
          <cell r="K1204">
            <v>0</v>
          </cell>
          <cell r="Q1204">
            <v>14</v>
          </cell>
        </row>
        <row r="1205">
          <cell r="D1205" t="str">
            <v>110-77-0</v>
          </cell>
          <cell r="E1205">
            <v>110770</v>
          </cell>
          <cell r="F1205">
            <v>283</v>
          </cell>
          <cell r="G1205" t="str">
            <v>Reach_828</v>
          </cell>
          <cell r="H1205">
            <v>1197</v>
          </cell>
          <cell r="J1205">
            <v>106.19</v>
          </cell>
          <cell r="K1205">
            <v>-26.55</v>
          </cell>
          <cell r="L1205">
            <v>25.460300000000004</v>
          </cell>
          <cell r="M1205">
            <v>15261</v>
          </cell>
          <cell r="N1205">
            <v>2.7542287033381663</v>
          </cell>
          <cell r="O1205">
            <v>15</v>
          </cell>
          <cell r="Q1205">
            <v>14</v>
          </cell>
        </row>
        <row r="1206">
          <cell r="D1206" t="str">
            <v>60-12-8</v>
          </cell>
          <cell r="E1206">
            <v>60128</v>
          </cell>
          <cell r="F1206">
            <v>3306</v>
          </cell>
          <cell r="G1206" t="str">
            <v>Reach_55</v>
          </cell>
          <cell r="H1206">
            <v>1198</v>
          </cell>
          <cell r="J1206">
            <v>122.17</v>
          </cell>
          <cell r="K1206">
            <v>5.81</v>
          </cell>
          <cell r="L1206">
            <v>3.2391900000000002</v>
          </cell>
          <cell r="M1206">
            <v>5341.3</v>
          </cell>
          <cell r="N1206">
            <v>37.153522909717275</v>
          </cell>
          <cell r="O1206">
            <v>15.46</v>
          </cell>
          <cell r="Q1206">
            <v>14</v>
          </cell>
        </row>
        <row r="1207">
          <cell r="D1207" t="str">
            <v>14025-15-1</v>
          </cell>
          <cell r="E1207">
            <v>14025151</v>
          </cell>
          <cell r="F1207">
            <v>1193</v>
          </cell>
          <cell r="G1207" t="str">
            <v>Reach_2354</v>
          </cell>
          <cell r="H1207">
            <v>1199</v>
          </cell>
          <cell r="J1207">
            <v>383.71</v>
          </cell>
          <cell r="K1207">
            <v>0</v>
          </cell>
          <cell r="Q1207">
            <v>14</v>
          </cell>
        </row>
        <row r="1208">
          <cell r="D1208" t="str">
            <v>599-04-2</v>
          </cell>
          <cell r="E1208">
            <v>599042</v>
          </cell>
          <cell r="F1208">
            <v>3296</v>
          </cell>
          <cell r="G1208" t="str">
            <v>Reach_1408</v>
          </cell>
          <cell r="H1208">
            <v>1200</v>
          </cell>
          <cell r="J1208">
            <v>130.13999999999999</v>
          </cell>
          <cell r="K1208">
            <v>31.22</v>
          </cell>
          <cell r="L1208">
            <v>5.4919600000000006E-2</v>
          </cell>
          <cell r="M1208">
            <v>184000</v>
          </cell>
          <cell r="N1208">
            <v>0.10715193052376064</v>
          </cell>
          <cell r="O1208">
            <v>12.62</v>
          </cell>
          <cell r="Q1208">
            <v>12.62</v>
          </cell>
        </row>
        <row r="1209">
          <cell r="D1209" t="str">
            <v>19766-89-3</v>
          </cell>
          <cell r="E1209">
            <v>19766893</v>
          </cell>
          <cell r="F1209">
            <v>5763</v>
          </cell>
          <cell r="G1209" t="str">
            <v>Reach_2484</v>
          </cell>
          <cell r="H1209">
            <v>1201</v>
          </cell>
          <cell r="J1209">
            <v>166.2</v>
          </cell>
          <cell r="K1209">
            <v>0</v>
          </cell>
          <cell r="Q1209">
            <v>14</v>
          </cell>
        </row>
        <row r="1210">
          <cell r="D1210" t="str">
            <v>74351-78-3</v>
          </cell>
          <cell r="E1210">
            <v>74351783</v>
          </cell>
          <cell r="F1210">
            <v>3634</v>
          </cell>
          <cell r="G1210" t="str">
            <v>Reach_4422</v>
          </cell>
          <cell r="H1210">
            <v>1202</v>
          </cell>
          <cell r="J1210">
            <v>669.48</v>
          </cell>
          <cell r="K1210">
            <v>349.84</v>
          </cell>
          <cell r="L1210">
            <v>3.7324000000000005E-22</v>
          </cell>
          <cell r="M1210">
            <v>1.2627999999999999E-3</v>
          </cell>
          <cell r="N1210">
            <v>104712.85480508996</v>
          </cell>
          <cell r="O1210">
            <v>3.55</v>
          </cell>
          <cell r="P1210">
            <v>13.27</v>
          </cell>
          <cell r="Q1210">
            <v>0.73000000000000043</v>
          </cell>
        </row>
        <row r="1211">
          <cell r="D1211" t="str">
            <v>100-01-6</v>
          </cell>
          <cell r="E1211">
            <v>100016</v>
          </cell>
          <cell r="F1211">
            <v>120</v>
          </cell>
          <cell r="G1211" t="str">
            <v>Reach_547</v>
          </cell>
          <cell r="H1211">
            <v>1203</v>
          </cell>
          <cell r="J1211">
            <v>138.13</v>
          </cell>
          <cell r="K1211">
            <v>71.62</v>
          </cell>
          <cell r="L1211">
            <v>2.7726400000000003E-3</v>
          </cell>
          <cell r="M1211">
            <v>1164.0999999999999</v>
          </cell>
          <cell r="N1211">
            <v>29.512092266663863</v>
          </cell>
          <cell r="P1211">
            <v>13</v>
          </cell>
          <cell r="Q1211">
            <v>1</v>
          </cell>
        </row>
        <row r="1212">
          <cell r="D1212" t="str">
            <v>21850-44-2</v>
          </cell>
          <cell r="E1212">
            <v>21850442</v>
          </cell>
          <cell r="F1212">
            <v>2307</v>
          </cell>
          <cell r="G1212" t="str">
            <v>Reach_2511</v>
          </cell>
          <cell r="H1212">
            <v>1204</v>
          </cell>
          <cell r="J1212">
            <v>943.67</v>
          </cell>
          <cell r="K1212">
            <v>281.20999999999998</v>
          </cell>
          <cell r="L1212">
            <v>8.4778800000000012E-13</v>
          </cell>
          <cell r="M1212">
            <v>5.0500000000000001E-10</v>
          </cell>
          <cell r="N1212">
            <v>331131121482.59113</v>
          </cell>
          <cell r="Q1212">
            <v>14</v>
          </cell>
        </row>
        <row r="1213">
          <cell r="D1213" t="str">
            <v>48076-38-6</v>
          </cell>
          <cell r="E1213">
            <v>48076386</v>
          </cell>
          <cell r="F1213">
            <v>2970</v>
          </cell>
          <cell r="G1213" t="str">
            <v>Reach_2759</v>
          </cell>
          <cell r="H1213">
            <v>1205</v>
          </cell>
          <cell r="J1213">
            <v>352.6</v>
          </cell>
          <cell r="K1213">
            <v>116.54</v>
          </cell>
          <cell r="L1213">
            <v>1.8662E-4</v>
          </cell>
          <cell r="M1213">
            <v>1.6699999999999999E-5</v>
          </cell>
          <cell r="N1213">
            <v>11481536214.968866</v>
          </cell>
          <cell r="Q1213">
            <v>14</v>
          </cell>
        </row>
        <row r="1214">
          <cell r="D1214" t="str">
            <v>2210-79-9</v>
          </cell>
          <cell r="E1214">
            <v>2210799</v>
          </cell>
          <cell r="F1214">
            <v>2319</v>
          </cell>
          <cell r="G1214" t="str">
            <v>Reach_1771</v>
          </cell>
          <cell r="H1214">
            <v>1206</v>
          </cell>
          <cell r="J1214">
            <v>164.2</v>
          </cell>
          <cell r="K1214">
            <v>30.25</v>
          </cell>
          <cell r="L1214">
            <v>5.77189</v>
          </cell>
          <cell r="M1214">
            <v>1456.6</v>
          </cell>
          <cell r="N1214">
            <v>144.54397707459285</v>
          </cell>
          <cell r="Q1214">
            <v>14</v>
          </cell>
        </row>
        <row r="1215">
          <cell r="D1215" t="str">
            <v>80-08-0</v>
          </cell>
          <cell r="E1215">
            <v>80080</v>
          </cell>
          <cell r="F1215">
            <v>3787</v>
          </cell>
          <cell r="G1215" t="str">
            <v>Reach_256</v>
          </cell>
          <cell r="H1215">
            <v>1207</v>
          </cell>
          <cell r="J1215">
            <v>248.31</v>
          </cell>
          <cell r="K1215">
            <v>182.92</v>
          </cell>
          <cell r="L1215">
            <v>3.5724400000000001E-6</v>
          </cell>
          <cell r="M1215">
            <v>2105.3000000000002</v>
          </cell>
          <cell r="N1215">
            <v>5.8884365535558905</v>
          </cell>
          <cell r="P1215">
            <v>12.22</v>
          </cell>
          <cell r="Q1215">
            <v>1.7799999999999994</v>
          </cell>
        </row>
        <row r="1216">
          <cell r="D1216" t="str">
            <v>7585-20-8</v>
          </cell>
          <cell r="E1216">
            <v>7585208</v>
          </cell>
          <cell r="F1216">
            <v>6028</v>
          </cell>
          <cell r="G1216" t="str">
            <v>Reach_2262</v>
          </cell>
          <cell r="H1216">
            <v>1208</v>
          </cell>
          <cell r="J1216">
            <v>327.39999999999998</v>
          </cell>
          <cell r="K1216">
            <v>0</v>
          </cell>
          <cell r="Q1216">
            <v>14</v>
          </cell>
        </row>
        <row r="1217">
          <cell r="D1217" t="str">
            <v>7235-40-7</v>
          </cell>
          <cell r="E1217">
            <v>7235407</v>
          </cell>
          <cell r="F1217">
            <v>3602</v>
          </cell>
          <cell r="G1217" t="str">
            <v>Reach_2232</v>
          </cell>
          <cell r="H1217">
            <v>1209</v>
          </cell>
          <cell r="J1217">
            <v>536.89</v>
          </cell>
          <cell r="K1217">
            <v>237.47</v>
          </cell>
          <cell r="L1217">
            <v>2.3860700000000002E-9</v>
          </cell>
          <cell r="M1217">
            <v>1.5400000000000001E-10</v>
          </cell>
          <cell r="N1217">
            <v>4.1686938347033926E+17</v>
          </cell>
          <cell r="Q1217">
            <v>14</v>
          </cell>
        </row>
        <row r="1218">
          <cell r="D1218" t="str">
            <v>110-00-9</v>
          </cell>
          <cell r="E1218">
            <v>110009</v>
          </cell>
          <cell r="F1218">
            <v>270</v>
          </cell>
          <cell r="G1218" t="str">
            <v>Reach_799</v>
          </cell>
          <cell r="H1218">
            <v>1210</v>
          </cell>
          <cell r="J1218">
            <v>68.075000000000003</v>
          </cell>
          <cell r="K1218">
            <v>-87.06</v>
          </cell>
          <cell r="L1218">
            <v>79446.8</v>
          </cell>
          <cell r="M1218">
            <v>8099.1</v>
          </cell>
          <cell r="N1218">
            <v>22.908676527677738</v>
          </cell>
          <cell r="Q1218">
            <v>14</v>
          </cell>
        </row>
        <row r="1219">
          <cell r="D1219" t="str">
            <v>40039-93-8</v>
          </cell>
          <cell r="E1219">
            <v>40039938</v>
          </cell>
          <cell r="F1219">
            <v>5873</v>
          </cell>
          <cell r="G1219" t="str">
            <v>Reach_4053</v>
          </cell>
          <cell r="H1219">
            <v>1211</v>
          </cell>
          <cell r="J1219">
            <v>636.41999999999996</v>
          </cell>
          <cell r="K1219">
            <v>0</v>
          </cell>
          <cell r="Q1219">
            <v>14</v>
          </cell>
        </row>
        <row r="1220">
          <cell r="D1220" t="str">
            <v>732-26-3</v>
          </cell>
          <cell r="E1220">
            <v>732263</v>
          </cell>
          <cell r="F1220">
            <v>829</v>
          </cell>
          <cell r="G1220" t="str">
            <v>Reach_1524</v>
          </cell>
          <cell r="H1220">
            <v>1212</v>
          </cell>
          <cell r="J1220">
            <v>262.44</v>
          </cell>
          <cell r="K1220">
            <v>104.33</v>
          </cell>
          <cell r="L1220">
            <v>2.6660000000000003E-2</v>
          </cell>
          <cell r="M1220">
            <v>0.26125999999999999</v>
          </cell>
          <cell r="N1220">
            <v>2454708.915685033</v>
          </cell>
          <cell r="O1220">
            <v>12.1</v>
          </cell>
          <cell r="Q1220">
            <v>12.1</v>
          </cell>
        </row>
        <row r="1221">
          <cell r="D1221" t="str">
            <v>74-96-4</v>
          </cell>
          <cell r="E1221">
            <v>74964</v>
          </cell>
          <cell r="F1221">
            <v>843</v>
          </cell>
          <cell r="G1221" t="str">
            <v>Reach_119</v>
          </cell>
          <cell r="H1221">
            <v>1213</v>
          </cell>
          <cell r="J1221">
            <v>108.97</v>
          </cell>
          <cell r="K1221">
            <v>-92.1</v>
          </cell>
          <cell r="L1221">
            <v>62384.400000000009</v>
          </cell>
          <cell r="M1221">
            <v>6707.7</v>
          </cell>
          <cell r="N1221">
            <v>46.773514128719818</v>
          </cell>
          <cell r="Q1221">
            <v>14</v>
          </cell>
        </row>
        <row r="1222">
          <cell r="D1222" t="str">
            <v>87-61-6</v>
          </cell>
          <cell r="E1222">
            <v>87616</v>
          </cell>
          <cell r="F1222">
            <v>979</v>
          </cell>
          <cell r="G1222" t="str">
            <v>Reach_313</v>
          </cell>
          <cell r="H1222">
            <v>1214</v>
          </cell>
          <cell r="J1222">
            <v>181.45</v>
          </cell>
          <cell r="K1222">
            <v>16.440000000000001</v>
          </cell>
          <cell r="L1222">
            <v>9.570940000000002</v>
          </cell>
          <cell r="M1222">
            <v>27.463000000000001</v>
          </cell>
          <cell r="N1222">
            <v>8511.3803820237772</v>
          </cell>
          <cell r="Q1222">
            <v>14</v>
          </cell>
        </row>
        <row r="1223">
          <cell r="D1223" t="str">
            <v>3710-84-7</v>
          </cell>
          <cell r="E1223">
            <v>3710847</v>
          </cell>
          <cell r="F1223">
            <v>2791</v>
          </cell>
          <cell r="G1223" t="str">
            <v>Reach_1987</v>
          </cell>
          <cell r="H1223">
            <v>1215</v>
          </cell>
          <cell r="J1223">
            <v>89.138999999999996</v>
          </cell>
          <cell r="K1223">
            <v>7.84</v>
          </cell>
          <cell r="L1223">
            <v>461.21800000000002</v>
          </cell>
          <cell r="M1223">
            <v>117000</v>
          </cell>
          <cell r="N1223">
            <v>2.691534803926916</v>
          </cell>
          <cell r="P1223">
            <v>8.9</v>
          </cell>
          <cell r="Q1223">
            <v>5.0999999999999996</v>
          </cell>
        </row>
        <row r="1224">
          <cell r="D1224" t="str">
            <v>111-78-4</v>
          </cell>
          <cell r="E1224">
            <v>111784</v>
          </cell>
          <cell r="F1224">
            <v>311</v>
          </cell>
          <cell r="G1224" t="str">
            <v>Reach_871</v>
          </cell>
          <cell r="H1224">
            <v>1216</v>
          </cell>
          <cell r="J1224">
            <v>108.18</v>
          </cell>
          <cell r="K1224">
            <v>-57.57</v>
          </cell>
          <cell r="L1224">
            <v>661.16800000000001</v>
          </cell>
          <cell r="M1224">
            <v>83.876999999999995</v>
          </cell>
          <cell r="N1224">
            <v>5370.3179637025269</v>
          </cell>
          <cell r="Q1224">
            <v>14</v>
          </cell>
        </row>
        <row r="1225">
          <cell r="D1225" t="str">
            <v>354-58-5</v>
          </cell>
          <cell r="E1225">
            <v>354585</v>
          </cell>
          <cell r="F1225">
            <v>2737</v>
          </cell>
          <cell r="G1225" t="str">
            <v>Reach_1248</v>
          </cell>
          <cell r="H1225">
            <v>1217</v>
          </cell>
          <cell r="J1225">
            <v>187.38</v>
          </cell>
          <cell r="K1225">
            <v>-75.19</v>
          </cell>
          <cell r="L1225">
            <v>45455.3</v>
          </cell>
          <cell r="M1225">
            <v>297.95</v>
          </cell>
          <cell r="N1225">
            <v>1230.2687708123824</v>
          </cell>
          <cell r="Q1225">
            <v>14</v>
          </cell>
        </row>
        <row r="1226">
          <cell r="D1226" t="str">
            <v>83-42-1</v>
          </cell>
          <cell r="E1226">
            <v>83421</v>
          </cell>
          <cell r="F1226">
            <v>954</v>
          </cell>
          <cell r="G1226" t="str">
            <v>Reach_282</v>
          </cell>
          <cell r="H1226">
            <v>1218</v>
          </cell>
          <cell r="J1226">
            <v>171.58</v>
          </cell>
          <cell r="K1226">
            <v>56.46</v>
          </cell>
          <cell r="L1226">
            <v>5.0254099999999999</v>
          </cell>
          <cell r="M1226">
            <v>105.11</v>
          </cell>
          <cell r="N1226">
            <v>1000</v>
          </cell>
          <cell r="Q1226">
            <v>14</v>
          </cell>
        </row>
        <row r="1227">
          <cell r="D1227" t="str">
            <v>108-83-8</v>
          </cell>
          <cell r="E1227">
            <v>108838</v>
          </cell>
          <cell r="F1227">
            <v>1490</v>
          </cell>
          <cell r="G1227" t="str">
            <v>Reach_758</v>
          </cell>
          <cell r="H1227">
            <v>1219</v>
          </cell>
          <cell r="J1227">
            <v>142.24</v>
          </cell>
          <cell r="K1227">
            <v>-41.38</v>
          </cell>
          <cell r="L1227">
            <v>286.59500000000003</v>
          </cell>
          <cell r="M1227">
            <v>1117.5</v>
          </cell>
          <cell r="N1227">
            <v>363.07805477010152</v>
          </cell>
          <cell r="Q1227">
            <v>14</v>
          </cell>
        </row>
        <row r="1228">
          <cell r="D1228" t="str">
            <v>87-59-2</v>
          </cell>
          <cell r="E1228">
            <v>87592</v>
          </cell>
          <cell r="F1228">
            <v>978</v>
          </cell>
          <cell r="G1228" t="str">
            <v>Reach_311</v>
          </cell>
          <cell r="H1228">
            <v>1220</v>
          </cell>
          <cell r="J1228">
            <v>121.18</v>
          </cell>
          <cell r="K1228">
            <v>29.14</v>
          </cell>
          <cell r="L1228">
            <v>16.129300000000001</v>
          </cell>
          <cell r="M1228">
            <v>1004.3</v>
          </cell>
          <cell r="N1228">
            <v>147.91083881682084</v>
          </cell>
          <cell r="P1228">
            <v>9</v>
          </cell>
          <cell r="Q1228">
            <v>5</v>
          </cell>
        </row>
        <row r="1229">
          <cell r="D1229" t="str">
            <v>554-00-7</v>
          </cell>
          <cell r="E1229">
            <v>554007</v>
          </cell>
          <cell r="F1229">
            <v>700</v>
          </cell>
          <cell r="G1229" t="str">
            <v>Reach_1362</v>
          </cell>
          <cell r="H1229">
            <v>1221</v>
          </cell>
          <cell r="J1229">
            <v>162.02000000000001</v>
          </cell>
          <cell r="K1229">
            <v>46.15</v>
          </cell>
          <cell r="L1229">
            <v>1.9995000000000001</v>
          </cell>
          <cell r="M1229">
            <v>176.19</v>
          </cell>
          <cell r="N1229">
            <v>234.42288153199232</v>
          </cell>
          <cell r="P1229">
            <v>12</v>
          </cell>
          <cell r="Q1229">
            <v>2</v>
          </cell>
        </row>
        <row r="1230">
          <cell r="D1230" t="str">
            <v>534-52-1</v>
          </cell>
          <cell r="E1230">
            <v>534521</v>
          </cell>
          <cell r="F1230">
            <v>682</v>
          </cell>
          <cell r="G1230" t="str">
            <v>Reach_1332</v>
          </cell>
          <cell r="H1230">
            <v>1222</v>
          </cell>
          <cell r="J1230">
            <v>198.14</v>
          </cell>
          <cell r="K1230">
            <v>121.23</v>
          </cell>
          <cell r="L1230">
            <v>2.2661000000000003E-4</v>
          </cell>
          <cell r="M1230">
            <v>4674.1000000000004</v>
          </cell>
          <cell r="N1230">
            <v>186.20871366628685</v>
          </cell>
          <cell r="O1230">
            <v>4.2</v>
          </cell>
          <cell r="Q1230">
            <v>4.2</v>
          </cell>
        </row>
        <row r="1231">
          <cell r="D1231" t="str">
            <v>623-84-7</v>
          </cell>
          <cell r="E1231">
            <v>623847</v>
          </cell>
          <cell r="F1231">
            <v>3367</v>
          </cell>
          <cell r="G1231" t="str">
            <v>Reach_1450</v>
          </cell>
          <cell r="H1231">
            <v>1223</v>
          </cell>
          <cell r="J1231">
            <v>160.16999999999999</v>
          </cell>
          <cell r="K1231">
            <v>-94.6</v>
          </cell>
          <cell r="L1231">
            <v>77.047399999999996</v>
          </cell>
          <cell r="M1231">
            <v>50059</v>
          </cell>
          <cell r="N1231">
            <v>6.6069344800759611</v>
          </cell>
          <cell r="Q1231">
            <v>14</v>
          </cell>
        </row>
        <row r="1232">
          <cell r="D1232" t="str">
            <v>14726-36-4</v>
          </cell>
          <cell r="E1232">
            <v>14726364</v>
          </cell>
          <cell r="F1232">
            <v>5701</v>
          </cell>
          <cell r="G1232" t="str">
            <v>Reach_2368</v>
          </cell>
          <cell r="H1232">
            <v>1224</v>
          </cell>
          <cell r="J1232">
            <v>610.21</v>
          </cell>
          <cell r="K1232">
            <v>0</v>
          </cell>
          <cell r="Q1232">
            <v>14</v>
          </cell>
        </row>
        <row r="1233">
          <cell r="D1233" t="str">
            <v>1506-02-1</v>
          </cell>
          <cell r="E1233">
            <v>1506021</v>
          </cell>
          <cell r="F1233">
            <v>2011</v>
          </cell>
          <cell r="G1233" t="str">
            <v>Reach_1688</v>
          </cell>
          <cell r="H1233">
            <v>1225</v>
          </cell>
          <cell r="J1233">
            <v>258.39999999999998</v>
          </cell>
          <cell r="K1233">
            <v>106.87</v>
          </cell>
          <cell r="L1233">
            <v>2.5193700000000003E-2</v>
          </cell>
          <cell r="M1233">
            <v>0.61009999999999998</v>
          </cell>
          <cell r="N1233">
            <v>2238721.1385683389</v>
          </cell>
          <cell r="Q1233">
            <v>14</v>
          </cell>
        </row>
        <row r="1234">
          <cell r="D1234" t="str">
            <v>23235-61-2</v>
          </cell>
          <cell r="E1234">
            <v>23235612</v>
          </cell>
          <cell r="F1234">
            <v>2348</v>
          </cell>
          <cell r="G1234" t="str">
            <v>Reach_2529</v>
          </cell>
          <cell r="H1234">
            <v>1226</v>
          </cell>
          <cell r="J1234">
            <v>250.34</v>
          </cell>
          <cell r="K1234">
            <v>147.34</v>
          </cell>
          <cell r="L1234">
            <v>4.7454800000000007E-7</v>
          </cell>
          <cell r="M1234">
            <v>3030000</v>
          </cell>
          <cell r="N1234">
            <v>0.19952623149688795</v>
          </cell>
          <cell r="O1234">
            <v>14.58</v>
          </cell>
          <cell r="Q1234">
            <v>14</v>
          </cell>
        </row>
        <row r="1235">
          <cell r="D1235" t="str">
            <v>25306-75-6</v>
          </cell>
          <cell r="E1235">
            <v>25306756</v>
          </cell>
          <cell r="F1235">
            <v>1209</v>
          </cell>
          <cell r="G1235" t="str">
            <v>Reach_2564</v>
          </cell>
          <cell r="H1235">
            <v>1227</v>
          </cell>
          <cell r="J1235">
            <v>172.25</v>
          </cell>
          <cell r="K1235">
            <v>0</v>
          </cell>
          <cell r="Q1235">
            <v>14</v>
          </cell>
        </row>
        <row r="1236">
          <cell r="D1236" t="str">
            <v>36631-30-8</v>
          </cell>
          <cell r="E1236">
            <v>36631308</v>
          </cell>
          <cell r="F1236">
            <v>2771</v>
          </cell>
          <cell r="G1236" t="str">
            <v>Reach_2701</v>
          </cell>
          <cell r="H1236">
            <v>1228</v>
          </cell>
          <cell r="J1236">
            <v>630.95000000000005</v>
          </cell>
          <cell r="K1236">
            <v>246.01</v>
          </cell>
          <cell r="L1236">
            <v>2.1328000000000001E-11</v>
          </cell>
          <cell r="M1236">
            <v>1.2700000000000001E-7</v>
          </cell>
          <cell r="N1236">
            <v>346736850452532.75</v>
          </cell>
          <cell r="Q1236">
            <v>14</v>
          </cell>
        </row>
        <row r="1237">
          <cell r="D1237" t="str">
            <v>68971-49-3</v>
          </cell>
          <cell r="E1237">
            <v>68971493</v>
          </cell>
          <cell r="F1237">
            <v>6000</v>
          </cell>
          <cell r="G1237" t="str">
            <v>Reach_2914</v>
          </cell>
          <cell r="H1237">
            <v>1229</v>
          </cell>
          <cell r="J1237">
            <v>1369.2</v>
          </cell>
          <cell r="K1237">
            <v>0</v>
          </cell>
          <cell r="Q1237">
            <v>14</v>
          </cell>
        </row>
        <row r="1238">
          <cell r="D1238" t="str">
            <v>34443-12-4</v>
          </cell>
          <cell r="E1238">
            <v>34443124</v>
          </cell>
          <cell r="F1238">
            <v>2706</v>
          </cell>
          <cell r="G1238" t="str">
            <v>Reach_2678</v>
          </cell>
          <cell r="H1238">
            <v>1230</v>
          </cell>
          <cell r="J1238">
            <v>246.35</v>
          </cell>
          <cell r="K1238">
            <v>-4.2699999999999996</v>
          </cell>
          <cell r="L1238">
            <v>0.57452300000000001</v>
          </cell>
          <cell r="M1238">
            <v>77.366</v>
          </cell>
          <cell r="N1238">
            <v>45708.818961487581</v>
          </cell>
          <cell r="Q1238">
            <v>14</v>
          </cell>
        </row>
        <row r="1239">
          <cell r="D1239" t="str">
            <v>110-02-1</v>
          </cell>
          <cell r="E1239">
            <v>110021</v>
          </cell>
          <cell r="F1239">
            <v>272</v>
          </cell>
          <cell r="G1239" t="str">
            <v>Reach_801</v>
          </cell>
          <cell r="H1239">
            <v>1231</v>
          </cell>
          <cell r="J1239">
            <v>84.14</v>
          </cell>
          <cell r="K1239">
            <v>-45.67</v>
          </cell>
          <cell r="L1239">
            <v>9837.5400000000009</v>
          </cell>
          <cell r="M1239">
            <v>1859.3</v>
          </cell>
          <cell r="N1239">
            <v>64.565422903465588</v>
          </cell>
          <cell r="Q1239">
            <v>14</v>
          </cell>
        </row>
        <row r="1240">
          <cell r="D1240" t="str">
            <v>618-62-2</v>
          </cell>
          <cell r="E1240">
            <v>618622</v>
          </cell>
          <cell r="F1240">
            <v>759</v>
          </cell>
          <cell r="G1240" t="str">
            <v>Reach_1438</v>
          </cell>
          <cell r="H1240">
            <v>1232</v>
          </cell>
          <cell r="J1240">
            <v>192</v>
          </cell>
          <cell r="K1240">
            <v>65.67</v>
          </cell>
          <cell r="L1240">
            <v>0.6771640000000001</v>
          </cell>
          <cell r="M1240">
            <v>79.653000000000006</v>
          </cell>
          <cell r="N1240">
            <v>1258.925411794168</v>
          </cell>
          <cell r="Q1240">
            <v>14</v>
          </cell>
        </row>
        <row r="1241">
          <cell r="D1241" t="str">
            <v>60-80-0</v>
          </cell>
          <cell r="E1241">
            <v>60800</v>
          </cell>
          <cell r="F1241">
            <v>74</v>
          </cell>
          <cell r="G1241" t="str">
            <v>Reach_59</v>
          </cell>
          <cell r="H1241">
            <v>1233</v>
          </cell>
          <cell r="J1241">
            <v>188.23</v>
          </cell>
          <cell r="K1241">
            <v>119.23</v>
          </cell>
          <cell r="L1241">
            <v>3.7190700000000007E-2</v>
          </cell>
          <cell r="M1241">
            <v>423000</v>
          </cell>
          <cell r="N1241">
            <v>3.8904514499428067</v>
          </cell>
          <cell r="P1241">
            <v>12.2</v>
          </cell>
          <cell r="Q1241">
            <v>1.8000000000000007</v>
          </cell>
        </row>
        <row r="1242">
          <cell r="D1242" t="str">
            <v>68413-60-5</v>
          </cell>
          <cell r="E1242">
            <v>68413605</v>
          </cell>
          <cell r="F1242">
            <v>5997</v>
          </cell>
          <cell r="G1242" t="str">
            <v>Reach_2906</v>
          </cell>
          <cell r="H1242">
            <v>1234</v>
          </cell>
          <cell r="J1242">
            <v>397.15</v>
          </cell>
          <cell r="K1242">
            <v>0</v>
          </cell>
          <cell r="Q1242">
            <v>14</v>
          </cell>
        </row>
        <row r="1243">
          <cell r="D1243" t="str">
            <v>50594-82-6</v>
          </cell>
          <cell r="E1243">
            <v>50594826</v>
          </cell>
          <cell r="F1243">
            <v>3011</v>
          </cell>
          <cell r="G1243" t="str">
            <v>Reach_2766</v>
          </cell>
          <cell r="H1243">
            <v>1235</v>
          </cell>
          <cell r="J1243">
            <v>249.45</v>
          </cell>
          <cell r="K1243">
            <v>24.99</v>
          </cell>
          <cell r="L1243">
            <v>24.793800000000001</v>
          </cell>
          <cell r="M1243">
            <v>1.2526999999999999</v>
          </cell>
          <cell r="N1243">
            <v>77624.711662869129</v>
          </cell>
          <cell r="Q1243">
            <v>14</v>
          </cell>
        </row>
        <row r="1244">
          <cell r="D1244" t="str">
            <v>7299-99-2</v>
          </cell>
          <cell r="E1244">
            <v>7299992</v>
          </cell>
          <cell r="F1244">
            <v>3611</v>
          </cell>
          <cell r="G1244" t="str">
            <v>Reach_2234</v>
          </cell>
          <cell r="H1244">
            <v>1236</v>
          </cell>
          <cell r="J1244">
            <v>640.94000000000005</v>
          </cell>
          <cell r="K1244">
            <v>220.17</v>
          </cell>
          <cell r="L1244">
            <v>2.6660000000000004E-10</v>
          </cell>
          <cell r="M1244">
            <v>4.5299999999999999E-7</v>
          </cell>
          <cell r="N1244">
            <v>2187761623949.5588</v>
          </cell>
          <cell r="Q1244">
            <v>14</v>
          </cell>
        </row>
        <row r="1245">
          <cell r="D1245" t="str">
            <v>320-60-5</v>
          </cell>
          <cell r="E1245">
            <v>320605</v>
          </cell>
          <cell r="F1245">
            <v>2642</v>
          </cell>
          <cell r="G1245" t="str">
            <v>Reach_1234</v>
          </cell>
          <cell r="H1245">
            <v>1237</v>
          </cell>
          <cell r="J1245">
            <v>215</v>
          </cell>
          <cell r="K1245">
            <v>1.45</v>
          </cell>
          <cell r="L1245">
            <v>145.29700000000003</v>
          </cell>
          <cell r="M1245">
            <v>8.2547999999999995</v>
          </cell>
          <cell r="N1245">
            <v>17378.008287493791</v>
          </cell>
          <cell r="Q1245">
            <v>14</v>
          </cell>
        </row>
        <row r="1246">
          <cell r="D1246" t="str">
            <v>109-78-4</v>
          </cell>
          <cell r="E1246">
            <v>109784</v>
          </cell>
          <cell r="F1246">
            <v>1508</v>
          </cell>
          <cell r="G1246" t="str">
            <v>Reach_792</v>
          </cell>
          <cell r="H1246">
            <v>1238</v>
          </cell>
          <cell r="J1246">
            <v>71.08</v>
          </cell>
          <cell r="K1246">
            <v>-16</v>
          </cell>
          <cell r="L1246">
            <v>2.7193200000000006</v>
          </cell>
          <cell r="M1246">
            <v>200000</v>
          </cell>
          <cell r="N1246">
            <v>7.5857757502918358E-2</v>
          </cell>
          <cell r="O1246">
            <v>13.9</v>
          </cell>
          <cell r="Q1246">
            <v>13.9</v>
          </cell>
        </row>
        <row r="1247">
          <cell r="D1247" t="str">
            <v>66682-07-3</v>
          </cell>
          <cell r="E1247">
            <v>66682073</v>
          </cell>
          <cell r="F1247">
            <v>3478</v>
          </cell>
          <cell r="G1247" t="str">
            <v>Reach_4933</v>
          </cell>
          <cell r="H1247">
            <v>1239</v>
          </cell>
          <cell r="J1247">
            <v>298.81</v>
          </cell>
          <cell r="K1247">
            <v>77.28</v>
          </cell>
          <cell r="L1247">
            <v>0.13729900000000003</v>
          </cell>
          <cell r="M1247">
            <v>8.6867E-2</v>
          </cell>
          <cell r="N1247">
            <v>676082.97539198259</v>
          </cell>
          <cell r="Q1247">
            <v>14</v>
          </cell>
        </row>
        <row r="1248">
          <cell r="D1248" t="str">
            <v>100930-72-1</v>
          </cell>
          <cell r="E1248">
            <v>100930721</v>
          </cell>
          <cell r="F1248">
            <v>1312</v>
          </cell>
          <cell r="G1248" t="str">
            <v>Reach_4716</v>
          </cell>
          <cell r="H1248">
            <v>1240</v>
          </cell>
          <cell r="J1248">
            <v>326.48</v>
          </cell>
          <cell r="K1248">
            <v>184.02</v>
          </cell>
          <cell r="L1248">
            <v>1.6662500000000001E-8</v>
          </cell>
          <cell r="M1248">
            <v>1.8287000000000001E-2</v>
          </cell>
          <cell r="N1248">
            <v>107151930.5237608</v>
          </cell>
          <cell r="O1248">
            <v>7.6</v>
          </cell>
          <cell r="Q1248">
            <v>7.6</v>
          </cell>
        </row>
        <row r="1249">
          <cell r="D1249" t="str">
            <v>617-48-1</v>
          </cell>
          <cell r="E1249">
            <v>617481</v>
          </cell>
          <cell r="F1249">
            <v>3352</v>
          </cell>
          <cell r="G1249" t="str">
            <v>Reach_1435</v>
          </cell>
          <cell r="H1249">
            <v>1241</v>
          </cell>
          <cell r="J1249">
            <v>134.09</v>
          </cell>
          <cell r="K1249">
            <v>112.71</v>
          </cell>
          <cell r="L1249">
            <v>3.9056900000000001E-4</v>
          </cell>
          <cell r="M1249">
            <v>344000</v>
          </cell>
          <cell r="N1249">
            <v>2.0892961308540386E-2</v>
          </cell>
          <cell r="O1249">
            <v>3.63</v>
          </cell>
          <cell r="Q1249">
            <v>3.63</v>
          </cell>
        </row>
        <row r="1250">
          <cell r="D1250" t="str">
            <v>2495-39-8</v>
          </cell>
          <cell r="E1250">
            <v>2495398</v>
          </cell>
          <cell r="F1250">
            <v>5793</v>
          </cell>
          <cell r="G1250" t="str">
            <v>Reach_1823</v>
          </cell>
          <cell r="H1250">
            <v>1242</v>
          </cell>
          <cell r="J1250">
            <v>144.13</v>
          </cell>
          <cell r="K1250">
            <v>0</v>
          </cell>
          <cell r="Q1250">
            <v>14</v>
          </cell>
        </row>
        <row r="1251">
          <cell r="D1251" t="str">
            <v>3698-89-3</v>
          </cell>
          <cell r="E1251">
            <v>3698893</v>
          </cell>
          <cell r="F1251">
            <v>2787</v>
          </cell>
          <cell r="G1251" t="str">
            <v>Reach_1983</v>
          </cell>
          <cell r="H1251">
            <v>1243</v>
          </cell>
          <cell r="J1251">
            <v>216.43</v>
          </cell>
          <cell r="K1251">
            <v>22.19</v>
          </cell>
          <cell r="L1251">
            <v>0.93843200000000015</v>
          </cell>
          <cell r="M1251">
            <v>9.5282000000000006E-3</v>
          </cell>
          <cell r="N1251">
            <v>2089296.1308540432</v>
          </cell>
          <cell r="Q1251">
            <v>14</v>
          </cell>
        </row>
        <row r="1252">
          <cell r="D1252" t="str">
            <v>121-33-5</v>
          </cell>
          <cell r="E1252">
            <v>121335</v>
          </cell>
          <cell r="F1252">
            <v>369</v>
          </cell>
          <cell r="G1252" t="str">
            <v>Reach_1011</v>
          </cell>
          <cell r="H1252">
            <v>1244</v>
          </cell>
          <cell r="J1252">
            <v>152.15</v>
          </cell>
          <cell r="K1252">
            <v>71.55</v>
          </cell>
          <cell r="L1252">
            <v>5.9585100000000009E-2</v>
          </cell>
          <cell r="M1252">
            <v>6633.4</v>
          </cell>
          <cell r="N1252">
            <v>11.220184543019636</v>
          </cell>
          <cell r="O1252">
            <v>7.3</v>
          </cell>
          <cell r="Q1252">
            <v>7.3</v>
          </cell>
        </row>
        <row r="1253">
          <cell r="D1253" t="str">
            <v>78-08-0</v>
          </cell>
          <cell r="E1253">
            <v>78080</v>
          </cell>
          <cell r="F1253">
            <v>3746</v>
          </cell>
          <cell r="G1253" t="str">
            <v>Reach_193</v>
          </cell>
          <cell r="H1253">
            <v>1245</v>
          </cell>
          <cell r="J1253">
            <v>190.32</v>
          </cell>
          <cell r="K1253">
            <v>-12.75</v>
          </cell>
          <cell r="L1253">
            <v>96.109300000000005</v>
          </cell>
          <cell r="N1253">
            <v>14.454397707459275</v>
          </cell>
          <cell r="Q1253">
            <v>14</v>
          </cell>
        </row>
        <row r="1254">
          <cell r="D1254" t="str">
            <v>504-63-2</v>
          </cell>
          <cell r="E1254">
            <v>504632</v>
          </cell>
          <cell r="F1254">
            <v>660</v>
          </cell>
          <cell r="G1254" t="str">
            <v>Reach_1306</v>
          </cell>
          <cell r="H1254">
            <v>1246</v>
          </cell>
          <cell r="J1254">
            <v>76.094999999999999</v>
          </cell>
          <cell r="K1254">
            <v>-19.72</v>
          </cell>
          <cell r="L1254">
            <v>2.7593100000000002</v>
          </cell>
          <cell r="M1254">
            <v>1400000</v>
          </cell>
          <cell r="N1254">
            <v>0.19498445997580449</v>
          </cell>
          <cell r="O1254">
            <v>15.28</v>
          </cell>
          <cell r="Q1254">
            <v>14</v>
          </cell>
        </row>
        <row r="1255">
          <cell r="D1255" t="str">
            <v>354-32-5</v>
          </cell>
          <cell r="E1255">
            <v>354325</v>
          </cell>
          <cell r="F1255">
            <v>2732</v>
          </cell>
          <cell r="G1255" t="str">
            <v>Reach_1245</v>
          </cell>
          <cell r="H1255">
            <v>1247</v>
          </cell>
          <cell r="J1255">
            <v>132.47</v>
          </cell>
          <cell r="K1255">
            <v>-83.73</v>
          </cell>
          <cell r="L1255">
            <v>29859.200000000004</v>
          </cell>
          <cell r="M1255">
            <v>191000</v>
          </cell>
          <cell r="N1255">
            <v>0.87096358995608059</v>
          </cell>
          <cell r="Q1255">
            <v>14</v>
          </cell>
        </row>
        <row r="1256">
          <cell r="D1256" t="str">
            <v>75-44-5</v>
          </cell>
          <cell r="E1256">
            <v>75445</v>
          </cell>
          <cell r="F1256">
            <v>3672</v>
          </cell>
          <cell r="G1256" t="str">
            <v>Reach_144</v>
          </cell>
          <cell r="H1256">
            <v>1248</v>
          </cell>
          <cell r="J1256">
            <v>98.915999999999997</v>
          </cell>
          <cell r="K1256">
            <v>-67.47</v>
          </cell>
          <cell r="L1256">
            <v>181288.00000000003</v>
          </cell>
          <cell r="M1256">
            <v>9688.1</v>
          </cell>
          <cell r="N1256">
            <v>0.19498445997580449</v>
          </cell>
          <cell r="Q1256">
            <v>14</v>
          </cell>
        </row>
        <row r="1257">
          <cell r="D1257" t="str">
            <v>338-65-8</v>
          </cell>
          <cell r="E1257">
            <v>338658</v>
          </cell>
          <cell r="F1257">
            <v>2688</v>
          </cell>
          <cell r="G1257" t="str">
            <v>Reach_4641</v>
          </cell>
          <cell r="H1257">
            <v>1249</v>
          </cell>
          <cell r="J1257">
            <v>100.5</v>
          </cell>
          <cell r="K1257">
            <v>-121.38</v>
          </cell>
          <cell r="L1257">
            <v>94643.000000000015</v>
          </cell>
          <cell r="M1257">
            <v>5406.5</v>
          </cell>
          <cell r="N1257">
            <v>24.547089156850305</v>
          </cell>
          <cell r="Q1257">
            <v>14</v>
          </cell>
        </row>
        <row r="1258">
          <cell r="D1258" t="str">
            <v>4253-34-3</v>
          </cell>
          <cell r="E1258">
            <v>4253343</v>
          </cell>
          <cell r="F1258">
            <v>2896</v>
          </cell>
          <cell r="G1258" t="str">
            <v>Reach_2023</v>
          </cell>
          <cell r="H1258">
            <v>1250</v>
          </cell>
          <cell r="J1258">
            <v>220.25</v>
          </cell>
          <cell r="K1258">
            <v>-44.9</v>
          </cell>
          <cell r="L1258">
            <v>17.995500000000003</v>
          </cell>
          <cell r="M1258">
            <v>6630.6</v>
          </cell>
          <cell r="N1258">
            <v>1.778279410038923</v>
          </cell>
          <cell r="Q1258">
            <v>14</v>
          </cell>
        </row>
        <row r="1259">
          <cell r="D1259" t="str">
            <v>61203-94-9</v>
          </cell>
          <cell r="E1259">
            <v>61203949</v>
          </cell>
          <cell r="F1259">
            <v>3329</v>
          </cell>
          <cell r="G1259" t="str">
            <v>Reach_4371</v>
          </cell>
          <cell r="H1259">
            <v>1251</v>
          </cell>
          <cell r="J1259">
            <v>202.34</v>
          </cell>
          <cell r="K1259">
            <v>24.38</v>
          </cell>
          <cell r="L1259">
            <v>0.62117800000000012</v>
          </cell>
          <cell r="M1259">
            <v>4.3975E-2</v>
          </cell>
          <cell r="N1259">
            <v>1621810.0973589318</v>
          </cell>
          <cell r="Q1259">
            <v>14</v>
          </cell>
        </row>
        <row r="1260">
          <cell r="D1260" t="str">
            <v>434-16-2</v>
          </cell>
          <cell r="E1260">
            <v>434162</v>
          </cell>
          <cell r="F1260">
            <v>2912</v>
          </cell>
          <cell r="G1260" t="str">
            <v>Reach_1273</v>
          </cell>
          <cell r="H1260">
            <v>1252</v>
          </cell>
          <cell r="J1260">
            <v>384.65</v>
          </cell>
          <cell r="K1260">
            <v>167.39</v>
          </cell>
          <cell r="L1260">
            <v>1.0730650000000001E-7</v>
          </cell>
          <cell r="M1260">
            <v>7.3797999999999997E-3</v>
          </cell>
          <cell r="N1260">
            <v>446683592.15096432</v>
          </cell>
          <cell r="Q1260">
            <v>14</v>
          </cell>
        </row>
        <row r="1261">
          <cell r="D1261" t="str">
            <v>68127-98-0</v>
          </cell>
          <cell r="E1261">
            <v>68127980</v>
          </cell>
          <cell r="F1261">
            <v>3506</v>
          </cell>
          <cell r="G1261" t="str">
            <v>Reach_4397</v>
          </cell>
          <cell r="H1261">
            <v>1253</v>
          </cell>
          <cell r="J1261">
            <v>261.07</v>
          </cell>
          <cell r="K1261">
            <v>28.34</v>
          </cell>
          <cell r="L1261">
            <v>32.9251</v>
          </cell>
          <cell r="M1261">
            <v>61.860999999999997</v>
          </cell>
          <cell r="N1261">
            <v>1949.8445997580463</v>
          </cell>
          <cell r="Q1261">
            <v>14</v>
          </cell>
        </row>
        <row r="1262">
          <cell r="D1262" t="str">
            <v>72-18-4</v>
          </cell>
          <cell r="E1262">
            <v>72184</v>
          </cell>
          <cell r="F1262">
            <v>3599</v>
          </cell>
          <cell r="G1262" t="str">
            <v>Reach_105</v>
          </cell>
          <cell r="H1262">
            <v>1254</v>
          </cell>
          <cell r="J1262">
            <v>117.15</v>
          </cell>
          <cell r="K1262">
            <v>252.07</v>
          </cell>
          <cell r="L1262">
            <v>1.2183620000000001E-6</v>
          </cell>
          <cell r="M1262">
            <v>40367</v>
          </cell>
          <cell r="N1262">
            <v>8.3176377110267055E-3</v>
          </cell>
          <cell r="O1262">
            <v>2.2999999999999998</v>
          </cell>
          <cell r="P1262">
            <v>4.2</v>
          </cell>
          <cell r="Q1262">
            <v>2.2999999999999998</v>
          </cell>
        </row>
        <row r="1263">
          <cell r="D1263" t="str">
            <v>139147-73-2</v>
          </cell>
          <cell r="E1263">
            <v>139147732</v>
          </cell>
          <cell r="F1263">
            <v>1917</v>
          </cell>
          <cell r="G1263" t="str">
            <v>Reach_4142</v>
          </cell>
          <cell r="H1263">
            <v>1255</v>
          </cell>
          <cell r="J1263">
            <v>237.25</v>
          </cell>
          <cell r="K1263">
            <v>21.91</v>
          </cell>
          <cell r="L1263">
            <v>7.0382400000000009</v>
          </cell>
          <cell r="N1263">
            <v>630957.34448019415</v>
          </cell>
          <cell r="Q1263">
            <v>14</v>
          </cell>
        </row>
        <row r="1264">
          <cell r="D1264" t="str">
            <v>594-42-3</v>
          </cell>
          <cell r="E1264">
            <v>594423</v>
          </cell>
          <cell r="F1264">
            <v>3276</v>
          </cell>
          <cell r="G1264" t="str">
            <v>Reach_1398</v>
          </cell>
          <cell r="H1264">
            <v>1256</v>
          </cell>
          <cell r="J1264">
            <v>185.89</v>
          </cell>
          <cell r="K1264">
            <v>-22.13</v>
          </cell>
          <cell r="L1264">
            <v>599.85</v>
          </cell>
          <cell r="M1264">
            <v>124.96</v>
          </cell>
          <cell r="N1264">
            <v>2951.2092266663899</v>
          </cell>
          <cell r="Q1264">
            <v>14</v>
          </cell>
        </row>
        <row r="1265">
          <cell r="D1265" t="str">
            <v>10605-40-0</v>
          </cell>
          <cell r="E1265">
            <v>10605400</v>
          </cell>
          <cell r="F1265">
            <v>1426</v>
          </cell>
          <cell r="G1265" t="str">
            <v>Reach_2302</v>
          </cell>
          <cell r="H1265">
            <v>1257</v>
          </cell>
          <cell r="J1265">
            <v>171.14</v>
          </cell>
          <cell r="K1265">
            <v>-43.84</v>
          </cell>
          <cell r="L1265">
            <v>638.50700000000006</v>
          </cell>
          <cell r="M1265">
            <v>173.53</v>
          </cell>
          <cell r="N1265">
            <v>5248.0746024977352</v>
          </cell>
          <cell r="Q1265">
            <v>14</v>
          </cell>
        </row>
        <row r="1266">
          <cell r="D1266" t="str">
            <v>7651-02-7</v>
          </cell>
          <cell r="E1266">
            <v>7651027</v>
          </cell>
          <cell r="F1266">
            <v>1289</v>
          </cell>
          <cell r="G1266" t="str">
            <v>Reach_2266</v>
          </cell>
          <cell r="H1266">
            <v>1258</v>
          </cell>
          <cell r="J1266">
            <v>368.65</v>
          </cell>
          <cell r="K1266">
            <v>196.17</v>
          </cell>
          <cell r="L1266">
            <v>2.2261100000000003E-7</v>
          </cell>
          <cell r="M1266">
            <v>5.7510000000000005E-4</v>
          </cell>
          <cell r="N1266">
            <v>22387211.385683414</v>
          </cell>
          <cell r="O1266">
            <v>14.77</v>
          </cell>
          <cell r="P1266">
            <v>4.8</v>
          </cell>
          <cell r="Q1266">
            <v>9.1999999999999993</v>
          </cell>
        </row>
        <row r="1267">
          <cell r="D1267" t="str">
            <v>593-85-1</v>
          </cell>
          <cell r="E1267">
            <v>593851</v>
          </cell>
          <cell r="F1267">
            <v>5942</v>
          </cell>
          <cell r="G1267" t="str">
            <v>Reach_1397</v>
          </cell>
          <cell r="H1267">
            <v>1259</v>
          </cell>
          <cell r="J1267">
            <v>180.17</v>
          </cell>
          <cell r="K1267">
            <v>0</v>
          </cell>
          <cell r="Q1267">
            <v>14</v>
          </cell>
        </row>
        <row r="1268">
          <cell r="D1268" t="str">
            <v>26272-90-2</v>
          </cell>
          <cell r="E1268">
            <v>26272902</v>
          </cell>
          <cell r="F1268">
            <v>2460</v>
          </cell>
          <cell r="G1268" t="str">
            <v>Reach_2578</v>
          </cell>
          <cell r="H1268">
            <v>1260</v>
          </cell>
          <cell r="J1268">
            <v>304.89999999999998</v>
          </cell>
          <cell r="K1268">
            <v>83.56</v>
          </cell>
          <cell r="L1268">
            <v>7.0515700000000001E-3</v>
          </cell>
          <cell r="M1268">
            <v>5.6950000000000002E-4</v>
          </cell>
          <cell r="N1268">
            <v>31622776.601683889</v>
          </cell>
          <cell r="Q1268">
            <v>14</v>
          </cell>
        </row>
        <row r="1269">
          <cell r="D1269" t="str">
            <v>7378-99-6</v>
          </cell>
          <cell r="E1269">
            <v>7378996</v>
          </cell>
          <cell r="F1269">
            <v>833</v>
          </cell>
          <cell r="G1269" t="str">
            <v>Reach_2242</v>
          </cell>
          <cell r="H1269">
            <v>1261</v>
          </cell>
          <cell r="J1269">
            <v>157.30000000000001</v>
          </cell>
          <cell r="K1269">
            <v>-21.93</v>
          </cell>
          <cell r="L1269">
            <v>75.181200000000004</v>
          </cell>
          <cell r="M1269">
            <v>29.641999999999999</v>
          </cell>
          <cell r="N1269">
            <v>3019.9517204020176</v>
          </cell>
          <cell r="P1269">
            <v>4</v>
          </cell>
          <cell r="Q1269">
            <v>10</v>
          </cell>
        </row>
        <row r="1270">
          <cell r="D1270" t="str">
            <v>95149-35-2</v>
          </cell>
          <cell r="E1270">
            <v>95149352</v>
          </cell>
          <cell r="F1270">
            <v>4121</v>
          </cell>
          <cell r="G1270" t="str">
            <v>Reach_4649</v>
          </cell>
          <cell r="H1270">
            <v>1262</v>
          </cell>
          <cell r="J1270">
            <v>286.45999999999998</v>
          </cell>
          <cell r="K1270">
            <v>119.19</v>
          </cell>
          <cell r="L1270">
            <v>5.6652500000000001E-4</v>
          </cell>
          <cell r="M1270">
            <v>0.73807</v>
          </cell>
          <cell r="N1270">
            <v>22908676.527677748</v>
          </cell>
          <cell r="Q1270">
            <v>14</v>
          </cell>
        </row>
        <row r="1271">
          <cell r="D1271" t="str">
            <v>644-97-3</v>
          </cell>
          <cell r="E1271">
            <v>644973</v>
          </cell>
          <cell r="F1271">
            <v>3437</v>
          </cell>
          <cell r="G1271" t="str">
            <v>Reach_1480</v>
          </cell>
          <cell r="H1271">
            <v>1263</v>
          </cell>
          <cell r="J1271">
            <v>178.99</v>
          </cell>
          <cell r="K1271">
            <v>-4.92</v>
          </cell>
          <cell r="L1271">
            <v>13.463300000000002</v>
          </cell>
          <cell r="M1271">
            <v>310.88</v>
          </cell>
          <cell r="N1271">
            <v>1023.2929922807547</v>
          </cell>
          <cell r="Q1271">
            <v>14</v>
          </cell>
        </row>
        <row r="1272">
          <cell r="D1272" t="str">
            <v>111-44-4</v>
          </cell>
          <cell r="E1272">
            <v>111444</v>
          </cell>
          <cell r="F1272">
            <v>301</v>
          </cell>
          <cell r="G1272" t="str">
            <v>Reach_857</v>
          </cell>
          <cell r="H1272">
            <v>1264</v>
          </cell>
          <cell r="J1272">
            <v>143.01</v>
          </cell>
          <cell r="K1272">
            <v>-34.44</v>
          </cell>
          <cell r="L1272">
            <v>138.63200000000001</v>
          </cell>
          <cell r="M1272">
            <v>4219.6000000000004</v>
          </cell>
          <cell r="N1272">
            <v>36.307805477010156</v>
          </cell>
          <cell r="Q1272">
            <v>14</v>
          </cell>
        </row>
        <row r="1273">
          <cell r="D1273" t="str">
            <v>34452-51-2</v>
          </cell>
          <cell r="E1273">
            <v>34452512</v>
          </cell>
          <cell r="F1273">
            <v>5852</v>
          </cell>
          <cell r="G1273" t="str">
            <v>Reach_2679</v>
          </cell>
          <cell r="H1273">
            <v>1265</v>
          </cell>
          <cell r="J1273">
            <v>130.21</v>
          </cell>
          <cell r="K1273">
            <v>0</v>
          </cell>
          <cell r="Q1273">
            <v>14</v>
          </cell>
        </row>
        <row r="1274">
          <cell r="D1274" t="str">
            <v>329-01-1</v>
          </cell>
          <cell r="E1274">
            <v>329011</v>
          </cell>
          <cell r="F1274">
            <v>2668</v>
          </cell>
          <cell r="G1274" t="str">
            <v>Reach_1237</v>
          </cell>
          <cell r="H1274">
            <v>1266</v>
          </cell>
          <cell r="J1274">
            <v>187.12</v>
          </cell>
          <cell r="K1274">
            <v>-21.49</v>
          </cell>
          <cell r="L1274">
            <v>275.93099999999998</v>
          </cell>
          <cell r="M1274">
            <v>1218</v>
          </cell>
          <cell r="N1274">
            <v>3630.7805477010188</v>
          </cell>
          <cell r="Q1274">
            <v>14</v>
          </cell>
        </row>
        <row r="1275">
          <cell r="D1275" t="str">
            <v>135590-91-9</v>
          </cell>
          <cell r="E1275">
            <v>135590919</v>
          </cell>
          <cell r="F1275">
            <v>436</v>
          </cell>
          <cell r="G1275" t="str">
            <v>Reach_4133</v>
          </cell>
          <cell r="H1275">
            <v>1267</v>
          </cell>
          <cell r="J1275">
            <v>373.24</v>
          </cell>
          <cell r="K1275">
            <v>149.93</v>
          </cell>
          <cell r="L1275">
            <v>4.4122300000000003E-4</v>
          </cell>
          <cell r="M1275">
            <v>2.3944999999999999</v>
          </cell>
          <cell r="N1275">
            <v>66069.344800759733</v>
          </cell>
          <cell r="Q1275">
            <v>14</v>
          </cell>
        </row>
        <row r="1276">
          <cell r="D1276" t="str">
            <v>927-07-1</v>
          </cell>
          <cell r="E1276">
            <v>927071</v>
          </cell>
          <cell r="F1276">
            <v>4046</v>
          </cell>
          <cell r="G1276" t="str">
            <v>Reach_1599</v>
          </cell>
          <cell r="H1276">
            <v>1268</v>
          </cell>
          <cell r="J1276">
            <v>174.24</v>
          </cell>
          <cell r="K1276">
            <v>-13.22</v>
          </cell>
          <cell r="L1276">
            <v>199.95000000000002</v>
          </cell>
          <cell r="M1276">
            <v>217.61</v>
          </cell>
          <cell r="N1276">
            <v>630.95734448019323</v>
          </cell>
          <cell r="Q1276">
            <v>14</v>
          </cell>
        </row>
        <row r="1277">
          <cell r="D1277" t="str">
            <v>402-31-3</v>
          </cell>
          <cell r="E1277">
            <v>402313</v>
          </cell>
          <cell r="F1277">
            <v>2854</v>
          </cell>
          <cell r="G1277" t="str">
            <v>Reach_1266</v>
          </cell>
          <cell r="H1277">
            <v>1269</v>
          </cell>
          <cell r="J1277">
            <v>214.11</v>
          </cell>
          <cell r="K1277">
            <v>-45.88</v>
          </cell>
          <cell r="L1277">
            <v>2492.71</v>
          </cell>
          <cell r="M1277">
            <v>60.402999999999999</v>
          </cell>
          <cell r="N1277">
            <v>8317.6377110267094</v>
          </cell>
          <cell r="Q1277">
            <v>14</v>
          </cell>
        </row>
        <row r="1278">
          <cell r="D1278" t="str">
            <v>5421-46-5</v>
          </cell>
          <cell r="E1278">
            <v>5421465</v>
          </cell>
          <cell r="F1278">
            <v>5923</v>
          </cell>
          <cell r="G1278" t="str">
            <v>Reach_2109</v>
          </cell>
          <cell r="H1278">
            <v>1270</v>
          </cell>
          <cell r="J1278">
            <v>109.15</v>
          </cell>
          <cell r="K1278">
            <v>0</v>
          </cell>
          <cell r="Q1278">
            <v>14</v>
          </cell>
        </row>
        <row r="1279">
          <cell r="D1279" t="str">
            <v>72162-46-0</v>
          </cell>
          <cell r="E1279">
            <v>72162460</v>
          </cell>
          <cell r="F1279">
            <v>3598</v>
          </cell>
          <cell r="G1279" t="str">
            <v>Reach_2934</v>
          </cell>
          <cell r="H1279">
            <v>1271</v>
          </cell>
          <cell r="J1279">
            <v>272.48</v>
          </cell>
          <cell r="K1279">
            <v>105.42</v>
          </cell>
          <cell r="L1279">
            <v>3.6657500000000006E-3</v>
          </cell>
          <cell r="M1279">
            <v>0.68776000000000004</v>
          </cell>
          <cell r="N1279">
            <v>7943.2823472428154</v>
          </cell>
          <cell r="P1279">
            <v>3.68</v>
          </cell>
          <cell r="Q1279">
            <v>10.32</v>
          </cell>
        </row>
        <row r="1280">
          <cell r="D1280" t="str">
            <v>1558-33-4</v>
          </cell>
          <cell r="E1280">
            <v>1558334</v>
          </cell>
          <cell r="F1280">
            <v>2045</v>
          </cell>
          <cell r="G1280" t="str">
            <v>Reach_1690</v>
          </cell>
          <cell r="H1280">
            <v>1272</v>
          </cell>
          <cell r="J1280">
            <v>163.51</v>
          </cell>
          <cell r="K1280">
            <v>-55.81</v>
          </cell>
          <cell r="L1280">
            <v>1946.18</v>
          </cell>
          <cell r="N1280">
            <v>316.22776601683825</v>
          </cell>
          <cell r="Q1280">
            <v>14</v>
          </cell>
        </row>
        <row r="1281">
          <cell r="D1281" t="str">
            <v>2629-68-7</v>
          </cell>
          <cell r="E1281">
            <v>2629687</v>
          </cell>
          <cell r="F1281">
            <v>2463</v>
          </cell>
          <cell r="G1281" t="str">
            <v>Reach_4829</v>
          </cell>
          <cell r="H1281">
            <v>1273</v>
          </cell>
          <cell r="J1281">
            <v>247.02</v>
          </cell>
          <cell r="K1281">
            <v>2.65</v>
          </cell>
          <cell r="L1281">
            <v>117.17070000000001</v>
          </cell>
          <cell r="M1281">
            <v>18.233000000000001</v>
          </cell>
          <cell r="N1281">
            <v>35481.33892335758</v>
          </cell>
          <cell r="Q1281">
            <v>14</v>
          </cell>
        </row>
        <row r="1282">
          <cell r="D1282" t="str">
            <v>2082-81-7</v>
          </cell>
          <cell r="E1282">
            <v>2082817</v>
          </cell>
          <cell r="F1282">
            <v>2277</v>
          </cell>
          <cell r="G1282" t="str">
            <v>Reach_1756</v>
          </cell>
          <cell r="H1282">
            <v>1274</v>
          </cell>
          <cell r="J1282">
            <v>226.27</v>
          </cell>
          <cell r="K1282">
            <v>-46.39</v>
          </cell>
          <cell r="L1282">
            <v>2.4927100000000001E-2</v>
          </cell>
          <cell r="M1282">
            <v>172.48</v>
          </cell>
          <cell r="N1282">
            <v>1548.8166189124822</v>
          </cell>
          <cell r="Q1282">
            <v>14</v>
          </cell>
        </row>
        <row r="1283">
          <cell r="D1283" t="str">
            <v>99-62-7</v>
          </cell>
          <cell r="E1283">
            <v>99627</v>
          </cell>
          <cell r="F1283">
            <v>4210</v>
          </cell>
          <cell r="G1283" t="str">
            <v>Reach_534</v>
          </cell>
          <cell r="H1283">
            <v>1275</v>
          </cell>
          <cell r="J1283">
            <v>162.28</v>
          </cell>
          <cell r="K1283">
            <v>-16.12</v>
          </cell>
          <cell r="L1283">
            <v>40.923100000000005</v>
          </cell>
          <cell r="M1283">
            <v>1.2195</v>
          </cell>
          <cell r="N1283">
            <v>79432.823472428237</v>
          </cell>
          <cell r="Q1283">
            <v>14</v>
          </cell>
        </row>
        <row r="1284">
          <cell r="D1284" t="str">
            <v>89-04-3</v>
          </cell>
          <cell r="E1284">
            <v>89043</v>
          </cell>
          <cell r="F1284">
            <v>3967</v>
          </cell>
          <cell r="G1284" t="str">
            <v>Reach_337</v>
          </cell>
          <cell r="H1284">
            <v>1276</v>
          </cell>
          <cell r="J1284">
            <v>546.79</v>
          </cell>
          <cell r="K1284">
            <v>225.59</v>
          </cell>
          <cell r="L1284">
            <v>6.9316000000000001E-10</v>
          </cell>
          <cell r="M1284">
            <v>2.0100000000000001E-5</v>
          </cell>
          <cell r="N1284">
            <v>645654229034.65833</v>
          </cell>
          <cell r="Q1284">
            <v>14</v>
          </cell>
        </row>
        <row r="1285">
          <cell r="D1285" t="str">
            <v>4009-98-7</v>
          </cell>
          <cell r="E1285">
            <v>4009987</v>
          </cell>
          <cell r="F1285">
            <v>5874</v>
          </cell>
          <cell r="G1285" t="str">
            <v>Reach_2005</v>
          </cell>
          <cell r="H1285">
            <v>1277</v>
          </cell>
          <cell r="J1285">
            <v>342.81</v>
          </cell>
          <cell r="K1285">
            <v>0</v>
          </cell>
          <cell r="Q1285">
            <v>14</v>
          </cell>
        </row>
        <row r="1286">
          <cell r="D1286" t="str">
            <v>110-83-8</v>
          </cell>
          <cell r="E1286">
            <v>110838</v>
          </cell>
          <cell r="F1286">
            <v>286</v>
          </cell>
          <cell r="G1286" t="str">
            <v>Reach_831</v>
          </cell>
          <cell r="H1286">
            <v>1278</v>
          </cell>
          <cell r="J1286">
            <v>82.146000000000001</v>
          </cell>
          <cell r="K1286">
            <v>-81.400000000000006</v>
          </cell>
          <cell r="L1286">
            <v>11477.130000000001</v>
          </cell>
          <cell r="M1286">
            <v>256.93</v>
          </cell>
          <cell r="N1286">
            <v>912.01083935590987</v>
          </cell>
          <cell r="Q1286">
            <v>14</v>
          </cell>
        </row>
        <row r="1287">
          <cell r="D1287" t="str">
            <v>2235-00-9</v>
          </cell>
          <cell r="E1287">
            <v>2235009</v>
          </cell>
          <cell r="F1287">
            <v>2331</v>
          </cell>
          <cell r="G1287" t="str">
            <v>Reach_1777</v>
          </cell>
          <cell r="H1287">
            <v>1279</v>
          </cell>
          <cell r="J1287">
            <v>139.19999999999999</v>
          </cell>
          <cell r="K1287">
            <v>55.09</v>
          </cell>
          <cell r="L1287">
            <v>1.1650420000000001</v>
          </cell>
          <cell r="M1287">
            <v>11411</v>
          </cell>
          <cell r="N1287">
            <v>16.982436524617448</v>
          </cell>
          <cell r="P1287">
            <v>14.4</v>
          </cell>
          <cell r="Q1287">
            <v>-0.40000000000000036</v>
          </cell>
        </row>
        <row r="1288">
          <cell r="D1288" t="str">
            <v>106-63-8</v>
          </cell>
          <cell r="E1288">
            <v>106638</v>
          </cell>
          <cell r="F1288">
            <v>198</v>
          </cell>
          <cell r="G1288" t="str">
            <v>Reach_675</v>
          </cell>
          <cell r="H1288">
            <v>1280</v>
          </cell>
          <cell r="J1288">
            <v>128.16999999999999</v>
          </cell>
          <cell r="K1288">
            <v>-57.42</v>
          </cell>
          <cell r="L1288">
            <v>1218.3620000000001</v>
          </cell>
          <cell r="M1288">
            <v>4043.6</v>
          </cell>
          <cell r="N1288">
            <v>134.89628825916537</v>
          </cell>
          <cell r="Q1288">
            <v>14</v>
          </cell>
        </row>
        <row r="1289">
          <cell r="D1289" t="str">
            <v>49562-28-9</v>
          </cell>
          <cell r="E1289">
            <v>49562289</v>
          </cell>
          <cell r="F1289">
            <v>649</v>
          </cell>
          <cell r="G1289" t="str">
            <v>Reach_2761</v>
          </cell>
          <cell r="H1289">
            <v>1281</v>
          </cell>
          <cell r="J1289">
            <v>360.84</v>
          </cell>
          <cell r="K1289">
            <v>157.69</v>
          </cell>
          <cell r="L1289">
            <v>8.2646000000000008E-5</v>
          </cell>
          <cell r="M1289">
            <v>5.3461000000000002E-2</v>
          </cell>
          <cell r="N1289">
            <v>154881.66189124843</v>
          </cell>
          <cell r="Q1289">
            <v>14</v>
          </cell>
        </row>
        <row r="1290">
          <cell r="D1290" t="str">
            <v>124-70-9</v>
          </cell>
          <cell r="E1290">
            <v>124709</v>
          </cell>
          <cell r="F1290">
            <v>1793</v>
          </cell>
          <cell r="G1290" t="str">
            <v>Reach_1082</v>
          </cell>
          <cell r="H1290">
            <v>1282</v>
          </cell>
          <cell r="J1290">
            <v>141.07</v>
          </cell>
          <cell r="K1290">
            <v>-78.489999999999995</v>
          </cell>
          <cell r="L1290">
            <v>6878.2800000000007</v>
          </cell>
          <cell r="N1290">
            <v>398.10717055349761</v>
          </cell>
          <cell r="Q1290">
            <v>14</v>
          </cell>
        </row>
        <row r="1291">
          <cell r="D1291" t="str">
            <v>42221-52-3</v>
          </cell>
          <cell r="E1291">
            <v>42221523</v>
          </cell>
          <cell r="F1291">
            <v>4319</v>
          </cell>
          <cell r="G1291" t="str">
            <v>Reach_4319</v>
          </cell>
          <cell r="H1291">
            <v>1283</v>
          </cell>
          <cell r="J1291">
            <v>278.35000000000002</v>
          </cell>
          <cell r="K1291">
            <v>93.15</v>
          </cell>
          <cell r="L1291">
            <v>3.4524700000000005E-2</v>
          </cell>
          <cell r="M1291">
            <v>1.8878999999999999</v>
          </cell>
          <cell r="N1291">
            <v>10232.929922807549</v>
          </cell>
          <cell r="Q1291">
            <v>14</v>
          </cell>
        </row>
        <row r="1292">
          <cell r="D1292" t="str">
            <v>119-53-9</v>
          </cell>
          <cell r="E1292">
            <v>119539</v>
          </cell>
          <cell r="F1292">
            <v>1694</v>
          </cell>
          <cell r="G1292" t="str">
            <v>Reach_979</v>
          </cell>
          <cell r="H1292">
            <v>1284</v>
          </cell>
          <cell r="J1292">
            <v>212.25</v>
          </cell>
          <cell r="K1292">
            <v>106.61</v>
          </cell>
          <cell r="L1292">
            <v>7.691410000000001E-5</v>
          </cell>
          <cell r="M1292">
            <v>1143.2</v>
          </cell>
          <cell r="N1292">
            <v>69.183097091893657</v>
          </cell>
          <cell r="O1292">
            <v>12.32</v>
          </cell>
          <cell r="Q1292">
            <v>12.32</v>
          </cell>
        </row>
        <row r="1293">
          <cell r="D1293" t="str">
            <v>110-53-2</v>
          </cell>
          <cell r="E1293">
            <v>110532</v>
          </cell>
          <cell r="F1293">
            <v>1522</v>
          </cell>
          <cell r="G1293" t="str">
            <v>Reach_816</v>
          </cell>
          <cell r="H1293">
            <v>1285</v>
          </cell>
          <cell r="J1293">
            <v>151.05000000000001</v>
          </cell>
          <cell r="K1293">
            <v>-53.82</v>
          </cell>
          <cell r="L1293">
            <v>1652.9200000000003</v>
          </cell>
          <cell r="M1293">
            <v>173.98</v>
          </cell>
          <cell r="N1293">
            <v>1380.3842646028863</v>
          </cell>
          <cell r="Q1293">
            <v>14</v>
          </cell>
        </row>
        <row r="1294">
          <cell r="D1294" t="str">
            <v>87-99-0</v>
          </cell>
          <cell r="E1294">
            <v>87990</v>
          </cell>
          <cell r="F1294">
            <v>3944</v>
          </cell>
          <cell r="G1294" t="str">
            <v>Reach_315</v>
          </cell>
          <cell r="H1294">
            <v>1286</v>
          </cell>
          <cell r="J1294">
            <v>152.15</v>
          </cell>
          <cell r="K1294">
            <v>102.69</v>
          </cell>
          <cell r="L1294">
            <v>0.261268</v>
          </cell>
          <cell r="M1294">
            <v>1000000</v>
          </cell>
          <cell r="N1294">
            <v>2.7542287033381651E-3</v>
          </cell>
          <cell r="O1294">
            <v>13.38</v>
          </cell>
          <cell r="Q1294">
            <v>13.38</v>
          </cell>
        </row>
        <row r="1295">
          <cell r="D1295" t="str">
            <v>111-82-0</v>
          </cell>
          <cell r="E1295">
            <v>111820</v>
          </cell>
          <cell r="F1295">
            <v>1559</v>
          </cell>
          <cell r="G1295" t="str">
            <v>Reach_873</v>
          </cell>
          <cell r="H1295">
            <v>1287</v>
          </cell>
          <cell r="J1295">
            <v>214.35</v>
          </cell>
          <cell r="K1295">
            <v>23.22</v>
          </cell>
          <cell r="L1295">
            <v>1.4529700000000001</v>
          </cell>
          <cell r="M1295">
            <v>1.4645999999999999</v>
          </cell>
          <cell r="N1295">
            <v>190546.07179632492</v>
          </cell>
          <cell r="Q1295">
            <v>14</v>
          </cell>
        </row>
        <row r="1296">
          <cell r="D1296" t="str">
            <v>624-65-7</v>
          </cell>
          <cell r="E1296">
            <v>624657</v>
          </cell>
          <cell r="F1296">
            <v>3372</v>
          </cell>
          <cell r="G1296" t="str">
            <v>Reach_1454</v>
          </cell>
          <cell r="H1296">
            <v>1288</v>
          </cell>
          <cell r="J1296">
            <v>74.510000000000005</v>
          </cell>
          <cell r="K1296">
            <v>-72.08</v>
          </cell>
          <cell r="L1296">
            <v>28392.9</v>
          </cell>
          <cell r="M1296">
            <v>11459</v>
          </cell>
          <cell r="N1296">
            <v>19.952623149688804</v>
          </cell>
          <cell r="Q1296">
            <v>14</v>
          </cell>
        </row>
        <row r="1297">
          <cell r="D1297" t="str">
            <v>5510-99-6</v>
          </cell>
          <cell r="E1297">
            <v>5510996</v>
          </cell>
          <cell r="F1297">
            <v>3160</v>
          </cell>
          <cell r="G1297" t="str">
            <v>Reach_2120</v>
          </cell>
          <cell r="H1297">
            <v>1289</v>
          </cell>
          <cell r="J1297">
            <v>206.33</v>
          </cell>
          <cell r="K1297">
            <v>76.34</v>
          </cell>
          <cell r="L1297">
            <v>0.98375400000000013</v>
          </cell>
          <cell r="M1297">
            <v>54.244999999999997</v>
          </cell>
          <cell r="N1297">
            <v>36307.805477010166</v>
          </cell>
          <cell r="O1297">
            <v>11.3</v>
          </cell>
          <cell r="Q1297">
            <v>11.3</v>
          </cell>
        </row>
        <row r="1298">
          <cell r="D1298" t="str">
            <v>4355-11-7</v>
          </cell>
          <cell r="E1298">
            <v>4355117</v>
          </cell>
          <cell r="F1298">
            <v>1268</v>
          </cell>
          <cell r="G1298" t="str">
            <v>Reach_2029</v>
          </cell>
          <cell r="H1298">
            <v>1290</v>
          </cell>
          <cell r="J1298">
            <v>200.23</v>
          </cell>
          <cell r="K1298">
            <v>133.16999999999999</v>
          </cell>
          <cell r="L1298">
            <v>8.7844699999999997E-4</v>
          </cell>
          <cell r="M1298">
            <v>2224.8000000000002</v>
          </cell>
          <cell r="N1298">
            <v>93.325430079699174</v>
          </cell>
          <cell r="O1298">
            <v>3.6</v>
          </cell>
          <cell r="Q1298">
            <v>3.6</v>
          </cell>
        </row>
        <row r="1299">
          <cell r="D1299" t="str">
            <v>92-88-6</v>
          </cell>
          <cell r="E1299">
            <v>92886</v>
          </cell>
          <cell r="F1299">
            <v>1015</v>
          </cell>
          <cell r="G1299" t="str">
            <v>Reach_395</v>
          </cell>
          <cell r="H1299">
            <v>1291</v>
          </cell>
          <cell r="J1299">
            <v>186.21</v>
          </cell>
          <cell r="K1299">
            <v>126.99</v>
          </cell>
          <cell r="L1299">
            <v>1.5329500000000003E-6</v>
          </cell>
          <cell r="M1299">
            <v>216.75</v>
          </cell>
          <cell r="N1299">
            <v>630.95734448019323</v>
          </cell>
          <cell r="O1299">
            <v>8.89</v>
          </cell>
          <cell r="Q1299">
            <v>8.89</v>
          </cell>
        </row>
        <row r="1300">
          <cell r="D1300" t="str">
            <v>88-99-3</v>
          </cell>
          <cell r="E1300">
            <v>88993</v>
          </cell>
          <cell r="F1300">
            <v>990</v>
          </cell>
          <cell r="G1300" t="str">
            <v>Reach_335</v>
          </cell>
          <cell r="H1300">
            <v>1292</v>
          </cell>
          <cell r="J1300">
            <v>166.13</v>
          </cell>
          <cell r="K1300">
            <v>126.58</v>
          </cell>
          <cell r="L1300">
            <v>1.0224110000000001E-4</v>
          </cell>
          <cell r="M1300">
            <v>2846.3</v>
          </cell>
          <cell r="N1300">
            <v>11.748975549395301</v>
          </cell>
          <cell r="Q1300">
            <v>14</v>
          </cell>
        </row>
        <row r="1301">
          <cell r="D1301" t="str">
            <v>6642-31-5</v>
          </cell>
          <cell r="E1301">
            <v>6642315</v>
          </cell>
          <cell r="F1301">
            <v>3474</v>
          </cell>
          <cell r="G1301" t="str">
            <v>Reach_2200</v>
          </cell>
          <cell r="H1301">
            <v>1293</v>
          </cell>
          <cell r="J1301">
            <v>155.16</v>
          </cell>
          <cell r="K1301">
            <v>137.07</v>
          </cell>
          <cell r="L1301">
            <v>1.0037490000000002E-3</v>
          </cell>
          <cell r="M1301">
            <v>9001.5</v>
          </cell>
          <cell r="N1301">
            <v>5.4954087385762435E-2</v>
          </cell>
          <cell r="Q1301">
            <v>14</v>
          </cell>
        </row>
        <row r="1302">
          <cell r="D1302" t="str">
            <v>443-83-4</v>
          </cell>
          <cell r="E1302">
            <v>443834</v>
          </cell>
          <cell r="F1302">
            <v>2924</v>
          </cell>
          <cell r="G1302" t="str">
            <v>Reach_1275</v>
          </cell>
          <cell r="H1302">
            <v>1294</v>
          </cell>
          <cell r="J1302">
            <v>144.58000000000001</v>
          </cell>
          <cell r="K1302">
            <v>-22.36</v>
          </cell>
          <cell r="L1302">
            <v>443.88900000000007</v>
          </cell>
          <cell r="M1302">
            <v>76.649000000000001</v>
          </cell>
          <cell r="N1302">
            <v>2454.7089156850338</v>
          </cell>
          <cell r="Q1302">
            <v>14</v>
          </cell>
        </row>
        <row r="1303">
          <cell r="D1303" t="str">
            <v>646-25-3</v>
          </cell>
          <cell r="E1303">
            <v>646253</v>
          </cell>
          <cell r="F1303">
            <v>3440</v>
          </cell>
          <cell r="G1303" t="str">
            <v>Reach_1484</v>
          </cell>
          <cell r="H1303">
            <v>1295</v>
          </cell>
          <cell r="J1303">
            <v>172.32</v>
          </cell>
          <cell r="K1303">
            <v>59.59</v>
          </cell>
          <cell r="L1303">
            <v>0.71315499999999998</v>
          </cell>
          <cell r="M1303">
            <v>1111</v>
          </cell>
          <cell r="N1303">
            <v>204.17379446695315</v>
          </cell>
          <cell r="P1303">
            <v>3.2</v>
          </cell>
          <cell r="Q1303">
            <v>10.8</v>
          </cell>
        </row>
        <row r="1304">
          <cell r="D1304" t="str">
            <v>51867-77-7</v>
          </cell>
          <cell r="E1304">
            <v>51867777</v>
          </cell>
          <cell r="F1304">
            <v>3047</v>
          </cell>
          <cell r="G1304" t="str">
            <v>Reach_2775</v>
          </cell>
          <cell r="H1304">
            <v>1296</v>
          </cell>
          <cell r="J1304">
            <v>361.19</v>
          </cell>
          <cell r="K1304">
            <v>224.84</v>
          </cell>
          <cell r="L1304">
            <v>6.5050400000000011E-10</v>
          </cell>
          <cell r="M1304">
            <v>3.8917999999999999</v>
          </cell>
          <cell r="N1304">
            <v>33884415.613920346</v>
          </cell>
          <cell r="Q1304">
            <v>14</v>
          </cell>
        </row>
        <row r="1305">
          <cell r="D1305" t="str">
            <v>130755-46-3</v>
          </cell>
          <cell r="E1305">
            <v>130755463</v>
          </cell>
          <cell r="F1305">
            <v>1842</v>
          </cell>
          <cell r="G1305" t="str">
            <v>Reach_4120</v>
          </cell>
          <cell r="H1305">
            <v>1297</v>
          </cell>
          <cell r="J1305">
            <v>704.3</v>
          </cell>
          <cell r="K1305">
            <v>339.73</v>
          </cell>
          <cell r="L1305">
            <v>6.6116800000000012E-17</v>
          </cell>
          <cell r="M1305">
            <v>6.36E-8</v>
          </cell>
          <cell r="N1305">
            <v>6760829.7539198333</v>
          </cell>
          <cell r="P1305">
            <v>12.53</v>
          </cell>
          <cell r="Q1305">
            <v>1.4700000000000006</v>
          </cell>
        </row>
        <row r="1306">
          <cell r="D1306" t="str">
            <v>5894-60-0</v>
          </cell>
          <cell r="E1306">
            <v>5894600</v>
          </cell>
          <cell r="F1306">
            <v>3260</v>
          </cell>
          <cell r="G1306" t="str">
            <v>Reach_2142</v>
          </cell>
          <cell r="H1306">
            <v>1298</v>
          </cell>
          <cell r="J1306">
            <v>359.88</v>
          </cell>
          <cell r="K1306">
            <v>89.64</v>
          </cell>
          <cell r="L1306">
            <v>7.3181700000000006E-3</v>
          </cell>
          <cell r="M1306">
            <v>0.26482</v>
          </cell>
          <cell r="N1306">
            <v>2344228815.3199205</v>
          </cell>
          <cell r="Q1306">
            <v>14</v>
          </cell>
        </row>
        <row r="1307">
          <cell r="D1307" t="str">
            <v>60728-43-0</v>
          </cell>
          <cell r="E1307">
            <v>60728430</v>
          </cell>
          <cell r="F1307">
            <v>3315</v>
          </cell>
          <cell r="G1307" t="str">
            <v>Reach_4370</v>
          </cell>
          <cell r="H1307">
            <v>1299</v>
          </cell>
          <cell r="J1307">
            <v>689.9</v>
          </cell>
          <cell r="K1307">
            <v>349.84</v>
          </cell>
          <cell r="L1307">
            <v>2.3594100000000003E-22</v>
          </cell>
          <cell r="M1307">
            <v>6.0240000000000001E-4</v>
          </cell>
          <cell r="N1307">
            <v>131825.67385564081</v>
          </cell>
          <cell r="Q1307">
            <v>14</v>
          </cell>
        </row>
        <row r="1308">
          <cell r="D1308" t="str">
            <v>2915-57-3</v>
          </cell>
          <cell r="E1308">
            <v>2915573</v>
          </cell>
          <cell r="F1308">
            <v>2559</v>
          </cell>
          <cell r="G1308" t="str">
            <v>Reach_1884</v>
          </cell>
          <cell r="H1308">
            <v>1300</v>
          </cell>
          <cell r="J1308">
            <v>342.52</v>
          </cell>
          <cell r="K1308">
            <v>-12.08</v>
          </cell>
          <cell r="L1308">
            <v>1.2663500000000001E-2</v>
          </cell>
          <cell r="M1308">
            <v>0.2928</v>
          </cell>
          <cell r="N1308">
            <v>13489628.825916575</v>
          </cell>
          <cell r="Q1308">
            <v>14</v>
          </cell>
        </row>
        <row r="1309">
          <cell r="D1309" t="str">
            <v>2156-97-0</v>
          </cell>
          <cell r="E1309">
            <v>2156970</v>
          </cell>
          <cell r="F1309">
            <v>533</v>
          </cell>
          <cell r="G1309" t="str">
            <v>Reach_1765</v>
          </cell>
          <cell r="H1309">
            <v>1301</v>
          </cell>
          <cell r="J1309">
            <v>240.39</v>
          </cell>
          <cell r="K1309">
            <v>34.369999999999997</v>
          </cell>
          <cell r="L1309">
            <v>0.27326500000000004</v>
          </cell>
          <cell r="M1309">
            <v>4.2745999999999999E-2</v>
          </cell>
          <cell r="N1309">
            <v>1348962.8825916562</v>
          </cell>
          <cell r="Q1309">
            <v>14</v>
          </cell>
        </row>
        <row r="1310">
          <cell r="D1310" t="str">
            <v>13122-18-4</v>
          </cell>
          <cell r="E1310">
            <v>13122184</v>
          </cell>
          <cell r="F1310">
            <v>1847</v>
          </cell>
          <cell r="G1310" t="str">
            <v>Reach_2323</v>
          </cell>
          <cell r="H1310">
            <v>1302</v>
          </cell>
          <cell r="J1310">
            <v>230.35</v>
          </cell>
          <cell r="K1310">
            <v>21.32</v>
          </cell>
          <cell r="L1310">
            <v>6.9715900000000008</v>
          </cell>
          <cell r="M1310">
            <v>2.6236999999999999</v>
          </cell>
          <cell r="N1310">
            <v>48977.881936844686</v>
          </cell>
          <cell r="Q1310">
            <v>14</v>
          </cell>
        </row>
        <row r="1311">
          <cell r="D1311" t="str">
            <v>75-52-5</v>
          </cell>
          <cell r="E1311">
            <v>75525</v>
          </cell>
          <cell r="F1311">
            <v>860</v>
          </cell>
          <cell r="G1311" t="str">
            <v>Reach_148</v>
          </cell>
          <cell r="H1311">
            <v>1303</v>
          </cell>
          <cell r="J1311">
            <v>61.040999999999997</v>
          </cell>
          <cell r="K1311">
            <v>-51.68</v>
          </cell>
          <cell r="L1311">
            <v>4758.8100000000004</v>
          </cell>
          <cell r="M1311">
            <v>71835</v>
          </cell>
          <cell r="N1311">
            <v>0.91201083935590965</v>
          </cell>
          <cell r="O1311">
            <v>10.1</v>
          </cell>
          <cell r="Q1311">
            <v>10.1</v>
          </cell>
        </row>
        <row r="1312">
          <cell r="D1312" t="str">
            <v>32768-54-0</v>
          </cell>
          <cell r="E1312">
            <v>32768540</v>
          </cell>
          <cell r="F1312">
            <v>2661</v>
          </cell>
          <cell r="G1312" t="str">
            <v>Reach_2666</v>
          </cell>
          <cell r="H1312">
            <v>1304</v>
          </cell>
          <cell r="J1312">
            <v>161.03</v>
          </cell>
          <cell r="K1312">
            <v>3.57</v>
          </cell>
          <cell r="L1312">
            <v>33.058400000000006</v>
          </cell>
          <cell r="M1312">
            <v>61.134</v>
          </cell>
          <cell r="N1312">
            <v>6760.8297539198229</v>
          </cell>
          <cell r="Q1312">
            <v>14</v>
          </cell>
        </row>
        <row r="1313">
          <cell r="D1313" t="str">
            <v>126-98-7</v>
          </cell>
          <cell r="E1313">
            <v>126987</v>
          </cell>
          <cell r="F1313">
            <v>1809</v>
          </cell>
          <cell r="G1313" t="str">
            <v>Reach_1093</v>
          </cell>
          <cell r="H1313">
            <v>1305</v>
          </cell>
          <cell r="J1313">
            <v>67.091999999999999</v>
          </cell>
          <cell r="K1313">
            <v>-68.650000000000006</v>
          </cell>
          <cell r="L1313">
            <v>7544.7800000000007</v>
          </cell>
          <cell r="M1313">
            <v>93217</v>
          </cell>
          <cell r="N1313">
            <v>5.7543993733715713</v>
          </cell>
          <cell r="Q1313">
            <v>14</v>
          </cell>
        </row>
        <row r="1314">
          <cell r="D1314" t="str">
            <v>1779-49-3</v>
          </cell>
          <cell r="E1314">
            <v>1779493</v>
          </cell>
          <cell r="F1314">
            <v>5743</v>
          </cell>
          <cell r="G1314" t="str">
            <v>Reach_1719</v>
          </cell>
          <cell r="H1314">
            <v>1306</v>
          </cell>
          <cell r="J1314">
            <v>357.24</v>
          </cell>
          <cell r="K1314">
            <v>0</v>
          </cell>
          <cell r="Q1314">
            <v>14</v>
          </cell>
        </row>
        <row r="1315">
          <cell r="D1315" t="str">
            <v>5160-02-1</v>
          </cell>
          <cell r="E1315">
            <v>5160021</v>
          </cell>
          <cell r="F1315">
            <v>5581</v>
          </cell>
          <cell r="G1315" t="str">
            <v>Reach_2081</v>
          </cell>
          <cell r="H1315">
            <v>1307</v>
          </cell>
          <cell r="J1315">
            <v>888.98</v>
          </cell>
          <cell r="K1315">
            <v>0</v>
          </cell>
          <cell r="Q1315">
            <v>14</v>
          </cell>
        </row>
        <row r="1316">
          <cell r="D1316" t="str">
            <v>352-70-5</v>
          </cell>
          <cell r="E1316">
            <v>352705</v>
          </cell>
          <cell r="F1316">
            <v>2727</v>
          </cell>
          <cell r="G1316" t="str">
            <v>Reach_1243</v>
          </cell>
          <cell r="H1316">
            <v>1308</v>
          </cell>
          <cell r="J1316">
            <v>110.13</v>
          </cell>
          <cell r="K1316">
            <v>-54.17</v>
          </cell>
          <cell r="L1316">
            <v>2599.3500000000004</v>
          </cell>
          <cell r="M1316">
            <v>488.82</v>
          </cell>
          <cell r="N1316">
            <v>549.54087385762534</v>
          </cell>
          <cell r="Q1316">
            <v>14</v>
          </cell>
        </row>
        <row r="1317">
          <cell r="D1317" t="str">
            <v>6850-63-1</v>
          </cell>
          <cell r="E1317">
            <v>6850631</v>
          </cell>
          <cell r="F1317">
            <v>801</v>
          </cell>
          <cell r="G1317" t="str">
            <v>Reach_2208</v>
          </cell>
          <cell r="H1317">
            <v>1309</v>
          </cell>
          <cell r="J1317">
            <v>127.23</v>
          </cell>
          <cell r="K1317">
            <v>-11.11</v>
          </cell>
          <cell r="L1317">
            <v>159.96</v>
          </cell>
          <cell r="M1317">
            <v>56.500999999999998</v>
          </cell>
          <cell r="N1317">
            <v>295.12092266663893</v>
          </cell>
          <cell r="Q1317">
            <v>14</v>
          </cell>
        </row>
        <row r="1318">
          <cell r="D1318" t="str">
            <v>330-54-1</v>
          </cell>
          <cell r="E1318">
            <v>330541</v>
          </cell>
          <cell r="F1318">
            <v>46</v>
          </cell>
          <cell r="G1318" t="str">
            <v>Reach_1238</v>
          </cell>
          <cell r="H1318">
            <v>1310</v>
          </cell>
          <cell r="J1318">
            <v>233.1</v>
          </cell>
          <cell r="K1318">
            <v>126.39</v>
          </cell>
          <cell r="L1318">
            <v>6.1984500000000005E-4</v>
          </cell>
          <cell r="M1318">
            <v>63.509</v>
          </cell>
          <cell r="N1318">
            <v>467.7351412871983</v>
          </cell>
          <cell r="O1318">
            <v>13.76</v>
          </cell>
          <cell r="P1318">
            <v>15.63</v>
          </cell>
          <cell r="Q1318">
            <v>-1.6300000000000008</v>
          </cell>
        </row>
        <row r="1319">
          <cell r="D1319" t="str">
            <v>77-75-8</v>
          </cell>
          <cell r="E1319">
            <v>77758</v>
          </cell>
          <cell r="F1319">
            <v>885</v>
          </cell>
          <cell r="G1319" t="str">
            <v>Reach_183</v>
          </cell>
          <cell r="H1319">
            <v>1311</v>
          </cell>
          <cell r="J1319">
            <v>98.144999999999996</v>
          </cell>
          <cell r="K1319">
            <v>-22.55</v>
          </cell>
          <cell r="L1319">
            <v>745.14700000000005</v>
          </cell>
          <cell r="M1319">
            <v>79570</v>
          </cell>
          <cell r="N1319">
            <v>8.709635899560805</v>
          </cell>
          <cell r="O1319">
            <v>13.6</v>
          </cell>
          <cell r="Q1319">
            <v>13.6</v>
          </cell>
        </row>
        <row r="1320">
          <cell r="D1320" t="str">
            <v>101-96-2</v>
          </cell>
          <cell r="E1320">
            <v>101962</v>
          </cell>
          <cell r="F1320">
            <v>1331</v>
          </cell>
          <cell r="G1320" t="str">
            <v>Reach_585</v>
          </cell>
          <cell r="H1320">
            <v>1312</v>
          </cell>
          <cell r="J1320">
            <v>220.36</v>
          </cell>
          <cell r="K1320">
            <v>76.319999999999993</v>
          </cell>
          <cell r="L1320">
            <v>0.20794800000000002</v>
          </cell>
          <cell r="M1320">
            <v>12.457000000000001</v>
          </cell>
          <cell r="N1320">
            <v>3162.2776601683804</v>
          </cell>
          <cell r="P1320">
            <v>7.7</v>
          </cell>
          <cell r="Q1320">
            <v>6.3</v>
          </cell>
        </row>
        <row r="1321">
          <cell r="D1321" t="str">
            <v>20120-33-6</v>
          </cell>
          <cell r="E1321">
            <v>20120336</v>
          </cell>
          <cell r="F1321">
            <v>2250</v>
          </cell>
          <cell r="G1321" t="str">
            <v>Reach_2488</v>
          </cell>
          <cell r="H1321">
            <v>1313</v>
          </cell>
          <cell r="J1321">
            <v>211.16</v>
          </cell>
          <cell r="K1321">
            <v>84.19</v>
          </cell>
          <cell r="L1321">
            <v>1.7062400000000001E-5</v>
          </cell>
          <cell r="M1321">
            <v>318000</v>
          </cell>
          <cell r="N1321">
            <v>8.1283051616409872E-4</v>
          </cell>
          <cell r="O1321">
            <v>12.7</v>
          </cell>
          <cell r="Q1321">
            <v>12.7</v>
          </cell>
        </row>
        <row r="1322">
          <cell r="D1322" t="str">
            <v>22036-77-7</v>
          </cell>
          <cell r="E1322">
            <v>22036777</v>
          </cell>
          <cell r="F1322">
            <v>5776</v>
          </cell>
          <cell r="G1322" t="str">
            <v>Reach_2513</v>
          </cell>
          <cell r="H1322">
            <v>1314</v>
          </cell>
          <cell r="J1322">
            <v>524.05999999999995</v>
          </cell>
          <cell r="K1322">
            <v>0</v>
          </cell>
          <cell r="Q1322">
            <v>14</v>
          </cell>
        </row>
        <row r="1323">
          <cell r="D1323" t="str">
            <v>647-42-7</v>
          </cell>
          <cell r="E1323">
            <v>647427</v>
          </cell>
          <cell r="F1323">
            <v>3443</v>
          </cell>
          <cell r="G1323" t="str">
            <v>Reach_1485</v>
          </cell>
          <cell r="H1323">
            <v>1315</v>
          </cell>
          <cell r="J1323">
            <v>364.1</v>
          </cell>
          <cell r="K1323">
            <v>-16.399999999999999</v>
          </cell>
          <cell r="L1323">
            <v>128.50120000000001</v>
          </cell>
          <cell r="M1323">
            <v>0.20938999999999999</v>
          </cell>
          <cell r="N1323">
            <v>25703.95782768865</v>
          </cell>
          <cell r="O1323">
            <v>13.5</v>
          </cell>
          <cell r="Q1323">
            <v>13.5</v>
          </cell>
        </row>
        <row r="1324">
          <cell r="D1324" t="str">
            <v>95149-34-1</v>
          </cell>
          <cell r="E1324">
            <v>95149341</v>
          </cell>
          <cell r="F1324">
            <v>4120</v>
          </cell>
          <cell r="G1324" t="str">
            <v>Reach_4648</v>
          </cell>
          <cell r="H1324">
            <v>1316</v>
          </cell>
          <cell r="J1324">
            <v>272.43</v>
          </cell>
          <cell r="K1324">
            <v>110.17</v>
          </cell>
          <cell r="L1324">
            <v>1.3463300000000002E-3</v>
          </cell>
          <cell r="M1324">
            <v>1.7602</v>
          </cell>
          <cell r="N1324">
            <v>7413102.4130091891</v>
          </cell>
          <cell r="Q1324">
            <v>14</v>
          </cell>
        </row>
        <row r="1325">
          <cell r="D1325" t="str">
            <v>6386-38-5</v>
          </cell>
          <cell r="E1325">
            <v>6386385</v>
          </cell>
          <cell r="F1325">
            <v>3420</v>
          </cell>
          <cell r="G1325" t="str">
            <v>Reach_2176</v>
          </cell>
          <cell r="H1325">
            <v>1317</v>
          </cell>
          <cell r="J1325">
            <v>292.42</v>
          </cell>
          <cell r="K1325">
            <v>131.41</v>
          </cell>
          <cell r="L1325">
            <v>1.7995500000000001E-4</v>
          </cell>
          <cell r="M1325">
            <v>2.8302</v>
          </cell>
          <cell r="N1325">
            <v>114815.36214968823</v>
          </cell>
          <cell r="O1325">
            <v>11.94</v>
          </cell>
          <cell r="Q1325">
            <v>11.94</v>
          </cell>
        </row>
        <row r="1326">
          <cell r="D1326" t="str">
            <v>3234-85-3</v>
          </cell>
          <cell r="E1326">
            <v>3234853</v>
          </cell>
          <cell r="F1326">
            <v>2648</v>
          </cell>
          <cell r="G1326" t="str">
            <v>Reach_1936</v>
          </cell>
          <cell r="H1326">
            <v>1318</v>
          </cell>
          <cell r="J1326">
            <v>424.75</v>
          </cell>
          <cell r="K1326">
            <v>162.79</v>
          </cell>
          <cell r="L1326">
            <v>2.0661500000000001E-6</v>
          </cell>
          <cell r="M1326">
            <v>1.2800000000000001E-7</v>
          </cell>
          <cell r="N1326">
            <v>4466835921509.6465</v>
          </cell>
          <cell r="Q1326">
            <v>14</v>
          </cell>
        </row>
        <row r="1327">
          <cell r="D1327" t="str">
            <v>5468-75-7</v>
          </cell>
          <cell r="E1327">
            <v>5468757</v>
          </cell>
          <cell r="F1327">
            <v>3152</v>
          </cell>
          <cell r="G1327" t="str">
            <v>Reach_2118</v>
          </cell>
          <cell r="H1327">
            <v>1319</v>
          </cell>
          <cell r="J1327">
            <v>657.56</v>
          </cell>
          <cell r="K1327">
            <v>349.84</v>
          </cell>
          <cell r="L1327">
            <v>2.73265E-20</v>
          </cell>
          <cell r="M1327">
            <v>1.3499999999999999E-5</v>
          </cell>
          <cell r="N1327">
            <v>10471285.480509</v>
          </cell>
          <cell r="O1327">
            <v>8.4499999999999993</v>
          </cell>
          <cell r="P1327">
            <v>13.38</v>
          </cell>
          <cell r="Q1327">
            <v>0.61999999999999922</v>
          </cell>
        </row>
        <row r="1328">
          <cell r="D1328" t="str">
            <v>112-05-0</v>
          </cell>
          <cell r="E1328">
            <v>112050</v>
          </cell>
          <cell r="F1328">
            <v>320</v>
          </cell>
          <cell r="G1328" t="str">
            <v>Reach_886</v>
          </cell>
          <cell r="H1328">
            <v>1320</v>
          </cell>
          <cell r="J1328">
            <v>158.24</v>
          </cell>
          <cell r="K1328">
            <v>59.08</v>
          </cell>
          <cell r="L1328">
            <v>2.8526199999999999</v>
          </cell>
          <cell r="M1328">
            <v>412.74</v>
          </cell>
          <cell r="N1328">
            <v>3311.3112148259115</v>
          </cell>
          <cell r="O1328">
            <v>4.9000000000000004</v>
          </cell>
          <cell r="Q1328">
            <v>4.9000000000000004</v>
          </cell>
        </row>
        <row r="1329">
          <cell r="D1329" t="str">
            <v>123-62-6</v>
          </cell>
          <cell r="E1329">
            <v>123626</v>
          </cell>
          <cell r="F1329">
            <v>1772</v>
          </cell>
          <cell r="G1329" t="str">
            <v>Reach_1054</v>
          </cell>
          <cell r="H1329">
            <v>1321</v>
          </cell>
          <cell r="J1329">
            <v>130.13999999999999</v>
          </cell>
          <cell r="K1329">
            <v>-69.319999999999993</v>
          </cell>
          <cell r="L1329">
            <v>207.94800000000004</v>
          </cell>
          <cell r="M1329">
            <v>12656</v>
          </cell>
          <cell r="N1329">
            <v>2.5118864315095806</v>
          </cell>
          <cell r="Q1329">
            <v>14</v>
          </cell>
        </row>
        <row r="1330">
          <cell r="D1330" t="str">
            <v>371771-07-2</v>
          </cell>
          <cell r="E1330">
            <v>371771072</v>
          </cell>
          <cell r="F1330">
            <v>2793</v>
          </cell>
          <cell r="G1330" t="str">
            <v>Reach_4299</v>
          </cell>
          <cell r="H1330">
            <v>1322</v>
          </cell>
          <cell r="J1330">
            <v>540.5</v>
          </cell>
          <cell r="K1330">
            <v>275.12</v>
          </cell>
          <cell r="L1330">
            <v>2.9059400000000004E-15</v>
          </cell>
          <cell r="M1330">
            <v>8.8769999999999995E-4</v>
          </cell>
          <cell r="N1330">
            <v>602559.58607435878</v>
          </cell>
          <cell r="O1330">
            <v>13.17</v>
          </cell>
          <cell r="Q1330">
            <v>13.17</v>
          </cell>
        </row>
        <row r="1331">
          <cell r="D1331" t="str">
            <v>112-54-9</v>
          </cell>
          <cell r="E1331">
            <v>112549</v>
          </cell>
          <cell r="F1331">
            <v>333</v>
          </cell>
          <cell r="G1331" t="str">
            <v>Reach_912</v>
          </cell>
          <cell r="H1331">
            <v>1323</v>
          </cell>
          <cell r="J1331">
            <v>184.32</v>
          </cell>
          <cell r="K1331">
            <v>13.84</v>
          </cell>
          <cell r="L1331">
            <v>2.0528200000000001</v>
          </cell>
          <cell r="M1331">
            <v>3.9540000000000002</v>
          </cell>
          <cell r="N1331">
            <v>56234.132519034953</v>
          </cell>
          <cell r="Q1331">
            <v>14</v>
          </cell>
        </row>
        <row r="1332">
          <cell r="D1332" t="str">
            <v>142-87-0</v>
          </cell>
          <cell r="E1332">
            <v>142870</v>
          </cell>
          <cell r="F1332">
            <v>5696</v>
          </cell>
          <cell r="G1332" t="str">
            <v>Reach_1182</v>
          </cell>
          <cell r="H1332">
            <v>1324</v>
          </cell>
          <cell r="J1332">
            <v>260.33</v>
          </cell>
          <cell r="K1332">
            <v>0</v>
          </cell>
          <cell r="Q1332">
            <v>14</v>
          </cell>
        </row>
        <row r="1333">
          <cell r="D1333" t="str">
            <v>16530-71-5</v>
          </cell>
          <cell r="E1333">
            <v>16530715</v>
          </cell>
          <cell r="F1333">
            <v>5734</v>
          </cell>
          <cell r="G1333" t="str">
            <v>Reach_2424</v>
          </cell>
          <cell r="H1333">
            <v>1325</v>
          </cell>
          <cell r="J1333">
            <v>245.41</v>
          </cell>
          <cell r="K1333">
            <v>0</v>
          </cell>
          <cell r="Q1333">
            <v>14</v>
          </cell>
        </row>
        <row r="1334">
          <cell r="D1334" t="str">
            <v>488-98-2</v>
          </cell>
          <cell r="E1334">
            <v>488982</v>
          </cell>
          <cell r="F1334">
            <v>2978</v>
          </cell>
          <cell r="G1334" t="str">
            <v>Reach_1294</v>
          </cell>
          <cell r="H1334">
            <v>1326</v>
          </cell>
          <cell r="J1334">
            <v>213.47</v>
          </cell>
          <cell r="K1334">
            <v>15.6</v>
          </cell>
          <cell r="L1334">
            <v>44.522200000000005</v>
          </cell>
          <cell r="M1334">
            <v>32.424999999999997</v>
          </cell>
          <cell r="N1334">
            <v>12589.254117941671</v>
          </cell>
          <cell r="Q1334">
            <v>14</v>
          </cell>
        </row>
        <row r="1335">
          <cell r="D1335" t="str">
            <v>112-31-2</v>
          </cell>
          <cell r="E1335">
            <v>112312</v>
          </cell>
          <cell r="F1335">
            <v>1581</v>
          </cell>
          <cell r="G1335" t="str">
            <v>Reach_897</v>
          </cell>
          <cell r="H1335">
            <v>1327</v>
          </cell>
          <cell r="J1335">
            <v>156.27000000000001</v>
          </cell>
          <cell r="K1335">
            <v>-8.09</v>
          </cell>
          <cell r="L1335">
            <v>31.325500000000002</v>
          </cell>
          <cell r="M1335">
            <v>52.207000000000001</v>
          </cell>
          <cell r="N1335">
            <v>5754.399373371567</v>
          </cell>
          <cell r="Q1335">
            <v>14</v>
          </cell>
        </row>
        <row r="1336">
          <cell r="D1336" t="str">
            <v>111-48-8</v>
          </cell>
          <cell r="E1336">
            <v>111488</v>
          </cell>
          <cell r="F1336">
            <v>1549</v>
          </cell>
          <cell r="G1336" t="str">
            <v>Reach_859</v>
          </cell>
          <cell r="H1336">
            <v>1328</v>
          </cell>
          <cell r="J1336">
            <v>122.19</v>
          </cell>
          <cell r="K1336">
            <v>24.87</v>
          </cell>
          <cell r="L1336">
            <v>3.2258600000000005E-2</v>
          </cell>
          <cell r="M1336">
            <v>154000</v>
          </cell>
          <cell r="N1336">
            <v>0.23988329190194901</v>
          </cell>
          <cell r="Q1336">
            <v>14</v>
          </cell>
        </row>
        <row r="1337">
          <cell r="D1337" t="str">
            <v>460-00-4</v>
          </cell>
          <cell r="E1337">
            <v>460004</v>
          </cell>
          <cell r="F1337">
            <v>2946</v>
          </cell>
          <cell r="G1337" t="str">
            <v>Reach_1282</v>
          </cell>
          <cell r="H1337">
            <v>1329</v>
          </cell>
          <cell r="J1337">
            <v>175.01</v>
          </cell>
          <cell r="K1337">
            <v>-19.100000000000001</v>
          </cell>
          <cell r="L1337">
            <v>498.54200000000009</v>
          </cell>
          <cell r="M1337">
            <v>233.34</v>
          </cell>
          <cell r="N1337">
            <v>1202.2644346174138</v>
          </cell>
          <cell r="Q1337">
            <v>14</v>
          </cell>
        </row>
        <row r="1338">
          <cell r="D1338" t="str">
            <v>138401-24-8</v>
          </cell>
          <cell r="E1338">
            <v>138401248</v>
          </cell>
          <cell r="F1338">
            <v>4396</v>
          </cell>
          <cell r="G1338" t="str">
            <v>Reach_4140</v>
          </cell>
          <cell r="H1338">
            <v>1330</v>
          </cell>
          <cell r="J1338">
            <v>385.51</v>
          </cell>
          <cell r="K1338">
            <v>243.54</v>
          </cell>
          <cell r="L1338">
            <v>3.17254E-10</v>
          </cell>
          <cell r="M1338">
            <v>5.6388000000000002E-3</v>
          </cell>
          <cell r="N1338">
            <v>4570881.8961487599</v>
          </cell>
          <cell r="Q1338">
            <v>14</v>
          </cell>
        </row>
        <row r="1339">
          <cell r="D1339" t="str">
            <v>91745-35-6</v>
          </cell>
          <cell r="E1339">
            <v>91745356</v>
          </cell>
          <cell r="F1339">
            <v>6407</v>
          </cell>
          <cell r="G1339" t="str">
            <v>Reach_2995</v>
          </cell>
          <cell r="H1339">
            <v>1331</v>
          </cell>
          <cell r="J1339">
            <v>1191.0999999999999</v>
          </cell>
          <cell r="K1339">
            <v>0</v>
          </cell>
          <cell r="Q1339">
            <v>14</v>
          </cell>
        </row>
        <row r="1340">
          <cell r="D1340" t="str">
            <v>2627-95-4</v>
          </cell>
          <cell r="E1340">
            <v>2627954</v>
          </cell>
          <cell r="F1340">
            <v>2462</v>
          </cell>
          <cell r="G1340" t="str">
            <v>Reach_1849</v>
          </cell>
          <cell r="H1340">
            <v>1332</v>
          </cell>
          <cell r="J1340">
            <v>186.4</v>
          </cell>
          <cell r="K1340">
            <v>-56.85</v>
          </cell>
          <cell r="L1340">
            <v>59851.700000000004</v>
          </cell>
          <cell r="N1340">
            <v>912010.83935591124</v>
          </cell>
          <cell r="Q1340">
            <v>14</v>
          </cell>
        </row>
        <row r="1341">
          <cell r="D1341" t="str">
            <v>3851-87-4</v>
          </cell>
          <cell r="E1341">
            <v>3851874</v>
          </cell>
          <cell r="F1341">
            <v>2823</v>
          </cell>
          <cell r="G1341" t="str">
            <v>Reach_1995</v>
          </cell>
          <cell r="H1341">
            <v>1333</v>
          </cell>
          <cell r="J1341">
            <v>314.47000000000003</v>
          </cell>
          <cell r="K1341">
            <v>6.8</v>
          </cell>
          <cell r="L1341">
            <v>0.19595100000000001</v>
          </cell>
          <cell r="M1341">
            <v>0.18009</v>
          </cell>
          <cell r="N1341">
            <v>10715193.052376067</v>
          </cell>
          <cell r="Q1341">
            <v>14</v>
          </cell>
        </row>
        <row r="1342">
          <cell r="D1342" t="str">
            <v>629-03-8</v>
          </cell>
          <cell r="E1342">
            <v>629038</v>
          </cell>
          <cell r="F1342">
            <v>3384</v>
          </cell>
          <cell r="G1342" t="str">
            <v>Reach_1463</v>
          </cell>
          <cell r="H1342">
            <v>1334</v>
          </cell>
          <cell r="J1342">
            <v>243.98</v>
          </cell>
          <cell r="K1342">
            <v>7.88</v>
          </cell>
          <cell r="L1342">
            <v>7.3981500000000011</v>
          </cell>
          <cell r="M1342">
            <v>15.27</v>
          </cell>
          <cell r="N1342">
            <v>9332.5430079699217</v>
          </cell>
          <cell r="Q1342">
            <v>14</v>
          </cell>
        </row>
        <row r="1343">
          <cell r="D1343" t="str">
            <v>119-17-5</v>
          </cell>
          <cell r="E1343">
            <v>119175</v>
          </cell>
          <cell r="F1343">
            <v>1686</v>
          </cell>
          <cell r="G1343" t="str">
            <v>Reach_976</v>
          </cell>
          <cell r="H1343">
            <v>1335</v>
          </cell>
          <cell r="J1343">
            <v>254.27</v>
          </cell>
          <cell r="K1343">
            <v>196.56</v>
          </cell>
          <cell r="L1343">
            <v>4.2922600000000006E-9</v>
          </cell>
          <cell r="M1343">
            <v>10784</v>
          </cell>
          <cell r="N1343">
            <v>0.25118864315095801</v>
          </cell>
          <cell r="O1343">
            <v>0.7</v>
          </cell>
          <cell r="Q1343">
            <v>0.7</v>
          </cell>
        </row>
        <row r="1344">
          <cell r="D1344" t="str">
            <v>64754-95-6</v>
          </cell>
          <cell r="E1344">
            <v>64754956</v>
          </cell>
          <cell r="F1344">
            <v>6402</v>
          </cell>
          <cell r="G1344" t="str">
            <v>Reach_2866</v>
          </cell>
          <cell r="H1344">
            <v>1336</v>
          </cell>
          <cell r="J1344">
            <v>945.43</v>
          </cell>
          <cell r="K1344">
            <v>0</v>
          </cell>
          <cell r="Q1344">
            <v>14</v>
          </cell>
        </row>
        <row r="1345">
          <cell r="D1345" t="str">
            <v>142-92-7</v>
          </cell>
          <cell r="E1345">
            <v>142927</v>
          </cell>
          <cell r="F1345">
            <v>466</v>
          </cell>
          <cell r="G1345" t="str">
            <v>Reach_1186</v>
          </cell>
          <cell r="H1345">
            <v>1337</v>
          </cell>
          <cell r="J1345">
            <v>144.21</v>
          </cell>
          <cell r="K1345">
            <v>-32.64</v>
          </cell>
          <cell r="L1345">
            <v>193.285</v>
          </cell>
          <cell r="M1345">
            <v>936.71</v>
          </cell>
          <cell r="N1345">
            <v>676.08297539198213</v>
          </cell>
          <cell r="Q1345">
            <v>14</v>
          </cell>
        </row>
        <row r="1346">
          <cell r="D1346" t="str">
            <v>15396-00-6</v>
          </cell>
          <cell r="E1346">
            <v>15396006</v>
          </cell>
          <cell r="F1346">
            <v>2033</v>
          </cell>
          <cell r="G1346" t="str">
            <v>Reach_2387</v>
          </cell>
          <cell r="H1346">
            <v>1338</v>
          </cell>
          <cell r="J1346">
            <v>205.29</v>
          </cell>
          <cell r="K1346">
            <v>32.92</v>
          </cell>
          <cell r="L1346">
            <v>11.54378</v>
          </cell>
          <cell r="N1346">
            <v>1.8197008586099837</v>
          </cell>
          <cell r="Q1346">
            <v>14</v>
          </cell>
        </row>
        <row r="1347">
          <cell r="D1347" t="str">
            <v>505-65-7</v>
          </cell>
          <cell r="E1347">
            <v>505657</v>
          </cell>
          <cell r="F1347">
            <v>3010</v>
          </cell>
          <cell r="G1347" t="str">
            <v>Reach_1309</v>
          </cell>
          <cell r="H1347">
            <v>1339</v>
          </cell>
          <cell r="J1347">
            <v>102.13</v>
          </cell>
          <cell r="K1347">
            <v>-52.27</v>
          </cell>
          <cell r="L1347">
            <v>1759.56</v>
          </cell>
          <cell r="M1347">
            <v>67401</v>
          </cell>
          <cell r="N1347">
            <v>4.6773514128719835</v>
          </cell>
          <cell r="Q1347">
            <v>14</v>
          </cell>
        </row>
        <row r="1348">
          <cell r="D1348" t="str">
            <v>707-72-2</v>
          </cell>
          <cell r="E1348">
            <v>707722</v>
          </cell>
          <cell r="F1348">
            <v>3569</v>
          </cell>
          <cell r="G1348" t="str">
            <v>Reach_4412</v>
          </cell>
          <cell r="H1348">
            <v>1340</v>
          </cell>
          <cell r="J1348">
            <v>229.03</v>
          </cell>
          <cell r="K1348">
            <v>1.78</v>
          </cell>
          <cell r="L1348">
            <v>29.459300000000002</v>
          </cell>
          <cell r="M1348">
            <v>29.42</v>
          </cell>
          <cell r="N1348">
            <v>8709.6358995608189</v>
          </cell>
          <cell r="Q1348">
            <v>14</v>
          </cell>
        </row>
        <row r="1349">
          <cell r="D1349" t="str">
            <v>29901-62-0</v>
          </cell>
          <cell r="E1349">
            <v>29901620</v>
          </cell>
          <cell r="F1349">
            <v>5827</v>
          </cell>
          <cell r="G1349" t="str">
            <v>Reach_2635</v>
          </cell>
          <cell r="H1349">
            <v>1341</v>
          </cell>
          <cell r="J1349">
            <v>211.28</v>
          </cell>
          <cell r="K1349">
            <v>0</v>
          </cell>
          <cell r="Q1349">
            <v>14</v>
          </cell>
        </row>
        <row r="1350">
          <cell r="D1350" t="str">
            <v>28783-41-7</v>
          </cell>
          <cell r="E1350">
            <v>28783417</v>
          </cell>
          <cell r="F1350">
            <v>5818</v>
          </cell>
          <cell r="G1350" t="str">
            <v>Reach_2624</v>
          </cell>
          <cell r="H1350">
            <v>1342</v>
          </cell>
          <cell r="J1350">
            <v>175.68</v>
          </cell>
          <cell r="K1350">
            <v>0</v>
          </cell>
          <cell r="Q1350">
            <v>14</v>
          </cell>
        </row>
        <row r="1351">
          <cell r="D1351" t="str">
            <v>36443-68-2</v>
          </cell>
          <cell r="E1351">
            <v>36443682</v>
          </cell>
          <cell r="F1351">
            <v>2767</v>
          </cell>
          <cell r="G1351" t="str">
            <v>Reach_2699</v>
          </cell>
          <cell r="H1351">
            <v>1343</v>
          </cell>
          <cell r="J1351">
            <v>586.77</v>
          </cell>
          <cell r="K1351">
            <v>274.3</v>
          </cell>
          <cell r="L1351">
            <v>1.51962E-14</v>
          </cell>
          <cell r="M1351">
            <v>3.322E-4</v>
          </cell>
          <cell r="N1351">
            <v>162181009.73589352</v>
          </cell>
          <cell r="O1351">
            <v>11.64</v>
          </cell>
          <cell r="Q1351">
            <v>11.64</v>
          </cell>
        </row>
        <row r="1352">
          <cell r="D1352" t="str">
            <v>42125-46-2</v>
          </cell>
          <cell r="E1352">
            <v>42125462</v>
          </cell>
          <cell r="F1352">
            <v>2889</v>
          </cell>
          <cell r="G1352" t="str">
            <v>Reach_2749</v>
          </cell>
          <cell r="H1352">
            <v>1344</v>
          </cell>
          <cell r="J1352">
            <v>218.72</v>
          </cell>
          <cell r="K1352">
            <v>22.9</v>
          </cell>
          <cell r="L1352">
            <v>5.6652500000000012</v>
          </cell>
          <cell r="M1352">
            <v>0.66374999999999995</v>
          </cell>
          <cell r="N1352">
            <v>15488.166189124853</v>
          </cell>
          <cell r="Q1352">
            <v>14</v>
          </cell>
        </row>
        <row r="1353">
          <cell r="D1353" t="str">
            <v>104358-16-9</v>
          </cell>
          <cell r="E1353">
            <v>104358169</v>
          </cell>
          <cell r="F1353">
            <v>1390</v>
          </cell>
          <cell r="G1353" t="str">
            <v>Reach_4068</v>
          </cell>
          <cell r="H1353">
            <v>1345</v>
          </cell>
          <cell r="J1353">
            <v>236.4</v>
          </cell>
          <cell r="K1353">
            <v>58.91</v>
          </cell>
          <cell r="L1353">
            <v>4.5588600000000007E-2</v>
          </cell>
          <cell r="M1353">
            <v>0.20709</v>
          </cell>
          <cell r="N1353">
            <v>1548816.6189124861</v>
          </cell>
          <cell r="Q1353">
            <v>14</v>
          </cell>
        </row>
        <row r="1354">
          <cell r="D1354" t="str">
            <v>56-86-0</v>
          </cell>
          <cell r="E1354">
            <v>56860</v>
          </cell>
          <cell r="F1354">
            <v>3214</v>
          </cell>
          <cell r="G1354" t="str">
            <v>Reach_32</v>
          </cell>
          <cell r="H1354">
            <v>1346</v>
          </cell>
          <cell r="J1354">
            <v>147.13</v>
          </cell>
          <cell r="K1354">
            <v>228.35</v>
          </cell>
          <cell r="L1354">
            <v>1.4663000000000002E-4</v>
          </cell>
          <cell r="M1354">
            <v>330000</v>
          </cell>
          <cell r="N1354">
            <v>1.4791083881682062E-4</v>
          </cell>
          <cell r="O1354">
            <v>2.08</v>
          </cell>
          <cell r="P1354">
            <v>3.98</v>
          </cell>
          <cell r="Q1354">
            <v>2.08</v>
          </cell>
        </row>
        <row r="1355">
          <cell r="D1355" t="str">
            <v>104-83-6</v>
          </cell>
          <cell r="E1355">
            <v>104836</v>
          </cell>
          <cell r="F1355">
            <v>1401</v>
          </cell>
          <cell r="G1355" t="str">
            <v>Reach_630</v>
          </cell>
          <cell r="H1355">
            <v>1347</v>
          </cell>
          <cell r="J1355">
            <v>161.03</v>
          </cell>
          <cell r="K1355">
            <v>3.43</v>
          </cell>
          <cell r="L1355">
            <v>12.370240000000001</v>
          </cell>
          <cell r="M1355">
            <v>85.75</v>
          </cell>
          <cell r="N1355">
            <v>2754.228703338169</v>
          </cell>
          <cell r="Q1355">
            <v>14</v>
          </cell>
        </row>
        <row r="1356">
          <cell r="D1356" t="str">
            <v>99-61-6</v>
          </cell>
          <cell r="E1356">
            <v>99616</v>
          </cell>
          <cell r="F1356">
            <v>1090</v>
          </cell>
          <cell r="G1356" t="str">
            <v>Reach_533</v>
          </cell>
          <cell r="H1356">
            <v>1348</v>
          </cell>
          <cell r="J1356">
            <v>151.12</v>
          </cell>
          <cell r="K1356">
            <v>69.48</v>
          </cell>
          <cell r="L1356">
            <v>0.60384900000000008</v>
          </cell>
          <cell r="M1356">
            <v>1070.3</v>
          </cell>
          <cell r="N1356">
            <v>33.884415613920268</v>
          </cell>
          <cell r="Q1356">
            <v>14</v>
          </cell>
        </row>
        <row r="1357">
          <cell r="D1357" t="str">
            <v>19529-38-5</v>
          </cell>
          <cell r="E1357">
            <v>19529385</v>
          </cell>
          <cell r="F1357">
            <v>5762</v>
          </cell>
          <cell r="G1357" t="str">
            <v>Reach_2481</v>
          </cell>
          <cell r="H1357">
            <v>1349</v>
          </cell>
          <cell r="J1357">
            <v>495.18</v>
          </cell>
          <cell r="K1357">
            <v>0</v>
          </cell>
          <cell r="Q1357">
            <v>14</v>
          </cell>
        </row>
        <row r="1358">
          <cell r="D1358" t="str">
            <v>2612-57-9</v>
          </cell>
          <cell r="E1358">
            <v>2612579</v>
          </cell>
          <cell r="F1358">
            <v>2455</v>
          </cell>
          <cell r="G1358" t="str">
            <v>Reach_1847</v>
          </cell>
          <cell r="H1358">
            <v>1350</v>
          </cell>
          <cell r="J1358">
            <v>188.01</v>
          </cell>
          <cell r="K1358">
            <v>24.19</v>
          </cell>
          <cell r="L1358">
            <v>14.929600000000002</v>
          </cell>
          <cell r="M1358">
            <v>155.62</v>
          </cell>
          <cell r="N1358">
            <v>7585.7757502918394</v>
          </cell>
          <cell r="Q1358">
            <v>14</v>
          </cell>
        </row>
        <row r="1359">
          <cell r="D1359" t="str">
            <v>142-96-1</v>
          </cell>
          <cell r="E1359">
            <v>142961</v>
          </cell>
          <cell r="F1359">
            <v>467</v>
          </cell>
          <cell r="G1359" t="str">
            <v>Reach_1187</v>
          </cell>
          <cell r="H1359">
            <v>1351</v>
          </cell>
          <cell r="J1359">
            <v>130.22999999999999</v>
          </cell>
          <cell r="K1359">
            <v>-50.42</v>
          </cell>
          <cell r="L1359">
            <v>1025.0770000000002</v>
          </cell>
          <cell r="M1359">
            <v>419.22</v>
          </cell>
          <cell r="N1359">
            <v>1023.2929922807547</v>
          </cell>
          <cell r="Q1359">
            <v>14</v>
          </cell>
        </row>
        <row r="1360">
          <cell r="D1360" t="str">
            <v>77-76-9</v>
          </cell>
          <cell r="E1360">
            <v>77769</v>
          </cell>
          <cell r="F1360">
            <v>3735</v>
          </cell>
          <cell r="G1360" t="str">
            <v>Reach_184</v>
          </cell>
          <cell r="H1360">
            <v>1352</v>
          </cell>
          <cell r="J1360">
            <v>104.15</v>
          </cell>
          <cell r="K1360">
            <v>-75.459999999999994</v>
          </cell>
          <cell r="L1360">
            <v>11423.810000000001</v>
          </cell>
          <cell r="M1360">
            <v>28445</v>
          </cell>
          <cell r="N1360">
            <v>23.988329190194907</v>
          </cell>
          <cell r="Q1360">
            <v>14</v>
          </cell>
        </row>
        <row r="1361">
          <cell r="D1361" t="str">
            <v>81646-13-1</v>
          </cell>
          <cell r="E1361">
            <v>81646131</v>
          </cell>
          <cell r="F1361">
            <v>6043</v>
          </cell>
          <cell r="G1361" t="str">
            <v>Reach_2960</v>
          </cell>
          <cell r="H1361">
            <v>1353</v>
          </cell>
          <cell r="J1361">
            <v>479.81</v>
          </cell>
          <cell r="K1361">
            <v>0</v>
          </cell>
          <cell r="Q1361">
            <v>14</v>
          </cell>
        </row>
        <row r="1362">
          <cell r="D1362" t="str">
            <v>1026785-65-8</v>
          </cell>
          <cell r="E1362">
            <v>1026785658</v>
          </cell>
          <cell r="F1362">
            <v>1350</v>
          </cell>
          <cell r="G1362" t="str">
            <v>Reach_5001</v>
          </cell>
          <cell r="H1362">
            <v>1354</v>
          </cell>
          <cell r="J1362">
            <v>547.45000000000005</v>
          </cell>
          <cell r="K1362">
            <v>243.09</v>
          </cell>
          <cell r="L1362">
            <v>3.4124800000000002E-10</v>
          </cell>
          <cell r="M1362">
            <v>4.4367999999999998E-2</v>
          </cell>
          <cell r="N1362">
            <v>1445439.7707459298</v>
          </cell>
          <cell r="Q1362">
            <v>14</v>
          </cell>
        </row>
        <row r="1363">
          <cell r="D1363" t="str">
            <v>1724-39-6</v>
          </cell>
          <cell r="E1363">
            <v>1724396</v>
          </cell>
          <cell r="F1363">
            <v>2126</v>
          </cell>
          <cell r="G1363" t="str">
            <v>Reach_1713</v>
          </cell>
          <cell r="H1363">
            <v>1355</v>
          </cell>
          <cell r="J1363">
            <v>184.32</v>
          </cell>
          <cell r="K1363">
            <v>25.45</v>
          </cell>
          <cell r="L1363">
            <v>1.66625E-2</v>
          </cell>
          <cell r="M1363">
            <v>10.286</v>
          </cell>
          <cell r="N1363">
            <v>38018.939632056143</v>
          </cell>
          <cell r="O1363">
            <v>16</v>
          </cell>
          <cell r="Q1363">
            <v>14</v>
          </cell>
        </row>
        <row r="1364">
          <cell r="D1364" t="str">
            <v>102-36-3</v>
          </cell>
          <cell r="E1364">
            <v>102363</v>
          </cell>
          <cell r="F1364">
            <v>1341</v>
          </cell>
          <cell r="G1364" t="str">
            <v>Reach_592</v>
          </cell>
          <cell r="H1364">
            <v>1356</v>
          </cell>
          <cell r="J1364">
            <v>188.01</v>
          </cell>
          <cell r="K1364">
            <v>24.19</v>
          </cell>
          <cell r="L1364">
            <v>9.5309500000000007</v>
          </cell>
          <cell r="M1364">
            <v>155.62</v>
          </cell>
          <cell r="N1364">
            <v>7585.7757502918394</v>
          </cell>
          <cell r="Q1364">
            <v>14</v>
          </cell>
        </row>
        <row r="1365">
          <cell r="D1365" t="str">
            <v>130841-23-5</v>
          </cell>
          <cell r="E1365">
            <v>130841235</v>
          </cell>
          <cell r="F1365">
            <v>1844</v>
          </cell>
          <cell r="G1365" t="str">
            <v>Reach_4569</v>
          </cell>
          <cell r="H1365">
            <v>1357</v>
          </cell>
          <cell r="J1365">
            <v>358.02</v>
          </cell>
          <cell r="K1365">
            <v>95.14</v>
          </cell>
          <cell r="L1365">
            <v>6.3450800000000002E-2</v>
          </cell>
          <cell r="M1365">
            <v>0.24543999999999999</v>
          </cell>
          <cell r="N1365">
            <v>295120.92266663886</v>
          </cell>
          <cell r="Q1365">
            <v>14</v>
          </cell>
        </row>
        <row r="1366">
          <cell r="D1366" t="str">
            <v>143390-89-0</v>
          </cell>
          <cell r="E1366">
            <v>143390890</v>
          </cell>
          <cell r="F1366">
            <v>470</v>
          </cell>
          <cell r="G1366" t="str">
            <v>Pest_74</v>
          </cell>
          <cell r="H1366">
            <v>1358</v>
          </cell>
          <cell r="J1366">
            <v>313.35000000000002</v>
          </cell>
          <cell r="K1366">
            <v>137.43</v>
          </cell>
          <cell r="L1366">
            <v>1.6795800000000001E-4</v>
          </cell>
          <cell r="M1366">
            <v>4.1649000000000003</v>
          </cell>
          <cell r="N1366">
            <v>758577.57502918423</v>
          </cell>
          <cell r="Q1366">
            <v>14</v>
          </cell>
        </row>
        <row r="1367">
          <cell r="D1367" t="str">
            <v>15086-94-9</v>
          </cell>
          <cell r="E1367">
            <v>15086949</v>
          </cell>
          <cell r="F1367">
            <v>2013</v>
          </cell>
          <cell r="G1367" t="str">
            <v>Reach_2376</v>
          </cell>
          <cell r="H1367">
            <v>1359</v>
          </cell>
          <cell r="J1367">
            <v>647.91999999999996</v>
          </cell>
          <cell r="K1367">
            <v>284.14999999999998</v>
          </cell>
          <cell r="L1367">
            <v>1.8928600000000005E-15</v>
          </cell>
          <cell r="M1367">
            <v>5.27E-5</v>
          </cell>
          <cell r="N1367">
            <v>8128305.1616410045</v>
          </cell>
          <cell r="O1367">
            <v>6.14</v>
          </cell>
          <cell r="Q1367">
            <v>6.14</v>
          </cell>
        </row>
        <row r="1368">
          <cell r="D1368" t="str">
            <v>7139-02-8</v>
          </cell>
          <cell r="E1368">
            <v>7139028</v>
          </cell>
          <cell r="F1368">
            <v>1288</v>
          </cell>
          <cell r="G1368" t="str">
            <v>Reach_2226</v>
          </cell>
          <cell r="H1368">
            <v>1360</v>
          </cell>
          <cell r="J1368">
            <v>367.29</v>
          </cell>
          <cell r="K1368">
            <v>201.74</v>
          </cell>
          <cell r="L1368">
            <v>1.9195200000000002E-7</v>
          </cell>
          <cell r="M1368">
            <v>0.11819</v>
          </cell>
          <cell r="N1368">
            <v>281838.29312644573</v>
          </cell>
          <cell r="Q1368">
            <v>14</v>
          </cell>
        </row>
        <row r="1369">
          <cell r="D1369" t="str">
            <v>597-82-0</v>
          </cell>
          <cell r="E1369">
            <v>597820</v>
          </cell>
          <cell r="F1369">
            <v>3288</v>
          </cell>
          <cell r="G1369" t="str">
            <v>Reach_1401</v>
          </cell>
          <cell r="H1369">
            <v>1361</v>
          </cell>
          <cell r="J1369">
            <v>342.35</v>
          </cell>
          <cell r="K1369">
            <v>86.16</v>
          </cell>
          <cell r="L1369">
            <v>3.3991500000000001E-5</v>
          </cell>
          <cell r="M1369">
            <v>0.10625999999999999</v>
          </cell>
          <cell r="N1369">
            <v>2951209.2266663867</v>
          </cell>
          <cell r="Q1369">
            <v>14</v>
          </cell>
        </row>
        <row r="1370">
          <cell r="D1370" t="str">
            <v>35113-48-5</v>
          </cell>
          <cell r="E1370">
            <v>35113485</v>
          </cell>
          <cell r="F1370">
            <v>2723</v>
          </cell>
          <cell r="G1370" t="str">
            <v>Reach_4288</v>
          </cell>
          <cell r="H1370">
            <v>1362</v>
          </cell>
          <cell r="J1370">
            <v>274.31</v>
          </cell>
          <cell r="K1370">
            <v>22.82</v>
          </cell>
          <cell r="L1370">
            <v>0.23327500000000004</v>
          </cell>
          <cell r="M1370">
            <v>1057.4000000000001</v>
          </cell>
          <cell r="N1370">
            <v>28.840315031266066</v>
          </cell>
          <cell r="Q1370">
            <v>14</v>
          </cell>
        </row>
        <row r="1371">
          <cell r="D1371" t="str">
            <v>26544-23-0</v>
          </cell>
          <cell r="E1371">
            <v>26544230</v>
          </cell>
          <cell r="F1371">
            <v>2476</v>
          </cell>
          <cell r="G1371" t="str">
            <v>Reach_2587</v>
          </cell>
          <cell r="H1371">
            <v>1363</v>
          </cell>
          <cell r="J1371">
            <v>374.46</v>
          </cell>
          <cell r="K1371">
            <v>154.75</v>
          </cell>
          <cell r="L1371">
            <v>6.9849200000000004E-6</v>
          </cell>
          <cell r="M1371">
            <v>5.8221999999999996E-3</v>
          </cell>
          <cell r="N1371">
            <v>331131121.48259121</v>
          </cell>
          <cell r="Q1371">
            <v>14</v>
          </cell>
        </row>
        <row r="1372">
          <cell r="D1372" t="str">
            <v>85187-23-1</v>
          </cell>
          <cell r="E1372">
            <v>85187231</v>
          </cell>
          <cell r="F1372">
            <v>3884</v>
          </cell>
          <cell r="G1372" t="str">
            <v>Reach_2983</v>
          </cell>
          <cell r="H1372">
            <v>1364</v>
          </cell>
          <cell r="J1372">
            <v>294.35000000000002</v>
          </cell>
          <cell r="K1372">
            <v>135.56</v>
          </cell>
          <cell r="L1372">
            <v>2.42606E-4</v>
          </cell>
          <cell r="M1372">
            <v>2.6977000000000001E-2</v>
          </cell>
          <cell r="N1372">
            <v>1000000</v>
          </cell>
          <cell r="Q1372">
            <v>14</v>
          </cell>
        </row>
        <row r="1373">
          <cell r="D1373" t="str">
            <v>50-89-5</v>
          </cell>
          <cell r="E1373">
            <v>50895</v>
          </cell>
          <cell r="F1373">
            <v>3021</v>
          </cell>
          <cell r="G1373" t="str">
            <v>Reach_10</v>
          </cell>
          <cell r="H1373">
            <v>1365</v>
          </cell>
          <cell r="J1373">
            <v>242.23</v>
          </cell>
          <cell r="K1373">
            <v>226.62</v>
          </cell>
          <cell r="L1373">
            <v>1.8128800000000002E-11</v>
          </cell>
          <cell r="M1373">
            <v>5195</v>
          </cell>
          <cell r="N1373">
            <v>0.22908676527677729</v>
          </cell>
          <cell r="O1373">
            <v>9.7100000000000009</v>
          </cell>
          <cell r="Q1373">
            <v>9.7100000000000009</v>
          </cell>
        </row>
        <row r="1374">
          <cell r="D1374" t="str">
            <v>57693-14-8</v>
          </cell>
          <cell r="E1374">
            <v>57693148</v>
          </cell>
          <cell r="F1374">
            <v>5938</v>
          </cell>
          <cell r="G1374" t="str">
            <v>Reach_2826</v>
          </cell>
          <cell r="H1374">
            <v>1366</v>
          </cell>
          <cell r="J1374">
            <v>1003.8</v>
          </cell>
          <cell r="K1374">
            <v>0</v>
          </cell>
          <cell r="Q1374">
            <v>14</v>
          </cell>
        </row>
        <row r="1375">
          <cell r="D1375" t="str">
            <v>1025-15-6</v>
          </cell>
          <cell r="E1375">
            <v>1025156</v>
          </cell>
          <cell r="F1375">
            <v>1343</v>
          </cell>
          <cell r="G1375" t="str">
            <v>Reach_1635</v>
          </cell>
          <cell r="H1375">
            <v>1367</v>
          </cell>
          <cell r="J1375">
            <v>249.27</v>
          </cell>
          <cell r="K1375">
            <v>194.91</v>
          </cell>
          <cell r="L1375">
            <v>3.2658499999999999E-5</v>
          </cell>
          <cell r="M1375">
            <v>917.95</v>
          </cell>
          <cell r="N1375">
            <v>131825.67385564081</v>
          </cell>
          <cell r="Q1375">
            <v>14</v>
          </cell>
        </row>
        <row r="1376">
          <cell r="D1376" t="str">
            <v>2873-97-4</v>
          </cell>
          <cell r="E1376">
            <v>2873974</v>
          </cell>
          <cell r="F1376">
            <v>2542</v>
          </cell>
          <cell r="G1376" t="str">
            <v>Reach_1879</v>
          </cell>
          <cell r="H1376">
            <v>1368</v>
          </cell>
          <cell r="J1376">
            <v>169.22</v>
          </cell>
          <cell r="K1376">
            <v>96</v>
          </cell>
          <cell r="L1376">
            <v>7.7180700000000005E-2</v>
          </cell>
          <cell r="M1376">
            <v>10727</v>
          </cell>
          <cell r="N1376">
            <v>0.89125093813374545</v>
          </cell>
          <cell r="O1376">
            <v>14.6</v>
          </cell>
          <cell r="P1376">
            <v>14.79</v>
          </cell>
          <cell r="Q1376">
            <v>-0.78999999999999915</v>
          </cell>
        </row>
        <row r="1377">
          <cell r="D1377" t="str">
            <v>194608-78-1</v>
          </cell>
          <cell r="E1377">
            <v>194608781</v>
          </cell>
          <cell r="F1377">
            <v>2234</v>
          </cell>
          <cell r="G1377" t="str">
            <v>Reach_4575</v>
          </cell>
          <cell r="H1377">
            <v>1369</v>
          </cell>
          <cell r="J1377">
            <v>157.30000000000001</v>
          </cell>
          <cell r="K1377">
            <v>2.2799999999999998</v>
          </cell>
          <cell r="L1377">
            <v>34.391400000000004</v>
          </cell>
          <cell r="M1377">
            <v>32.588000000000001</v>
          </cell>
          <cell r="N1377">
            <v>5128.6138399136489</v>
          </cell>
          <cell r="P1377">
            <v>3.5</v>
          </cell>
          <cell r="Q1377">
            <v>10.5</v>
          </cell>
        </row>
        <row r="1378">
          <cell r="D1378" t="str">
            <v>125-65-5</v>
          </cell>
          <cell r="E1378">
            <v>125655</v>
          </cell>
          <cell r="F1378">
            <v>1799</v>
          </cell>
          <cell r="G1378" t="str">
            <v>Reach_1084</v>
          </cell>
          <cell r="H1378">
            <v>1370</v>
          </cell>
          <cell r="J1378">
            <v>378.51</v>
          </cell>
          <cell r="K1378">
            <v>200.86</v>
          </cell>
          <cell r="L1378">
            <v>1.5596100000000002E-9</v>
          </cell>
          <cell r="M1378">
            <v>0.91696</v>
          </cell>
          <cell r="N1378">
            <v>851.13803820237763</v>
          </cell>
          <cell r="O1378">
            <v>12.59</v>
          </cell>
          <cell r="Q1378">
            <v>12.59</v>
          </cell>
        </row>
        <row r="1379">
          <cell r="D1379" t="str">
            <v>35948-25-5</v>
          </cell>
          <cell r="E1379">
            <v>35948255</v>
          </cell>
          <cell r="F1379">
            <v>2754</v>
          </cell>
          <cell r="G1379" t="str">
            <v>Reach_2696</v>
          </cell>
          <cell r="H1379">
            <v>1371</v>
          </cell>
          <cell r="J1379">
            <v>216.18</v>
          </cell>
          <cell r="K1379">
            <v>84.03</v>
          </cell>
          <cell r="L1379">
            <v>3.8390400000000002E-3</v>
          </cell>
          <cell r="M1379">
            <v>191.21</v>
          </cell>
          <cell r="N1379">
            <v>74.131024130091816</v>
          </cell>
          <cell r="Q1379">
            <v>14</v>
          </cell>
        </row>
        <row r="1380">
          <cell r="D1380" t="str">
            <v>52-89-1</v>
          </cell>
          <cell r="E1380">
            <v>52891</v>
          </cell>
          <cell r="F1380">
            <v>5917</v>
          </cell>
          <cell r="G1380" t="str">
            <v>Reach_17</v>
          </cell>
          <cell r="H1380">
            <v>1372</v>
          </cell>
          <cell r="J1380">
            <v>157.62</v>
          </cell>
          <cell r="K1380">
            <v>0</v>
          </cell>
          <cell r="Q1380">
            <v>14</v>
          </cell>
        </row>
        <row r="1381">
          <cell r="D1381" t="str">
            <v>127-68-4</v>
          </cell>
          <cell r="E1381">
            <v>127684</v>
          </cell>
          <cell r="F1381">
            <v>5650</v>
          </cell>
          <cell r="G1381" t="str">
            <v>Reach_1101</v>
          </cell>
          <cell r="H1381">
            <v>1373</v>
          </cell>
          <cell r="J1381">
            <v>225.16</v>
          </cell>
          <cell r="K1381">
            <v>0</v>
          </cell>
          <cell r="Q1381">
            <v>14</v>
          </cell>
        </row>
        <row r="1382">
          <cell r="D1382" t="str">
            <v>2373-38-8</v>
          </cell>
          <cell r="E1382">
            <v>2373388</v>
          </cell>
          <cell r="F1382">
            <v>5788</v>
          </cell>
          <cell r="G1382" t="str">
            <v>Reach_1789</v>
          </cell>
          <cell r="H1382">
            <v>1374</v>
          </cell>
          <cell r="J1382">
            <v>388.46</v>
          </cell>
          <cell r="K1382">
            <v>0</v>
          </cell>
          <cell r="Q1382">
            <v>14</v>
          </cell>
        </row>
        <row r="1383">
          <cell r="D1383" t="str">
            <v>957-68-6</v>
          </cell>
          <cell r="E1383">
            <v>957686</v>
          </cell>
          <cell r="F1383">
            <v>4133</v>
          </cell>
          <cell r="G1383" t="str">
            <v>Reach_1617</v>
          </cell>
          <cell r="H1383">
            <v>1375</v>
          </cell>
          <cell r="J1383">
            <v>272.27999999999997</v>
          </cell>
          <cell r="K1383">
            <v>305.32</v>
          </cell>
          <cell r="L1383">
            <v>5.1053900000000003E-9</v>
          </cell>
          <cell r="M1383">
            <v>10660</v>
          </cell>
          <cell r="N1383">
            <v>4.6773514128719787E-2</v>
          </cell>
          <cell r="O1383">
            <v>1.97</v>
          </cell>
          <cell r="P1383">
            <v>7.13</v>
          </cell>
          <cell r="Q1383">
            <v>1.97</v>
          </cell>
        </row>
        <row r="1384">
          <cell r="D1384" t="str">
            <v>20292-08-4</v>
          </cell>
          <cell r="E1384">
            <v>20292084</v>
          </cell>
          <cell r="F1384">
            <v>2257</v>
          </cell>
          <cell r="G1384" t="str">
            <v>Reach_2491</v>
          </cell>
          <cell r="H1384">
            <v>1376</v>
          </cell>
          <cell r="J1384">
            <v>312.54000000000002</v>
          </cell>
          <cell r="K1384">
            <v>81.069999999999993</v>
          </cell>
          <cell r="L1384">
            <v>4.2122800000000005E-3</v>
          </cell>
          <cell r="M1384">
            <v>6.0369000000000004E-3</v>
          </cell>
          <cell r="N1384">
            <v>446683592.15096432</v>
          </cell>
          <cell r="Q1384">
            <v>14</v>
          </cell>
        </row>
        <row r="1385">
          <cell r="D1385" t="str">
            <v>111974-73-3</v>
          </cell>
          <cell r="E1385">
            <v>111974733</v>
          </cell>
          <cell r="F1385">
            <v>1566</v>
          </cell>
          <cell r="G1385" t="str">
            <v>Reach_4079</v>
          </cell>
          <cell r="H1385">
            <v>1377</v>
          </cell>
          <cell r="J1385">
            <v>321.39999999999998</v>
          </cell>
          <cell r="K1385">
            <v>168.5</v>
          </cell>
          <cell r="L1385">
            <v>2.4927100000000001E-6</v>
          </cell>
          <cell r="M1385">
            <v>0.70552000000000004</v>
          </cell>
          <cell r="N1385">
            <v>186208.71366628664</v>
          </cell>
          <cell r="Q1385">
            <v>14</v>
          </cell>
        </row>
        <row r="1386">
          <cell r="D1386" t="str">
            <v>65405-84-7</v>
          </cell>
          <cell r="E1386">
            <v>65405847</v>
          </cell>
          <cell r="F1386">
            <v>3453</v>
          </cell>
          <cell r="G1386" t="str">
            <v>Reach_2873</v>
          </cell>
          <cell r="H1386">
            <v>1378</v>
          </cell>
          <cell r="J1386">
            <v>208.35</v>
          </cell>
          <cell r="K1386">
            <v>43.04</v>
          </cell>
          <cell r="L1386">
            <v>0.83445800000000003</v>
          </cell>
          <cell r="M1386">
            <v>25.312999999999999</v>
          </cell>
          <cell r="N1386">
            <v>158489.31924611164</v>
          </cell>
          <cell r="Q1386">
            <v>14</v>
          </cell>
        </row>
        <row r="1387">
          <cell r="D1387" t="str">
            <v>123-11-5</v>
          </cell>
          <cell r="E1387">
            <v>123115</v>
          </cell>
          <cell r="F1387">
            <v>1763</v>
          </cell>
          <cell r="G1387" t="str">
            <v>Reach_1039</v>
          </cell>
          <cell r="H1387">
            <v>1379</v>
          </cell>
          <cell r="J1387">
            <v>136.15</v>
          </cell>
          <cell r="K1387">
            <v>12.84</v>
          </cell>
          <cell r="L1387">
            <v>4.0389900000000001</v>
          </cell>
          <cell r="M1387">
            <v>4804.6000000000004</v>
          </cell>
          <cell r="N1387">
            <v>61.659500186148257</v>
          </cell>
          <cell r="Q1387">
            <v>14</v>
          </cell>
        </row>
        <row r="1388">
          <cell r="D1388" t="str">
            <v>2135-17-3</v>
          </cell>
          <cell r="E1388">
            <v>2135173</v>
          </cell>
          <cell r="F1388">
            <v>532</v>
          </cell>
          <cell r="G1388" t="str">
            <v>Reach_1760</v>
          </cell>
          <cell r="H1388">
            <v>1380</v>
          </cell>
          <cell r="J1388">
            <v>410.46</v>
          </cell>
          <cell r="K1388">
            <v>215.72</v>
          </cell>
          <cell r="L1388">
            <v>1.4396400000000001E-11</v>
          </cell>
          <cell r="M1388">
            <v>32.718000000000004</v>
          </cell>
          <cell r="N1388">
            <v>38.904514499428075</v>
          </cell>
          <cell r="O1388">
            <v>12.97</v>
          </cell>
          <cell r="Q1388">
            <v>12.97</v>
          </cell>
        </row>
        <row r="1389">
          <cell r="D1389" t="str">
            <v>30125-47-4</v>
          </cell>
          <cell r="E1389">
            <v>30125474</v>
          </cell>
          <cell r="F1389">
            <v>2587</v>
          </cell>
          <cell r="G1389" t="str">
            <v>Reach_2643</v>
          </cell>
          <cell r="H1389">
            <v>1381</v>
          </cell>
          <cell r="J1389">
            <v>693.97</v>
          </cell>
          <cell r="K1389">
            <v>349.84</v>
          </cell>
          <cell r="L1389">
            <v>2.3460800000000003E-19</v>
          </cell>
          <cell r="M1389">
            <v>1.37E-7</v>
          </cell>
          <cell r="N1389">
            <v>15135612484.362116</v>
          </cell>
          <cell r="O1389">
            <v>9.5500000000000007</v>
          </cell>
          <cell r="P1389">
            <v>12.47</v>
          </cell>
          <cell r="Q1389">
            <v>1.5299999999999994</v>
          </cell>
        </row>
        <row r="1390">
          <cell r="D1390" t="str">
            <v>98-60-2</v>
          </cell>
          <cell r="E1390">
            <v>98602</v>
          </cell>
          <cell r="F1390">
            <v>4189</v>
          </cell>
          <cell r="G1390" t="str">
            <v>Reach_515</v>
          </cell>
          <cell r="H1390">
            <v>1382</v>
          </cell>
          <cell r="J1390">
            <v>211.07</v>
          </cell>
          <cell r="K1390">
            <v>85.08</v>
          </cell>
          <cell r="L1390">
            <v>0.15596100000000002</v>
          </cell>
          <cell r="M1390">
            <v>515.38</v>
          </cell>
          <cell r="N1390">
            <v>3890.451449942811</v>
          </cell>
          <cell r="Q1390">
            <v>14</v>
          </cell>
        </row>
        <row r="1391">
          <cell r="D1391" t="str">
            <v>13402-02-3</v>
          </cell>
          <cell r="E1391">
            <v>13402023</v>
          </cell>
          <cell r="F1391">
            <v>1875</v>
          </cell>
          <cell r="G1391" t="str">
            <v>Reach_2334</v>
          </cell>
          <cell r="H1391">
            <v>1383</v>
          </cell>
          <cell r="J1391">
            <v>296.5</v>
          </cell>
          <cell r="K1391">
            <v>80.45</v>
          </cell>
          <cell r="L1391">
            <v>5.7718900000000009E-3</v>
          </cell>
          <cell r="M1391">
            <v>6.2658999999999996E-3</v>
          </cell>
          <cell r="N1391">
            <v>123026877.08123825</v>
          </cell>
          <cell r="Q1391">
            <v>14</v>
          </cell>
        </row>
        <row r="1392">
          <cell r="D1392" t="str">
            <v>79-03-8</v>
          </cell>
          <cell r="E1392">
            <v>79038</v>
          </cell>
          <cell r="F1392">
            <v>3764</v>
          </cell>
          <cell r="G1392" t="str">
            <v>Reach_224</v>
          </cell>
          <cell r="H1392">
            <v>1384</v>
          </cell>
          <cell r="J1392">
            <v>92.525000000000006</v>
          </cell>
          <cell r="K1392">
            <v>-67.53</v>
          </cell>
          <cell r="L1392">
            <v>12876.78</v>
          </cell>
          <cell r="M1392">
            <v>18716</v>
          </cell>
          <cell r="N1392">
            <v>1.0471285480508996</v>
          </cell>
          <cell r="Q1392">
            <v>14</v>
          </cell>
        </row>
        <row r="1393">
          <cell r="D1393" t="str">
            <v>31335-74-7</v>
          </cell>
          <cell r="E1393">
            <v>31335747</v>
          </cell>
          <cell r="F1393">
            <v>2625</v>
          </cell>
          <cell r="G1393" t="str">
            <v>Reach_2654</v>
          </cell>
          <cell r="H1393">
            <v>1385</v>
          </cell>
          <cell r="J1393">
            <v>356.55</v>
          </cell>
          <cell r="K1393">
            <v>25.69</v>
          </cell>
          <cell r="L1393">
            <v>5.7852199999999998E-3</v>
          </cell>
          <cell r="M1393">
            <v>5.2825999999999998E-2</v>
          </cell>
          <cell r="N1393">
            <v>45708818.961487569</v>
          </cell>
          <cell r="Q1393">
            <v>14</v>
          </cell>
        </row>
        <row r="1394">
          <cell r="D1394" t="str">
            <v>122-01-0</v>
          </cell>
          <cell r="E1394">
            <v>122010</v>
          </cell>
          <cell r="F1394">
            <v>1741</v>
          </cell>
          <cell r="G1394" t="str">
            <v>Reach_1024</v>
          </cell>
          <cell r="H1394">
            <v>1386</v>
          </cell>
          <cell r="J1394">
            <v>175.01</v>
          </cell>
          <cell r="K1394">
            <v>32.65</v>
          </cell>
          <cell r="L1394">
            <v>15.7294</v>
          </cell>
          <cell r="M1394">
            <v>330.87</v>
          </cell>
          <cell r="N1394">
            <v>120.22644346174135</v>
          </cell>
          <cell r="Q1394">
            <v>14</v>
          </cell>
        </row>
        <row r="1395">
          <cell r="D1395" t="str">
            <v>53056-20-5</v>
          </cell>
          <cell r="E1395">
            <v>53056205</v>
          </cell>
          <cell r="F1395">
            <v>3085</v>
          </cell>
          <cell r="G1395" t="str">
            <v>Reach_4340</v>
          </cell>
          <cell r="H1395">
            <v>1387</v>
          </cell>
          <cell r="J1395">
            <v>223.49</v>
          </cell>
          <cell r="K1395">
            <v>64.27</v>
          </cell>
          <cell r="L1395">
            <v>0.39723400000000003</v>
          </cell>
          <cell r="M1395">
            <v>14.456</v>
          </cell>
          <cell r="N1395">
            <v>331.13112148259137</v>
          </cell>
          <cell r="Q1395">
            <v>14</v>
          </cell>
        </row>
        <row r="1396">
          <cell r="D1396" t="str">
            <v>543-39-5</v>
          </cell>
          <cell r="E1396">
            <v>543395</v>
          </cell>
          <cell r="F1396">
            <v>3138</v>
          </cell>
          <cell r="G1396" t="str">
            <v>Reach_1349</v>
          </cell>
          <cell r="H1396">
            <v>1388</v>
          </cell>
          <cell r="J1396">
            <v>154.25</v>
          </cell>
          <cell r="K1396">
            <v>-11.95</v>
          </cell>
          <cell r="L1396">
            <v>12.183620000000001</v>
          </cell>
          <cell r="M1396">
            <v>381.66</v>
          </cell>
          <cell r="N1396">
            <v>2884.0315031266077</v>
          </cell>
          <cell r="O1396">
            <v>16</v>
          </cell>
          <cell r="Q1396">
            <v>14</v>
          </cell>
        </row>
        <row r="1397">
          <cell r="D1397" t="str">
            <v>3621-82-7</v>
          </cell>
          <cell r="E1397">
            <v>3621827</v>
          </cell>
          <cell r="F1397">
            <v>2762</v>
          </cell>
          <cell r="G1397" t="str">
            <v>Reach_1976</v>
          </cell>
          <cell r="H1397">
            <v>1389</v>
          </cell>
          <cell r="J1397">
            <v>188.01</v>
          </cell>
          <cell r="K1397">
            <v>66.290000000000006</v>
          </cell>
          <cell r="L1397">
            <v>0.63983999999999996</v>
          </cell>
          <cell r="M1397">
            <v>90.158000000000001</v>
          </cell>
          <cell r="N1397">
            <v>1023.2929922807547</v>
          </cell>
          <cell r="Q1397">
            <v>14</v>
          </cell>
        </row>
        <row r="1398">
          <cell r="D1398" t="str">
            <v>91-66-7</v>
          </cell>
          <cell r="E1398">
            <v>91667</v>
          </cell>
          <cell r="F1398">
            <v>1009</v>
          </cell>
          <cell r="G1398" t="str">
            <v>Reach_378</v>
          </cell>
          <cell r="H1398">
            <v>1390</v>
          </cell>
          <cell r="J1398">
            <v>149.24</v>
          </cell>
          <cell r="K1398">
            <v>-1.4</v>
          </cell>
          <cell r="L1398">
            <v>21.061400000000003</v>
          </cell>
          <cell r="M1398">
            <v>1559.4</v>
          </cell>
          <cell r="N1398">
            <v>1412.5375446227545</v>
          </cell>
          <cell r="P1398">
            <v>8</v>
          </cell>
          <cell r="Q1398">
            <v>6</v>
          </cell>
        </row>
        <row r="1399">
          <cell r="D1399" t="str">
            <v>82966-34-5</v>
          </cell>
          <cell r="E1399">
            <v>82966345</v>
          </cell>
          <cell r="F1399">
            <v>3838</v>
          </cell>
          <cell r="G1399" t="str">
            <v>Reach_4856</v>
          </cell>
          <cell r="H1399">
            <v>1391</v>
          </cell>
          <cell r="J1399">
            <v>420.11</v>
          </cell>
          <cell r="K1399">
            <v>189</v>
          </cell>
          <cell r="L1399">
            <v>1.2943430000000002E-6</v>
          </cell>
          <cell r="M1399">
            <v>3.1682999999999999</v>
          </cell>
          <cell r="N1399">
            <v>1096.4781961431863</v>
          </cell>
          <cell r="Q1399">
            <v>14</v>
          </cell>
        </row>
        <row r="1400">
          <cell r="D1400" t="str">
            <v>1400584-86-2</v>
          </cell>
          <cell r="E1400">
            <v>1400584862</v>
          </cell>
          <cell r="F1400">
            <v>5690</v>
          </cell>
          <cell r="G1400" t="str">
            <v>Reach_5126</v>
          </cell>
          <cell r="H1400">
            <v>1392</v>
          </cell>
          <cell r="J1400">
            <v>221.22</v>
          </cell>
          <cell r="K1400">
            <v>0</v>
          </cell>
          <cell r="Q1400">
            <v>14</v>
          </cell>
        </row>
        <row r="1401">
          <cell r="D1401" t="str">
            <v>75330-75-5</v>
          </cell>
          <cell r="E1401">
            <v>75330755</v>
          </cell>
          <cell r="F1401">
            <v>856</v>
          </cell>
          <cell r="G1401" t="str">
            <v>Reach_4428</v>
          </cell>
          <cell r="H1401">
            <v>1393</v>
          </cell>
          <cell r="J1401">
            <v>404.55</v>
          </cell>
          <cell r="K1401">
            <v>197.75</v>
          </cell>
          <cell r="L1401">
            <v>1.7862200000000002E-10</v>
          </cell>
          <cell r="M1401">
            <v>0.52451000000000003</v>
          </cell>
          <cell r="N1401">
            <v>54954.087385762505</v>
          </cell>
          <cell r="O1401">
            <v>14.64</v>
          </cell>
          <cell r="Q1401">
            <v>14</v>
          </cell>
        </row>
        <row r="1402">
          <cell r="D1402" t="str">
            <v>1247119-36-3</v>
          </cell>
          <cell r="E1402">
            <v>1247119363</v>
          </cell>
          <cell r="F1402">
            <v>5641</v>
          </cell>
          <cell r="G1402" t="str">
            <v>Reach_5130</v>
          </cell>
          <cell r="H1402">
            <v>1394</v>
          </cell>
          <cell r="J1402">
            <v>502.59</v>
          </cell>
          <cell r="K1402">
            <v>0</v>
          </cell>
          <cell r="Q1402">
            <v>14</v>
          </cell>
        </row>
        <row r="1403">
          <cell r="D1403" t="str">
            <v>84029-45-8</v>
          </cell>
          <cell r="E1403">
            <v>84029458</v>
          </cell>
          <cell r="F1403">
            <v>6049</v>
          </cell>
          <cell r="G1403" t="str">
            <v>Reach_2969</v>
          </cell>
          <cell r="H1403">
            <v>1395</v>
          </cell>
          <cell r="J1403">
            <v>358.31</v>
          </cell>
          <cell r="K1403">
            <v>0</v>
          </cell>
          <cell r="Q1403">
            <v>14</v>
          </cell>
        </row>
        <row r="1404">
          <cell r="D1404" t="str">
            <v>64131-85-7</v>
          </cell>
          <cell r="E1404">
            <v>64131857</v>
          </cell>
          <cell r="F1404">
            <v>3426</v>
          </cell>
          <cell r="G1404" t="str">
            <v>Reach_2864</v>
          </cell>
          <cell r="H1404">
            <v>1396</v>
          </cell>
          <cell r="J1404">
            <v>477.35</v>
          </cell>
          <cell r="K1404">
            <v>90.27</v>
          </cell>
          <cell r="L1404">
            <v>2.7459799999999999E-6</v>
          </cell>
          <cell r="M1404">
            <v>0.11039</v>
          </cell>
          <cell r="N1404">
            <v>831763.77110267128</v>
          </cell>
          <cell r="Q1404">
            <v>14</v>
          </cell>
        </row>
        <row r="1405">
          <cell r="D1405" t="str">
            <v>227197-72-0</v>
          </cell>
          <cell r="E1405">
            <v>227197720</v>
          </cell>
          <cell r="F1405">
            <v>2337</v>
          </cell>
          <cell r="G1405" t="str">
            <v>Reach_4233</v>
          </cell>
          <cell r="H1405">
            <v>1397</v>
          </cell>
          <cell r="J1405">
            <v>153.57</v>
          </cell>
          <cell r="K1405">
            <v>49.48</v>
          </cell>
          <cell r="L1405">
            <v>3.9190200000000002</v>
          </cell>
          <cell r="M1405">
            <v>626.29999999999995</v>
          </cell>
          <cell r="N1405">
            <v>229.08676527677744</v>
          </cell>
          <cell r="P1405">
            <v>14.06</v>
          </cell>
          <cell r="Q1405">
            <v>-6.0000000000000497E-2</v>
          </cell>
        </row>
        <row r="1406">
          <cell r="D1406" t="str">
            <v>10081-67-1</v>
          </cell>
          <cell r="E1406">
            <v>10081671</v>
          </cell>
          <cell r="F1406">
            <v>1310</v>
          </cell>
          <cell r="G1406" t="str">
            <v>Reach_2280</v>
          </cell>
          <cell r="H1406">
            <v>1398</v>
          </cell>
          <cell r="J1406">
            <v>405.59</v>
          </cell>
          <cell r="K1406">
            <v>214.52</v>
          </cell>
          <cell r="L1406">
            <v>2.31942E-8</v>
          </cell>
          <cell r="M1406">
            <v>2.075E-4</v>
          </cell>
          <cell r="N1406">
            <v>323593656.92962837</v>
          </cell>
          <cell r="P1406">
            <v>13.18</v>
          </cell>
          <cell r="Q1406">
            <v>0.82000000000000028</v>
          </cell>
        </row>
        <row r="1407">
          <cell r="D1407" t="str">
            <v>70714-66-8</v>
          </cell>
          <cell r="E1407">
            <v>70714668</v>
          </cell>
          <cell r="F1407">
            <v>6006</v>
          </cell>
          <cell r="G1407" t="str">
            <v>Reach_2920</v>
          </cell>
          <cell r="H1407">
            <v>1399</v>
          </cell>
          <cell r="J1407">
            <v>590.23</v>
          </cell>
          <cell r="K1407">
            <v>0</v>
          </cell>
          <cell r="Q1407">
            <v>14</v>
          </cell>
        </row>
        <row r="1408">
          <cell r="D1408" t="str">
            <v>4672-38-2</v>
          </cell>
          <cell r="E1408">
            <v>4672382</v>
          </cell>
          <cell r="F1408">
            <v>2957</v>
          </cell>
          <cell r="G1408" t="str">
            <v>Reach_2054</v>
          </cell>
          <cell r="H1408">
            <v>1400</v>
          </cell>
          <cell r="J1408">
            <v>124.08</v>
          </cell>
          <cell r="K1408">
            <v>28.27</v>
          </cell>
          <cell r="L1408">
            <v>1.1317170000000001E-2</v>
          </cell>
          <cell r="M1408">
            <v>147000</v>
          </cell>
          <cell r="N1408">
            <v>0.95499258602143589</v>
          </cell>
          <cell r="O1408">
            <v>2.6</v>
          </cell>
          <cell r="Q1408">
            <v>2.6</v>
          </cell>
        </row>
        <row r="1409">
          <cell r="D1409" t="str">
            <v>6331-96-0</v>
          </cell>
          <cell r="E1409">
            <v>6331960</v>
          </cell>
          <cell r="F1409">
            <v>3399</v>
          </cell>
          <cell r="G1409" t="str">
            <v>Reach_4891</v>
          </cell>
          <cell r="H1409">
            <v>1401</v>
          </cell>
          <cell r="J1409">
            <v>242.08</v>
          </cell>
          <cell r="K1409">
            <v>156.65</v>
          </cell>
          <cell r="L1409">
            <v>1.063734E-6</v>
          </cell>
          <cell r="M1409">
            <v>35.137</v>
          </cell>
          <cell r="N1409">
            <v>0.16218100973589297</v>
          </cell>
          <cell r="Q1409">
            <v>14</v>
          </cell>
        </row>
        <row r="1410">
          <cell r="D1410" t="str">
            <v>2212-81-9</v>
          </cell>
          <cell r="E1410">
            <v>2212819</v>
          </cell>
          <cell r="F1410">
            <v>2320</v>
          </cell>
          <cell r="G1410" t="str">
            <v>Reach_1772</v>
          </cell>
          <cell r="H1410">
            <v>1402</v>
          </cell>
          <cell r="J1410">
            <v>338.49</v>
          </cell>
          <cell r="K1410">
            <v>113.26</v>
          </cell>
          <cell r="L1410">
            <v>2.2794300000000003E-3</v>
          </cell>
          <cell r="M1410">
            <v>5.4233000000000003E-2</v>
          </cell>
          <cell r="N1410">
            <v>21877616.239495546</v>
          </cell>
          <cell r="Q1410">
            <v>14</v>
          </cell>
        </row>
        <row r="1411">
          <cell r="D1411" t="str">
            <v>26567-10-2</v>
          </cell>
          <cell r="E1411">
            <v>26567102</v>
          </cell>
          <cell r="F1411">
            <v>2477</v>
          </cell>
          <cell r="G1411" t="str">
            <v>Reach_4255</v>
          </cell>
          <cell r="H1411">
            <v>1403</v>
          </cell>
          <cell r="J1411">
            <v>242.32</v>
          </cell>
          <cell r="K1411">
            <v>160.94999999999999</v>
          </cell>
          <cell r="L1411">
            <v>2.2394400000000004E-6</v>
          </cell>
          <cell r="M1411">
            <v>1.4888999999999999</v>
          </cell>
          <cell r="N1411">
            <v>97723.722095581266</v>
          </cell>
          <cell r="Q1411">
            <v>14</v>
          </cell>
        </row>
        <row r="1412">
          <cell r="D1412" t="str">
            <v>103-24-2</v>
          </cell>
          <cell r="E1412">
            <v>103242</v>
          </cell>
          <cell r="F1412">
            <v>1361</v>
          </cell>
          <cell r="G1412" t="str">
            <v>Reach_604</v>
          </cell>
          <cell r="H1412">
            <v>1404</v>
          </cell>
          <cell r="J1412">
            <v>412.65</v>
          </cell>
          <cell r="K1412">
            <v>40.520000000000003</v>
          </cell>
          <cell r="L1412">
            <v>5.0387399999999997E-4</v>
          </cell>
          <cell r="M1412">
            <v>1.5755000000000001E-3</v>
          </cell>
          <cell r="N1412">
            <v>3890451449.9428091</v>
          </cell>
          <cell r="Q1412">
            <v>14</v>
          </cell>
        </row>
        <row r="1413">
          <cell r="D1413" t="str">
            <v>2402-77-9</v>
          </cell>
          <cell r="E1413">
            <v>2402779</v>
          </cell>
          <cell r="F1413">
            <v>2366</v>
          </cell>
          <cell r="G1413" t="str">
            <v>Reach_1795</v>
          </cell>
          <cell r="H1413">
            <v>1405</v>
          </cell>
          <cell r="J1413">
            <v>147.99</v>
          </cell>
          <cell r="K1413">
            <v>18.649999999999999</v>
          </cell>
          <cell r="L1413">
            <v>39.856700000000004</v>
          </cell>
          <cell r="M1413">
            <v>1146.2</v>
          </cell>
          <cell r="N1413">
            <v>123.02687708123821</v>
          </cell>
          <cell r="Q1413">
            <v>14</v>
          </cell>
        </row>
        <row r="1414">
          <cell r="D1414" t="str">
            <v>10291-28-8</v>
          </cell>
          <cell r="E1414">
            <v>10291288</v>
          </cell>
          <cell r="F1414">
            <v>1355</v>
          </cell>
          <cell r="G1414" t="str">
            <v>Reach_2287</v>
          </cell>
          <cell r="H1414">
            <v>1406</v>
          </cell>
          <cell r="J1414">
            <v>376.41</v>
          </cell>
          <cell r="K1414">
            <v>252.89</v>
          </cell>
          <cell r="L1414">
            <v>7.3981499999999999E-11</v>
          </cell>
          <cell r="M1414">
            <v>0.93879999999999997</v>
          </cell>
          <cell r="N1414">
            <v>371535.2290971732</v>
          </cell>
          <cell r="O1414">
            <v>3.7</v>
          </cell>
          <cell r="P1414">
            <v>14.54</v>
          </cell>
          <cell r="Q1414">
            <v>-0.53999999999999915</v>
          </cell>
        </row>
        <row r="1415">
          <cell r="D1415" t="str">
            <v>88-50-6</v>
          </cell>
          <cell r="E1415">
            <v>88506</v>
          </cell>
          <cell r="F1415">
            <v>3958</v>
          </cell>
          <cell r="G1415" t="str">
            <v>Reach_325</v>
          </cell>
          <cell r="H1415">
            <v>1407</v>
          </cell>
          <cell r="J1415">
            <v>242.08</v>
          </cell>
          <cell r="K1415">
            <v>156.65</v>
          </cell>
          <cell r="L1415">
            <v>1.063734E-6</v>
          </cell>
          <cell r="M1415">
            <v>35.137</v>
          </cell>
          <cell r="N1415">
            <v>0.16218100973589297</v>
          </cell>
          <cell r="O1415">
            <v>-1.07</v>
          </cell>
          <cell r="P1415">
            <v>13.52</v>
          </cell>
          <cell r="Q1415">
            <v>-1.07</v>
          </cell>
        </row>
        <row r="1416">
          <cell r="D1416" t="str">
            <v>25953-19-9</v>
          </cell>
          <cell r="E1416">
            <v>25953199</v>
          </cell>
          <cell r="F1416">
            <v>2448</v>
          </cell>
          <cell r="G1416" t="str">
            <v>Reach_2572</v>
          </cell>
          <cell r="H1416">
            <v>1408</v>
          </cell>
          <cell r="J1416">
            <v>454.52</v>
          </cell>
          <cell r="K1416">
            <v>332.98</v>
          </cell>
          <cell r="L1416">
            <v>1.9995E-16</v>
          </cell>
          <cell r="M1416">
            <v>26.338000000000001</v>
          </cell>
          <cell r="N1416">
            <v>2.4547089156850303E-3</v>
          </cell>
          <cell r="O1416">
            <v>2.6</v>
          </cell>
          <cell r="Q1416">
            <v>2.6</v>
          </cell>
        </row>
        <row r="1417">
          <cell r="D1417" t="str">
            <v>90-02-8</v>
          </cell>
          <cell r="E1417">
            <v>90028</v>
          </cell>
          <cell r="F1417">
            <v>998</v>
          </cell>
          <cell r="G1417" t="str">
            <v>Reach_356</v>
          </cell>
          <cell r="H1417">
            <v>1409</v>
          </cell>
          <cell r="J1417">
            <v>122.12</v>
          </cell>
          <cell r="K1417">
            <v>42.64</v>
          </cell>
          <cell r="L1417">
            <v>29.592600000000004</v>
          </cell>
          <cell r="M1417">
            <v>8795.4</v>
          </cell>
          <cell r="N1417">
            <v>102.32929922807544</v>
          </cell>
          <cell r="O1417">
            <v>8.4</v>
          </cell>
          <cell r="Q1417">
            <v>8.4</v>
          </cell>
        </row>
        <row r="1418">
          <cell r="D1418" t="str">
            <v>4584-46-7</v>
          </cell>
          <cell r="E1418">
            <v>4584467</v>
          </cell>
          <cell r="F1418">
            <v>5891</v>
          </cell>
          <cell r="G1418" t="str">
            <v>Reach_2049</v>
          </cell>
          <cell r="H1418">
            <v>1410</v>
          </cell>
          <cell r="J1418">
            <v>144.05000000000001</v>
          </cell>
          <cell r="K1418">
            <v>0</v>
          </cell>
          <cell r="Q1418">
            <v>14</v>
          </cell>
        </row>
        <row r="1419">
          <cell r="D1419" t="str">
            <v>127337-60-4</v>
          </cell>
          <cell r="E1419">
            <v>127337604</v>
          </cell>
          <cell r="F1419">
            <v>5648</v>
          </cell>
          <cell r="G1419" t="str">
            <v>Reach_4112</v>
          </cell>
          <cell r="H1419">
            <v>1411</v>
          </cell>
          <cell r="J1419">
            <v>276.08999999999997</v>
          </cell>
          <cell r="K1419">
            <v>0</v>
          </cell>
          <cell r="Q1419">
            <v>14</v>
          </cell>
        </row>
        <row r="1420">
          <cell r="D1420" t="str">
            <v>5407-04-5</v>
          </cell>
          <cell r="E1420">
            <v>5407045</v>
          </cell>
          <cell r="F1420">
            <v>1184</v>
          </cell>
          <cell r="G1420" t="str">
            <v>Reach_2105</v>
          </cell>
          <cell r="H1420">
            <v>1412</v>
          </cell>
          <cell r="J1420">
            <v>158.07</v>
          </cell>
          <cell r="K1420">
            <v>0</v>
          </cell>
          <cell r="Q1420">
            <v>14</v>
          </cell>
        </row>
        <row r="1421">
          <cell r="D1421" t="str">
            <v>694-83-7</v>
          </cell>
          <cell r="E1421">
            <v>694837</v>
          </cell>
          <cell r="F1421">
            <v>807</v>
          </cell>
          <cell r="G1421" t="str">
            <v>Reach_1510</v>
          </cell>
          <cell r="H1421">
            <v>1413</v>
          </cell>
          <cell r="J1421">
            <v>114.19</v>
          </cell>
          <cell r="K1421">
            <v>27.02</v>
          </cell>
          <cell r="L1421">
            <v>54.253100000000003</v>
          </cell>
          <cell r="M1421">
            <v>1000000</v>
          </cell>
          <cell r="N1421">
            <v>1.2302687708123816</v>
          </cell>
          <cell r="P1421">
            <v>4</v>
          </cell>
          <cell r="Q1421">
            <v>10</v>
          </cell>
        </row>
        <row r="1422">
          <cell r="D1422" t="str">
            <v>18516-18-2</v>
          </cell>
          <cell r="E1422">
            <v>18516182</v>
          </cell>
          <cell r="F1422">
            <v>2194</v>
          </cell>
          <cell r="G1422" t="str">
            <v>Reach_2464</v>
          </cell>
          <cell r="H1422">
            <v>1414</v>
          </cell>
          <cell r="J1422">
            <v>118.13</v>
          </cell>
          <cell r="K1422">
            <v>33.81</v>
          </cell>
          <cell r="L1422">
            <v>0.32525200000000004</v>
          </cell>
          <cell r="M1422">
            <v>310000</v>
          </cell>
          <cell r="N1422">
            <v>4.6773514128719787E-2</v>
          </cell>
          <cell r="O1422">
            <v>14.43</v>
          </cell>
          <cell r="Q1422">
            <v>14</v>
          </cell>
        </row>
        <row r="1423">
          <cell r="D1423" t="str">
            <v>96441-14-4</v>
          </cell>
          <cell r="E1423">
            <v>96441144</v>
          </cell>
          <cell r="F1423">
            <v>6094</v>
          </cell>
          <cell r="G1423" t="str">
            <v>Reach_4843</v>
          </cell>
          <cell r="H1423">
            <v>1415</v>
          </cell>
          <cell r="J1423">
            <v>362.86</v>
          </cell>
          <cell r="K1423">
            <v>0</v>
          </cell>
          <cell r="Q1423">
            <v>14</v>
          </cell>
        </row>
        <row r="1424">
          <cell r="D1424" t="str">
            <v>2996-92-1</v>
          </cell>
          <cell r="E1424">
            <v>2996921</v>
          </cell>
          <cell r="F1424">
            <v>2582</v>
          </cell>
          <cell r="G1424" t="str">
            <v>Reach_1894</v>
          </cell>
          <cell r="H1424">
            <v>1416</v>
          </cell>
          <cell r="J1424">
            <v>198.29</v>
          </cell>
          <cell r="K1424">
            <v>20.21</v>
          </cell>
          <cell r="L1424">
            <v>9.717570000000002</v>
          </cell>
          <cell r="M1424">
            <v>789.48</v>
          </cell>
          <cell r="N1424">
            <v>3.5481338923357555</v>
          </cell>
          <cell r="Q1424">
            <v>14</v>
          </cell>
        </row>
        <row r="1425">
          <cell r="D1425" t="str">
            <v>73978-41-3</v>
          </cell>
          <cell r="E1425">
            <v>73978413</v>
          </cell>
          <cell r="F1425">
            <v>6019</v>
          </cell>
          <cell r="G1425" t="str">
            <v>Reach_4834</v>
          </cell>
          <cell r="H1425">
            <v>1417</v>
          </cell>
          <cell r="J1425">
            <v>228.65</v>
          </cell>
          <cell r="K1425">
            <v>0</v>
          </cell>
          <cell r="Q1425">
            <v>14</v>
          </cell>
        </row>
        <row r="1426">
          <cell r="D1426" t="str">
            <v>50-24-8</v>
          </cell>
          <cell r="E1426">
            <v>50248</v>
          </cell>
          <cell r="F1426">
            <v>656</v>
          </cell>
          <cell r="G1426" t="str">
            <v>Reach_6</v>
          </cell>
          <cell r="H1426">
            <v>1418</v>
          </cell>
          <cell r="J1426">
            <v>360.45</v>
          </cell>
          <cell r="K1426">
            <v>215.25</v>
          </cell>
          <cell r="L1426">
            <v>9.1310500000000004E-12</v>
          </cell>
          <cell r="M1426">
            <v>439.02</v>
          </cell>
          <cell r="N1426">
            <v>25.118864315095799</v>
          </cell>
          <cell r="O1426">
            <v>13.17</v>
          </cell>
          <cell r="Q1426">
            <v>13.17</v>
          </cell>
        </row>
        <row r="1427">
          <cell r="D1427" t="str">
            <v>5208-93-5</v>
          </cell>
          <cell r="E1427">
            <v>5208935</v>
          </cell>
          <cell r="F1427">
            <v>3052</v>
          </cell>
          <cell r="G1427" t="str">
            <v>Reach_2085</v>
          </cell>
          <cell r="H1427">
            <v>1419</v>
          </cell>
          <cell r="J1427">
            <v>220.36</v>
          </cell>
          <cell r="K1427">
            <v>71.58</v>
          </cell>
          <cell r="L1427">
            <v>9.810880000000001E-3</v>
          </cell>
          <cell r="M1427">
            <v>4.7069000000000001</v>
          </cell>
          <cell r="N1427">
            <v>281838.29312644573</v>
          </cell>
          <cell r="Q1427">
            <v>14</v>
          </cell>
        </row>
        <row r="1428">
          <cell r="D1428" t="str">
            <v>133647-88-8</v>
          </cell>
          <cell r="E1428">
            <v>133647888</v>
          </cell>
          <cell r="F1428">
            <v>5668</v>
          </cell>
          <cell r="G1428" t="str">
            <v>Reach_4128</v>
          </cell>
          <cell r="H1428">
            <v>1420</v>
          </cell>
          <cell r="J1428">
            <v>204.16</v>
          </cell>
          <cell r="K1428">
            <v>0</v>
          </cell>
          <cell r="Q1428">
            <v>14</v>
          </cell>
        </row>
        <row r="1429">
          <cell r="D1429" t="str">
            <v>13222-26-9</v>
          </cell>
          <cell r="E1429">
            <v>13222269</v>
          </cell>
          <cell r="F1429">
            <v>1855</v>
          </cell>
          <cell r="G1429" t="str">
            <v>Reach_4637</v>
          </cell>
          <cell r="H1429">
            <v>1421</v>
          </cell>
          <cell r="J1429">
            <v>141</v>
          </cell>
          <cell r="K1429">
            <v>-34.61</v>
          </cell>
          <cell r="L1429">
            <v>2012.8300000000002</v>
          </cell>
          <cell r="M1429">
            <v>2758.8</v>
          </cell>
          <cell r="N1429">
            <v>4.4668359215096318</v>
          </cell>
          <cell r="Q1429">
            <v>14</v>
          </cell>
        </row>
        <row r="1430">
          <cell r="D1430" t="str">
            <v>6425-39-4</v>
          </cell>
          <cell r="E1430">
            <v>6425394</v>
          </cell>
          <cell r="F1430">
            <v>3432</v>
          </cell>
          <cell r="G1430" t="str">
            <v>Reach_2184</v>
          </cell>
          <cell r="H1430">
            <v>1422</v>
          </cell>
          <cell r="J1430">
            <v>244.34</v>
          </cell>
          <cell r="K1430">
            <v>106.29</v>
          </cell>
          <cell r="L1430">
            <v>1.023744E-2</v>
          </cell>
          <cell r="M1430">
            <v>281000</v>
          </cell>
          <cell r="N1430">
            <v>4.8977881936844603E-2</v>
          </cell>
          <cell r="P1430">
            <v>7.46</v>
          </cell>
          <cell r="Q1430">
            <v>6.54</v>
          </cell>
        </row>
        <row r="1431">
          <cell r="D1431" t="str">
            <v>24085-08-3</v>
          </cell>
          <cell r="E1431">
            <v>24085083</v>
          </cell>
          <cell r="F1431">
            <v>5789</v>
          </cell>
          <cell r="G1431" t="str">
            <v>Reach_2538</v>
          </cell>
          <cell r="H1431">
            <v>1423</v>
          </cell>
          <cell r="J1431">
            <v>363.89</v>
          </cell>
          <cell r="K1431">
            <v>0</v>
          </cell>
          <cell r="Q1431">
            <v>14</v>
          </cell>
        </row>
        <row r="1432">
          <cell r="D1432" t="str">
            <v>6640-22-8</v>
          </cell>
          <cell r="E1432">
            <v>6640228</v>
          </cell>
          <cell r="F1432">
            <v>5979</v>
          </cell>
          <cell r="G1432" t="str">
            <v>Reach_2199</v>
          </cell>
          <cell r="H1432">
            <v>1424</v>
          </cell>
          <cell r="J1432">
            <v>432.34</v>
          </cell>
          <cell r="K1432">
            <v>0</v>
          </cell>
          <cell r="Q1432">
            <v>14</v>
          </cell>
        </row>
        <row r="1433">
          <cell r="D1433" t="str">
            <v>30018-16-7</v>
          </cell>
          <cell r="E1433">
            <v>30018167</v>
          </cell>
          <cell r="F1433">
            <v>5830</v>
          </cell>
          <cell r="G1433" t="str">
            <v>Reach_2641</v>
          </cell>
          <cell r="H1433">
            <v>1425</v>
          </cell>
          <cell r="J1433">
            <v>443.33</v>
          </cell>
          <cell r="K1433">
            <v>0</v>
          </cell>
          <cell r="Q1433">
            <v>14</v>
          </cell>
        </row>
        <row r="1434">
          <cell r="D1434" t="str">
            <v>27511-79-1</v>
          </cell>
          <cell r="E1434">
            <v>27511791</v>
          </cell>
          <cell r="F1434">
            <v>5810</v>
          </cell>
          <cell r="G1434" t="str">
            <v>Reach_2609</v>
          </cell>
          <cell r="H1434">
            <v>1426</v>
          </cell>
          <cell r="J1434">
            <v>350.32</v>
          </cell>
          <cell r="K1434">
            <v>0</v>
          </cell>
          <cell r="Q1434">
            <v>14</v>
          </cell>
        </row>
        <row r="1435">
          <cell r="D1435" t="str">
            <v>139893-43-9</v>
          </cell>
          <cell r="E1435">
            <v>139893439</v>
          </cell>
          <cell r="F1435">
            <v>5688</v>
          </cell>
          <cell r="G1435" t="str">
            <v>Reach_4143</v>
          </cell>
          <cell r="H1435">
            <v>1427</v>
          </cell>
          <cell r="J1435">
            <v>453.62</v>
          </cell>
          <cell r="K1435">
            <v>0</v>
          </cell>
          <cell r="Q1435">
            <v>14</v>
          </cell>
        </row>
        <row r="1436">
          <cell r="D1436" t="str">
            <v>88046-01-9</v>
          </cell>
          <cell r="E1436">
            <v>88046019</v>
          </cell>
          <cell r="F1436">
            <v>6074</v>
          </cell>
          <cell r="G1436" t="str">
            <v>Reach_4485</v>
          </cell>
          <cell r="H1436">
            <v>1428</v>
          </cell>
          <cell r="J1436">
            <v>303.24</v>
          </cell>
          <cell r="K1436">
            <v>0</v>
          </cell>
          <cell r="Q1436">
            <v>14</v>
          </cell>
        </row>
        <row r="1437">
          <cell r="D1437" t="str">
            <v>754186-36-2</v>
          </cell>
          <cell r="E1437">
            <v>754186362</v>
          </cell>
          <cell r="F1437">
            <v>6026</v>
          </cell>
          <cell r="G1437" t="str">
            <v>Reach_4832</v>
          </cell>
          <cell r="H1437">
            <v>1429</v>
          </cell>
          <cell r="J1437">
            <v>405.45</v>
          </cell>
          <cell r="K1437">
            <v>0</v>
          </cell>
          <cell r="Q1437">
            <v>14</v>
          </cell>
        </row>
        <row r="1438">
          <cell r="D1438" t="str">
            <v>1184182-45-3</v>
          </cell>
          <cell r="E1438">
            <v>1184182453</v>
          </cell>
          <cell r="F1438">
            <v>5617</v>
          </cell>
          <cell r="G1438" t="str">
            <v>Reach_5095</v>
          </cell>
          <cell r="H1438">
            <v>1430</v>
          </cell>
          <cell r="J1438">
            <v>400.43</v>
          </cell>
          <cell r="K1438">
            <v>0</v>
          </cell>
          <cell r="Q1438">
            <v>14</v>
          </cell>
        </row>
        <row r="1439">
          <cell r="D1439" t="str">
            <v>19294-29-2</v>
          </cell>
          <cell r="E1439">
            <v>19294292</v>
          </cell>
          <cell r="F1439">
            <v>5756</v>
          </cell>
          <cell r="G1439" t="str">
            <v>Reach_4915</v>
          </cell>
          <cell r="H1439">
            <v>1431</v>
          </cell>
          <cell r="J1439">
            <v>194.29</v>
          </cell>
          <cell r="K1439">
            <v>0</v>
          </cell>
          <cell r="Q1439">
            <v>14</v>
          </cell>
        </row>
        <row r="1440">
          <cell r="D1440" t="str">
            <v>62476-59-9</v>
          </cell>
          <cell r="E1440">
            <v>62476599</v>
          </cell>
          <cell r="F1440">
            <v>1228</v>
          </cell>
          <cell r="G1440" t="str">
            <v>Reach_2853</v>
          </cell>
          <cell r="H1440">
            <v>1432</v>
          </cell>
          <cell r="J1440">
            <v>383.64</v>
          </cell>
          <cell r="K1440">
            <v>0</v>
          </cell>
          <cell r="Q1440">
            <v>14</v>
          </cell>
        </row>
        <row r="1441">
          <cell r="D1441" t="str">
            <v>86386-77-8</v>
          </cell>
          <cell r="E1441">
            <v>86386778</v>
          </cell>
          <cell r="F1441">
            <v>6063</v>
          </cell>
          <cell r="G1441" t="str">
            <v>Reach_4476</v>
          </cell>
          <cell r="H1441">
            <v>1433</v>
          </cell>
          <cell r="J1441">
            <v>333.32</v>
          </cell>
          <cell r="K1441">
            <v>0</v>
          </cell>
          <cell r="Q1441">
            <v>14</v>
          </cell>
        </row>
        <row r="1442">
          <cell r="D1442" t="str">
            <v>4316-74-9</v>
          </cell>
          <cell r="E1442">
            <v>4316749</v>
          </cell>
          <cell r="F1442">
            <v>5886</v>
          </cell>
          <cell r="G1442" t="str">
            <v>Reach_2028</v>
          </cell>
          <cell r="H1442">
            <v>1434</v>
          </cell>
          <cell r="J1442">
            <v>161.16</v>
          </cell>
          <cell r="K1442">
            <v>0</v>
          </cell>
          <cell r="Q1442">
            <v>14</v>
          </cell>
        </row>
        <row r="1443">
          <cell r="D1443" t="str">
            <v>1115-70-4</v>
          </cell>
          <cell r="E1443">
            <v>1115704</v>
          </cell>
          <cell r="F1443">
            <v>5607</v>
          </cell>
          <cell r="G1443" t="str">
            <v>Reach_1649</v>
          </cell>
          <cell r="H1443">
            <v>1435</v>
          </cell>
          <cell r="J1443">
            <v>165.63</v>
          </cell>
          <cell r="K1443">
            <v>0</v>
          </cell>
          <cell r="Q1443">
            <v>14</v>
          </cell>
        </row>
        <row r="1444">
          <cell r="D1444" t="str">
            <v>5344-48-9</v>
          </cell>
          <cell r="E1444">
            <v>5344489</v>
          </cell>
          <cell r="F1444">
            <v>5922</v>
          </cell>
          <cell r="G1444" t="str">
            <v>Reach_4345</v>
          </cell>
          <cell r="H1444">
            <v>1436</v>
          </cell>
          <cell r="J1444">
            <v>285.27</v>
          </cell>
          <cell r="K1444">
            <v>0</v>
          </cell>
          <cell r="Q1444">
            <v>14</v>
          </cell>
        </row>
        <row r="1445">
          <cell r="D1445" t="str">
            <v>220380-44-9</v>
          </cell>
          <cell r="E1445">
            <v>220380449</v>
          </cell>
          <cell r="F1445">
            <v>1241</v>
          </cell>
          <cell r="G1445" t="str">
            <v>Reach_4671</v>
          </cell>
          <cell r="H1445">
            <v>1437</v>
          </cell>
          <cell r="J1445">
            <v>1618.4</v>
          </cell>
          <cell r="K1445">
            <v>0</v>
          </cell>
          <cell r="Q1445">
            <v>14</v>
          </cell>
        </row>
        <row r="1446">
          <cell r="D1446" t="str">
            <v>46830-22-2</v>
          </cell>
          <cell r="E1446">
            <v>46830222</v>
          </cell>
          <cell r="F1446">
            <v>5893</v>
          </cell>
          <cell r="G1446" t="str">
            <v>Reach_2758</v>
          </cell>
          <cell r="H1446">
            <v>1438</v>
          </cell>
          <cell r="J1446">
            <v>269.77</v>
          </cell>
          <cell r="K1446">
            <v>0</v>
          </cell>
          <cell r="Q1446">
            <v>14</v>
          </cell>
        </row>
        <row r="1447">
          <cell r="D1447" t="str">
            <v>3598-16-1</v>
          </cell>
          <cell r="E1447">
            <v>3598161</v>
          </cell>
          <cell r="F1447">
            <v>5858</v>
          </cell>
          <cell r="G1447" t="str">
            <v>Reach_1975</v>
          </cell>
          <cell r="H1447">
            <v>1439</v>
          </cell>
          <cell r="J1447">
            <v>174.13</v>
          </cell>
          <cell r="K1447">
            <v>0</v>
          </cell>
          <cell r="Q1447">
            <v>14</v>
          </cell>
        </row>
        <row r="1448">
          <cell r="D1448" t="str">
            <v>1192015-20-5</v>
          </cell>
          <cell r="E1448">
            <v>1192015205</v>
          </cell>
          <cell r="F1448">
            <v>5620</v>
          </cell>
          <cell r="G1448" t="str">
            <v>Reach_5007</v>
          </cell>
          <cell r="H1448">
            <v>1440</v>
          </cell>
          <cell r="J1448">
            <v>474.56</v>
          </cell>
          <cell r="K1448">
            <v>0</v>
          </cell>
          <cell r="Q1448">
            <v>14</v>
          </cell>
        </row>
        <row r="1449">
          <cell r="D1449" t="str">
            <v>114-49-8</v>
          </cell>
          <cell r="E1449">
            <v>114498</v>
          </cell>
          <cell r="F1449">
            <v>5612</v>
          </cell>
          <cell r="G1449" t="str">
            <v>Reach_934</v>
          </cell>
          <cell r="H1449">
            <v>1441</v>
          </cell>
          <cell r="J1449">
            <v>384.28</v>
          </cell>
          <cell r="K1449">
            <v>0</v>
          </cell>
          <cell r="Q1449">
            <v>14</v>
          </cell>
        </row>
        <row r="1450">
          <cell r="D1450" t="str">
            <v>7400-27-3</v>
          </cell>
          <cell r="E1450">
            <v>7400273</v>
          </cell>
          <cell r="F1450">
            <v>6020</v>
          </cell>
          <cell r="G1450" t="str">
            <v>Reach_2249</v>
          </cell>
          <cell r="H1450">
            <v>1442</v>
          </cell>
          <cell r="J1450">
            <v>124.62</v>
          </cell>
          <cell r="K1450">
            <v>0</v>
          </cell>
          <cell r="Q1450">
            <v>14</v>
          </cell>
        </row>
        <row r="1451">
          <cell r="D1451" t="str">
            <v>121627-17-6</v>
          </cell>
          <cell r="E1451">
            <v>121627176</v>
          </cell>
          <cell r="F1451">
            <v>6393</v>
          </cell>
          <cell r="G1451" t="str">
            <v>Reach_4793</v>
          </cell>
          <cell r="H1451">
            <v>1443</v>
          </cell>
          <cell r="J1451">
            <v>786.8</v>
          </cell>
          <cell r="K1451">
            <v>0</v>
          </cell>
          <cell r="Q1451">
            <v>14</v>
          </cell>
        </row>
        <row r="1452">
          <cell r="D1452" t="str">
            <v>86604-75-3</v>
          </cell>
          <cell r="E1452">
            <v>86604753</v>
          </cell>
          <cell r="F1452">
            <v>6067</v>
          </cell>
          <cell r="G1452" t="str">
            <v>Reach_4478</v>
          </cell>
          <cell r="H1452">
            <v>1444</v>
          </cell>
          <cell r="J1452">
            <v>222.12</v>
          </cell>
          <cell r="K1452">
            <v>0</v>
          </cell>
          <cell r="Q1452">
            <v>14</v>
          </cell>
        </row>
        <row r="1453">
          <cell r="D1453" t="str">
            <v>98231-71-1</v>
          </cell>
          <cell r="E1453">
            <v>98231711</v>
          </cell>
          <cell r="F1453">
            <v>6095</v>
          </cell>
          <cell r="G1453" t="str">
            <v>Reach_4514</v>
          </cell>
          <cell r="H1453">
            <v>1445</v>
          </cell>
          <cell r="J1453">
            <v>252.16</v>
          </cell>
          <cell r="K1453">
            <v>0</v>
          </cell>
          <cell r="Q1453">
            <v>14</v>
          </cell>
        </row>
        <row r="1454">
          <cell r="D1454" t="str">
            <v>155-41-9</v>
          </cell>
          <cell r="E1454">
            <v>155419</v>
          </cell>
          <cell r="F1454">
            <v>5717</v>
          </cell>
          <cell r="G1454" t="str">
            <v>Reach_1212</v>
          </cell>
          <cell r="H1454">
            <v>1446</v>
          </cell>
          <cell r="J1454">
            <v>398.3</v>
          </cell>
          <cell r="K1454">
            <v>0</v>
          </cell>
          <cell r="Q1454">
            <v>14</v>
          </cell>
        </row>
        <row r="1455">
          <cell r="D1455" t="str">
            <v>1124-64-7</v>
          </cell>
          <cell r="E1455">
            <v>1124647</v>
          </cell>
          <cell r="F1455">
            <v>5611</v>
          </cell>
          <cell r="G1455" t="str">
            <v>Reach_4556</v>
          </cell>
          <cell r="H1455">
            <v>1447</v>
          </cell>
          <cell r="J1455">
            <v>171.67</v>
          </cell>
          <cell r="K1455">
            <v>0</v>
          </cell>
          <cell r="Q1455">
            <v>14</v>
          </cell>
        </row>
        <row r="1456">
          <cell r="D1456" t="str">
            <v>132335-47-8</v>
          </cell>
          <cell r="E1456">
            <v>132335478</v>
          </cell>
          <cell r="F1456">
            <v>5666</v>
          </cell>
          <cell r="G1456" t="str">
            <v>Reach_4126</v>
          </cell>
          <cell r="H1456">
            <v>1448</v>
          </cell>
          <cell r="J1456">
            <v>401.48</v>
          </cell>
          <cell r="K1456">
            <v>0</v>
          </cell>
          <cell r="Q1456">
            <v>14</v>
          </cell>
        </row>
        <row r="1457">
          <cell r="D1457" t="str">
            <v>15295-77-9</v>
          </cell>
          <cell r="E1457">
            <v>15295779</v>
          </cell>
          <cell r="F1457">
            <v>5713</v>
          </cell>
          <cell r="G1457" t="str">
            <v>Reach_5145</v>
          </cell>
          <cell r="H1457">
            <v>1449</v>
          </cell>
          <cell r="J1457">
            <v>182.02</v>
          </cell>
          <cell r="K1457">
            <v>0</v>
          </cell>
          <cell r="Q1457">
            <v>14</v>
          </cell>
        </row>
        <row r="1458">
          <cell r="D1458" t="str">
            <v>252317-48-9</v>
          </cell>
          <cell r="E1458">
            <v>252317489</v>
          </cell>
          <cell r="F1458">
            <v>5796</v>
          </cell>
          <cell r="G1458" t="str">
            <v>Reach_4246</v>
          </cell>
          <cell r="H1458">
            <v>1450</v>
          </cell>
          <cell r="J1458">
            <v>489.46</v>
          </cell>
          <cell r="K1458">
            <v>0</v>
          </cell>
          <cell r="Q1458">
            <v>14</v>
          </cell>
        </row>
        <row r="1459">
          <cell r="D1459" t="str">
            <v>78628-80-5</v>
          </cell>
          <cell r="E1459">
            <v>78628805</v>
          </cell>
          <cell r="F1459">
            <v>6038</v>
          </cell>
          <cell r="G1459" t="str">
            <v>Reach_4442</v>
          </cell>
          <cell r="H1459">
            <v>1451</v>
          </cell>
          <cell r="J1459">
            <v>327.9</v>
          </cell>
          <cell r="K1459">
            <v>0</v>
          </cell>
          <cell r="Q1459">
            <v>14</v>
          </cell>
        </row>
        <row r="1460">
          <cell r="D1460" t="str">
            <v>106649-95-0</v>
          </cell>
          <cell r="E1460">
            <v>106649950</v>
          </cell>
          <cell r="F1460">
            <v>5600</v>
          </cell>
          <cell r="G1460" t="str">
            <v>Reach_4783</v>
          </cell>
          <cell r="H1460">
            <v>1452</v>
          </cell>
          <cell r="J1460">
            <v>222.1</v>
          </cell>
          <cell r="K1460">
            <v>0</v>
          </cell>
          <cell r="Q1460">
            <v>14</v>
          </cell>
        </row>
        <row r="1461">
          <cell r="D1461" t="str">
            <v>83393-23-1</v>
          </cell>
          <cell r="E1461">
            <v>83393231</v>
          </cell>
          <cell r="F1461">
            <v>6048</v>
          </cell>
          <cell r="G1461" t="str">
            <v>Reach_4464</v>
          </cell>
          <cell r="H1461">
            <v>1453</v>
          </cell>
          <cell r="J1461">
            <v>251.76</v>
          </cell>
          <cell r="K1461">
            <v>0</v>
          </cell>
          <cell r="Q1461">
            <v>14</v>
          </cell>
        </row>
        <row r="1462">
          <cell r="D1462" t="str">
            <v>859-18-7</v>
          </cell>
          <cell r="E1462">
            <v>859187</v>
          </cell>
          <cell r="F1462">
            <v>1237</v>
          </cell>
          <cell r="G1462" t="str">
            <v>Reach_1567</v>
          </cell>
          <cell r="H1462">
            <v>1454</v>
          </cell>
          <cell r="J1462">
            <v>443.01</v>
          </cell>
          <cell r="K1462">
            <v>0</v>
          </cell>
          <cell r="Q1462">
            <v>14</v>
          </cell>
        </row>
        <row r="1463">
          <cell r="D1463" t="str">
            <v>886588-62-1</v>
          </cell>
          <cell r="E1463">
            <v>886588621</v>
          </cell>
          <cell r="F1463">
            <v>6075</v>
          </cell>
          <cell r="G1463" t="str">
            <v>Reach_4678</v>
          </cell>
          <cell r="H1463">
            <v>1455</v>
          </cell>
          <cell r="J1463">
            <v>380.36</v>
          </cell>
          <cell r="K1463">
            <v>0</v>
          </cell>
          <cell r="Q1463">
            <v>14</v>
          </cell>
        </row>
        <row r="1464">
          <cell r="D1464" t="str">
            <v>581076-67-7</v>
          </cell>
          <cell r="E1464">
            <v>581076677</v>
          </cell>
          <cell r="F1464">
            <v>5939</v>
          </cell>
          <cell r="G1464" t="str">
            <v>Reach_4362</v>
          </cell>
          <cell r="H1464">
            <v>1456</v>
          </cell>
          <cell r="J1464">
            <v>416.96</v>
          </cell>
          <cell r="K1464">
            <v>0</v>
          </cell>
          <cell r="Q1464">
            <v>14</v>
          </cell>
        </row>
        <row r="1465">
          <cell r="D1465" t="str">
            <v>128346-46-3</v>
          </cell>
          <cell r="E1465">
            <v>128346463</v>
          </cell>
          <cell r="F1465">
            <v>5653</v>
          </cell>
          <cell r="G1465" t="str">
            <v>Reach_5056</v>
          </cell>
          <cell r="H1465">
            <v>1457</v>
          </cell>
          <cell r="J1465">
            <v>229.8</v>
          </cell>
          <cell r="K1465">
            <v>0</v>
          </cell>
          <cell r="Q1465">
            <v>14</v>
          </cell>
        </row>
        <row r="1466">
          <cell r="D1466" t="str">
            <v>657-27-2</v>
          </cell>
          <cell r="E1466">
            <v>657272</v>
          </cell>
          <cell r="F1466">
            <v>5975</v>
          </cell>
          <cell r="G1466" t="str">
            <v>Reach_1489</v>
          </cell>
          <cell r="H1466">
            <v>1458</v>
          </cell>
          <cell r="J1466">
            <v>182.65</v>
          </cell>
          <cell r="K1466">
            <v>0</v>
          </cell>
          <cell r="Q1466">
            <v>14</v>
          </cell>
        </row>
        <row r="1467">
          <cell r="D1467" t="str">
            <v>104617-50-7</v>
          </cell>
          <cell r="E1467">
            <v>104617507</v>
          </cell>
          <cell r="F1467">
            <v>5593</v>
          </cell>
          <cell r="G1467" t="str">
            <v>Reach_4069</v>
          </cell>
          <cell r="H1467">
            <v>1459</v>
          </cell>
          <cell r="J1467">
            <v>292.20999999999998</v>
          </cell>
          <cell r="K1467">
            <v>0</v>
          </cell>
          <cell r="Q1467">
            <v>14</v>
          </cell>
        </row>
        <row r="1468">
          <cell r="D1468" t="str">
            <v>69477-29-8</v>
          </cell>
          <cell r="E1468">
            <v>69477298</v>
          </cell>
          <cell r="F1468">
            <v>6002</v>
          </cell>
          <cell r="G1468" t="str">
            <v>Reach_4404</v>
          </cell>
          <cell r="H1468">
            <v>1460</v>
          </cell>
          <cell r="J1468">
            <v>1193.5</v>
          </cell>
          <cell r="K1468">
            <v>0</v>
          </cell>
          <cell r="Q1468">
            <v>14</v>
          </cell>
        </row>
        <row r="1469">
          <cell r="D1469" t="str">
            <v>1185167-55-8</v>
          </cell>
          <cell r="E1469">
            <v>1185167558</v>
          </cell>
          <cell r="F1469">
            <v>5618</v>
          </cell>
          <cell r="G1469" t="str">
            <v>Reach_5146</v>
          </cell>
          <cell r="H1469">
            <v>1461</v>
          </cell>
          <cell r="J1469">
            <v>243.2</v>
          </cell>
          <cell r="K1469">
            <v>0</v>
          </cell>
          <cell r="Q1469">
            <v>14</v>
          </cell>
        </row>
        <row r="1470">
          <cell r="D1470" t="str">
            <v>66-84-2</v>
          </cell>
          <cell r="E1470">
            <v>66842</v>
          </cell>
          <cell r="F1470">
            <v>5984</v>
          </cell>
          <cell r="G1470" t="str">
            <v>Reach_79</v>
          </cell>
          <cell r="H1470">
            <v>1462</v>
          </cell>
          <cell r="J1470">
            <v>215.63</v>
          </cell>
          <cell r="K1470">
            <v>0</v>
          </cell>
          <cell r="Q1470">
            <v>14</v>
          </cell>
        </row>
        <row r="1471">
          <cell r="D1471" t="str">
            <v>3724-43-4</v>
          </cell>
          <cell r="E1471">
            <v>3724434</v>
          </cell>
          <cell r="F1471">
            <v>5864</v>
          </cell>
          <cell r="G1471" t="str">
            <v>Reach_4300</v>
          </cell>
          <cell r="H1471">
            <v>1463</v>
          </cell>
          <cell r="J1471">
            <v>128</v>
          </cell>
          <cell r="K1471">
            <v>0</v>
          </cell>
          <cell r="Q1471">
            <v>14</v>
          </cell>
        </row>
        <row r="1472">
          <cell r="D1472" t="str">
            <v>33719-11-8</v>
          </cell>
          <cell r="E1472">
            <v>33719118</v>
          </cell>
          <cell r="F1472">
            <v>5849</v>
          </cell>
          <cell r="G1472" t="str">
            <v>Reach_4871</v>
          </cell>
          <cell r="H1472">
            <v>1464</v>
          </cell>
          <cell r="J1472">
            <v>445.43</v>
          </cell>
          <cell r="K1472">
            <v>0</v>
          </cell>
          <cell r="Q1472">
            <v>14</v>
          </cell>
        </row>
        <row r="1473">
          <cell r="D1473" t="str">
            <v>10545-99-0</v>
          </cell>
          <cell r="E1473">
            <v>10545990</v>
          </cell>
          <cell r="F1473">
            <v>6391</v>
          </cell>
          <cell r="G1473" t="str">
            <v>Reach_2296</v>
          </cell>
          <cell r="H1473">
            <v>1465</v>
          </cell>
          <cell r="J1473">
            <v>102.97</v>
          </cell>
          <cell r="K1473">
            <v>0</v>
          </cell>
          <cell r="Q1473">
            <v>14</v>
          </cell>
        </row>
        <row r="1474">
          <cell r="D1474" t="str">
            <v>22252-43-3</v>
          </cell>
          <cell r="E1474">
            <v>22252433</v>
          </cell>
          <cell r="F1474">
            <v>2326</v>
          </cell>
          <cell r="G1474" t="str">
            <v>Reach_2520</v>
          </cell>
          <cell r="H1474">
            <v>1466</v>
          </cell>
          <cell r="J1474">
            <v>214.25</v>
          </cell>
          <cell r="K1474">
            <v>298.11</v>
          </cell>
          <cell r="L1474">
            <v>1.0770640000000001E-7</v>
          </cell>
          <cell r="M1474">
            <v>8411.7999999999993</v>
          </cell>
          <cell r="N1474">
            <v>0.13489628825916533</v>
          </cell>
          <cell r="Q1474">
            <v>14</v>
          </cell>
        </row>
        <row r="1475">
          <cell r="D1475" t="str">
            <v>31291-60-8</v>
          </cell>
          <cell r="E1475">
            <v>31291608</v>
          </cell>
          <cell r="F1475">
            <v>2623</v>
          </cell>
          <cell r="G1475" t="str">
            <v>Reach_2653</v>
          </cell>
          <cell r="H1475">
            <v>1467</v>
          </cell>
          <cell r="J1475">
            <v>206.33</v>
          </cell>
          <cell r="K1475">
            <v>76.34</v>
          </cell>
          <cell r="L1475">
            <v>4.1589600000000004E-2</v>
          </cell>
          <cell r="M1475">
            <v>42.843000000000004</v>
          </cell>
          <cell r="N1475">
            <v>257039.57827688678</v>
          </cell>
          <cell r="Q1475">
            <v>14</v>
          </cell>
        </row>
        <row r="1476">
          <cell r="D1476" t="str">
            <v>3452-97-9</v>
          </cell>
          <cell r="E1476">
            <v>3452979</v>
          </cell>
          <cell r="F1476">
            <v>609</v>
          </cell>
          <cell r="G1476" t="str">
            <v>Reach_1964</v>
          </cell>
          <cell r="H1476">
            <v>1468</v>
          </cell>
          <cell r="J1476">
            <v>144.26</v>
          </cell>
          <cell r="K1476">
            <v>-18.649999999999999</v>
          </cell>
          <cell r="L1476">
            <v>14.129800000000001</v>
          </cell>
          <cell r="M1476">
            <v>122.69</v>
          </cell>
          <cell r="N1476">
            <v>1288.2495516931347</v>
          </cell>
          <cell r="O1476">
            <v>15.9</v>
          </cell>
          <cell r="Q1476">
            <v>14</v>
          </cell>
        </row>
        <row r="1477">
          <cell r="D1477" t="str">
            <v>345-92-6</v>
          </cell>
          <cell r="E1477">
            <v>345926</v>
          </cell>
          <cell r="F1477">
            <v>2710</v>
          </cell>
          <cell r="G1477" t="str">
            <v>Reach_1240</v>
          </cell>
          <cell r="H1477">
            <v>1469</v>
          </cell>
          <cell r="J1477">
            <v>218.2</v>
          </cell>
          <cell r="K1477">
            <v>74.650000000000006</v>
          </cell>
          <cell r="L1477">
            <v>6.5850199999999998E-2</v>
          </cell>
          <cell r="M1477">
            <v>15.195</v>
          </cell>
          <cell r="N1477">
            <v>3548.1338923357539</v>
          </cell>
          <cell r="Q1477">
            <v>14</v>
          </cell>
        </row>
        <row r="1478">
          <cell r="D1478" t="str">
            <v>26576-46-5</v>
          </cell>
          <cell r="E1478">
            <v>26576465</v>
          </cell>
          <cell r="F1478">
            <v>2478</v>
          </cell>
          <cell r="G1478" t="str">
            <v>Reach_2588</v>
          </cell>
          <cell r="H1478">
            <v>1470</v>
          </cell>
          <cell r="J1478">
            <v>233.23</v>
          </cell>
          <cell r="K1478">
            <v>199.46</v>
          </cell>
          <cell r="L1478">
            <v>2.7059899999999997E-7</v>
          </cell>
          <cell r="M1478">
            <v>12620</v>
          </cell>
          <cell r="N1478">
            <v>1.6595869074375607</v>
          </cell>
          <cell r="O1478">
            <v>10.59</v>
          </cell>
          <cell r="P1478">
            <v>11.72</v>
          </cell>
          <cell r="Q1478">
            <v>2.2799999999999994</v>
          </cell>
        </row>
        <row r="1479">
          <cell r="D1479" t="str">
            <v>62518-65-4</v>
          </cell>
          <cell r="E1479">
            <v>62518654</v>
          </cell>
          <cell r="F1479">
            <v>3374</v>
          </cell>
          <cell r="G1479" t="str">
            <v>Reach_2854</v>
          </cell>
          <cell r="H1479">
            <v>1471</v>
          </cell>
          <cell r="J1479">
            <v>204.31</v>
          </cell>
          <cell r="K1479">
            <v>46.29</v>
          </cell>
          <cell r="L1479">
            <v>0.47721400000000003</v>
          </cell>
          <cell r="M1479">
            <v>3.9645999999999999</v>
          </cell>
          <cell r="N1479">
            <v>22908.676527677751</v>
          </cell>
          <cell r="Q1479">
            <v>14</v>
          </cell>
        </row>
        <row r="1480">
          <cell r="D1480" t="str">
            <v>139-40-2</v>
          </cell>
          <cell r="E1480">
            <v>139402</v>
          </cell>
          <cell r="F1480">
            <v>446</v>
          </cell>
          <cell r="G1480" t="str">
            <v>Reach_1144</v>
          </cell>
          <cell r="H1480">
            <v>1472</v>
          </cell>
          <cell r="J1480">
            <v>229.72</v>
          </cell>
          <cell r="K1480">
            <v>115.7</v>
          </cell>
          <cell r="L1480">
            <v>9.7175700000000007E-4</v>
          </cell>
          <cell r="M1480">
            <v>6.3704999999999998</v>
          </cell>
          <cell r="N1480">
            <v>1737.8008287493772</v>
          </cell>
          <cell r="P1480">
            <v>12</v>
          </cell>
          <cell r="Q1480">
            <v>2</v>
          </cell>
        </row>
        <row r="1481">
          <cell r="D1481" t="str">
            <v>1927-95-3</v>
          </cell>
          <cell r="E1481">
            <v>1927953</v>
          </cell>
          <cell r="F1481">
            <v>2229</v>
          </cell>
          <cell r="G1481" t="str">
            <v>Reach_1735</v>
          </cell>
          <cell r="H1481">
            <v>1473</v>
          </cell>
          <cell r="J1481">
            <v>215.05</v>
          </cell>
          <cell r="K1481">
            <v>38.880000000000003</v>
          </cell>
          <cell r="L1481">
            <v>3.2791800000000002</v>
          </cell>
          <cell r="M1481">
            <v>63.652000000000001</v>
          </cell>
          <cell r="N1481">
            <v>301.99517204020168</v>
          </cell>
          <cell r="Q1481">
            <v>14</v>
          </cell>
        </row>
        <row r="1482">
          <cell r="D1482" t="str">
            <v>5856-77-9</v>
          </cell>
          <cell r="E1482">
            <v>5856779</v>
          </cell>
          <cell r="F1482">
            <v>3250</v>
          </cell>
          <cell r="G1482" t="str">
            <v>Reach_2138</v>
          </cell>
          <cell r="H1482">
            <v>1474</v>
          </cell>
          <cell r="J1482">
            <v>134.61000000000001</v>
          </cell>
          <cell r="K1482">
            <v>-35.53</v>
          </cell>
          <cell r="L1482">
            <v>1506.2900000000002</v>
          </cell>
          <cell r="M1482">
            <v>3104.3</v>
          </cell>
          <cell r="N1482">
            <v>23.988329190194907</v>
          </cell>
          <cell r="Q1482">
            <v>14</v>
          </cell>
        </row>
        <row r="1483">
          <cell r="D1483" t="str">
            <v>21643-42-5</v>
          </cell>
          <cell r="E1483">
            <v>21643425</v>
          </cell>
          <cell r="F1483">
            <v>2302</v>
          </cell>
          <cell r="G1483" t="str">
            <v>Reach_2507</v>
          </cell>
          <cell r="H1483">
            <v>1475</v>
          </cell>
          <cell r="J1483">
            <v>268.44</v>
          </cell>
          <cell r="K1483">
            <v>62</v>
          </cell>
          <cell r="L1483">
            <v>3.3458299999999996E-2</v>
          </cell>
          <cell r="M1483">
            <v>7.6468999999999995E-2</v>
          </cell>
          <cell r="N1483">
            <v>12882495.516931379</v>
          </cell>
          <cell r="Q1483">
            <v>14</v>
          </cell>
        </row>
        <row r="1484">
          <cell r="D1484" t="str">
            <v>36483-57-5</v>
          </cell>
          <cell r="E1484">
            <v>36483575</v>
          </cell>
          <cell r="F1484">
            <v>2768</v>
          </cell>
          <cell r="G1484" t="str">
            <v>Reach_2700</v>
          </cell>
          <cell r="H1484">
            <v>1476</v>
          </cell>
          <cell r="J1484">
            <v>324.86</v>
          </cell>
          <cell r="K1484">
            <v>74.33</v>
          </cell>
          <cell r="L1484">
            <v>1.6395900000000001E-2</v>
          </cell>
          <cell r="M1484">
            <v>98.483999999999995</v>
          </cell>
          <cell r="N1484">
            <v>707.94578438413873</v>
          </cell>
          <cell r="O1484">
            <v>14.47</v>
          </cell>
          <cell r="Q1484">
            <v>14</v>
          </cell>
        </row>
        <row r="1485">
          <cell r="D1485" t="str">
            <v>110-71-4</v>
          </cell>
          <cell r="E1485">
            <v>110714</v>
          </cell>
          <cell r="F1485">
            <v>1528</v>
          </cell>
          <cell r="G1485" t="str">
            <v>Reach_825</v>
          </cell>
          <cell r="H1485">
            <v>1477</v>
          </cell>
          <cell r="J1485">
            <v>90.122</v>
          </cell>
          <cell r="K1485">
            <v>-82.31</v>
          </cell>
          <cell r="L1485">
            <v>10557.36</v>
          </cell>
          <cell r="M1485">
            <v>339000</v>
          </cell>
          <cell r="N1485">
            <v>0.61659500186148219</v>
          </cell>
          <cell r="Q1485">
            <v>14</v>
          </cell>
        </row>
        <row r="1486">
          <cell r="D1486" t="str">
            <v>55117-15-2</v>
          </cell>
          <cell r="E1486">
            <v>55117152</v>
          </cell>
          <cell r="F1486">
            <v>3162</v>
          </cell>
          <cell r="G1486" t="str">
            <v>Reach_2805</v>
          </cell>
          <cell r="H1486">
            <v>1478</v>
          </cell>
          <cell r="J1486">
            <v>179.02</v>
          </cell>
          <cell r="K1486">
            <v>8.69</v>
          </cell>
          <cell r="L1486">
            <v>26.526700000000005</v>
          </cell>
          <cell r="M1486">
            <v>96.036000000000001</v>
          </cell>
          <cell r="N1486">
            <v>4365.1583224016631</v>
          </cell>
          <cell r="Q1486">
            <v>14</v>
          </cell>
        </row>
        <row r="1487">
          <cell r="D1487" t="str">
            <v>92-77-3</v>
          </cell>
          <cell r="E1487">
            <v>92773</v>
          </cell>
          <cell r="F1487">
            <v>4049</v>
          </cell>
          <cell r="G1487" t="str">
            <v>Reach_392</v>
          </cell>
          <cell r="H1487">
            <v>1479</v>
          </cell>
          <cell r="J1487">
            <v>263.3</v>
          </cell>
          <cell r="K1487">
            <v>205.23</v>
          </cell>
          <cell r="L1487">
            <v>4.9987500000000003E-9</v>
          </cell>
          <cell r="M1487">
            <v>11.455</v>
          </cell>
          <cell r="N1487">
            <v>29512.092266663854</v>
          </cell>
          <cell r="Q1487">
            <v>14</v>
          </cell>
        </row>
        <row r="1488">
          <cell r="D1488" t="str">
            <v>107-29-9</v>
          </cell>
          <cell r="E1488">
            <v>107299</v>
          </cell>
          <cell r="F1488">
            <v>218</v>
          </cell>
          <cell r="G1488" t="str">
            <v>Reach_703</v>
          </cell>
          <cell r="H1488">
            <v>1480</v>
          </cell>
          <cell r="J1488">
            <v>59.069000000000003</v>
          </cell>
          <cell r="K1488">
            <v>-73.62</v>
          </cell>
          <cell r="L1488">
            <v>739.81500000000005</v>
          </cell>
          <cell r="M1488">
            <v>73778</v>
          </cell>
          <cell r="N1488">
            <v>0.61659500186148219</v>
          </cell>
          <cell r="O1488">
            <v>11.9</v>
          </cell>
          <cell r="Q1488">
            <v>11.9</v>
          </cell>
        </row>
        <row r="1489">
          <cell r="D1489" t="str">
            <v>1135-22-4</v>
          </cell>
          <cell r="E1489">
            <v>1135224</v>
          </cell>
          <cell r="F1489">
            <v>1622</v>
          </cell>
          <cell r="G1489" t="str">
            <v>Reach_4082</v>
          </cell>
          <cell r="H1489">
            <v>1481</v>
          </cell>
          <cell r="J1489">
            <v>218.32</v>
          </cell>
          <cell r="K1489">
            <v>102.63</v>
          </cell>
          <cell r="L1489">
            <v>4.6921600000000006E-4</v>
          </cell>
          <cell r="M1489">
            <v>8704.7999999999993</v>
          </cell>
          <cell r="N1489">
            <v>9.5499258602143584</v>
          </cell>
          <cell r="O1489">
            <v>15.95</v>
          </cell>
          <cell r="Q1489">
            <v>14</v>
          </cell>
        </row>
        <row r="1490">
          <cell r="D1490" t="str">
            <v>7173-51-5</v>
          </cell>
          <cell r="E1490">
            <v>7173515</v>
          </cell>
          <cell r="F1490">
            <v>1233</v>
          </cell>
          <cell r="G1490" t="str">
            <v>Reach_2228</v>
          </cell>
          <cell r="H1490">
            <v>1482</v>
          </cell>
          <cell r="J1490">
            <v>362.09</v>
          </cell>
          <cell r="K1490">
            <v>0</v>
          </cell>
          <cell r="Q1490">
            <v>14</v>
          </cell>
        </row>
        <row r="1491">
          <cell r="D1491" t="str">
            <v>6443-69-2</v>
          </cell>
          <cell r="E1491">
            <v>6443692</v>
          </cell>
          <cell r="F1491">
            <v>3435</v>
          </cell>
          <cell r="G1491" t="str">
            <v>Reach_2187</v>
          </cell>
          <cell r="H1491">
            <v>1483</v>
          </cell>
          <cell r="J1491">
            <v>182.22</v>
          </cell>
          <cell r="K1491">
            <v>46.05</v>
          </cell>
          <cell r="L1491">
            <v>2.31942</v>
          </cell>
          <cell r="M1491">
            <v>1085.9000000000001</v>
          </cell>
          <cell r="N1491">
            <v>112.20184543019634</v>
          </cell>
          <cell r="Q1491">
            <v>14</v>
          </cell>
        </row>
        <row r="1492">
          <cell r="D1492" t="str">
            <v>141-75-3</v>
          </cell>
          <cell r="E1492">
            <v>141753</v>
          </cell>
          <cell r="F1492">
            <v>1941</v>
          </cell>
          <cell r="G1492" t="str">
            <v>Reach_1167</v>
          </cell>
          <cell r="H1492">
            <v>1484</v>
          </cell>
          <cell r="J1492">
            <v>106.55</v>
          </cell>
          <cell r="K1492">
            <v>-54.82</v>
          </cell>
          <cell r="L1492">
            <v>5305.34</v>
          </cell>
          <cell r="M1492">
            <v>5238</v>
          </cell>
          <cell r="N1492">
            <v>3.2359365692962836</v>
          </cell>
          <cell r="Q1492">
            <v>14</v>
          </cell>
        </row>
        <row r="1493">
          <cell r="D1493" t="str">
            <v>50-23-7</v>
          </cell>
          <cell r="E1493">
            <v>50237</v>
          </cell>
          <cell r="F1493">
            <v>655</v>
          </cell>
          <cell r="G1493" t="str">
            <v>Reach_5</v>
          </cell>
          <cell r="H1493">
            <v>1485</v>
          </cell>
          <cell r="J1493">
            <v>362.47</v>
          </cell>
          <cell r="K1493">
            <v>214.53</v>
          </cell>
          <cell r="L1493">
            <v>1.61293E-11</v>
          </cell>
          <cell r="M1493">
            <v>471.43</v>
          </cell>
          <cell r="N1493">
            <v>41.686938347033561</v>
          </cell>
          <cell r="O1493">
            <v>13.17</v>
          </cell>
          <cell r="Q1493">
            <v>13.17</v>
          </cell>
        </row>
        <row r="1494">
          <cell r="D1494" t="str">
            <v>928-70-1</v>
          </cell>
          <cell r="E1494">
            <v>928701</v>
          </cell>
          <cell r="F1494">
            <v>6083</v>
          </cell>
          <cell r="G1494" t="str">
            <v>Reach_1601</v>
          </cell>
          <cell r="H1494">
            <v>1486</v>
          </cell>
          <cell r="J1494">
            <v>202.38</v>
          </cell>
          <cell r="K1494">
            <v>0</v>
          </cell>
          <cell r="Q1494">
            <v>14</v>
          </cell>
        </row>
        <row r="1495">
          <cell r="D1495" t="str">
            <v>76-05-1</v>
          </cell>
          <cell r="E1495">
            <v>76051</v>
          </cell>
          <cell r="F1495">
            <v>3695</v>
          </cell>
          <cell r="G1495" t="str">
            <v>Reach_171</v>
          </cell>
          <cell r="H1495">
            <v>1487</v>
          </cell>
          <cell r="J1495">
            <v>114.02</v>
          </cell>
          <cell r="K1495">
            <v>-24</v>
          </cell>
          <cell r="L1495">
            <v>15462.800000000001</v>
          </cell>
          <cell r="M1495">
            <v>11300000</v>
          </cell>
          <cell r="N1495">
            <v>3.1622776601683795</v>
          </cell>
          <cell r="O1495">
            <v>0.6</v>
          </cell>
          <cell r="Q1495">
            <v>0.6</v>
          </cell>
        </row>
        <row r="1496">
          <cell r="D1496" t="str">
            <v>107-10-8</v>
          </cell>
          <cell r="E1496">
            <v>107108</v>
          </cell>
          <cell r="F1496">
            <v>208</v>
          </cell>
          <cell r="G1496" t="str">
            <v>Reach_693</v>
          </cell>
          <cell r="H1496">
            <v>1488</v>
          </cell>
          <cell r="J1496">
            <v>59.113</v>
          </cell>
          <cell r="K1496">
            <v>-71.680000000000007</v>
          </cell>
          <cell r="L1496">
            <v>41456.300000000003</v>
          </cell>
          <cell r="M1496">
            <v>1000000</v>
          </cell>
          <cell r="N1496">
            <v>2.1877616239495525</v>
          </cell>
          <cell r="P1496">
            <v>4</v>
          </cell>
          <cell r="Q1496">
            <v>10</v>
          </cell>
        </row>
        <row r="1497">
          <cell r="D1497" t="str">
            <v>5292-45-5</v>
          </cell>
          <cell r="E1497">
            <v>5292455</v>
          </cell>
          <cell r="F1497">
            <v>680</v>
          </cell>
          <cell r="G1497" t="str">
            <v>Reach_2094</v>
          </cell>
          <cell r="H1497">
            <v>1489</v>
          </cell>
          <cell r="J1497">
            <v>239.18</v>
          </cell>
          <cell r="K1497">
            <v>76.88</v>
          </cell>
          <cell r="L1497">
            <v>2.4927100000000001E-2</v>
          </cell>
          <cell r="M1497">
            <v>156.94999999999999</v>
          </cell>
          <cell r="N1497">
            <v>30.199517204020164</v>
          </cell>
          <cell r="Q1497">
            <v>14</v>
          </cell>
        </row>
        <row r="1498">
          <cell r="D1498" t="str">
            <v>59721-67-4</v>
          </cell>
          <cell r="E1498">
            <v>59721674</v>
          </cell>
          <cell r="F1498">
            <v>3285</v>
          </cell>
          <cell r="G1498" t="str">
            <v>Reach_4366</v>
          </cell>
          <cell r="H1498">
            <v>1490</v>
          </cell>
          <cell r="J1498">
            <v>216.32</v>
          </cell>
          <cell r="K1498">
            <v>76.489999999999995</v>
          </cell>
          <cell r="L1498">
            <v>3.5191200000000006E-2</v>
          </cell>
          <cell r="M1498">
            <v>0.84284999999999999</v>
          </cell>
          <cell r="N1498">
            <v>95499.258602143804</v>
          </cell>
          <cell r="Q1498">
            <v>14</v>
          </cell>
        </row>
        <row r="1499">
          <cell r="D1499" t="str">
            <v>2049-95-8</v>
          </cell>
          <cell r="E1499">
            <v>2049958</v>
          </cell>
          <cell r="F1499">
            <v>2268</v>
          </cell>
          <cell r="G1499" t="str">
            <v>Reach_1751</v>
          </cell>
          <cell r="H1499">
            <v>1491</v>
          </cell>
          <cell r="J1499">
            <v>148.25</v>
          </cell>
          <cell r="K1499">
            <v>-16.43</v>
          </cell>
          <cell r="L1499">
            <v>70.115800000000007</v>
          </cell>
          <cell r="M1499">
            <v>7.9461000000000004</v>
          </cell>
          <cell r="N1499">
            <v>24547.089156850321</v>
          </cell>
          <cell r="Q1499">
            <v>14</v>
          </cell>
        </row>
        <row r="1500">
          <cell r="D1500" t="str">
            <v>32388-55-9</v>
          </cell>
          <cell r="E1500">
            <v>32388559</v>
          </cell>
          <cell r="F1500">
            <v>2651</v>
          </cell>
          <cell r="G1500" t="str">
            <v>Reach_2661</v>
          </cell>
          <cell r="H1500">
            <v>1492</v>
          </cell>
          <cell r="J1500">
            <v>246.39</v>
          </cell>
          <cell r="K1500">
            <v>91.67</v>
          </cell>
          <cell r="L1500">
            <v>7.6380900000000015E-2</v>
          </cell>
          <cell r="M1500">
            <v>11.33</v>
          </cell>
          <cell r="N1500">
            <v>104712.85480508996</v>
          </cell>
          <cell r="Q1500">
            <v>14</v>
          </cell>
        </row>
        <row r="1501">
          <cell r="D1501" t="str">
            <v>97-72-3</v>
          </cell>
          <cell r="E1501">
            <v>97723</v>
          </cell>
          <cell r="F1501">
            <v>4171</v>
          </cell>
          <cell r="G1501" t="str">
            <v>Reach_485</v>
          </cell>
          <cell r="H1501">
            <v>1493</v>
          </cell>
          <cell r="J1501">
            <v>158.19999999999999</v>
          </cell>
          <cell r="K1501">
            <v>-67.58</v>
          </cell>
          <cell r="L1501">
            <v>111.1722</v>
          </cell>
          <cell r="M1501">
            <v>3504.1</v>
          </cell>
          <cell r="N1501">
            <v>17.378008287493756</v>
          </cell>
          <cell r="Q1501">
            <v>14</v>
          </cell>
        </row>
        <row r="1502">
          <cell r="D1502" t="str">
            <v>118-92-3</v>
          </cell>
          <cell r="E1502">
            <v>118923</v>
          </cell>
          <cell r="F1502">
            <v>1683</v>
          </cell>
          <cell r="G1502" t="str">
            <v>Reach_974</v>
          </cell>
          <cell r="H1502">
            <v>1494</v>
          </cell>
          <cell r="J1502">
            <v>137.13999999999999</v>
          </cell>
          <cell r="K1502">
            <v>94.08</v>
          </cell>
          <cell r="L1502">
            <v>1.049071E-2</v>
          </cell>
          <cell r="M1502">
            <v>13988</v>
          </cell>
          <cell r="N1502">
            <v>22.908676527677738</v>
          </cell>
          <cell r="O1502">
            <v>5.08</v>
          </cell>
          <cell r="P1502">
            <v>11.68</v>
          </cell>
          <cell r="Q1502">
            <v>2.3200000000000003</v>
          </cell>
        </row>
        <row r="1503">
          <cell r="D1503" t="str">
            <v>947-19-3</v>
          </cell>
          <cell r="E1503">
            <v>947193</v>
          </cell>
          <cell r="F1503">
            <v>4112</v>
          </cell>
          <cell r="G1503" t="str">
            <v>Reach_1616</v>
          </cell>
          <cell r="H1503">
            <v>1495</v>
          </cell>
          <cell r="J1503">
            <v>204.27</v>
          </cell>
          <cell r="K1503">
            <v>93.48</v>
          </cell>
          <cell r="L1503">
            <v>9.3843200000000011E-4</v>
          </cell>
          <cell r="M1503">
            <v>48.853999999999999</v>
          </cell>
          <cell r="N1503">
            <v>275.42287033381683</v>
          </cell>
          <cell r="O1503">
            <v>13.43</v>
          </cell>
          <cell r="Q1503">
            <v>13.43</v>
          </cell>
        </row>
        <row r="1504">
          <cell r="D1504" t="str">
            <v>100-39-0</v>
          </cell>
          <cell r="E1504">
            <v>100390</v>
          </cell>
          <cell r="F1504">
            <v>1304</v>
          </cell>
          <cell r="G1504" t="str">
            <v>Reach_554</v>
          </cell>
          <cell r="H1504">
            <v>1496</v>
          </cell>
          <cell r="J1504">
            <v>171.04</v>
          </cell>
          <cell r="K1504">
            <v>-8.85</v>
          </cell>
          <cell r="L1504">
            <v>45.721900000000005</v>
          </cell>
          <cell r="M1504">
            <v>197.22</v>
          </cell>
          <cell r="N1504">
            <v>758.57757502918378</v>
          </cell>
          <cell r="Q1504">
            <v>14</v>
          </cell>
        </row>
        <row r="1505">
          <cell r="D1505" t="str">
            <v>88069-93-6</v>
          </cell>
          <cell r="E1505">
            <v>88069936</v>
          </cell>
          <cell r="F1505">
            <v>3946</v>
          </cell>
          <cell r="G1505" t="str">
            <v>Reach_4486</v>
          </cell>
          <cell r="H1505">
            <v>1497</v>
          </cell>
          <cell r="J1505">
            <v>216.32</v>
          </cell>
          <cell r="K1505">
            <v>66.95</v>
          </cell>
          <cell r="L1505">
            <v>5.4253100000000005E-2</v>
          </cell>
          <cell r="M1505">
            <v>14.851000000000001</v>
          </cell>
          <cell r="N1505">
            <v>14454.397707459291</v>
          </cell>
          <cell r="Q1505">
            <v>14</v>
          </cell>
        </row>
        <row r="1506">
          <cell r="D1506" t="str">
            <v>344348-40-9</v>
          </cell>
          <cell r="E1506">
            <v>344348409</v>
          </cell>
          <cell r="F1506">
            <v>2705</v>
          </cell>
          <cell r="G1506" t="str">
            <v>Reach_4285</v>
          </cell>
          <cell r="H1506">
            <v>1498</v>
          </cell>
          <cell r="J1506">
            <v>216.32</v>
          </cell>
          <cell r="K1506">
            <v>66.95</v>
          </cell>
          <cell r="L1506">
            <v>5.4253100000000005E-2</v>
          </cell>
          <cell r="M1506">
            <v>14.851000000000001</v>
          </cell>
          <cell r="N1506">
            <v>14454.397707459291</v>
          </cell>
          <cell r="Q1506">
            <v>14</v>
          </cell>
        </row>
        <row r="1507">
          <cell r="D1507" t="str">
            <v>27489-62-9</v>
          </cell>
          <cell r="E1507">
            <v>27489629</v>
          </cell>
          <cell r="F1507">
            <v>576</v>
          </cell>
          <cell r="G1507" t="str">
            <v>Reach_2607</v>
          </cell>
          <cell r="H1507">
            <v>1499</v>
          </cell>
          <cell r="J1507">
            <v>115.18</v>
          </cell>
          <cell r="K1507">
            <v>20.25</v>
          </cell>
          <cell r="L1507">
            <v>5.3053400000000011</v>
          </cell>
          <cell r="M1507">
            <v>57181</v>
          </cell>
          <cell r="N1507">
            <v>1.2302687708123816</v>
          </cell>
          <cell r="O1507">
            <v>15.65</v>
          </cell>
          <cell r="P1507">
            <v>4</v>
          </cell>
          <cell r="Q1507">
            <v>10</v>
          </cell>
        </row>
        <row r="1508">
          <cell r="D1508" t="str">
            <v>31027-31-3</v>
          </cell>
          <cell r="E1508">
            <v>31027313</v>
          </cell>
          <cell r="F1508">
            <v>2618</v>
          </cell>
          <cell r="G1508" t="str">
            <v>Reach_2651</v>
          </cell>
          <cell r="H1508">
            <v>1500</v>
          </cell>
          <cell r="J1508">
            <v>161.21</v>
          </cell>
          <cell r="K1508">
            <v>-7.21</v>
          </cell>
          <cell r="L1508">
            <v>33.325000000000003</v>
          </cell>
          <cell r="M1508">
            <v>1156.5</v>
          </cell>
          <cell r="N1508">
            <v>11220.184543019639</v>
          </cell>
          <cell r="Q1508">
            <v>14</v>
          </cell>
        </row>
        <row r="1509">
          <cell r="D1509" t="str">
            <v>923-02-4</v>
          </cell>
          <cell r="E1509">
            <v>923024</v>
          </cell>
          <cell r="F1509">
            <v>4030</v>
          </cell>
          <cell r="G1509" t="str">
            <v>Reach_1592</v>
          </cell>
          <cell r="H1509">
            <v>1501</v>
          </cell>
          <cell r="J1509">
            <v>115.13</v>
          </cell>
          <cell r="K1509">
            <v>80.239999999999995</v>
          </cell>
          <cell r="L1509">
            <v>2679.3300000000004</v>
          </cell>
          <cell r="M1509">
            <v>256000</v>
          </cell>
          <cell r="N1509">
            <v>5.4954087385762435E-2</v>
          </cell>
          <cell r="O1509">
            <v>13.3</v>
          </cell>
          <cell r="P1509">
            <v>15.3</v>
          </cell>
          <cell r="Q1509">
            <v>-1.3000000000000007</v>
          </cell>
        </row>
        <row r="1510">
          <cell r="D1510" t="str">
            <v>24424-99-5</v>
          </cell>
          <cell r="E1510">
            <v>24424995</v>
          </cell>
          <cell r="F1510">
            <v>2393</v>
          </cell>
          <cell r="G1510" t="str">
            <v>Reach_2545</v>
          </cell>
          <cell r="H1510">
            <v>1502</v>
          </cell>
          <cell r="J1510">
            <v>218.25</v>
          </cell>
          <cell r="K1510">
            <v>-12.96</v>
          </cell>
          <cell r="L1510">
            <v>3.8390400000000002</v>
          </cell>
          <cell r="M1510">
            <v>191.11</v>
          </cell>
          <cell r="N1510">
            <v>74.131024130091816</v>
          </cell>
          <cell r="Q1510">
            <v>14</v>
          </cell>
        </row>
        <row r="1511">
          <cell r="D1511" t="str">
            <v>312-94-7</v>
          </cell>
          <cell r="E1511">
            <v>312947</v>
          </cell>
          <cell r="F1511">
            <v>2624</v>
          </cell>
          <cell r="G1511" t="str">
            <v>Reach_1233</v>
          </cell>
          <cell r="H1511">
            <v>1503</v>
          </cell>
          <cell r="J1511">
            <v>208.57</v>
          </cell>
          <cell r="K1511">
            <v>18.09</v>
          </cell>
          <cell r="L1511">
            <v>36.124300000000005</v>
          </cell>
          <cell r="M1511">
            <v>251.95</v>
          </cell>
          <cell r="N1511">
            <v>251.18864315095806</v>
          </cell>
          <cell r="Q1511">
            <v>14</v>
          </cell>
        </row>
        <row r="1512">
          <cell r="D1512" t="str">
            <v>7473-98-5</v>
          </cell>
          <cell r="E1512">
            <v>7473985</v>
          </cell>
          <cell r="F1512">
            <v>3642</v>
          </cell>
          <cell r="G1512" t="str">
            <v>Reach_2253</v>
          </cell>
          <cell r="H1512">
            <v>1504</v>
          </cell>
          <cell r="J1512">
            <v>164.2</v>
          </cell>
          <cell r="K1512">
            <v>54.49</v>
          </cell>
          <cell r="L1512">
            <v>9.8242100000000013E-2</v>
          </cell>
          <cell r="M1512">
            <v>8616.7999999999993</v>
          </cell>
          <cell r="N1512">
            <v>12.022644346174133</v>
          </cell>
          <cell r="O1512">
            <v>13.43</v>
          </cell>
          <cell r="Q1512">
            <v>13.43</v>
          </cell>
        </row>
        <row r="1513">
          <cell r="D1513" t="str">
            <v>119618-67-6</v>
          </cell>
          <cell r="E1513">
            <v>119618676</v>
          </cell>
          <cell r="F1513">
            <v>1697</v>
          </cell>
          <cell r="G1513" t="str">
            <v>Reach_4883</v>
          </cell>
          <cell r="H1513">
            <v>1505</v>
          </cell>
          <cell r="J1513">
            <v>409.57</v>
          </cell>
          <cell r="K1513">
            <v>173.35</v>
          </cell>
          <cell r="L1513">
            <v>2.3194200000000003E-6</v>
          </cell>
          <cell r="N1513">
            <v>53.703179637025293</v>
          </cell>
          <cell r="P1513">
            <v>15.6</v>
          </cell>
          <cell r="Q1513">
            <v>-1.5999999999999996</v>
          </cell>
        </row>
        <row r="1514">
          <cell r="D1514" t="str">
            <v>6962-44-3</v>
          </cell>
          <cell r="E1514">
            <v>6962443</v>
          </cell>
          <cell r="F1514">
            <v>3546</v>
          </cell>
          <cell r="G1514" t="str">
            <v>Reach_2215</v>
          </cell>
          <cell r="H1514">
            <v>1506</v>
          </cell>
          <cell r="J1514">
            <v>179.22</v>
          </cell>
          <cell r="K1514">
            <v>118.3</v>
          </cell>
          <cell r="L1514">
            <v>3.4124800000000003E-3</v>
          </cell>
          <cell r="M1514">
            <v>2030.7</v>
          </cell>
          <cell r="N1514">
            <v>14.454397707459275</v>
          </cell>
          <cell r="O1514">
            <v>13.3</v>
          </cell>
          <cell r="P1514">
            <v>13.72</v>
          </cell>
          <cell r="Q1514">
            <v>0.27999999999999936</v>
          </cell>
        </row>
        <row r="1515">
          <cell r="D1515" t="str">
            <v>84-61-7</v>
          </cell>
          <cell r="E1515">
            <v>84617</v>
          </cell>
          <cell r="F1515">
            <v>3871</v>
          </cell>
          <cell r="G1515" t="str">
            <v>Reach_286</v>
          </cell>
          <cell r="H1515">
            <v>1507</v>
          </cell>
          <cell r="J1515">
            <v>330.42</v>
          </cell>
          <cell r="K1515">
            <v>61.45</v>
          </cell>
          <cell r="L1515">
            <v>6.1051400000000004E-4</v>
          </cell>
          <cell r="M1515">
            <v>164.32</v>
          </cell>
          <cell r="N1515">
            <v>1584893.1924611153</v>
          </cell>
          <cell r="Q1515">
            <v>14</v>
          </cell>
        </row>
        <row r="1516">
          <cell r="D1516" t="str">
            <v>110-41-8</v>
          </cell>
          <cell r="E1516">
            <v>110418</v>
          </cell>
          <cell r="F1516">
            <v>1519</v>
          </cell>
          <cell r="G1516" t="str">
            <v>Reach_812</v>
          </cell>
          <cell r="H1516">
            <v>1508</v>
          </cell>
          <cell r="J1516">
            <v>184.32</v>
          </cell>
          <cell r="K1516">
            <v>3.24</v>
          </cell>
          <cell r="L1516">
            <v>198.61700000000002</v>
          </cell>
          <cell r="M1516">
            <v>2.8752</v>
          </cell>
          <cell r="N1516">
            <v>46773.514128719893</v>
          </cell>
          <cell r="Q1516">
            <v>14</v>
          </cell>
        </row>
        <row r="1517">
          <cell r="D1517" t="str">
            <v>6381-77-7</v>
          </cell>
          <cell r="E1517">
            <v>6381777</v>
          </cell>
          <cell r="F1517">
            <v>5964</v>
          </cell>
          <cell r="G1517" t="str">
            <v>Reach_2175</v>
          </cell>
          <cell r="H1517">
            <v>1509</v>
          </cell>
          <cell r="J1517">
            <v>198.11</v>
          </cell>
          <cell r="K1517">
            <v>0</v>
          </cell>
          <cell r="Q1517">
            <v>14</v>
          </cell>
        </row>
        <row r="1518">
          <cell r="D1518" t="str">
            <v>59113-36-9</v>
          </cell>
          <cell r="E1518">
            <v>59113369</v>
          </cell>
          <cell r="F1518">
            <v>3265</v>
          </cell>
          <cell r="G1518" t="str">
            <v>Reach_2834</v>
          </cell>
          <cell r="H1518">
            <v>1510</v>
          </cell>
          <cell r="J1518">
            <v>166.17</v>
          </cell>
          <cell r="K1518">
            <v>101.14</v>
          </cell>
          <cell r="L1518">
            <v>7.7980500000000003E-5</v>
          </cell>
          <cell r="M1518">
            <v>1000000</v>
          </cell>
          <cell r="N1518">
            <v>1.6982436524617425E-3</v>
          </cell>
          <cell r="O1518">
            <v>13.77</v>
          </cell>
          <cell r="Q1518">
            <v>13.77</v>
          </cell>
        </row>
        <row r="1519">
          <cell r="D1519" t="str">
            <v>116-11-0</v>
          </cell>
          <cell r="E1519">
            <v>116110</v>
          </cell>
          <cell r="F1519">
            <v>1644</v>
          </cell>
          <cell r="G1519" t="str">
            <v>Reach_950</v>
          </cell>
          <cell r="H1519">
            <v>1511</v>
          </cell>
          <cell r="J1519">
            <v>72.106999999999999</v>
          </cell>
          <cell r="K1519">
            <v>-111.66</v>
          </cell>
          <cell r="L1519">
            <v>70915.600000000006</v>
          </cell>
          <cell r="M1519">
            <v>20766</v>
          </cell>
          <cell r="N1519">
            <v>9.3325430079699103</v>
          </cell>
          <cell r="Q1519">
            <v>14</v>
          </cell>
        </row>
        <row r="1520">
          <cell r="D1520" t="str">
            <v>1869-24-5</v>
          </cell>
          <cell r="E1520">
            <v>1869245</v>
          </cell>
          <cell r="F1520">
            <v>2205</v>
          </cell>
          <cell r="G1520" t="str">
            <v>Reach_4839</v>
          </cell>
          <cell r="H1520">
            <v>1512</v>
          </cell>
          <cell r="J1520">
            <v>225.19</v>
          </cell>
          <cell r="K1520">
            <v>87.74</v>
          </cell>
          <cell r="L1520">
            <v>7.6514200000000004E-2</v>
          </cell>
          <cell r="M1520">
            <v>963.72</v>
          </cell>
          <cell r="N1520">
            <v>21.379620895022335</v>
          </cell>
          <cell r="O1520">
            <v>9.41</v>
          </cell>
          <cell r="Q1520">
            <v>9.41</v>
          </cell>
        </row>
        <row r="1521">
          <cell r="D1521" t="str">
            <v>41184-20-7</v>
          </cell>
          <cell r="E1521">
            <v>41184207</v>
          </cell>
          <cell r="F1521">
            <v>5877</v>
          </cell>
          <cell r="G1521" t="str">
            <v>Reach_2737</v>
          </cell>
          <cell r="H1521">
            <v>1513</v>
          </cell>
          <cell r="J1521">
            <v>297.22000000000003</v>
          </cell>
          <cell r="K1521">
            <v>0</v>
          </cell>
          <cell r="Q1521">
            <v>14</v>
          </cell>
        </row>
        <row r="1522">
          <cell r="D1522" t="str">
            <v>681-84-5</v>
          </cell>
          <cell r="E1522">
            <v>681845</v>
          </cell>
          <cell r="F1522">
            <v>3508</v>
          </cell>
          <cell r="G1522" t="str">
            <v>Reach_1497</v>
          </cell>
          <cell r="H1522">
            <v>1514</v>
          </cell>
          <cell r="J1522">
            <v>152.22</v>
          </cell>
          <cell r="K1522">
            <v>-41.7</v>
          </cell>
          <cell r="L1522">
            <v>1999.5000000000002</v>
          </cell>
          <cell r="M1522">
            <v>28427</v>
          </cell>
          <cell r="N1522">
            <v>1.1748975549395293E-2</v>
          </cell>
          <cell r="Q1522">
            <v>14</v>
          </cell>
        </row>
        <row r="1523">
          <cell r="D1523" t="str">
            <v>34841-35-5</v>
          </cell>
          <cell r="E1523">
            <v>34841355</v>
          </cell>
          <cell r="F1523">
            <v>2716</v>
          </cell>
          <cell r="G1523" t="str">
            <v>Reach_2683</v>
          </cell>
          <cell r="H1523">
            <v>1515</v>
          </cell>
          <cell r="J1523">
            <v>168.62</v>
          </cell>
          <cell r="K1523">
            <v>31.62</v>
          </cell>
          <cell r="L1523">
            <v>5.1853699999999998</v>
          </cell>
          <cell r="M1523">
            <v>40.926000000000002</v>
          </cell>
          <cell r="N1523">
            <v>645.65422903465594</v>
          </cell>
          <cell r="Q1523">
            <v>14</v>
          </cell>
        </row>
        <row r="1524">
          <cell r="D1524" t="str">
            <v>37052-78-1</v>
          </cell>
          <cell r="E1524">
            <v>37052781</v>
          </cell>
          <cell r="F1524">
            <v>2789</v>
          </cell>
          <cell r="G1524" t="str">
            <v>Reach_2709</v>
          </cell>
          <cell r="H1524">
            <v>1516</v>
          </cell>
          <cell r="J1524">
            <v>180.23</v>
          </cell>
          <cell r="K1524">
            <v>143.46</v>
          </cell>
          <cell r="L1524">
            <v>9.0110800000000005E-5</v>
          </cell>
          <cell r="M1524">
            <v>873.26</v>
          </cell>
          <cell r="N1524">
            <v>102.32929922807544</v>
          </cell>
          <cell r="O1524">
            <v>11.43</v>
          </cell>
          <cell r="P1524">
            <v>15.71</v>
          </cell>
          <cell r="Q1524">
            <v>-1.7100000000000009</v>
          </cell>
        </row>
        <row r="1525">
          <cell r="D1525" t="str">
            <v>60-34-4</v>
          </cell>
          <cell r="E1525">
            <v>60344</v>
          </cell>
          <cell r="F1525">
            <v>752</v>
          </cell>
          <cell r="G1525" t="str">
            <v>Reach_58</v>
          </cell>
          <cell r="H1525">
            <v>1517</v>
          </cell>
          <cell r="J1525">
            <v>46.075000000000003</v>
          </cell>
          <cell r="K1525">
            <v>-57.59</v>
          </cell>
          <cell r="L1525">
            <v>8491.2100000000009</v>
          </cell>
          <cell r="M1525">
            <v>669000</v>
          </cell>
          <cell r="N1525">
            <v>0.1</v>
          </cell>
          <cell r="P1525">
            <v>6</v>
          </cell>
          <cell r="Q1525">
            <v>8</v>
          </cell>
        </row>
        <row r="1526">
          <cell r="D1526" t="str">
            <v>40137-22-2</v>
          </cell>
          <cell r="E1526">
            <v>40137222</v>
          </cell>
          <cell r="F1526">
            <v>2853</v>
          </cell>
          <cell r="G1526" t="str">
            <v>Reach_2729</v>
          </cell>
          <cell r="H1526">
            <v>1518</v>
          </cell>
          <cell r="J1526">
            <v>105.14</v>
          </cell>
          <cell r="K1526">
            <v>16.18</v>
          </cell>
          <cell r="L1526">
            <v>2.7993000000000006</v>
          </cell>
          <cell r="M1526">
            <v>1000000</v>
          </cell>
          <cell r="N1526">
            <v>1.6218100973589288E-2</v>
          </cell>
          <cell r="O1526">
            <v>14.07</v>
          </cell>
          <cell r="P1526">
            <v>4.5</v>
          </cell>
          <cell r="Q1526">
            <v>9.5</v>
          </cell>
        </row>
        <row r="1527">
          <cell r="D1527" t="str">
            <v>51-21-8</v>
          </cell>
          <cell r="E1527">
            <v>51218</v>
          </cell>
          <cell r="F1527">
            <v>668</v>
          </cell>
          <cell r="G1527" t="str">
            <v>Reach_13</v>
          </cell>
          <cell r="H1527">
            <v>1519</v>
          </cell>
          <cell r="J1527">
            <v>130.08000000000001</v>
          </cell>
          <cell r="K1527">
            <v>150.62</v>
          </cell>
          <cell r="L1527">
            <v>9.4909600000000017E-6</v>
          </cell>
          <cell r="M1527">
            <v>10404</v>
          </cell>
          <cell r="N1527">
            <v>0.15488166189124808</v>
          </cell>
          <cell r="O1527">
            <v>7.8</v>
          </cell>
          <cell r="Q1527">
            <v>7.8</v>
          </cell>
        </row>
        <row r="1528">
          <cell r="D1528" t="str">
            <v>761-65-9</v>
          </cell>
          <cell r="E1528">
            <v>761659</v>
          </cell>
          <cell r="F1528">
            <v>871</v>
          </cell>
          <cell r="G1528" t="str">
            <v>Reach_1533</v>
          </cell>
          <cell r="H1528">
            <v>1520</v>
          </cell>
          <cell r="J1528">
            <v>157.26</v>
          </cell>
          <cell r="K1528">
            <v>38</v>
          </cell>
          <cell r="L1528">
            <v>4.2256100000000005</v>
          </cell>
          <cell r="M1528">
            <v>3809.5</v>
          </cell>
          <cell r="N1528">
            <v>102.32929922807544</v>
          </cell>
          <cell r="Q1528">
            <v>14</v>
          </cell>
        </row>
        <row r="1529">
          <cell r="D1529" t="str">
            <v>6161-65-5</v>
          </cell>
          <cell r="E1529">
            <v>6161655</v>
          </cell>
          <cell r="F1529">
            <v>3342</v>
          </cell>
          <cell r="G1529" t="str">
            <v>Reach_4373</v>
          </cell>
          <cell r="H1529">
            <v>1521</v>
          </cell>
          <cell r="J1529">
            <v>166.18</v>
          </cell>
          <cell r="K1529">
            <v>83.58</v>
          </cell>
          <cell r="L1529">
            <v>7.7314000000000008E-2</v>
          </cell>
          <cell r="M1529">
            <v>1588.6</v>
          </cell>
          <cell r="N1529">
            <v>25.118864315095799</v>
          </cell>
          <cell r="O1529">
            <v>3.8</v>
          </cell>
          <cell r="Q1529">
            <v>3.8</v>
          </cell>
        </row>
        <row r="1530">
          <cell r="D1530" t="str">
            <v>877179-03-8</v>
          </cell>
          <cell r="E1530">
            <v>877179038</v>
          </cell>
          <cell r="F1530">
            <v>3938</v>
          </cell>
          <cell r="G1530" t="str">
            <v>Reach_4564</v>
          </cell>
          <cell r="H1530">
            <v>1522</v>
          </cell>
          <cell r="J1530">
            <v>298.14</v>
          </cell>
          <cell r="K1530">
            <v>184.05</v>
          </cell>
          <cell r="L1530">
            <v>2.7059900000000002E-6</v>
          </cell>
          <cell r="M1530">
            <v>2.4159999999999999</v>
          </cell>
          <cell r="N1530">
            <v>6165.9500186148289</v>
          </cell>
          <cell r="Q1530">
            <v>14</v>
          </cell>
        </row>
        <row r="1531">
          <cell r="D1531" t="str">
            <v>959-52-4</v>
          </cell>
          <cell r="E1531">
            <v>959524</v>
          </cell>
          <cell r="F1531">
            <v>4138</v>
          </cell>
          <cell r="G1531" t="str">
            <v>Reach_1619</v>
          </cell>
          <cell r="H1531">
            <v>1523</v>
          </cell>
          <cell r="J1531">
            <v>249.27</v>
          </cell>
          <cell r="K1531">
            <v>163.65</v>
          </cell>
          <cell r="L1531">
            <v>2.1861200000000003E-5</v>
          </cell>
          <cell r="M1531">
            <v>11272</v>
          </cell>
          <cell r="N1531">
            <v>2.1877616239495499E-3</v>
          </cell>
          <cell r="Q1531">
            <v>14</v>
          </cell>
        </row>
        <row r="1532">
          <cell r="D1532" t="str">
            <v>141-52-6</v>
          </cell>
          <cell r="E1532">
            <v>141526</v>
          </cell>
          <cell r="F1532">
            <v>5691</v>
          </cell>
          <cell r="G1532" t="str">
            <v>Reach_1163</v>
          </cell>
          <cell r="H1532">
            <v>1524</v>
          </cell>
          <cell r="J1532">
            <v>68.052000000000007</v>
          </cell>
          <cell r="K1532">
            <v>0</v>
          </cell>
          <cell r="Q1532">
            <v>14</v>
          </cell>
        </row>
        <row r="1533">
          <cell r="D1533" t="str">
            <v>32539-82-5</v>
          </cell>
          <cell r="E1533">
            <v>32539825</v>
          </cell>
          <cell r="F1533">
            <v>2654</v>
          </cell>
          <cell r="G1533" t="str">
            <v>Reach_4597</v>
          </cell>
          <cell r="H1533">
            <v>1525</v>
          </cell>
          <cell r="J1533">
            <v>240.39</v>
          </cell>
          <cell r="K1533">
            <v>99.95</v>
          </cell>
          <cell r="L1533">
            <v>5.0920600000000008E-5</v>
          </cell>
          <cell r="M1533">
            <v>5.4848999999999997</v>
          </cell>
          <cell r="N1533">
            <v>10232.929922807549</v>
          </cell>
          <cell r="O1533">
            <v>15.76</v>
          </cell>
          <cell r="Q1533">
            <v>14</v>
          </cell>
        </row>
        <row r="1534">
          <cell r="D1534" t="str">
            <v>1917-44-8</v>
          </cell>
          <cell r="E1534">
            <v>1917448</v>
          </cell>
          <cell r="F1534">
            <v>2224</v>
          </cell>
          <cell r="G1534" t="str">
            <v>Reach_4201</v>
          </cell>
          <cell r="H1534">
            <v>1526</v>
          </cell>
          <cell r="J1534">
            <v>249.28</v>
          </cell>
          <cell r="K1534">
            <v>214.69</v>
          </cell>
          <cell r="L1534">
            <v>2.6926600000000002E-8</v>
          </cell>
          <cell r="M1534">
            <v>84.043000000000006</v>
          </cell>
          <cell r="N1534">
            <v>4786.3009232263848</v>
          </cell>
          <cell r="Q1534">
            <v>14</v>
          </cell>
        </row>
        <row r="1535">
          <cell r="D1535" t="str">
            <v>94-58-6</v>
          </cell>
          <cell r="E1535">
            <v>94586</v>
          </cell>
          <cell r="F1535">
            <v>4105</v>
          </cell>
          <cell r="G1535" t="str">
            <v>Reach_415</v>
          </cell>
          <cell r="H1535">
            <v>1527</v>
          </cell>
          <cell r="J1535">
            <v>164.2</v>
          </cell>
          <cell r="K1535">
            <v>43.51</v>
          </cell>
          <cell r="L1535">
            <v>7.3848200000000004</v>
          </cell>
          <cell r="M1535">
            <v>37.411999999999999</v>
          </cell>
          <cell r="N1535">
            <v>3801.8939632056172</v>
          </cell>
          <cell r="Q1535">
            <v>14</v>
          </cell>
        </row>
        <row r="1536">
          <cell r="D1536" t="str">
            <v>556-61-6</v>
          </cell>
          <cell r="E1536">
            <v>556616</v>
          </cell>
          <cell r="F1536">
            <v>704</v>
          </cell>
          <cell r="G1536" t="str">
            <v>Reach_1367</v>
          </cell>
          <cell r="H1536">
            <v>1528</v>
          </cell>
          <cell r="J1536">
            <v>73.117999999999995</v>
          </cell>
          <cell r="K1536">
            <v>-63.26</v>
          </cell>
          <cell r="L1536">
            <v>1626.26</v>
          </cell>
          <cell r="M1536">
            <v>6610.8</v>
          </cell>
          <cell r="N1536">
            <v>19.952623149688804</v>
          </cell>
          <cell r="Q1536">
            <v>14</v>
          </cell>
        </row>
        <row r="1537">
          <cell r="D1537" t="str">
            <v>91-68-9</v>
          </cell>
          <cell r="E1537">
            <v>91689</v>
          </cell>
          <cell r="F1537">
            <v>4019</v>
          </cell>
          <cell r="G1537" t="str">
            <v>Reach_379</v>
          </cell>
          <cell r="H1537">
            <v>1529</v>
          </cell>
          <cell r="J1537">
            <v>165.24</v>
          </cell>
          <cell r="K1537">
            <v>60.45</v>
          </cell>
          <cell r="L1537">
            <v>0.10783970000000001</v>
          </cell>
          <cell r="M1537">
            <v>395.6</v>
          </cell>
          <cell r="N1537">
            <v>208.92961308540396</v>
          </cell>
          <cell r="O1537">
            <v>9.9</v>
          </cell>
          <cell r="P1537">
            <v>9.9</v>
          </cell>
          <cell r="Q1537">
            <v>4.0999999999999996</v>
          </cell>
        </row>
        <row r="1538">
          <cell r="D1538" t="str">
            <v>107-56-2</v>
          </cell>
          <cell r="E1538">
            <v>107562</v>
          </cell>
          <cell r="F1538">
            <v>1465</v>
          </cell>
          <cell r="G1538" t="str">
            <v>Reach_711</v>
          </cell>
          <cell r="H1538">
            <v>1530</v>
          </cell>
          <cell r="J1538">
            <v>214.29</v>
          </cell>
          <cell r="K1538">
            <v>-59.51</v>
          </cell>
          <cell r="L1538">
            <v>3.6657500000000005</v>
          </cell>
          <cell r="M1538">
            <v>70.581000000000003</v>
          </cell>
          <cell r="N1538">
            <v>1202.2644346174138</v>
          </cell>
          <cell r="O1538">
            <v>-0.1</v>
          </cell>
          <cell r="Q1538">
            <v>-0.1</v>
          </cell>
        </row>
        <row r="1539">
          <cell r="D1539" t="str">
            <v>105-58-8</v>
          </cell>
          <cell r="E1539">
            <v>105588</v>
          </cell>
          <cell r="F1539">
            <v>179</v>
          </cell>
          <cell r="G1539" t="str">
            <v>Reach_644</v>
          </cell>
          <cell r="H1539">
            <v>1531</v>
          </cell>
          <cell r="J1539">
            <v>118.13</v>
          </cell>
          <cell r="K1539">
            <v>-95.3</v>
          </cell>
          <cell r="L1539">
            <v>1599.6000000000001</v>
          </cell>
          <cell r="M1539">
            <v>42209</v>
          </cell>
          <cell r="N1539">
            <v>16.595869074375614</v>
          </cell>
          <cell r="Q1539">
            <v>14</v>
          </cell>
        </row>
        <row r="1540">
          <cell r="D1540" t="str">
            <v>7327-60-8</v>
          </cell>
          <cell r="E1540">
            <v>7327608</v>
          </cell>
          <cell r="F1540">
            <v>3617</v>
          </cell>
          <cell r="G1540" t="str">
            <v>Reach_2237</v>
          </cell>
          <cell r="H1540">
            <v>1532</v>
          </cell>
          <cell r="J1540">
            <v>134.15</v>
          </cell>
          <cell r="K1540">
            <v>92.78</v>
          </cell>
          <cell r="L1540">
            <v>8.2246100000000003E-3</v>
          </cell>
          <cell r="M1540">
            <v>886000</v>
          </cell>
          <cell r="N1540">
            <v>4.0738027780411273E-2</v>
          </cell>
          <cell r="Q1540">
            <v>14</v>
          </cell>
        </row>
        <row r="1541">
          <cell r="D1541" t="str">
            <v>3030-47-5</v>
          </cell>
          <cell r="E1541">
            <v>3030475</v>
          </cell>
          <cell r="F1541">
            <v>2590</v>
          </cell>
          <cell r="G1541" t="str">
            <v>Reach_1898</v>
          </cell>
          <cell r="H1541">
            <v>1533</v>
          </cell>
          <cell r="J1541">
            <v>173.31</v>
          </cell>
          <cell r="K1541">
            <v>10.46</v>
          </cell>
          <cell r="L1541">
            <v>39.323500000000003</v>
          </cell>
          <cell r="M1541">
            <v>204000</v>
          </cell>
          <cell r="N1541">
            <v>0.26915348039269155</v>
          </cell>
          <cell r="P1541">
            <v>4.79</v>
          </cell>
          <cell r="Q1541">
            <v>9.2100000000000009</v>
          </cell>
        </row>
        <row r="1542">
          <cell r="D1542" t="str">
            <v>128-44-9</v>
          </cell>
          <cell r="E1542">
            <v>128449</v>
          </cell>
          <cell r="F1542">
            <v>1189</v>
          </cell>
          <cell r="G1542" t="str">
            <v>Reach_1111</v>
          </cell>
          <cell r="H1542">
            <v>1534</v>
          </cell>
          <cell r="J1542">
            <v>205.17</v>
          </cell>
          <cell r="K1542">
            <v>0</v>
          </cell>
          <cell r="Q1542">
            <v>14</v>
          </cell>
        </row>
        <row r="1543">
          <cell r="D1543" t="str">
            <v>976-70-5</v>
          </cell>
          <cell r="E1543">
            <v>976705</v>
          </cell>
          <cell r="F1543">
            <v>4169</v>
          </cell>
          <cell r="G1543" t="str">
            <v>Reach_1622</v>
          </cell>
          <cell r="H1543">
            <v>1535</v>
          </cell>
          <cell r="J1543">
            <v>342.48</v>
          </cell>
          <cell r="K1543">
            <v>187.58</v>
          </cell>
          <cell r="L1543">
            <v>1.0197450000000001E-6</v>
          </cell>
          <cell r="M1543">
            <v>25.69</v>
          </cell>
          <cell r="N1543">
            <v>17378.008287493791</v>
          </cell>
          <cell r="Q1543">
            <v>14</v>
          </cell>
        </row>
        <row r="1544">
          <cell r="D1544" t="str">
            <v>51368-55-9</v>
          </cell>
          <cell r="E1544">
            <v>51368559</v>
          </cell>
          <cell r="F1544">
            <v>3037</v>
          </cell>
          <cell r="G1544" t="str">
            <v>Reach_2772</v>
          </cell>
          <cell r="H1544">
            <v>1536</v>
          </cell>
          <cell r="J1544">
            <v>209.09</v>
          </cell>
          <cell r="K1544">
            <v>-10.75</v>
          </cell>
          <cell r="L1544">
            <v>108.7728</v>
          </cell>
          <cell r="M1544">
            <v>262.27</v>
          </cell>
          <cell r="N1544">
            <v>316.22776601683825</v>
          </cell>
          <cell r="Q1544">
            <v>14</v>
          </cell>
        </row>
        <row r="1545">
          <cell r="D1545" t="str">
            <v>97-90-5</v>
          </cell>
          <cell r="E1545">
            <v>97905</v>
          </cell>
          <cell r="F1545">
            <v>4175</v>
          </cell>
          <cell r="G1545" t="str">
            <v>Reach_491</v>
          </cell>
          <cell r="H1545">
            <v>1537</v>
          </cell>
          <cell r="J1545">
            <v>198.22</v>
          </cell>
          <cell r="K1545">
            <v>-68.41</v>
          </cell>
          <cell r="L1545">
            <v>11290.510000000002</v>
          </cell>
          <cell r="M1545">
            <v>2008.1</v>
          </cell>
          <cell r="N1545">
            <v>162.18100973589304</v>
          </cell>
          <cell r="Q1545">
            <v>14</v>
          </cell>
        </row>
        <row r="1546">
          <cell r="D1546" t="str">
            <v>18936-17-9</v>
          </cell>
          <cell r="E1546">
            <v>18936179</v>
          </cell>
          <cell r="F1546">
            <v>2216</v>
          </cell>
          <cell r="G1546" t="str">
            <v>Reach_2472</v>
          </cell>
          <cell r="H1546">
            <v>1538</v>
          </cell>
          <cell r="J1546">
            <v>83.135000000000005</v>
          </cell>
          <cell r="K1546">
            <v>-57.6</v>
          </cell>
          <cell r="L1546">
            <v>1666.2500000000002</v>
          </cell>
          <cell r="M1546">
            <v>8513.7999999999993</v>
          </cell>
          <cell r="N1546">
            <v>17.782794100389236</v>
          </cell>
          <cell r="Q1546">
            <v>14</v>
          </cell>
        </row>
        <row r="1547">
          <cell r="D1547" t="str">
            <v>78-77-3</v>
          </cell>
          <cell r="E1547">
            <v>78773</v>
          </cell>
          <cell r="F1547">
            <v>3757</v>
          </cell>
          <cell r="G1547" t="str">
            <v>Reach_207</v>
          </cell>
          <cell r="H1547">
            <v>1539</v>
          </cell>
          <cell r="J1547">
            <v>137.03</v>
          </cell>
          <cell r="K1547">
            <v>-78.08</v>
          </cell>
          <cell r="L1547">
            <v>8264.6</v>
          </cell>
          <cell r="M1547">
            <v>1180.3</v>
          </cell>
          <cell r="N1547">
            <v>380.18939632056163</v>
          </cell>
          <cell r="Q1547">
            <v>14</v>
          </cell>
        </row>
        <row r="1548">
          <cell r="D1548" t="str">
            <v>1119-40-0</v>
          </cell>
          <cell r="E1548">
            <v>1119400</v>
          </cell>
          <cell r="F1548">
            <v>1564</v>
          </cell>
          <cell r="G1548" t="str">
            <v>Reach_1654</v>
          </cell>
          <cell r="H1548">
            <v>1540</v>
          </cell>
          <cell r="J1548">
            <v>160.16999999999999</v>
          </cell>
          <cell r="K1548">
            <v>-83.29</v>
          </cell>
          <cell r="L1548">
            <v>23.727399999999999</v>
          </cell>
          <cell r="M1548">
            <v>11592</v>
          </cell>
          <cell r="N1548">
            <v>7.9432823472428176</v>
          </cell>
          <cell r="Q1548">
            <v>14</v>
          </cell>
        </row>
        <row r="1549">
          <cell r="D1549" t="str">
            <v>134-03-2</v>
          </cell>
          <cell r="E1549">
            <v>134032</v>
          </cell>
          <cell r="F1549">
            <v>5670</v>
          </cell>
          <cell r="G1549" t="str">
            <v>Reach_1126</v>
          </cell>
          <cell r="H1549">
            <v>1541</v>
          </cell>
          <cell r="J1549">
            <v>198.11</v>
          </cell>
          <cell r="K1549">
            <v>0</v>
          </cell>
          <cell r="Q1549">
            <v>14</v>
          </cell>
        </row>
        <row r="1550">
          <cell r="D1550" t="str">
            <v>38632-47-2</v>
          </cell>
          <cell r="E1550">
            <v>38632472</v>
          </cell>
          <cell r="F1550">
            <v>5870</v>
          </cell>
          <cell r="G1550" t="str">
            <v>Reach_4657</v>
          </cell>
          <cell r="H1550">
            <v>1542</v>
          </cell>
          <cell r="J1550">
            <v>376.32</v>
          </cell>
          <cell r="K1550">
            <v>0</v>
          </cell>
          <cell r="Q1550">
            <v>14</v>
          </cell>
        </row>
        <row r="1551">
          <cell r="D1551" t="str">
            <v>24199-46-0</v>
          </cell>
          <cell r="E1551">
            <v>24199460</v>
          </cell>
          <cell r="F1551">
            <v>2376</v>
          </cell>
          <cell r="G1551" t="str">
            <v>Reach_2540</v>
          </cell>
          <cell r="H1551">
            <v>1543</v>
          </cell>
          <cell r="J1551">
            <v>140.22999999999999</v>
          </cell>
          <cell r="K1551">
            <v>-28.25</v>
          </cell>
          <cell r="L1551">
            <v>137.29900000000001</v>
          </cell>
          <cell r="M1551">
            <v>1047.8</v>
          </cell>
          <cell r="N1551">
            <v>354.81338923357566</v>
          </cell>
          <cell r="Q1551">
            <v>14</v>
          </cell>
        </row>
        <row r="1552">
          <cell r="D1552" t="str">
            <v>7397-62-8</v>
          </cell>
          <cell r="E1552">
            <v>7397628</v>
          </cell>
          <cell r="F1552">
            <v>3630</v>
          </cell>
          <cell r="G1552" t="str">
            <v>Reach_2247</v>
          </cell>
          <cell r="H1552">
            <v>1544</v>
          </cell>
          <cell r="J1552">
            <v>132.16</v>
          </cell>
          <cell r="K1552">
            <v>-3.09</v>
          </cell>
          <cell r="L1552">
            <v>6.958260000000001</v>
          </cell>
          <cell r="M1552">
            <v>22956</v>
          </cell>
          <cell r="N1552">
            <v>2.3988329190194908</v>
          </cell>
          <cell r="Q1552">
            <v>14</v>
          </cell>
        </row>
        <row r="1553">
          <cell r="D1553" t="str">
            <v>616-30-8</v>
          </cell>
          <cell r="E1553">
            <v>616308</v>
          </cell>
          <cell r="F1553">
            <v>3343</v>
          </cell>
          <cell r="G1553" t="str">
            <v>Reach_1430</v>
          </cell>
          <cell r="H1553">
            <v>1545</v>
          </cell>
          <cell r="J1553">
            <v>91.111000000000004</v>
          </cell>
          <cell r="K1553">
            <v>24.61</v>
          </cell>
          <cell r="L1553">
            <v>3.6657500000000005</v>
          </cell>
          <cell r="M1553">
            <v>1000000</v>
          </cell>
          <cell r="N1553">
            <v>5.6234132519034866E-3</v>
          </cell>
          <cell r="O1553">
            <v>14.07</v>
          </cell>
          <cell r="P1553">
            <v>4.9000000000000004</v>
          </cell>
          <cell r="Q1553">
            <v>9.1</v>
          </cell>
        </row>
        <row r="1554">
          <cell r="D1554" t="str">
            <v>503-01-5</v>
          </cell>
          <cell r="E1554">
            <v>503015</v>
          </cell>
          <cell r="F1554">
            <v>3001</v>
          </cell>
          <cell r="G1554" t="str">
            <v>Reach_1301</v>
          </cell>
          <cell r="H1554">
            <v>1546</v>
          </cell>
          <cell r="J1554">
            <v>141.26</v>
          </cell>
          <cell r="K1554">
            <v>-38.57</v>
          </cell>
          <cell r="L1554">
            <v>149.29600000000002</v>
          </cell>
          <cell r="M1554">
            <v>7754.2</v>
          </cell>
          <cell r="N1554">
            <v>1071.5193052376069</v>
          </cell>
          <cell r="Q1554">
            <v>14</v>
          </cell>
        </row>
        <row r="1555">
          <cell r="D1555" t="str">
            <v>108-69-0</v>
          </cell>
          <cell r="E1555">
            <v>108690</v>
          </cell>
          <cell r="F1555">
            <v>244</v>
          </cell>
          <cell r="G1555" t="str">
            <v>Reach_753</v>
          </cell>
          <cell r="H1555">
            <v>1547</v>
          </cell>
          <cell r="J1555">
            <v>121.18</v>
          </cell>
          <cell r="K1555">
            <v>29.14</v>
          </cell>
          <cell r="L1555">
            <v>17.862200000000001</v>
          </cell>
          <cell r="M1555">
            <v>591.4</v>
          </cell>
          <cell r="N1555">
            <v>147.91083881682084</v>
          </cell>
          <cell r="Q1555">
            <v>14</v>
          </cell>
        </row>
        <row r="1556">
          <cell r="D1556" t="str">
            <v>1760-24-3</v>
          </cell>
          <cell r="E1556">
            <v>1760243</v>
          </cell>
          <cell r="F1556">
            <v>2145</v>
          </cell>
          <cell r="G1556" t="str">
            <v>Reach_1718</v>
          </cell>
          <cell r="H1556">
            <v>1548</v>
          </cell>
          <cell r="J1556">
            <v>222.36</v>
          </cell>
          <cell r="K1556">
            <v>68.73</v>
          </cell>
          <cell r="L1556">
            <v>0.46788300000000005</v>
          </cell>
          <cell r="M1556">
            <v>286000</v>
          </cell>
          <cell r="N1556">
            <v>2.1379620895022322E-2</v>
          </cell>
          <cell r="P1556">
            <v>4.34</v>
          </cell>
          <cell r="Q1556">
            <v>9.66</v>
          </cell>
        </row>
        <row r="1557">
          <cell r="D1557" t="str">
            <v>66309-83-9</v>
          </cell>
          <cell r="E1557">
            <v>66309839</v>
          </cell>
          <cell r="F1557">
            <v>3468</v>
          </cell>
          <cell r="G1557" t="str">
            <v>Reach_4546</v>
          </cell>
          <cell r="H1557">
            <v>1549</v>
          </cell>
          <cell r="J1557">
            <v>160.22</v>
          </cell>
          <cell r="K1557">
            <v>59.53</v>
          </cell>
          <cell r="L1557">
            <v>0.79446800000000006</v>
          </cell>
          <cell r="M1557">
            <v>248.21</v>
          </cell>
          <cell r="N1557">
            <v>1174.8975549395295</v>
          </cell>
          <cell r="Q1557">
            <v>14</v>
          </cell>
        </row>
        <row r="1558">
          <cell r="D1558" t="str">
            <v>79-08-3</v>
          </cell>
          <cell r="E1558">
            <v>79083</v>
          </cell>
          <cell r="F1558">
            <v>912</v>
          </cell>
          <cell r="G1558" t="str">
            <v>Reach_228</v>
          </cell>
          <cell r="H1558">
            <v>1550</v>
          </cell>
          <cell r="J1558">
            <v>138.94999999999999</v>
          </cell>
          <cell r="K1558">
            <v>29.19</v>
          </cell>
          <cell r="L1558">
            <v>17.462300000000003</v>
          </cell>
          <cell r="M1558">
            <v>85411</v>
          </cell>
          <cell r="N1558">
            <v>2.691534803926916</v>
          </cell>
          <cell r="O1558">
            <v>2.9</v>
          </cell>
          <cell r="Q1558">
            <v>2.9</v>
          </cell>
        </row>
        <row r="1559">
          <cell r="D1559" t="str">
            <v>1885-14-9</v>
          </cell>
          <cell r="E1559">
            <v>1885149</v>
          </cell>
          <cell r="F1559">
            <v>2212</v>
          </cell>
          <cell r="G1559" t="str">
            <v>Reach_1731</v>
          </cell>
          <cell r="H1559">
            <v>1551</v>
          </cell>
          <cell r="J1559">
            <v>156.57</v>
          </cell>
          <cell r="K1559">
            <v>0.35</v>
          </cell>
          <cell r="L1559">
            <v>100.9081</v>
          </cell>
          <cell r="M1559">
            <v>1149.8</v>
          </cell>
          <cell r="N1559">
            <v>22.387211385683404</v>
          </cell>
          <cell r="Q1559">
            <v>14</v>
          </cell>
        </row>
        <row r="1560">
          <cell r="D1560" t="str">
            <v>97-97-2</v>
          </cell>
          <cell r="E1560">
            <v>97972</v>
          </cell>
          <cell r="F1560">
            <v>4176</v>
          </cell>
          <cell r="G1560" t="str">
            <v>Reach_492</v>
          </cell>
          <cell r="H1560">
            <v>1552</v>
          </cell>
          <cell r="J1560">
            <v>124.57</v>
          </cell>
          <cell r="K1560">
            <v>-60.27</v>
          </cell>
          <cell r="L1560">
            <v>1492.96</v>
          </cell>
          <cell r="M1560">
            <v>17512</v>
          </cell>
          <cell r="N1560">
            <v>3.0199517204020165</v>
          </cell>
          <cell r="Q1560">
            <v>14</v>
          </cell>
        </row>
        <row r="1561">
          <cell r="D1561" t="str">
            <v>718-71-8</v>
          </cell>
          <cell r="E1561">
            <v>718718</v>
          </cell>
          <cell r="F1561">
            <v>3593</v>
          </cell>
          <cell r="G1561" t="str">
            <v>Reach_4835</v>
          </cell>
          <cell r="H1561">
            <v>1553</v>
          </cell>
          <cell r="J1561">
            <v>217.27</v>
          </cell>
          <cell r="K1561">
            <v>88.54</v>
          </cell>
          <cell r="L1561">
            <v>1.4263100000000001E-2</v>
          </cell>
          <cell r="M1561">
            <v>73.555999999999997</v>
          </cell>
          <cell r="N1561">
            <v>398.10717055349761</v>
          </cell>
          <cell r="Q1561">
            <v>14</v>
          </cell>
        </row>
        <row r="1562">
          <cell r="D1562" t="str">
            <v>1256387-74-2</v>
          </cell>
          <cell r="E1562">
            <v>1256387742</v>
          </cell>
          <cell r="F1562">
            <v>1798</v>
          </cell>
          <cell r="G1562" t="str">
            <v>Reach_5045</v>
          </cell>
          <cell r="H1562">
            <v>1554</v>
          </cell>
          <cell r="J1562">
            <v>392.31</v>
          </cell>
          <cell r="K1562">
            <v>222.77</v>
          </cell>
          <cell r="L1562">
            <v>7.8380400000000016E-9</v>
          </cell>
          <cell r="M1562">
            <v>5.3395999999999999E-2</v>
          </cell>
          <cell r="N1562">
            <v>54954.087385762505</v>
          </cell>
          <cell r="O1562">
            <v>12.25</v>
          </cell>
          <cell r="P1562">
            <v>7.28</v>
          </cell>
          <cell r="Q1562">
            <v>6.72</v>
          </cell>
        </row>
        <row r="1563">
          <cell r="D1563" t="str">
            <v>34184-82-2</v>
          </cell>
          <cell r="E1563">
            <v>34184822</v>
          </cell>
          <cell r="F1563">
            <v>2693</v>
          </cell>
          <cell r="G1563" t="str">
            <v>Reach_2672</v>
          </cell>
          <cell r="H1563">
            <v>1555</v>
          </cell>
          <cell r="J1563">
            <v>328.45</v>
          </cell>
          <cell r="K1563">
            <v>179.08</v>
          </cell>
          <cell r="L1563">
            <v>9.0377400000000011E-8</v>
          </cell>
          <cell r="M1563">
            <v>160.13</v>
          </cell>
          <cell r="N1563">
            <v>1000</v>
          </cell>
          <cell r="O1563">
            <v>13.86</v>
          </cell>
          <cell r="Q1563">
            <v>13.86</v>
          </cell>
        </row>
        <row r="1564">
          <cell r="D1564" t="str">
            <v>94695-48-4</v>
          </cell>
          <cell r="E1564">
            <v>94695484</v>
          </cell>
          <cell r="F1564">
            <v>4107</v>
          </cell>
          <cell r="G1564" t="str">
            <v>Reach_4509</v>
          </cell>
          <cell r="H1564">
            <v>1556</v>
          </cell>
          <cell r="J1564">
            <v>212.53</v>
          </cell>
          <cell r="K1564">
            <v>23.15</v>
          </cell>
          <cell r="L1564">
            <v>121.70290000000001</v>
          </cell>
          <cell r="M1564">
            <v>191.81</v>
          </cell>
          <cell r="N1564">
            <v>173.78008287493768</v>
          </cell>
          <cell r="Q1564">
            <v>14</v>
          </cell>
        </row>
        <row r="1565">
          <cell r="D1565" t="str">
            <v>7529-22-8</v>
          </cell>
          <cell r="E1565">
            <v>7529228</v>
          </cell>
          <cell r="F1565">
            <v>3663</v>
          </cell>
          <cell r="G1565" t="str">
            <v>Reach_2258</v>
          </cell>
          <cell r="H1565">
            <v>1557</v>
          </cell>
          <cell r="J1565">
            <v>117.15</v>
          </cell>
          <cell r="K1565">
            <v>125.11</v>
          </cell>
          <cell r="L1565">
            <v>2.4127300000000001E-3</v>
          </cell>
          <cell r="M1565">
            <v>39600000</v>
          </cell>
          <cell r="N1565">
            <v>7.5857757502918358E-2</v>
          </cell>
          <cell r="P1565">
            <v>9.6300000000000008</v>
          </cell>
          <cell r="Q1565">
            <v>4.3699999999999992</v>
          </cell>
        </row>
        <row r="1566">
          <cell r="D1566" t="str">
            <v>96-26-4</v>
          </cell>
          <cell r="E1566">
            <v>96264</v>
          </cell>
          <cell r="F1566">
            <v>4143</v>
          </cell>
          <cell r="G1566" t="str">
            <v>Reach_458</v>
          </cell>
          <cell r="H1566">
            <v>1558</v>
          </cell>
          <cell r="J1566">
            <v>90.078000000000003</v>
          </cell>
          <cell r="K1566">
            <v>16.73</v>
          </cell>
          <cell r="L1566">
            <v>0.59318500000000007</v>
          </cell>
          <cell r="M1566">
            <v>311000</v>
          </cell>
          <cell r="N1566">
            <v>0.19498445997580449</v>
          </cell>
          <cell r="O1566">
            <v>13.26</v>
          </cell>
          <cell r="Q1566">
            <v>13.26</v>
          </cell>
        </row>
        <row r="1567">
          <cell r="D1567" t="str">
            <v>83196-56-9</v>
          </cell>
          <cell r="E1567">
            <v>83196569</v>
          </cell>
          <cell r="F1567">
            <v>3842</v>
          </cell>
          <cell r="G1567" t="str">
            <v>Reach_4462</v>
          </cell>
          <cell r="H1567">
            <v>1559</v>
          </cell>
          <cell r="J1567">
            <v>311.43</v>
          </cell>
          <cell r="K1567">
            <v>184.82</v>
          </cell>
          <cell r="L1567">
            <v>3.3458300000000004E-8</v>
          </cell>
          <cell r="M1567">
            <v>207</v>
          </cell>
          <cell r="N1567">
            <v>741.31024130091828</v>
          </cell>
          <cell r="Q1567">
            <v>14</v>
          </cell>
        </row>
        <row r="1568">
          <cell r="D1568" t="str">
            <v>26586-02-7</v>
          </cell>
          <cell r="E1568">
            <v>26586027</v>
          </cell>
          <cell r="F1568">
            <v>2480</v>
          </cell>
          <cell r="G1568" t="str">
            <v>Reach_2589</v>
          </cell>
          <cell r="H1568">
            <v>1560</v>
          </cell>
          <cell r="J1568">
            <v>142.15</v>
          </cell>
          <cell r="K1568">
            <v>-17.39</v>
          </cell>
          <cell r="L1568">
            <v>42.922600000000003</v>
          </cell>
          <cell r="M1568">
            <v>37968</v>
          </cell>
          <cell r="N1568">
            <v>4.8977881936844625</v>
          </cell>
          <cell r="Q1568">
            <v>14</v>
          </cell>
        </row>
        <row r="1569">
          <cell r="D1569" t="str">
            <v>120118-14-1</v>
          </cell>
          <cell r="E1569">
            <v>120118141</v>
          </cell>
          <cell r="F1569">
            <v>1705</v>
          </cell>
          <cell r="G1569" t="str">
            <v>Reach_4099</v>
          </cell>
          <cell r="H1569">
            <v>1561</v>
          </cell>
          <cell r="J1569">
            <v>217.66</v>
          </cell>
          <cell r="K1569">
            <v>168.12</v>
          </cell>
          <cell r="L1569">
            <v>4.31892E-6</v>
          </cell>
          <cell r="M1569">
            <v>38.427</v>
          </cell>
          <cell r="N1569">
            <v>1288.2495516931347</v>
          </cell>
          <cell r="O1569">
            <v>7.88</v>
          </cell>
          <cell r="P1569">
            <v>15.64</v>
          </cell>
          <cell r="Q1569">
            <v>-1.6400000000000006</v>
          </cell>
        </row>
        <row r="1570">
          <cell r="D1570" t="str">
            <v>103577-40-8</v>
          </cell>
          <cell r="E1570">
            <v>103577408</v>
          </cell>
          <cell r="F1570">
            <v>1371</v>
          </cell>
          <cell r="G1570" t="str">
            <v>Reach_4064</v>
          </cell>
          <cell r="H1570">
            <v>1562</v>
          </cell>
          <cell r="J1570">
            <v>353.37</v>
          </cell>
          <cell r="K1570">
            <v>215.76</v>
          </cell>
          <cell r="L1570">
            <v>2.2927600000000003E-8</v>
          </cell>
          <cell r="M1570">
            <v>0.78224000000000005</v>
          </cell>
          <cell r="N1570">
            <v>26915.348039269167</v>
          </cell>
          <cell r="P1570">
            <v>8.5399999999999991</v>
          </cell>
          <cell r="Q1570">
            <v>5.4600000000000009</v>
          </cell>
        </row>
        <row r="1571">
          <cell r="D1571" t="str">
            <v>14367-46-5</v>
          </cell>
          <cell r="E1571">
            <v>14367465</v>
          </cell>
          <cell r="F1571">
            <v>1969</v>
          </cell>
          <cell r="G1571" t="str">
            <v>Reach_2364</v>
          </cell>
          <cell r="H1571">
            <v>1563</v>
          </cell>
          <cell r="J1571">
            <v>193.29</v>
          </cell>
          <cell r="K1571">
            <v>47.3</v>
          </cell>
          <cell r="L1571">
            <v>0.79180200000000012</v>
          </cell>
          <cell r="M1571">
            <v>2369.5</v>
          </cell>
          <cell r="N1571">
            <v>616.59500186148273</v>
          </cell>
          <cell r="P1571">
            <v>4.0999999999999996</v>
          </cell>
          <cell r="Q1571">
            <v>9.9</v>
          </cell>
        </row>
        <row r="1572">
          <cell r="D1572" t="str">
            <v>14064-10-9</v>
          </cell>
          <cell r="E1572">
            <v>14064109</v>
          </cell>
          <cell r="F1572">
            <v>450</v>
          </cell>
          <cell r="G1572" t="str">
            <v>Reach_2356</v>
          </cell>
          <cell r="H1572">
            <v>1564</v>
          </cell>
          <cell r="J1572">
            <v>194.61</v>
          </cell>
          <cell r="K1572">
            <v>-66.58</v>
          </cell>
          <cell r="L1572">
            <v>15.7294</v>
          </cell>
          <cell r="M1572">
            <v>2264.9</v>
          </cell>
          <cell r="N1572">
            <v>12.022644346174133</v>
          </cell>
          <cell r="O1572">
            <v>6.19</v>
          </cell>
          <cell r="Q1572">
            <v>6.19</v>
          </cell>
        </row>
        <row r="1573">
          <cell r="D1573" t="str">
            <v>1012341-48-8</v>
          </cell>
          <cell r="E1573">
            <v>1012341488</v>
          </cell>
          <cell r="F1573">
            <v>1316</v>
          </cell>
          <cell r="G1573" t="str">
            <v>Reach_4692</v>
          </cell>
          <cell r="H1573">
            <v>1565</v>
          </cell>
          <cell r="J1573">
            <v>381.47</v>
          </cell>
          <cell r="K1573">
            <v>218.62</v>
          </cell>
          <cell r="L1573">
            <v>1.4796300000000002E-8</v>
          </cell>
          <cell r="M1573">
            <v>0.49912000000000001</v>
          </cell>
          <cell r="N1573">
            <v>602559.58607435878</v>
          </cell>
          <cell r="O1573">
            <v>4.55</v>
          </cell>
          <cell r="Q1573">
            <v>4.55</v>
          </cell>
        </row>
        <row r="1574">
          <cell r="D1574" t="str">
            <v>89878-14-8</v>
          </cell>
          <cell r="E1574">
            <v>89878148</v>
          </cell>
          <cell r="F1574">
            <v>3989</v>
          </cell>
          <cell r="G1574" t="str">
            <v>Reach_4583</v>
          </cell>
          <cell r="H1574">
            <v>1566</v>
          </cell>
          <cell r="J1574">
            <v>147.04</v>
          </cell>
          <cell r="K1574">
            <v>3.63</v>
          </cell>
          <cell r="L1574">
            <v>50.120800000000003</v>
          </cell>
          <cell r="N1574">
            <v>758.57757502918378</v>
          </cell>
          <cell r="P1574">
            <v>8.8000000000000007</v>
          </cell>
          <cell r="Q1574">
            <v>5.1999999999999993</v>
          </cell>
        </row>
        <row r="1575">
          <cell r="D1575" t="str">
            <v>141-18-4</v>
          </cell>
          <cell r="E1575">
            <v>141184</v>
          </cell>
          <cell r="F1575">
            <v>1934</v>
          </cell>
          <cell r="G1575" t="str">
            <v>Reach_1159</v>
          </cell>
          <cell r="H1575">
            <v>1567</v>
          </cell>
          <cell r="J1575">
            <v>346.46</v>
          </cell>
          <cell r="K1575">
            <v>32.630000000000003</v>
          </cell>
          <cell r="L1575">
            <v>4.7721400000000011E-3</v>
          </cell>
          <cell r="M1575">
            <v>16.442</v>
          </cell>
          <cell r="N1575">
            <v>6025.595860743585</v>
          </cell>
          <cell r="Q1575">
            <v>14</v>
          </cell>
        </row>
        <row r="1576">
          <cell r="D1576" t="str">
            <v>700-13-0</v>
          </cell>
          <cell r="E1576">
            <v>700130</v>
          </cell>
          <cell r="F1576">
            <v>3554</v>
          </cell>
          <cell r="G1576" t="str">
            <v>Reach_1515</v>
          </cell>
          <cell r="H1576">
            <v>1568</v>
          </cell>
          <cell r="J1576">
            <v>152.19</v>
          </cell>
          <cell r="K1576">
            <v>86.11</v>
          </cell>
          <cell r="L1576">
            <v>2.7193200000000001E-2</v>
          </cell>
          <cell r="M1576">
            <v>2057.3000000000002</v>
          </cell>
          <cell r="N1576">
            <v>467.7351412871983</v>
          </cell>
          <cell r="Q1576">
            <v>14</v>
          </cell>
        </row>
        <row r="1577">
          <cell r="D1577" t="str">
            <v>159276-62-7</v>
          </cell>
          <cell r="E1577">
            <v>159276627</v>
          </cell>
          <cell r="F1577">
            <v>2067</v>
          </cell>
          <cell r="G1577" t="str">
            <v>Reach_4537</v>
          </cell>
          <cell r="H1577">
            <v>1569</v>
          </cell>
          <cell r="J1577">
            <v>312.31</v>
          </cell>
          <cell r="K1577">
            <v>23.31</v>
          </cell>
          <cell r="L1577">
            <v>8.9977500000000016E-2</v>
          </cell>
          <cell r="M1577">
            <v>9.7985000000000007</v>
          </cell>
          <cell r="N1577">
            <v>20892.961308540423</v>
          </cell>
          <cell r="O1577">
            <v>12.79</v>
          </cell>
          <cell r="Q1577">
            <v>12.79</v>
          </cell>
        </row>
        <row r="1578">
          <cell r="D1578" t="str">
            <v>99-57-0</v>
          </cell>
          <cell r="E1578">
            <v>99570</v>
          </cell>
          <cell r="F1578">
            <v>4206</v>
          </cell>
          <cell r="G1578" t="str">
            <v>Reach_531</v>
          </cell>
          <cell r="H1578">
            <v>1570</v>
          </cell>
          <cell r="J1578">
            <v>154.13</v>
          </cell>
          <cell r="K1578">
            <v>109.67</v>
          </cell>
          <cell r="L1578">
            <v>1.9861700000000002E-3</v>
          </cell>
          <cell r="M1578">
            <v>6457.5</v>
          </cell>
          <cell r="N1578">
            <v>9.7723722095581103</v>
          </cell>
          <cell r="O1578">
            <v>6.61</v>
          </cell>
          <cell r="P1578">
            <v>11.51</v>
          </cell>
          <cell r="Q1578">
            <v>2.4900000000000002</v>
          </cell>
        </row>
        <row r="1579">
          <cell r="D1579" t="str">
            <v>35303-76-5</v>
          </cell>
          <cell r="E1579">
            <v>35303765</v>
          </cell>
          <cell r="F1579">
            <v>2729</v>
          </cell>
          <cell r="G1579" t="str">
            <v>Reach_2688</v>
          </cell>
          <cell r="H1579">
            <v>1571</v>
          </cell>
          <cell r="J1579">
            <v>200.26</v>
          </cell>
          <cell r="K1579">
            <v>126.61</v>
          </cell>
          <cell r="L1579">
            <v>1.4129800000000001E-3</v>
          </cell>
          <cell r="M1579">
            <v>1813.2</v>
          </cell>
          <cell r="N1579">
            <v>0.52480746024977254</v>
          </cell>
          <cell r="O1579">
            <v>10.29</v>
          </cell>
          <cell r="P1579">
            <v>4.9800000000000004</v>
          </cell>
          <cell r="Q1579">
            <v>9.02</v>
          </cell>
        </row>
        <row r="1580">
          <cell r="D1580" t="str">
            <v>89-39-4</v>
          </cell>
          <cell r="E1580">
            <v>89394</v>
          </cell>
          <cell r="F1580">
            <v>3973</v>
          </cell>
          <cell r="G1580" t="str">
            <v>Reach_342</v>
          </cell>
          <cell r="H1580">
            <v>1572</v>
          </cell>
          <cell r="J1580">
            <v>183.16</v>
          </cell>
          <cell r="K1580">
            <v>73.56</v>
          </cell>
          <cell r="L1580">
            <v>0.27859699999999998</v>
          </cell>
          <cell r="M1580">
            <v>1446.8</v>
          </cell>
          <cell r="N1580">
            <v>93.325430079699174</v>
          </cell>
          <cell r="Q1580">
            <v>14</v>
          </cell>
        </row>
        <row r="1581">
          <cell r="D1581" t="str">
            <v>689294-28-8</v>
          </cell>
          <cell r="E1581">
            <v>689294288</v>
          </cell>
          <cell r="F1581">
            <v>3532</v>
          </cell>
          <cell r="G1581" t="str">
            <v>Reach_5162</v>
          </cell>
          <cell r="H1581">
            <v>1573</v>
          </cell>
          <cell r="J1581">
            <v>681.19</v>
          </cell>
          <cell r="K1581">
            <v>349.84</v>
          </cell>
          <cell r="L1581">
            <v>3.9456800000000003E-19</v>
          </cell>
          <cell r="M1581">
            <v>7.3772000000000004E-2</v>
          </cell>
          <cell r="N1581">
            <v>14454.397707459291</v>
          </cell>
          <cell r="O1581">
            <v>10.07</v>
          </cell>
          <cell r="Q1581">
            <v>10.07</v>
          </cell>
        </row>
        <row r="1582">
          <cell r="D1582" t="str">
            <v>27298-98-2</v>
          </cell>
          <cell r="E1582">
            <v>27298982</v>
          </cell>
          <cell r="F1582">
            <v>2498</v>
          </cell>
          <cell r="G1582" t="str">
            <v>Reach_4577</v>
          </cell>
          <cell r="H1582">
            <v>1574</v>
          </cell>
          <cell r="J1582">
            <v>135.21</v>
          </cell>
          <cell r="K1582">
            <v>17.55</v>
          </cell>
          <cell r="L1582">
            <v>26.793300000000002</v>
          </cell>
          <cell r="M1582">
            <v>1499.4</v>
          </cell>
          <cell r="N1582">
            <v>107.15193052376065</v>
          </cell>
          <cell r="Q1582">
            <v>14</v>
          </cell>
        </row>
        <row r="1583">
          <cell r="D1583" t="str">
            <v>4187-38-6</v>
          </cell>
          <cell r="E1583">
            <v>4187386</v>
          </cell>
          <cell r="F1583">
            <v>2885</v>
          </cell>
          <cell r="G1583" t="str">
            <v>Reach_4579</v>
          </cell>
          <cell r="H1583">
            <v>1575</v>
          </cell>
          <cell r="J1583">
            <v>135.21</v>
          </cell>
          <cell r="K1583">
            <v>17.55</v>
          </cell>
          <cell r="L1583">
            <v>26.793300000000002</v>
          </cell>
          <cell r="M1583">
            <v>1499.4</v>
          </cell>
          <cell r="N1583">
            <v>107.15193052376065</v>
          </cell>
          <cell r="P1583">
            <v>4.7</v>
          </cell>
          <cell r="Q1583">
            <v>9.3000000000000007</v>
          </cell>
        </row>
        <row r="1584">
          <cell r="D1584" t="str">
            <v>3159-04-4</v>
          </cell>
          <cell r="E1584">
            <v>3159044</v>
          </cell>
          <cell r="F1584">
            <v>1258</v>
          </cell>
          <cell r="G1584" t="str">
            <v>Reach_4756</v>
          </cell>
          <cell r="H1584">
            <v>1576</v>
          </cell>
          <cell r="J1584">
            <v>261.73</v>
          </cell>
          <cell r="K1584">
            <v>182.02</v>
          </cell>
          <cell r="L1584">
            <v>3.6524200000000005E-6</v>
          </cell>
          <cell r="M1584">
            <v>5.3692000000000002</v>
          </cell>
          <cell r="N1584">
            <v>2511.8864315095811</v>
          </cell>
          <cell r="O1584">
            <v>14.59</v>
          </cell>
          <cell r="P1584">
            <v>13.37</v>
          </cell>
          <cell r="Q1584">
            <v>0.63000000000000078</v>
          </cell>
        </row>
        <row r="1585">
          <cell r="D1585" t="str">
            <v>17639-93-9</v>
          </cell>
          <cell r="E1585">
            <v>17639939</v>
          </cell>
          <cell r="F1585">
            <v>2147</v>
          </cell>
          <cell r="G1585" t="str">
            <v>Reach_2440</v>
          </cell>
          <cell r="H1585">
            <v>1577</v>
          </cell>
          <cell r="J1585">
            <v>122.55</v>
          </cell>
          <cell r="K1585">
            <v>-63.83</v>
          </cell>
          <cell r="L1585">
            <v>1191.702</v>
          </cell>
          <cell r="M1585">
            <v>12486</v>
          </cell>
          <cell r="N1585">
            <v>10.964781961431854</v>
          </cell>
          <cell r="Q1585">
            <v>14</v>
          </cell>
        </row>
        <row r="1586">
          <cell r="D1586" t="str">
            <v>135-61-5</v>
          </cell>
          <cell r="E1586">
            <v>135615</v>
          </cell>
          <cell r="F1586">
            <v>1893</v>
          </cell>
          <cell r="G1586" t="str">
            <v>Reach_1132</v>
          </cell>
          <cell r="H1586">
            <v>1578</v>
          </cell>
          <cell r="J1586">
            <v>277.32</v>
          </cell>
          <cell r="K1586">
            <v>210.65</v>
          </cell>
          <cell r="L1586">
            <v>6.5983500000000005E-9</v>
          </cell>
          <cell r="M1586">
            <v>0.43049999999999999</v>
          </cell>
          <cell r="N1586">
            <v>28840.315031266062</v>
          </cell>
          <cell r="O1586">
            <v>10.199999999999999</v>
          </cell>
          <cell r="Q1586">
            <v>10.199999999999999</v>
          </cell>
        </row>
        <row r="1587">
          <cell r="D1587" t="str">
            <v>23357-46-2</v>
          </cell>
          <cell r="E1587">
            <v>23357462</v>
          </cell>
          <cell r="F1587">
            <v>2349</v>
          </cell>
          <cell r="G1587" t="str">
            <v>Reach_4589</v>
          </cell>
          <cell r="H1587">
            <v>1579</v>
          </cell>
          <cell r="J1587">
            <v>147.22</v>
          </cell>
          <cell r="K1587">
            <v>47.99</v>
          </cell>
          <cell r="L1587">
            <v>2.6660000000000004</v>
          </cell>
          <cell r="M1587">
            <v>753.75</v>
          </cell>
          <cell r="N1587">
            <v>257.03957827688663</v>
          </cell>
          <cell r="Q1587">
            <v>14</v>
          </cell>
        </row>
        <row r="1588">
          <cell r="D1588" t="str">
            <v>23357-52-0</v>
          </cell>
          <cell r="E1588">
            <v>23357520</v>
          </cell>
          <cell r="F1588">
            <v>2350</v>
          </cell>
          <cell r="G1588" t="str">
            <v>Reach_4591</v>
          </cell>
          <cell r="H1588">
            <v>1580</v>
          </cell>
          <cell r="J1588">
            <v>147.22</v>
          </cell>
          <cell r="K1588">
            <v>47.99</v>
          </cell>
          <cell r="L1588">
            <v>2.6660000000000004</v>
          </cell>
          <cell r="M1588">
            <v>753.75</v>
          </cell>
          <cell r="N1588">
            <v>257.03957827688663</v>
          </cell>
          <cell r="P1588">
            <v>4.7</v>
          </cell>
          <cell r="Q1588">
            <v>9.3000000000000007</v>
          </cell>
        </row>
        <row r="1589">
          <cell r="D1589" t="str">
            <v>2941-20-0</v>
          </cell>
          <cell r="E1589">
            <v>2941200</v>
          </cell>
          <cell r="F1589">
            <v>2564</v>
          </cell>
          <cell r="G1589" t="str">
            <v>Reach_4272</v>
          </cell>
          <cell r="H1589">
            <v>1581</v>
          </cell>
          <cell r="J1589">
            <v>135.21</v>
          </cell>
          <cell r="K1589">
            <v>11.3</v>
          </cell>
          <cell r="L1589">
            <v>26.793300000000002</v>
          </cell>
          <cell r="M1589">
            <v>1492.9</v>
          </cell>
          <cell r="N1589">
            <v>95.499258602143655</v>
          </cell>
          <cell r="Q1589">
            <v>14</v>
          </cell>
        </row>
        <row r="1590">
          <cell r="D1590" t="str">
            <v>3082-64-2</v>
          </cell>
          <cell r="E1590">
            <v>3082642</v>
          </cell>
          <cell r="F1590">
            <v>2613</v>
          </cell>
          <cell r="G1590" t="str">
            <v>Reach_4277</v>
          </cell>
          <cell r="H1590">
            <v>1582</v>
          </cell>
          <cell r="J1590">
            <v>135.21</v>
          </cell>
          <cell r="K1590">
            <v>11.3</v>
          </cell>
          <cell r="L1590">
            <v>26.793300000000002</v>
          </cell>
          <cell r="M1590">
            <v>1492.9</v>
          </cell>
          <cell r="N1590">
            <v>95.499258602143655</v>
          </cell>
          <cell r="P1590">
            <v>4.7</v>
          </cell>
          <cell r="Q1590">
            <v>9.3000000000000007</v>
          </cell>
        </row>
        <row r="1591">
          <cell r="D1591" t="str">
            <v>150-13-0</v>
          </cell>
          <cell r="E1591">
            <v>150130</v>
          </cell>
          <cell r="F1591">
            <v>2007</v>
          </cell>
          <cell r="G1591" t="str">
            <v>Reach_1203</v>
          </cell>
          <cell r="H1591">
            <v>1583</v>
          </cell>
          <cell r="J1591">
            <v>137.13999999999999</v>
          </cell>
          <cell r="K1591">
            <v>94.08</v>
          </cell>
          <cell r="L1591">
            <v>3.3591600000000004E-3</v>
          </cell>
          <cell r="M1591">
            <v>19504</v>
          </cell>
          <cell r="N1591">
            <v>9.1201083935590983</v>
          </cell>
          <cell r="O1591">
            <v>5.01</v>
          </cell>
          <cell r="P1591">
            <v>11.61</v>
          </cell>
          <cell r="Q1591">
            <v>2.3900000000000006</v>
          </cell>
        </row>
        <row r="1592">
          <cell r="D1592" t="str">
            <v>1093205-93-6</v>
          </cell>
          <cell r="E1592">
            <v>1093205936</v>
          </cell>
          <cell r="F1592">
            <v>1498</v>
          </cell>
          <cell r="G1592" t="str">
            <v>Reach_4925</v>
          </cell>
          <cell r="H1592">
            <v>1584</v>
          </cell>
          <cell r="J1592">
            <v>275.36</v>
          </cell>
          <cell r="K1592">
            <v>196.43</v>
          </cell>
          <cell r="L1592">
            <v>4.2522700000000003E-7</v>
          </cell>
          <cell r="M1592">
            <v>9.6244999999999994</v>
          </cell>
          <cell r="N1592">
            <v>117.48975549395293</v>
          </cell>
          <cell r="Q1592">
            <v>14</v>
          </cell>
        </row>
        <row r="1593">
          <cell r="D1593" t="str">
            <v>73573-88-3</v>
          </cell>
          <cell r="E1593">
            <v>73573883</v>
          </cell>
          <cell r="F1593">
            <v>3623</v>
          </cell>
          <cell r="G1593" t="str">
            <v>Reach_4900</v>
          </cell>
          <cell r="H1593">
            <v>1585</v>
          </cell>
          <cell r="J1593">
            <v>390.52</v>
          </cell>
          <cell r="K1593">
            <v>201.05</v>
          </cell>
          <cell r="L1593">
            <v>1.0717320000000002E-9</v>
          </cell>
          <cell r="M1593">
            <v>6.4840999999999998</v>
          </cell>
          <cell r="N1593">
            <v>20892.961308540423</v>
          </cell>
          <cell r="Q1593">
            <v>14</v>
          </cell>
        </row>
        <row r="1594">
          <cell r="D1594" t="str">
            <v>18156-74-6</v>
          </cell>
          <cell r="E1594">
            <v>18156746</v>
          </cell>
          <cell r="F1594">
            <v>2169</v>
          </cell>
          <cell r="G1594" t="str">
            <v>Reach_2453</v>
          </cell>
          <cell r="H1594">
            <v>1586</v>
          </cell>
          <cell r="J1594">
            <v>140.26</v>
          </cell>
          <cell r="K1594">
            <v>28.95</v>
          </cell>
          <cell r="L1594">
            <v>8.011330000000001</v>
          </cell>
          <cell r="M1594">
            <v>1715.3</v>
          </cell>
          <cell r="N1594">
            <v>239.88329190194912</v>
          </cell>
          <cell r="Q1594">
            <v>14</v>
          </cell>
        </row>
        <row r="1595">
          <cell r="D1595" t="str">
            <v>4433-79-8</v>
          </cell>
          <cell r="E1595">
            <v>4433798</v>
          </cell>
          <cell r="F1595">
            <v>2922</v>
          </cell>
          <cell r="G1595" t="str">
            <v>Reach_2035</v>
          </cell>
          <cell r="H1595">
            <v>1587</v>
          </cell>
          <cell r="J1595">
            <v>271.7</v>
          </cell>
          <cell r="K1595">
            <v>174.21</v>
          </cell>
          <cell r="L1595">
            <v>1.1583770000000002E-5</v>
          </cell>
          <cell r="M1595">
            <v>716.38</v>
          </cell>
          <cell r="N1595">
            <v>17.782794100389236</v>
          </cell>
          <cell r="O1595">
            <v>10.7</v>
          </cell>
          <cell r="P1595">
            <v>14.72</v>
          </cell>
          <cell r="Q1595">
            <v>-0.72000000000000064</v>
          </cell>
        </row>
        <row r="1596">
          <cell r="D1596" t="str">
            <v>4501-58-0</v>
          </cell>
          <cell r="E1596">
            <v>4501580</v>
          </cell>
          <cell r="F1596">
            <v>2937</v>
          </cell>
          <cell r="G1596" t="str">
            <v>Reach_2044</v>
          </cell>
          <cell r="H1596">
            <v>1588</v>
          </cell>
          <cell r="J1596">
            <v>152.24</v>
          </cell>
          <cell r="K1596">
            <v>11.46</v>
          </cell>
          <cell r="L1596">
            <v>32.258600000000001</v>
          </cell>
          <cell r="M1596">
            <v>521.08000000000004</v>
          </cell>
          <cell r="N1596">
            <v>2041.7379446695318</v>
          </cell>
          <cell r="Q1596">
            <v>14</v>
          </cell>
        </row>
        <row r="1597">
          <cell r="D1597" t="str">
            <v>102445-69-2</v>
          </cell>
          <cell r="E1597">
            <v>102445692</v>
          </cell>
          <cell r="F1597">
            <v>1342</v>
          </cell>
          <cell r="G1597" t="str">
            <v>Reach_4059</v>
          </cell>
          <cell r="H1597">
            <v>1589</v>
          </cell>
          <cell r="J1597">
            <v>425.37</v>
          </cell>
          <cell r="K1597">
            <v>208.95</v>
          </cell>
          <cell r="L1597">
            <v>1.58627E-10</v>
          </cell>
          <cell r="M1597">
            <v>2.3784999999999998</v>
          </cell>
          <cell r="N1597">
            <v>181.9700858609983</v>
          </cell>
          <cell r="O1597">
            <v>13.5</v>
          </cell>
          <cell r="Q1597">
            <v>13.5</v>
          </cell>
        </row>
        <row r="1598">
          <cell r="D1598" t="str">
            <v>109232-37-3</v>
          </cell>
          <cell r="E1598">
            <v>109232373</v>
          </cell>
          <cell r="F1598">
            <v>1497</v>
          </cell>
          <cell r="G1598" t="str">
            <v>Reach_4076</v>
          </cell>
          <cell r="H1598">
            <v>1590</v>
          </cell>
          <cell r="J1598">
            <v>220.74</v>
          </cell>
          <cell r="K1598">
            <v>16.010000000000002</v>
          </cell>
          <cell r="L1598">
            <v>3.8123800000000005</v>
          </cell>
          <cell r="M1598">
            <v>14.651999999999999</v>
          </cell>
          <cell r="N1598">
            <v>23442.288153199243</v>
          </cell>
          <cell r="Q1598">
            <v>14</v>
          </cell>
        </row>
        <row r="1599">
          <cell r="D1599" t="str">
            <v>107-96-0</v>
          </cell>
          <cell r="E1599">
            <v>107960</v>
          </cell>
          <cell r="F1599">
            <v>1473</v>
          </cell>
          <cell r="G1599" t="str">
            <v>Reach_723</v>
          </cell>
          <cell r="H1599">
            <v>1591</v>
          </cell>
          <cell r="J1599">
            <v>106.14</v>
          </cell>
          <cell r="K1599">
            <v>30.19</v>
          </cell>
          <cell r="L1599">
            <v>20.6615</v>
          </cell>
          <cell r="M1599">
            <v>75465</v>
          </cell>
          <cell r="N1599">
            <v>3.3113112148259116</v>
          </cell>
          <cell r="O1599">
            <v>4.3</v>
          </cell>
          <cell r="Q1599">
            <v>4.3</v>
          </cell>
        </row>
        <row r="1600">
          <cell r="D1600" t="str">
            <v>51-03-6</v>
          </cell>
          <cell r="E1600">
            <v>51036</v>
          </cell>
          <cell r="F1600">
            <v>667</v>
          </cell>
          <cell r="G1600" t="str">
            <v>Reach_12</v>
          </cell>
          <cell r="H1600">
            <v>1592</v>
          </cell>
          <cell r="J1600">
            <v>338.44</v>
          </cell>
          <cell r="K1600">
            <v>152.74</v>
          </cell>
          <cell r="L1600">
            <v>6.9582600000000008E-4</v>
          </cell>
          <cell r="M1600">
            <v>3.0598000000000001</v>
          </cell>
          <cell r="N1600">
            <v>19498.445997580486</v>
          </cell>
          <cell r="Q1600">
            <v>14</v>
          </cell>
        </row>
        <row r="1601">
          <cell r="D1601" t="str">
            <v>137863-20-8</v>
          </cell>
          <cell r="E1601">
            <v>137863208</v>
          </cell>
          <cell r="F1601">
            <v>1913</v>
          </cell>
          <cell r="G1601" t="str">
            <v>Reach_4139</v>
          </cell>
          <cell r="H1601">
            <v>1593</v>
          </cell>
          <cell r="J1601">
            <v>525.66</v>
          </cell>
          <cell r="K1601">
            <v>317.92</v>
          </cell>
          <cell r="L1601">
            <v>2.3194200000000001E-15</v>
          </cell>
          <cell r="M1601">
            <v>7.8999999999999996E-5</v>
          </cell>
          <cell r="N1601">
            <v>524807.46024977288</v>
          </cell>
          <cell r="Q1601">
            <v>14</v>
          </cell>
        </row>
        <row r="1602">
          <cell r="D1602" t="str">
            <v>6318-09-8</v>
          </cell>
          <cell r="E1602">
            <v>6318098</v>
          </cell>
          <cell r="F1602">
            <v>1282</v>
          </cell>
          <cell r="G1602" t="str">
            <v>Reach_4383</v>
          </cell>
          <cell r="H1602">
            <v>1594</v>
          </cell>
          <cell r="J1602">
            <v>234.39</v>
          </cell>
          <cell r="K1602">
            <v>116.17</v>
          </cell>
          <cell r="L1602">
            <v>1.6795800000000002E-3</v>
          </cell>
          <cell r="M1602">
            <v>7.8228</v>
          </cell>
          <cell r="N1602">
            <v>9549.9258602143691</v>
          </cell>
          <cell r="P1602">
            <v>8.9</v>
          </cell>
          <cell r="Q1602">
            <v>5.0999999999999996</v>
          </cell>
        </row>
        <row r="1603">
          <cell r="D1603" t="str">
            <v>140-29-4</v>
          </cell>
          <cell r="E1603">
            <v>140294</v>
          </cell>
          <cell r="F1603">
            <v>1926</v>
          </cell>
          <cell r="G1603" t="str">
            <v>Reach_1148</v>
          </cell>
          <cell r="H1603">
            <v>1595</v>
          </cell>
          <cell r="J1603">
            <v>117.15</v>
          </cell>
          <cell r="K1603">
            <v>9.35</v>
          </cell>
          <cell r="L1603">
            <v>8.6778300000000019</v>
          </cell>
          <cell r="M1603">
            <v>832.73</v>
          </cell>
          <cell r="N1603">
            <v>36.307805477010156</v>
          </cell>
          <cell r="Q1603">
            <v>14</v>
          </cell>
        </row>
        <row r="1604">
          <cell r="D1604" t="str">
            <v>17261-28-8</v>
          </cell>
          <cell r="E1604">
            <v>17261288</v>
          </cell>
          <cell r="F1604">
            <v>2129</v>
          </cell>
          <cell r="G1604" t="str">
            <v>Reach_2431</v>
          </cell>
          <cell r="H1604">
            <v>1596</v>
          </cell>
          <cell r="J1604">
            <v>306.3</v>
          </cell>
          <cell r="K1604">
            <v>181.95</v>
          </cell>
          <cell r="L1604">
            <v>1.0090809999999999E-6</v>
          </cell>
          <cell r="M1604">
            <v>1.2965</v>
          </cell>
          <cell r="N1604">
            <v>36307.805477010166</v>
          </cell>
          <cell r="Q1604">
            <v>14</v>
          </cell>
        </row>
        <row r="1605">
          <cell r="D1605" t="str">
            <v>494-19-9</v>
          </cell>
          <cell r="E1605">
            <v>494199</v>
          </cell>
          <cell r="F1605">
            <v>2980</v>
          </cell>
          <cell r="G1605" t="str">
            <v>Reach_1295</v>
          </cell>
          <cell r="H1605">
            <v>1597</v>
          </cell>
          <cell r="J1605">
            <v>195.27</v>
          </cell>
          <cell r="K1605">
            <v>103.54</v>
          </cell>
          <cell r="L1605">
            <v>9.2643499999999993E-3</v>
          </cell>
          <cell r="M1605">
            <v>5.4815000000000003E-2</v>
          </cell>
          <cell r="N1605">
            <v>18620.871366628675</v>
          </cell>
          <cell r="Q1605">
            <v>14</v>
          </cell>
        </row>
        <row r="1606">
          <cell r="D1606" t="str">
            <v>1009-22-9</v>
          </cell>
          <cell r="E1606">
            <v>1009229</v>
          </cell>
          <cell r="F1606">
            <v>1311</v>
          </cell>
          <cell r="G1606" t="str">
            <v>Reach_4056</v>
          </cell>
          <cell r="H1606">
            <v>1598</v>
          </cell>
          <cell r="J1606">
            <v>232.06</v>
          </cell>
          <cell r="K1606">
            <v>118.89</v>
          </cell>
          <cell r="L1606">
            <v>5.0654000000000003E-3</v>
          </cell>
          <cell r="M1606">
            <v>360.1</v>
          </cell>
          <cell r="N1606">
            <v>42.657951880159267</v>
          </cell>
          <cell r="O1606">
            <v>12.14</v>
          </cell>
          <cell r="Q1606">
            <v>12.14</v>
          </cell>
        </row>
        <row r="1607">
          <cell r="D1607" t="str">
            <v>666816-98-4</v>
          </cell>
          <cell r="E1607">
            <v>666816984</v>
          </cell>
          <cell r="F1607">
            <v>3477</v>
          </cell>
          <cell r="G1607" t="str">
            <v>Reach_4392</v>
          </cell>
          <cell r="H1607">
            <v>1599</v>
          </cell>
          <cell r="J1607">
            <v>297.12</v>
          </cell>
          <cell r="K1607">
            <v>239.4</v>
          </cell>
          <cell r="L1607">
            <v>6.0384900000000013E-10</v>
          </cell>
          <cell r="M1607">
            <v>7.9126000000000003</v>
          </cell>
          <cell r="N1607">
            <v>38.904514499428075</v>
          </cell>
          <cell r="Q1607">
            <v>14</v>
          </cell>
        </row>
        <row r="1608">
          <cell r="D1608" t="str">
            <v>52688-08-1</v>
          </cell>
          <cell r="E1608">
            <v>52688081</v>
          </cell>
          <cell r="F1608">
            <v>3068</v>
          </cell>
          <cell r="G1608" t="str">
            <v>Reach_4338</v>
          </cell>
          <cell r="H1608">
            <v>1600</v>
          </cell>
          <cell r="J1608">
            <v>197.28</v>
          </cell>
          <cell r="K1608">
            <v>43.56</v>
          </cell>
          <cell r="L1608">
            <v>0.34124800000000005</v>
          </cell>
          <cell r="M1608">
            <v>117.41</v>
          </cell>
          <cell r="N1608">
            <v>776.24711662869231</v>
          </cell>
          <cell r="Q1608">
            <v>14</v>
          </cell>
        </row>
        <row r="1609">
          <cell r="D1609" t="str">
            <v>256473-05-9</v>
          </cell>
          <cell r="E1609">
            <v>256473059</v>
          </cell>
          <cell r="F1609">
            <v>2442</v>
          </cell>
          <cell r="G1609" t="str">
            <v>Reach_4717</v>
          </cell>
          <cell r="H1609">
            <v>1601</v>
          </cell>
          <cell r="J1609">
            <v>251.27</v>
          </cell>
          <cell r="K1609">
            <v>56.27</v>
          </cell>
          <cell r="L1609">
            <v>0.79980000000000007</v>
          </cell>
          <cell r="M1609">
            <v>21.850999999999999</v>
          </cell>
          <cell r="N1609">
            <v>5754.399373371567</v>
          </cell>
          <cell r="Q1609">
            <v>14</v>
          </cell>
        </row>
        <row r="1610">
          <cell r="D1610" t="str">
            <v>92-54-6</v>
          </cell>
          <cell r="E1610">
            <v>92546</v>
          </cell>
          <cell r="F1610">
            <v>4039</v>
          </cell>
          <cell r="G1610" t="str">
            <v>Reach_386</v>
          </cell>
          <cell r="H1610">
            <v>1602</v>
          </cell>
          <cell r="J1610">
            <v>162.24</v>
          </cell>
          <cell r="K1610">
            <v>70.59</v>
          </cell>
          <cell r="L1610">
            <v>2.0661500000000001E-3</v>
          </cell>
          <cell r="M1610">
            <v>3896.6</v>
          </cell>
          <cell r="N1610">
            <v>34.67368504525318</v>
          </cell>
          <cell r="Q1610">
            <v>14</v>
          </cell>
        </row>
        <row r="1611">
          <cell r="D1611" t="str">
            <v>144689-24-7</v>
          </cell>
          <cell r="E1611">
            <v>144689247</v>
          </cell>
          <cell r="F1611">
            <v>1977</v>
          </cell>
          <cell r="G1611" t="str">
            <v>Reach_4613</v>
          </cell>
          <cell r="H1611">
            <v>1603</v>
          </cell>
          <cell r="J1611">
            <v>446.52</v>
          </cell>
          <cell r="K1611">
            <v>325.42</v>
          </cell>
          <cell r="L1611">
            <v>2.2661000000000004E-19</v>
          </cell>
          <cell r="M1611">
            <v>4.1755999999999998E-3</v>
          </cell>
          <cell r="N1611">
            <v>4265.7951880159299</v>
          </cell>
          <cell r="O1611">
            <v>2.4</v>
          </cell>
          <cell r="Q1611">
            <v>2.4</v>
          </cell>
        </row>
        <row r="1612">
          <cell r="D1612" t="str">
            <v>54041-17-7</v>
          </cell>
          <cell r="E1612">
            <v>54041177</v>
          </cell>
          <cell r="F1612">
            <v>3118</v>
          </cell>
          <cell r="G1612" t="str">
            <v>Reach_4348</v>
          </cell>
          <cell r="H1612">
            <v>1604</v>
          </cell>
          <cell r="J1612">
            <v>211.24</v>
          </cell>
          <cell r="K1612">
            <v>100.83</v>
          </cell>
          <cell r="L1612">
            <v>3.7324E-4</v>
          </cell>
          <cell r="M1612">
            <v>1632.6</v>
          </cell>
          <cell r="N1612">
            <v>29.512092266663863</v>
          </cell>
          <cell r="P1612">
            <v>14.47</v>
          </cell>
          <cell r="Q1612">
            <v>-0.47000000000000064</v>
          </cell>
        </row>
        <row r="1613">
          <cell r="D1613" t="str">
            <v>93-67-4</v>
          </cell>
          <cell r="E1613">
            <v>93674</v>
          </cell>
          <cell r="F1613">
            <v>4077</v>
          </cell>
          <cell r="G1613" t="str">
            <v>Reach_404</v>
          </cell>
          <cell r="H1613">
            <v>1605</v>
          </cell>
          <cell r="J1613">
            <v>219.67</v>
          </cell>
          <cell r="K1613">
            <v>113.14</v>
          </cell>
          <cell r="L1613">
            <v>3.3191700000000002E-3</v>
          </cell>
          <cell r="M1613">
            <v>8.6447000000000003</v>
          </cell>
          <cell r="N1613">
            <v>870.96358995608091</v>
          </cell>
          <cell r="Q1613">
            <v>14</v>
          </cell>
        </row>
        <row r="1614">
          <cell r="D1614" t="str">
            <v>615-20-3</v>
          </cell>
          <cell r="E1614">
            <v>615203</v>
          </cell>
          <cell r="F1614">
            <v>3338</v>
          </cell>
          <cell r="G1614" t="str">
            <v>Reach_1426</v>
          </cell>
          <cell r="H1614">
            <v>1606</v>
          </cell>
          <cell r="J1614">
            <v>169.63</v>
          </cell>
          <cell r="K1614">
            <v>72.84</v>
          </cell>
          <cell r="L1614">
            <v>4.0389900000000001</v>
          </cell>
          <cell r="M1614">
            <v>151.21</v>
          </cell>
          <cell r="N1614">
            <v>645.65422903465594</v>
          </cell>
          <cell r="Q1614">
            <v>14</v>
          </cell>
        </row>
        <row r="1615">
          <cell r="D1615" t="str">
            <v>3467-59-2</v>
          </cell>
          <cell r="E1615">
            <v>3467592</v>
          </cell>
          <cell r="F1615">
            <v>2712</v>
          </cell>
          <cell r="G1615" t="str">
            <v>Reach_1966</v>
          </cell>
          <cell r="H1615">
            <v>1607</v>
          </cell>
          <cell r="J1615">
            <v>195.22</v>
          </cell>
          <cell r="K1615">
            <v>129.19</v>
          </cell>
          <cell r="L1615">
            <v>1.3330000000000002E-3</v>
          </cell>
          <cell r="M1615">
            <v>4392.8</v>
          </cell>
          <cell r="N1615">
            <v>5.0118723362727229</v>
          </cell>
          <cell r="Q1615">
            <v>14</v>
          </cell>
        </row>
        <row r="1616">
          <cell r="D1616" t="str">
            <v>39627-98-0</v>
          </cell>
          <cell r="E1616">
            <v>39627980</v>
          </cell>
          <cell r="F1616">
            <v>2844</v>
          </cell>
          <cell r="G1616" t="str">
            <v>Reach_4833</v>
          </cell>
          <cell r="H1616">
            <v>1608</v>
          </cell>
          <cell r="J1616">
            <v>226.28</v>
          </cell>
          <cell r="K1616">
            <v>166.75</v>
          </cell>
          <cell r="L1616">
            <v>2.5726900000000003E-5</v>
          </cell>
          <cell r="M1616">
            <v>69.733000000000004</v>
          </cell>
          <cell r="N1616">
            <v>131.82567385564084</v>
          </cell>
          <cell r="Q1616">
            <v>14</v>
          </cell>
        </row>
        <row r="1617">
          <cell r="D1617" t="str">
            <v>353497-37-7</v>
          </cell>
          <cell r="E1617">
            <v>353497377</v>
          </cell>
          <cell r="F1617">
            <v>2730</v>
          </cell>
          <cell r="G1617" t="str">
            <v>Reach_4290</v>
          </cell>
          <cell r="H1617">
            <v>1609</v>
          </cell>
          <cell r="J1617">
            <v>281.31</v>
          </cell>
          <cell r="K1617">
            <v>141.16999999999999</v>
          </cell>
          <cell r="L1617">
            <v>1.5996000000000001E-4</v>
          </cell>
          <cell r="M1617">
            <v>6.2009999999999996</v>
          </cell>
          <cell r="N1617">
            <v>16595.869074375616</v>
          </cell>
          <cell r="Q1617">
            <v>14</v>
          </cell>
        </row>
        <row r="1618">
          <cell r="D1618" t="str">
            <v>6401-97-4</v>
          </cell>
          <cell r="E1618">
            <v>6401974</v>
          </cell>
          <cell r="F1618">
            <v>3422</v>
          </cell>
          <cell r="G1618" t="str">
            <v>Reach_2177</v>
          </cell>
          <cell r="H1618">
            <v>1610</v>
          </cell>
          <cell r="J1618">
            <v>173.22</v>
          </cell>
          <cell r="K1618">
            <v>104.93</v>
          </cell>
          <cell r="L1618">
            <v>3.2525200000000004E-2</v>
          </cell>
          <cell r="M1618">
            <v>913.45</v>
          </cell>
          <cell r="N1618">
            <v>16.218100973589298</v>
          </cell>
          <cell r="Q1618">
            <v>14</v>
          </cell>
        </row>
        <row r="1619">
          <cell r="D1619" t="str">
            <v>6291-85-6</v>
          </cell>
          <cell r="E1619">
            <v>6291856</v>
          </cell>
          <cell r="F1619">
            <v>3387</v>
          </cell>
          <cell r="G1619" t="str">
            <v>Reach_2162</v>
          </cell>
          <cell r="H1619">
            <v>1611</v>
          </cell>
          <cell r="J1619">
            <v>103.17</v>
          </cell>
          <cell r="K1619">
            <v>-27.99</v>
          </cell>
          <cell r="L1619">
            <v>1030.4090000000001</v>
          </cell>
          <cell r="M1619">
            <v>152000</v>
          </cell>
          <cell r="N1619">
            <v>1.1748975549395295</v>
          </cell>
          <cell r="Q1619">
            <v>14</v>
          </cell>
        </row>
        <row r="1620">
          <cell r="D1620" t="str">
            <v>848655-78-7</v>
          </cell>
          <cell r="E1620">
            <v>848655787</v>
          </cell>
          <cell r="F1620">
            <v>3879</v>
          </cell>
          <cell r="G1620" t="str">
            <v>Reach_5071</v>
          </cell>
          <cell r="H1620">
            <v>1612</v>
          </cell>
          <cell r="J1620">
            <v>194.24</v>
          </cell>
          <cell r="K1620">
            <v>148.33000000000001</v>
          </cell>
          <cell r="L1620">
            <v>1.5329500000000002E-4</v>
          </cell>
          <cell r="M1620">
            <v>4972.2</v>
          </cell>
          <cell r="N1620">
            <v>1.5488166189124815</v>
          </cell>
          <cell r="P1620">
            <v>9.89</v>
          </cell>
          <cell r="Q1620">
            <v>4.1099999999999994</v>
          </cell>
        </row>
        <row r="1621">
          <cell r="D1621" t="str">
            <v>80841-78-7</v>
          </cell>
          <cell r="E1621">
            <v>80841787</v>
          </cell>
          <cell r="F1621">
            <v>3799</v>
          </cell>
          <cell r="G1621" t="str">
            <v>Reach_4447</v>
          </cell>
          <cell r="H1621">
            <v>1613</v>
          </cell>
          <cell r="J1621">
            <v>148.54</v>
          </cell>
          <cell r="K1621">
            <v>60.24</v>
          </cell>
          <cell r="L1621">
            <v>8.7711400000000002E-3</v>
          </cell>
          <cell r="M1621">
            <v>2057.4</v>
          </cell>
          <cell r="N1621">
            <v>6.1659500186148231</v>
          </cell>
          <cell r="Q1621">
            <v>14</v>
          </cell>
        </row>
        <row r="1622">
          <cell r="D1622" t="str">
            <v>151012-31-6</v>
          </cell>
          <cell r="E1622">
            <v>151012316</v>
          </cell>
          <cell r="F1622">
            <v>2016</v>
          </cell>
          <cell r="G1622" t="str">
            <v>Reach_4162</v>
          </cell>
          <cell r="H1622">
            <v>1614</v>
          </cell>
          <cell r="J1622">
            <v>357.69</v>
          </cell>
          <cell r="K1622">
            <v>198.57</v>
          </cell>
          <cell r="L1622">
            <v>3.0125800000000004E-9</v>
          </cell>
          <cell r="M1622">
            <v>2.1213000000000002</v>
          </cell>
          <cell r="N1622">
            <v>89125.093813374609</v>
          </cell>
          <cell r="O1622">
            <v>15.36</v>
          </cell>
          <cell r="P1622">
            <v>10.45</v>
          </cell>
          <cell r="Q1622">
            <v>3.5500000000000007</v>
          </cell>
        </row>
        <row r="1623">
          <cell r="D1623" t="str">
            <v>53994-69-7</v>
          </cell>
          <cell r="E1623">
            <v>53994697</v>
          </cell>
          <cell r="F1623">
            <v>3116</v>
          </cell>
          <cell r="G1623" t="str">
            <v>Reach_2796</v>
          </cell>
          <cell r="H1623">
            <v>1615</v>
          </cell>
          <cell r="J1623">
            <v>234.66</v>
          </cell>
          <cell r="K1623">
            <v>298.95999999999998</v>
          </cell>
          <cell r="L1623">
            <v>7.5447800000000004E-8</v>
          </cell>
          <cell r="M1623">
            <v>5030.7</v>
          </cell>
          <cell r="N1623">
            <v>0.30902954325135895</v>
          </cell>
          <cell r="P1623">
            <v>7.25</v>
          </cell>
          <cell r="Q1623">
            <v>6.75</v>
          </cell>
        </row>
        <row r="1624">
          <cell r="D1624" t="str">
            <v>609-66-5</v>
          </cell>
          <cell r="E1624">
            <v>609665</v>
          </cell>
          <cell r="F1624">
            <v>3321</v>
          </cell>
          <cell r="G1624" t="str">
            <v>Reach_1416</v>
          </cell>
          <cell r="H1624">
            <v>1616</v>
          </cell>
          <cell r="J1624">
            <v>155.59</v>
          </cell>
          <cell r="K1624">
            <v>102.08</v>
          </cell>
          <cell r="L1624">
            <v>7.9313500000000002E-3</v>
          </cell>
          <cell r="M1624">
            <v>461.83</v>
          </cell>
          <cell r="N1624">
            <v>4.4668359215096318</v>
          </cell>
          <cell r="O1624">
            <v>14.07</v>
          </cell>
          <cell r="Q1624">
            <v>14</v>
          </cell>
        </row>
        <row r="1625">
          <cell r="D1625" t="str">
            <v>30246-33-4</v>
          </cell>
          <cell r="E1625">
            <v>30246334</v>
          </cell>
          <cell r="F1625">
            <v>2589</v>
          </cell>
          <cell r="G1625" t="str">
            <v>Reach_2644</v>
          </cell>
          <cell r="H1625">
            <v>1617</v>
          </cell>
          <cell r="J1625">
            <v>344.44</v>
          </cell>
          <cell r="K1625">
            <v>323.22000000000003</v>
          </cell>
          <cell r="L1625">
            <v>2.1328000000000004E-12</v>
          </cell>
          <cell r="M1625">
            <v>79.603999999999999</v>
          </cell>
          <cell r="N1625">
            <v>0.12302687708123815</v>
          </cell>
          <cell r="O1625">
            <v>2.19</v>
          </cell>
          <cell r="Q1625">
            <v>2.19</v>
          </cell>
        </row>
        <row r="1626">
          <cell r="D1626" t="str">
            <v>67442-07-3</v>
          </cell>
          <cell r="E1626">
            <v>67442073</v>
          </cell>
          <cell r="F1626">
            <v>3491</v>
          </cell>
          <cell r="G1626" t="str">
            <v>Reach_4592</v>
          </cell>
          <cell r="H1626">
            <v>1618</v>
          </cell>
          <cell r="J1626">
            <v>137.57</v>
          </cell>
          <cell r="K1626">
            <v>20.260000000000002</v>
          </cell>
          <cell r="L1626">
            <v>21.727900000000002</v>
          </cell>
          <cell r="M1626">
            <v>93177</v>
          </cell>
          <cell r="N1626">
            <v>2.1379620895022322</v>
          </cell>
          <cell r="Q1626">
            <v>14</v>
          </cell>
        </row>
        <row r="1627">
          <cell r="D1627" t="str">
            <v>55314-16-4</v>
          </cell>
          <cell r="E1627">
            <v>55314164</v>
          </cell>
          <cell r="F1627">
            <v>3166</v>
          </cell>
          <cell r="G1627" t="str">
            <v>Reach_4354</v>
          </cell>
          <cell r="H1627">
            <v>1619</v>
          </cell>
          <cell r="J1627">
            <v>176.22</v>
          </cell>
          <cell r="K1627">
            <v>66.66</v>
          </cell>
          <cell r="L1627">
            <v>0.36790800000000001</v>
          </cell>
          <cell r="M1627">
            <v>78335</v>
          </cell>
          <cell r="N1627">
            <v>0.93325430079699101</v>
          </cell>
          <cell r="Q1627">
            <v>14</v>
          </cell>
        </row>
        <row r="1628">
          <cell r="D1628" t="str">
            <v>201733-56-4</v>
          </cell>
          <cell r="E1628">
            <v>201733564</v>
          </cell>
          <cell r="F1628">
            <v>2252</v>
          </cell>
          <cell r="G1628" t="str">
            <v>Reach_4604</v>
          </cell>
          <cell r="H1628">
            <v>1620</v>
          </cell>
          <cell r="J1628">
            <v>225.91</v>
          </cell>
          <cell r="K1628">
            <v>50.68</v>
          </cell>
          <cell r="L1628">
            <v>2.7193200000000006</v>
          </cell>
          <cell r="N1628">
            <v>0.77624711662869172</v>
          </cell>
          <cell r="Q1628">
            <v>14</v>
          </cell>
        </row>
        <row r="1629">
          <cell r="D1629" t="str">
            <v>1378387-81-5</v>
          </cell>
          <cell r="E1629">
            <v>1378387815</v>
          </cell>
          <cell r="F1629">
            <v>1912</v>
          </cell>
          <cell r="G1629" t="str">
            <v>Reach_4718</v>
          </cell>
          <cell r="H1629">
            <v>1621</v>
          </cell>
          <cell r="J1629">
            <v>420.4</v>
          </cell>
          <cell r="K1629">
            <v>284.83</v>
          </cell>
          <cell r="L1629">
            <v>9.9308500000000004E-17</v>
          </cell>
          <cell r="M1629">
            <v>57929</v>
          </cell>
          <cell r="N1629">
            <v>5.2480746024977237E-3</v>
          </cell>
          <cell r="Q1629">
            <v>14</v>
          </cell>
        </row>
        <row r="1630">
          <cell r="D1630" t="str">
            <v>35092-89-8</v>
          </cell>
          <cell r="E1630">
            <v>35092898</v>
          </cell>
          <cell r="F1630">
            <v>2722</v>
          </cell>
          <cell r="G1630" t="str">
            <v>Reach_2686</v>
          </cell>
          <cell r="H1630">
            <v>1622</v>
          </cell>
          <cell r="J1630">
            <v>225.16</v>
          </cell>
          <cell r="K1630">
            <v>146.97999999999999</v>
          </cell>
          <cell r="L1630">
            <v>2.7193200000000001E-4</v>
          </cell>
          <cell r="M1630">
            <v>662.05</v>
          </cell>
          <cell r="N1630">
            <v>33.884415613920268</v>
          </cell>
          <cell r="O1630">
            <v>2.95</v>
          </cell>
          <cell r="Q1630">
            <v>2.95</v>
          </cell>
        </row>
        <row r="1631">
          <cell r="D1631" t="str">
            <v>693-98-1</v>
          </cell>
          <cell r="E1631">
            <v>693981</v>
          </cell>
          <cell r="F1631">
            <v>806</v>
          </cell>
          <cell r="G1631" t="str">
            <v>Reach_1509</v>
          </cell>
          <cell r="H1631">
            <v>1623</v>
          </cell>
          <cell r="J1631">
            <v>82.108000000000004</v>
          </cell>
          <cell r="K1631">
            <v>35.54</v>
          </cell>
          <cell r="L1631">
            <v>9.1843700000000014E-2</v>
          </cell>
          <cell r="M1631">
            <v>50401</v>
          </cell>
          <cell r="N1631">
            <v>4.0738027780411281</v>
          </cell>
          <cell r="O1631">
            <v>14.2</v>
          </cell>
          <cell r="P1631">
            <v>6</v>
          </cell>
          <cell r="Q1631">
            <v>8</v>
          </cell>
        </row>
        <row r="1632">
          <cell r="D1632" t="str">
            <v>52298-44-9</v>
          </cell>
          <cell r="E1632">
            <v>52298449</v>
          </cell>
          <cell r="F1632">
            <v>3056</v>
          </cell>
          <cell r="G1632" t="str">
            <v>Reach_2779</v>
          </cell>
          <cell r="H1632">
            <v>1624</v>
          </cell>
          <cell r="J1632">
            <v>308.36</v>
          </cell>
          <cell r="K1632">
            <v>195.98</v>
          </cell>
          <cell r="L1632">
            <v>4.5588600000000009E-7</v>
          </cell>
          <cell r="M1632">
            <v>184.85</v>
          </cell>
          <cell r="N1632">
            <v>75.857757502918361</v>
          </cell>
          <cell r="O1632">
            <v>10.48</v>
          </cell>
          <cell r="P1632">
            <v>12.3</v>
          </cell>
          <cell r="Q1632">
            <v>1.6999999999999993</v>
          </cell>
        </row>
        <row r="1633">
          <cell r="D1633" t="str">
            <v>78-26-2</v>
          </cell>
          <cell r="E1633">
            <v>78262</v>
          </cell>
          <cell r="F1633">
            <v>3749</v>
          </cell>
          <cell r="G1633" t="str">
            <v>Reach_196</v>
          </cell>
          <cell r="H1633">
            <v>1625</v>
          </cell>
          <cell r="J1633">
            <v>132.19999999999999</v>
          </cell>
          <cell r="K1633">
            <v>21.26</v>
          </cell>
          <cell r="L1633">
            <v>0.32391900000000001</v>
          </cell>
          <cell r="M1633">
            <v>12008</v>
          </cell>
          <cell r="N1633">
            <v>13.803842646028851</v>
          </cell>
          <cell r="Q1633">
            <v>14</v>
          </cell>
        </row>
        <row r="1634">
          <cell r="D1634" t="str">
            <v>941-69-5</v>
          </cell>
          <cell r="E1634">
            <v>941695</v>
          </cell>
          <cell r="F1634">
            <v>4098</v>
          </cell>
          <cell r="G1634" t="str">
            <v>Reach_1614</v>
          </cell>
          <cell r="H1634">
            <v>1626</v>
          </cell>
          <cell r="J1634">
            <v>173.17</v>
          </cell>
          <cell r="K1634">
            <v>150.55000000000001</v>
          </cell>
          <cell r="L1634">
            <v>5.31867E-4</v>
          </cell>
          <cell r="M1634">
            <v>4917.6000000000004</v>
          </cell>
          <cell r="N1634">
            <v>7.5857757502918375</v>
          </cell>
          <cell r="Q1634">
            <v>14</v>
          </cell>
        </row>
        <row r="1635">
          <cell r="D1635" t="str">
            <v>74-83-9</v>
          </cell>
          <cell r="E1635">
            <v>74839</v>
          </cell>
          <cell r="F1635">
            <v>837</v>
          </cell>
          <cell r="G1635" t="str">
            <v>Reach_109</v>
          </cell>
          <cell r="H1635">
            <v>1627</v>
          </cell>
          <cell r="J1635">
            <v>94.944999999999993</v>
          </cell>
          <cell r="K1635">
            <v>-105.39</v>
          </cell>
          <cell r="L1635">
            <v>211947.00000000003</v>
          </cell>
          <cell r="M1635">
            <v>12410</v>
          </cell>
          <cell r="N1635">
            <v>15.135612484362087</v>
          </cell>
          <cell r="Q1635">
            <v>14</v>
          </cell>
        </row>
        <row r="1636">
          <cell r="D1636" t="str">
            <v>114882-16-5</v>
          </cell>
          <cell r="E1636">
            <v>114882165</v>
          </cell>
          <cell r="F1636">
            <v>1627</v>
          </cell>
          <cell r="G1636" t="str">
            <v>Reach_4085</v>
          </cell>
          <cell r="H1636">
            <v>1628</v>
          </cell>
          <cell r="J1636">
            <v>355.48</v>
          </cell>
          <cell r="K1636">
            <v>192.7</v>
          </cell>
          <cell r="L1636">
            <v>8.4512199999999997E-9</v>
          </cell>
          <cell r="M1636">
            <v>7.4175000000000004</v>
          </cell>
          <cell r="N1636">
            <v>12302.687708123816</v>
          </cell>
          <cell r="O1636">
            <v>10.99</v>
          </cell>
          <cell r="Q1636">
            <v>10.99</v>
          </cell>
        </row>
        <row r="1637">
          <cell r="D1637" t="str">
            <v>3634-83-1</v>
          </cell>
          <cell r="E1637">
            <v>3634831</v>
          </cell>
          <cell r="F1637">
            <v>2766</v>
          </cell>
          <cell r="G1637" t="str">
            <v>Reach_1978</v>
          </cell>
          <cell r="H1637">
            <v>1629</v>
          </cell>
          <cell r="J1637">
            <v>188.19</v>
          </cell>
          <cell r="K1637">
            <v>81.94</v>
          </cell>
          <cell r="L1637">
            <v>0.11677080000000002</v>
          </cell>
          <cell r="M1637">
            <v>3537.5</v>
          </cell>
          <cell r="N1637">
            <v>1000</v>
          </cell>
          <cell r="Q1637">
            <v>14</v>
          </cell>
        </row>
        <row r="1638">
          <cell r="D1638" t="str">
            <v>102-56-7</v>
          </cell>
          <cell r="E1638">
            <v>102567</v>
          </cell>
          <cell r="F1638">
            <v>1345</v>
          </cell>
          <cell r="G1638" t="str">
            <v>Reach_593</v>
          </cell>
          <cell r="H1638">
            <v>1630</v>
          </cell>
          <cell r="J1638">
            <v>153.18</v>
          </cell>
          <cell r="K1638">
            <v>54.3</v>
          </cell>
          <cell r="L1638">
            <v>0.35591100000000003</v>
          </cell>
          <cell r="M1638">
            <v>9021.1</v>
          </cell>
          <cell r="N1638">
            <v>17.378008287493756</v>
          </cell>
          <cell r="P1638">
            <v>10.1</v>
          </cell>
          <cell r="Q1638">
            <v>3.9000000000000004</v>
          </cell>
        </row>
        <row r="1639">
          <cell r="D1639" t="str">
            <v>49564-57-0</v>
          </cell>
          <cell r="E1639">
            <v>49564570</v>
          </cell>
          <cell r="F1639">
            <v>2984</v>
          </cell>
          <cell r="G1639" t="str">
            <v>Reach_2762</v>
          </cell>
          <cell r="H1639">
            <v>1631</v>
          </cell>
          <cell r="J1639">
            <v>230.29</v>
          </cell>
          <cell r="K1639">
            <v>144.52000000000001</v>
          </cell>
          <cell r="L1639">
            <v>2.0928100000000002E-4</v>
          </cell>
          <cell r="M1639">
            <v>12439</v>
          </cell>
          <cell r="N1639">
            <v>3.5481338923357555</v>
          </cell>
          <cell r="P1639">
            <v>12.26</v>
          </cell>
          <cell r="Q1639">
            <v>1.7400000000000002</v>
          </cell>
        </row>
        <row r="1640">
          <cell r="D1640" t="str">
            <v>48145-04-6</v>
          </cell>
          <cell r="E1640">
            <v>48145046</v>
          </cell>
          <cell r="F1640">
            <v>2972</v>
          </cell>
          <cell r="G1640" t="str">
            <v>Reach_2760</v>
          </cell>
          <cell r="H1640">
            <v>1632</v>
          </cell>
          <cell r="J1640">
            <v>192.21</v>
          </cell>
          <cell r="K1640">
            <v>36.450000000000003</v>
          </cell>
          <cell r="L1640">
            <v>1.0757310000000002</v>
          </cell>
          <cell r="M1640">
            <v>576.36</v>
          </cell>
          <cell r="N1640">
            <v>288.40315031266073</v>
          </cell>
          <cell r="Q1640">
            <v>14</v>
          </cell>
        </row>
        <row r="1641">
          <cell r="D1641" t="str">
            <v>26537-19-9</v>
          </cell>
          <cell r="E1641">
            <v>26537199</v>
          </cell>
          <cell r="F1641">
            <v>2475</v>
          </cell>
          <cell r="G1641" t="str">
            <v>Reach_2586</v>
          </cell>
          <cell r="H1641">
            <v>1633</v>
          </cell>
          <cell r="J1641">
            <v>192.26</v>
          </cell>
          <cell r="K1641">
            <v>34.549999999999997</v>
          </cell>
          <cell r="L1641">
            <v>2.5993500000000003</v>
          </cell>
          <cell r="M1641">
            <v>40.695</v>
          </cell>
          <cell r="N1641">
            <v>5495.4087385762541</v>
          </cell>
          <cell r="Q1641">
            <v>14</v>
          </cell>
        </row>
        <row r="1642">
          <cell r="D1642" t="str">
            <v>1047-16-1</v>
          </cell>
          <cell r="E1642">
            <v>1047161</v>
          </cell>
          <cell r="F1642">
            <v>1400</v>
          </cell>
          <cell r="G1642" t="str">
            <v>Reach_1636</v>
          </cell>
          <cell r="H1642">
            <v>1634</v>
          </cell>
          <cell r="J1642">
            <v>312.33</v>
          </cell>
          <cell r="K1642">
            <v>218.5</v>
          </cell>
          <cell r="L1642">
            <v>1.5062900000000002E-8</v>
          </cell>
          <cell r="M1642">
            <v>2.3592999999999999E-2</v>
          </cell>
          <cell r="N1642">
            <v>23.988329190194907</v>
          </cell>
          <cell r="O1642">
            <v>14.48</v>
          </cell>
          <cell r="P1642">
            <v>8.15</v>
          </cell>
          <cell r="Q1642">
            <v>5.85</v>
          </cell>
        </row>
        <row r="1643">
          <cell r="D1643" t="str">
            <v>834-12-8</v>
          </cell>
          <cell r="E1643">
            <v>834128</v>
          </cell>
          <cell r="F1643">
            <v>953</v>
          </cell>
          <cell r="G1643" t="str">
            <v>Reach_1562</v>
          </cell>
          <cell r="H1643">
            <v>1635</v>
          </cell>
          <cell r="J1643">
            <v>227.34</v>
          </cell>
          <cell r="K1643">
            <v>130.58000000000001</v>
          </cell>
          <cell r="L1643">
            <v>5.7319000000000007E-3</v>
          </cell>
          <cell r="M1643">
            <v>183.64</v>
          </cell>
          <cell r="N1643">
            <v>2089.2961308540398</v>
          </cell>
          <cell r="P1643">
            <v>10</v>
          </cell>
          <cell r="Q1643">
            <v>4</v>
          </cell>
        </row>
        <row r="1644">
          <cell r="D1644" t="str">
            <v>7065-46-5</v>
          </cell>
          <cell r="E1644">
            <v>7065465</v>
          </cell>
          <cell r="F1644">
            <v>2117</v>
          </cell>
          <cell r="G1644" t="str">
            <v>Reach_2221</v>
          </cell>
          <cell r="H1644">
            <v>1636</v>
          </cell>
          <cell r="J1644">
            <v>134.61000000000001</v>
          </cell>
          <cell r="K1644">
            <v>-35.53</v>
          </cell>
          <cell r="L1644">
            <v>1639.5900000000001</v>
          </cell>
          <cell r="M1644">
            <v>3104.3</v>
          </cell>
          <cell r="N1644">
            <v>23.988329190194907</v>
          </cell>
          <cell r="Q1644">
            <v>14</v>
          </cell>
        </row>
        <row r="1645">
          <cell r="D1645" t="str">
            <v>3056-13-1</v>
          </cell>
          <cell r="E1645">
            <v>3056131</v>
          </cell>
          <cell r="F1645">
            <v>2603</v>
          </cell>
          <cell r="G1645" t="str">
            <v>Reach_4276</v>
          </cell>
          <cell r="H1645">
            <v>1637</v>
          </cell>
          <cell r="J1645">
            <v>478.5</v>
          </cell>
          <cell r="K1645">
            <v>304.69</v>
          </cell>
          <cell r="L1645">
            <v>1.9728399999999999E-14</v>
          </cell>
          <cell r="M1645">
            <v>1.3101E-2</v>
          </cell>
          <cell r="N1645">
            <v>7943.2823472428154</v>
          </cell>
          <cell r="Q1645">
            <v>14</v>
          </cell>
        </row>
        <row r="1646">
          <cell r="D1646" t="str">
            <v>94-96-2</v>
          </cell>
          <cell r="E1646">
            <v>94962</v>
          </cell>
          <cell r="F1646">
            <v>1024</v>
          </cell>
          <cell r="G1646" t="str">
            <v>Reach_420</v>
          </cell>
          <cell r="H1646">
            <v>1638</v>
          </cell>
          <cell r="J1646">
            <v>146.22999999999999</v>
          </cell>
          <cell r="K1646">
            <v>13.17</v>
          </cell>
          <cell r="L1646">
            <v>0.39990000000000003</v>
          </cell>
          <cell r="M1646">
            <v>10068</v>
          </cell>
          <cell r="N1646">
            <v>39.810717055349755</v>
          </cell>
          <cell r="Q1646">
            <v>14</v>
          </cell>
        </row>
        <row r="1647">
          <cell r="D1647" t="str">
            <v>40306-75-0</v>
          </cell>
          <cell r="E1647">
            <v>40306750</v>
          </cell>
          <cell r="F1647">
            <v>2857</v>
          </cell>
          <cell r="G1647" t="str">
            <v>Reach_2730</v>
          </cell>
          <cell r="H1647">
            <v>1639</v>
          </cell>
          <cell r="J1647">
            <v>246.24</v>
          </cell>
          <cell r="K1647">
            <v>220.79</v>
          </cell>
          <cell r="L1647">
            <v>5.8385399999999999E-11</v>
          </cell>
          <cell r="M1647">
            <v>95.608000000000004</v>
          </cell>
          <cell r="N1647">
            <v>3.4673685045253142E-4</v>
          </cell>
          <cell r="O1647">
            <v>-0.27</v>
          </cell>
          <cell r="P1647">
            <v>10.76</v>
          </cell>
          <cell r="Q1647">
            <v>-0.27</v>
          </cell>
        </row>
        <row r="1648">
          <cell r="D1648" t="str">
            <v>121-82-4</v>
          </cell>
          <cell r="E1648">
            <v>121824</v>
          </cell>
          <cell r="F1648">
            <v>375</v>
          </cell>
          <cell r="G1648" t="str">
            <v>Reach_1019</v>
          </cell>
          <cell r="H1648">
            <v>1640</v>
          </cell>
          <cell r="J1648">
            <v>222.12</v>
          </cell>
          <cell r="K1648">
            <v>132.76</v>
          </cell>
          <cell r="L1648">
            <v>1.7862200000000003E-4</v>
          </cell>
          <cell r="M1648">
            <v>1000000</v>
          </cell>
          <cell r="N1648">
            <v>4.786300923226384</v>
          </cell>
          <cell r="Q1648">
            <v>14</v>
          </cell>
        </row>
        <row r="1649">
          <cell r="D1649" t="str">
            <v>2224-33-1</v>
          </cell>
          <cell r="E1649">
            <v>2224331</v>
          </cell>
          <cell r="F1649">
            <v>2325</v>
          </cell>
          <cell r="G1649" t="str">
            <v>Reach_1774</v>
          </cell>
          <cell r="H1649">
            <v>1641</v>
          </cell>
          <cell r="J1649">
            <v>313.48</v>
          </cell>
          <cell r="K1649">
            <v>12.26</v>
          </cell>
          <cell r="L1649">
            <v>2.9459300000000004E-2</v>
          </cell>
          <cell r="M1649">
            <v>0</v>
          </cell>
          <cell r="N1649">
            <v>15488166189.124847</v>
          </cell>
          <cell r="Q1649">
            <v>14</v>
          </cell>
        </row>
        <row r="1650">
          <cell r="D1650" t="str">
            <v>86-84-0</v>
          </cell>
          <cell r="E1650">
            <v>86840</v>
          </cell>
          <cell r="F1650">
            <v>3911</v>
          </cell>
          <cell r="G1650" t="str">
            <v>Reach_304</v>
          </cell>
          <cell r="H1650">
            <v>1642</v>
          </cell>
          <cell r="J1650">
            <v>169.18</v>
          </cell>
          <cell r="K1650">
            <v>41.68</v>
          </cell>
          <cell r="L1650">
            <v>1.2996750000000001</v>
          </cell>
          <cell r="M1650">
            <v>172.68</v>
          </cell>
          <cell r="N1650">
            <v>5888.4365535558973</v>
          </cell>
          <cell r="Q1650">
            <v>14</v>
          </cell>
        </row>
        <row r="1651">
          <cell r="D1651" t="str">
            <v>256473-04-8</v>
          </cell>
          <cell r="E1651">
            <v>256473048</v>
          </cell>
          <cell r="F1651">
            <v>2441</v>
          </cell>
          <cell r="G1651" t="str">
            <v>Reach_5014</v>
          </cell>
          <cell r="H1651">
            <v>1643</v>
          </cell>
          <cell r="J1651">
            <v>211.57</v>
          </cell>
          <cell r="K1651">
            <v>22.49</v>
          </cell>
          <cell r="L1651">
            <v>50.387400000000007</v>
          </cell>
          <cell r="M1651">
            <v>234.45</v>
          </cell>
          <cell r="N1651">
            <v>275.42287033381683</v>
          </cell>
          <cell r="Q1651">
            <v>14</v>
          </cell>
        </row>
        <row r="1652">
          <cell r="D1652" t="str">
            <v>328-99-4</v>
          </cell>
          <cell r="E1652">
            <v>328994</v>
          </cell>
          <cell r="F1652">
            <v>2667</v>
          </cell>
          <cell r="G1652" t="str">
            <v>Reach_1236</v>
          </cell>
          <cell r="H1652">
            <v>1644</v>
          </cell>
          <cell r="J1652">
            <v>192.11</v>
          </cell>
          <cell r="K1652">
            <v>-4.88</v>
          </cell>
          <cell r="L1652">
            <v>146.63000000000002</v>
          </cell>
          <cell r="M1652">
            <v>557.95000000000005</v>
          </cell>
          <cell r="N1652">
            <v>123.02687708123821</v>
          </cell>
          <cell r="Q1652">
            <v>14</v>
          </cell>
        </row>
        <row r="1653">
          <cell r="D1653" t="str">
            <v>50650-75-4</v>
          </cell>
          <cell r="E1653">
            <v>50650754</v>
          </cell>
          <cell r="F1653">
            <v>3013</v>
          </cell>
          <cell r="G1653" t="str">
            <v>Reach_4332</v>
          </cell>
          <cell r="H1653">
            <v>1645</v>
          </cell>
          <cell r="J1653">
            <v>222.33</v>
          </cell>
          <cell r="K1653">
            <v>62.22</v>
          </cell>
          <cell r="L1653">
            <v>3.3724900000000009E-2</v>
          </cell>
          <cell r="M1653">
            <v>2.0781000000000001</v>
          </cell>
          <cell r="N1653">
            <v>12589.254117941671</v>
          </cell>
          <cell r="Q1653">
            <v>14</v>
          </cell>
        </row>
        <row r="1654">
          <cell r="D1654" t="str">
            <v>118-83-2</v>
          </cell>
          <cell r="E1654">
            <v>118832</v>
          </cell>
          <cell r="F1654">
            <v>1680</v>
          </cell>
          <cell r="G1654" t="str">
            <v>Reach_972</v>
          </cell>
          <cell r="H1654">
            <v>1646</v>
          </cell>
          <cell r="J1654">
            <v>225.55</v>
          </cell>
          <cell r="K1654">
            <v>52.08</v>
          </cell>
          <cell r="L1654">
            <v>2.9459300000000006</v>
          </cell>
          <cell r="M1654">
            <v>51.575000000000003</v>
          </cell>
          <cell r="N1654">
            <v>2630.2679918953822</v>
          </cell>
          <cell r="Q1654">
            <v>14</v>
          </cell>
        </row>
        <row r="1655">
          <cell r="D1655" t="str">
            <v>179107-88-1</v>
          </cell>
          <cell r="E1655">
            <v>179107881</v>
          </cell>
          <cell r="F1655">
            <v>2157</v>
          </cell>
          <cell r="G1655" t="str">
            <v>Reach_5050</v>
          </cell>
          <cell r="H1655">
            <v>1647</v>
          </cell>
          <cell r="J1655">
            <v>206.33</v>
          </cell>
          <cell r="K1655">
            <v>45.36</v>
          </cell>
          <cell r="L1655">
            <v>0.49987500000000001</v>
          </cell>
          <cell r="M1655">
            <v>10.868</v>
          </cell>
          <cell r="N1655">
            <v>128824.95516931375</v>
          </cell>
          <cell r="Q1655">
            <v>14</v>
          </cell>
        </row>
        <row r="1656">
          <cell r="D1656" t="str">
            <v>164524-02-1</v>
          </cell>
          <cell r="E1656">
            <v>164524021</v>
          </cell>
          <cell r="F1656">
            <v>5732</v>
          </cell>
          <cell r="G1656" t="str">
            <v>Reach_4596</v>
          </cell>
          <cell r="H1656">
            <v>1648</v>
          </cell>
          <cell r="J1656">
            <v>238.35</v>
          </cell>
          <cell r="K1656">
            <v>0</v>
          </cell>
          <cell r="Q1656">
            <v>14</v>
          </cell>
        </row>
        <row r="1657">
          <cell r="D1657" t="str">
            <v>66742-57-2</v>
          </cell>
          <cell r="E1657">
            <v>66742572</v>
          </cell>
          <cell r="F1657">
            <v>3482</v>
          </cell>
          <cell r="G1657" t="str">
            <v>Reach_4393</v>
          </cell>
          <cell r="H1657">
            <v>1649</v>
          </cell>
          <cell r="J1657">
            <v>230.24</v>
          </cell>
          <cell r="K1657">
            <v>98.66</v>
          </cell>
          <cell r="L1657">
            <v>8.9577600000000004E-3</v>
          </cell>
          <cell r="M1657">
            <v>20.471</v>
          </cell>
          <cell r="N1657">
            <v>5011.8723362727324</v>
          </cell>
          <cell r="Q1657">
            <v>14</v>
          </cell>
        </row>
        <row r="1658">
          <cell r="D1658" t="str">
            <v>6485-40-1</v>
          </cell>
          <cell r="E1658">
            <v>6485401</v>
          </cell>
          <cell r="F1658">
            <v>781</v>
          </cell>
          <cell r="G1658" t="str">
            <v>Reach_2189</v>
          </cell>
          <cell r="H1658">
            <v>1650</v>
          </cell>
          <cell r="J1658">
            <v>150.22</v>
          </cell>
          <cell r="K1658">
            <v>9.86</v>
          </cell>
          <cell r="L1658">
            <v>17.329000000000001</v>
          </cell>
          <cell r="M1658">
            <v>1219.7</v>
          </cell>
          <cell r="N1658">
            <v>1174.8975549395295</v>
          </cell>
          <cell r="Q1658">
            <v>14</v>
          </cell>
        </row>
        <row r="1659">
          <cell r="D1659" t="str">
            <v>18169-57-8</v>
          </cell>
          <cell r="E1659">
            <v>18169578</v>
          </cell>
          <cell r="F1659">
            <v>2171</v>
          </cell>
          <cell r="G1659" t="str">
            <v>Reach_2454</v>
          </cell>
          <cell r="H1659">
            <v>1651</v>
          </cell>
          <cell r="J1659">
            <v>191.56</v>
          </cell>
          <cell r="K1659">
            <v>-50.55</v>
          </cell>
          <cell r="L1659">
            <v>727.8180000000001</v>
          </cell>
          <cell r="M1659">
            <v>4817.8999999999996</v>
          </cell>
          <cell r="N1659">
            <v>2570.3957827688669</v>
          </cell>
          <cell r="Q1659">
            <v>14</v>
          </cell>
        </row>
        <row r="1660">
          <cell r="D1660" t="str">
            <v>39489-75-3</v>
          </cell>
          <cell r="E1660">
            <v>39489753</v>
          </cell>
          <cell r="F1660">
            <v>2841</v>
          </cell>
          <cell r="G1660" t="str">
            <v>Reach_2725</v>
          </cell>
          <cell r="H1660">
            <v>1652</v>
          </cell>
          <cell r="J1660">
            <v>442</v>
          </cell>
          <cell r="K1660">
            <v>219.87</v>
          </cell>
          <cell r="L1660">
            <v>1.2210280000000001E-8</v>
          </cell>
          <cell r="M1660">
            <v>3.3501000000000003E-2</v>
          </cell>
          <cell r="N1660">
            <v>263026.79918953858</v>
          </cell>
          <cell r="Q1660">
            <v>14</v>
          </cell>
        </row>
        <row r="1661">
          <cell r="D1661" t="str">
            <v>96-45-7</v>
          </cell>
          <cell r="E1661">
            <v>96457</v>
          </cell>
          <cell r="F1661">
            <v>1054</v>
          </cell>
          <cell r="G1661" t="str">
            <v>Reach_464</v>
          </cell>
          <cell r="H1661">
            <v>1653</v>
          </cell>
          <cell r="J1661">
            <v>102.16</v>
          </cell>
          <cell r="K1661">
            <v>69.66</v>
          </cell>
          <cell r="L1661">
            <v>2.6926600000000005E-4</v>
          </cell>
          <cell r="M1661">
            <v>812000</v>
          </cell>
          <cell r="N1661">
            <v>0.32359365692962827</v>
          </cell>
          <cell r="O1661">
            <v>13</v>
          </cell>
          <cell r="P1661">
            <v>12</v>
          </cell>
          <cell r="Q1661">
            <v>2</v>
          </cell>
        </row>
        <row r="1662">
          <cell r="D1662" t="str">
            <v>719-80-2</v>
          </cell>
          <cell r="E1662">
            <v>719802</v>
          </cell>
          <cell r="F1662">
            <v>3596</v>
          </cell>
          <cell r="G1662" t="str">
            <v>Reach_1523</v>
          </cell>
          <cell r="H1662">
            <v>1654</v>
          </cell>
          <cell r="J1662">
            <v>230.25</v>
          </cell>
          <cell r="K1662">
            <v>69.45</v>
          </cell>
          <cell r="L1662">
            <v>2.6793300000000003E-2</v>
          </cell>
          <cell r="M1662">
            <v>3.6070000000000002</v>
          </cell>
          <cell r="N1662">
            <v>3981.0717055349769</v>
          </cell>
          <cell r="Q1662">
            <v>14</v>
          </cell>
        </row>
        <row r="1663">
          <cell r="D1663" t="str">
            <v>142-62-1</v>
          </cell>
          <cell r="E1663">
            <v>142621</v>
          </cell>
          <cell r="F1663">
            <v>462</v>
          </cell>
          <cell r="G1663" t="str">
            <v>Reach_1179</v>
          </cell>
          <cell r="H1663">
            <v>1655</v>
          </cell>
          <cell r="J1663">
            <v>116.16</v>
          </cell>
          <cell r="K1663">
            <v>26.23</v>
          </cell>
          <cell r="L1663">
            <v>37.057400000000008</v>
          </cell>
          <cell r="M1663">
            <v>11721</v>
          </cell>
          <cell r="N1663">
            <v>112.20184543019634</v>
          </cell>
          <cell r="O1663">
            <v>4.9000000000000004</v>
          </cell>
          <cell r="Q1663">
            <v>4.9000000000000004</v>
          </cell>
        </row>
        <row r="1664">
          <cell r="D1664" t="str">
            <v>3033-62-3</v>
          </cell>
          <cell r="E1664">
            <v>3033623</v>
          </cell>
          <cell r="F1664">
            <v>2592</v>
          </cell>
          <cell r="G1664" t="str">
            <v>Reach_1900</v>
          </cell>
          <cell r="H1664">
            <v>1656</v>
          </cell>
          <cell r="J1664">
            <v>160.26</v>
          </cell>
          <cell r="K1664">
            <v>-5.78</v>
          </cell>
          <cell r="L1664">
            <v>99.708400000000012</v>
          </cell>
          <cell r="M1664">
            <v>264000</v>
          </cell>
          <cell r="N1664">
            <v>0.28840315031266056</v>
          </cell>
          <cell r="P1664">
            <v>4.9800000000000004</v>
          </cell>
          <cell r="Q1664">
            <v>9.02</v>
          </cell>
        </row>
        <row r="1665">
          <cell r="D1665" t="str">
            <v>96-23-1</v>
          </cell>
          <cell r="E1665">
            <v>96231</v>
          </cell>
          <cell r="F1665">
            <v>1049</v>
          </cell>
          <cell r="G1665" t="str">
            <v>Reach_456</v>
          </cell>
          <cell r="H1665">
            <v>1657</v>
          </cell>
          <cell r="J1665">
            <v>128.99</v>
          </cell>
          <cell r="K1665">
            <v>-23.56</v>
          </cell>
          <cell r="L1665">
            <v>40.7898</v>
          </cell>
          <cell r="M1665">
            <v>39101</v>
          </cell>
          <cell r="N1665">
            <v>6.0255958607435796</v>
          </cell>
          <cell r="O1665">
            <v>13.07</v>
          </cell>
          <cell r="Q1665">
            <v>13.07</v>
          </cell>
        </row>
        <row r="1666">
          <cell r="D1666" t="str">
            <v>342-25-6</v>
          </cell>
          <cell r="E1666">
            <v>342256</v>
          </cell>
          <cell r="F1666">
            <v>2695</v>
          </cell>
          <cell r="G1666" t="str">
            <v>Reach_1239</v>
          </cell>
          <cell r="H1666">
            <v>1658</v>
          </cell>
          <cell r="J1666">
            <v>218.2</v>
          </cell>
          <cell r="K1666">
            <v>74.650000000000006</v>
          </cell>
          <cell r="L1666">
            <v>0.13023410000000002</v>
          </cell>
          <cell r="M1666">
            <v>17.195</v>
          </cell>
          <cell r="N1666">
            <v>3548.1338923357539</v>
          </cell>
          <cell r="Q1666">
            <v>14</v>
          </cell>
        </row>
        <row r="1667">
          <cell r="D1667" t="str">
            <v>6246-48-6</v>
          </cell>
          <cell r="E1667">
            <v>6246486</v>
          </cell>
          <cell r="F1667">
            <v>3371</v>
          </cell>
          <cell r="G1667" t="str">
            <v>Reach_4733</v>
          </cell>
          <cell r="H1667">
            <v>1659</v>
          </cell>
          <cell r="J1667">
            <v>153.27000000000001</v>
          </cell>
          <cell r="K1667">
            <v>-5.46</v>
          </cell>
          <cell r="L1667">
            <v>17.728900000000003</v>
          </cell>
          <cell r="M1667">
            <v>8235.4</v>
          </cell>
          <cell r="N1667">
            <v>2884.0315031266077</v>
          </cell>
          <cell r="P1667">
            <v>4.2</v>
          </cell>
          <cell r="Q1667">
            <v>9.8000000000000007</v>
          </cell>
        </row>
        <row r="1668">
          <cell r="D1668" t="str">
            <v>138-59-0</v>
          </cell>
          <cell r="E1668">
            <v>138590</v>
          </cell>
          <cell r="F1668">
            <v>445</v>
          </cell>
          <cell r="G1668" t="str">
            <v>Reach_1141</v>
          </cell>
          <cell r="H1668">
            <v>1660</v>
          </cell>
          <cell r="J1668">
            <v>174.15</v>
          </cell>
          <cell r="K1668">
            <v>133.21</v>
          </cell>
          <cell r="L1668">
            <v>6.665000000000001E-7</v>
          </cell>
          <cell r="M1668">
            <v>96104</v>
          </cell>
          <cell r="N1668">
            <v>4.5708818961487478E-2</v>
          </cell>
          <cell r="O1668">
            <v>4.12</v>
          </cell>
          <cell r="Q1668">
            <v>4.12</v>
          </cell>
        </row>
        <row r="1669">
          <cell r="D1669" t="str">
            <v>55974-25-9</v>
          </cell>
          <cell r="E1669">
            <v>55974259</v>
          </cell>
          <cell r="F1669">
            <v>3183</v>
          </cell>
          <cell r="G1669" t="str">
            <v>Reach_4356</v>
          </cell>
          <cell r="H1669">
            <v>1661</v>
          </cell>
          <cell r="J1669">
            <v>220.22</v>
          </cell>
          <cell r="K1669">
            <v>89.15</v>
          </cell>
          <cell r="L1669">
            <v>2.2261100000000002E-2</v>
          </cell>
          <cell r="M1669">
            <v>218.14</v>
          </cell>
          <cell r="N1669">
            <v>1862.0871366628687</v>
          </cell>
          <cell r="Q1669">
            <v>14</v>
          </cell>
        </row>
        <row r="1670">
          <cell r="D1670" t="str">
            <v>1696-20-4</v>
          </cell>
          <cell r="E1670">
            <v>1696204</v>
          </cell>
          <cell r="F1670">
            <v>2118</v>
          </cell>
          <cell r="G1670" t="str">
            <v>Reach_1709</v>
          </cell>
          <cell r="H1670">
            <v>1662</v>
          </cell>
          <cell r="J1670">
            <v>129.16</v>
          </cell>
          <cell r="K1670">
            <v>27.41</v>
          </cell>
          <cell r="L1670">
            <v>17.862200000000001</v>
          </cell>
          <cell r="M1670">
            <v>230000</v>
          </cell>
          <cell r="N1670">
            <v>0.13489628825916533</v>
          </cell>
          <cell r="P1670">
            <v>14.98</v>
          </cell>
          <cell r="Q1670">
            <v>-0.98000000000000043</v>
          </cell>
        </row>
        <row r="1671">
          <cell r="D1671" t="str">
            <v>129-00-0</v>
          </cell>
          <cell r="E1671">
            <v>129000</v>
          </cell>
          <cell r="F1671">
            <v>21</v>
          </cell>
          <cell r="G1671" t="str">
            <v>Reach_1114</v>
          </cell>
          <cell r="H1671">
            <v>1663</v>
          </cell>
          <cell r="J1671">
            <v>202.26</v>
          </cell>
          <cell r="K1671">
            <v>119.9</v>
          </cell>
          <cell r="L1671">
            <v>4.5855200000000008E-5</v>
          </cell>
          <cell r="M1671">
            <v>2.7518000000000001E-2</v>
          </cell>
          <cell r="N1671">
            <v>85113.803820237721</v>
          </cell>
          <cell r="Q1671">
            <v>14</v>
          </cell>
        </row>
        <row r="1672">
          <cell r="D1672" t="str">
            <v>75-59-2</v>
          </cell>
          <cell r="E1672">
            <v>75592</v>
          </cell>
          <cell r="F1672">
            <v>6027</v>
          </cell>
          <cell r="G1672" t="str">
            <v>Reach_153</v>
          </cell>
          <cell r="H1672">
            <v>1664</v>
          </cell>
          <cell r="J1672">
            <v>91.155000000000001</v>
          </cell>
          <cell r="K1672">
            <v>0</v>
          </cell>
          <cell r="Q1672">
            <v>14</v>
          </cell>
        </row>
        <row r="1673">
          <cell r="D1673" t="str">
            <v>349-76-8</v>
          </cell>
          <cell r="E1673">
            <v>349768</v>
          </cell>
          <cell r="F1673">
            <v>2719</v>
          </cell>
          <cell r="G1673" t="str">
            <v>Reach_1241</v>
          </cell>
          <cell r="H1673">
            <v>1665</v>
          </cell>
          <cell r="J1673">
            <v>188.15</v>
          </cell>
          <cell r="K1673">
            <v>5.87</v>
          </cell>
          <cell r="L1673">
            <v>50.520700000000005</v>
          </cell>
          <cell r="M1673">
            <v>502.4</v>
          </cell>
          <cell r="N1673">
            <v>436.51583224016622</v>
          </cell>
          <cell r="Q1673">
            <v>14</v>
          </cell>
        </row>
        <row r="1674">
          <cell r="D1674" t="str">
            <v>107-20-0</v>
          </cell>
          <cell r="E1674">
            <v>107200</v>
          </cell>
          <cell r="F1674">
            <v>215</v>
          </cell>
          <cell r="G1674" t="str">
            <v>Reach_699</v>
          </cell>
          <cell r="H1674">
            <v>1666</v>
          </cell>
          <cell r="J1674">
            <v>78.498000000000005</v>
          </cell>
          <cell r="K1674">
            <v>-71.73</v>
          </cell>
          <cell r="L1674">
            <v>9237.69</v>
          </cell>
          <cell r="M1674">
            <v>56740</v>
          </cell>
          <cell r="N1674">
            <v>1.2302687708123816</v>
          </cell>
          <cell r="Q1674">
            <v>14</v>
          </cell>
        </row>
        <row r="1675">
          <cell r="D1675" t="str">
            <v>36888-99-0</v>
          </cell>
          <cell r="E1675">
            <v>36888990</v>
          </cell>
          <cell r="F1675">
            <v>2783</v>
          </cell>
          <cell r="G1675" t="str">
            <v>Reach_2706</v>
          </cell>
          <cell r="H1675">
            <v>1667</v>
          </cell>
          <cell r="J1675">
            <v>367.28</v>
          </cell>
          <cell r="K1675">
            <v>349.84</v>
          </cell>
          <cell r="L1675">
            <v>7.53145E-23</v>
          </cell>
          <cell r="M1675">
            <v>12148</v>
          </cell>
          <cell r="N1675">
            <v>1.2302687708123809E-2</v>
          </cell>
          <cell r="O1675">
            <v>1.7</v>
          </cell>
          <cell r="P1675">
            <v>-0.76</v>
          </cell>
          <cell r="Q1675">
            <v>1.7</v>
          </cell>
        </row>
        <row r="1676">
          <cell r="D1676" t="str">
            <v>143-08-8</v>
          </cell>
          <cell r="E1676">
            <v>143088</v>
          </cell>
          <cell r="F1676">
            <v>469</v>
          </cell>
          <cell r="G1676" t="str">
            <v>Reach_1189</v>
          </cell>
          <cell r="H1676">
            <v>1668</v>
          </cell>
          <cell r="J1676">
            <v>144.26</v>
          </cell>
          <cell r="K1676">
            <v>-3.15</v>
          </cell>
          <cell r="L1676">
            <v>4.3722400000000006</v>
          </cell>
          <cell r="M1676">
            <v>122.88</v>
          </cell>
          <cell r="N1676">
            <v>1995.2623149688804</v>
          </cell>
          <cell r="O1676">
            <v>15.9</v>
          </cell>
          <cell r="Q1676">
            <v>14</v>
          </cell>
        </row>
        <row r="1677">
          <cell r="D1677" t="str">
            <v>5283-66-9</v>
          </cell>
          <cell r="E1677">
            <v>5283669</v>
          </cell>
          <cell r="F1677">
            <v>678</v>
          </cell>
          <cell r="G1677" t="str">
            <v>Reach_2093</v>
          </cell>
          <cell r="H1677">
            <v>1669</v>
          </cell>
          <cell r="J1677">
            <v>247.67</v>
          </cell>
          <cell r="K1677">
            <v>8.1199999999999992</v>
          </cell>
          <cell r="L1677">
            <v>9.3843200000000007</v>
          </cell>
          <cell r="M1677">
            <v>172.37</v>
          </cell>
          <cell r="N1677">
            <v>275422.87033381703</v>
          </cell>
          <cell r="Q1677">
            <v>14</v>
          </cell>
        </row>
        <row r="1678">
          <cell r="D1678" t="str">
            <v>447-61-0</v>
          </cell>
          <cell r="E1678">
            <v>447610</v>
          </cell>
          <cell r="F1678">
            <v>2932</v>
          </cell>
          <cell r="G1678" t="str">
            <v>Reach_1277</v>
          </cell>
          <cell r="H1678">
            <v>1670</v>
          </cell>
          <cell r="J1678">
            <v>174.12</v>
          </cell>
          <cell r="K1678">
            <v>-6.21</v>
          </cell>
          <cell r="L1678">
            <v>90.244100000000017</v>
          </cell>
          <cell r="M1678">
            <v>912.58</v>
          </cell>
          <cell r="N1678">
            <v>467.7351412871983</v>
          </cell>
          <cell r="Q1678">
            <v>14</v>
          </cell>
        </row>
        <row r="1679">
          <cell r="D1679" t="str">
            <v>81-64-1</v>
          </cell>
          <cell r="E1679">
            <v>81641</v>
          </cell>
          <cell r="F1679">
            <v>3808</v>
          </cell>
          <cell r="G1679" t="str">
            <v>Reach_276</v>
          </cell>
          <cell r="H1679">
            <v>1671</v>
          </cell>
          <cell r="J1679">
            <v>240.21</v>
          </cell>
          <cell r="K1679">
            <v>181.42</v>
          </cell>
          <cell r="L1679">
            <v>9.4909600000000012E-8</v>
          </cell>
          <cell r="M1679">
            <v>1089.3</v>
          </cell>
          <cell r="N1679">
            <v>8709.6358995608189</v>
          </cell>
          <cell r="O1679">
            <v>10</v>
          </cell>
          <cell r="Q1679">
            <v>10</v>
          </cell>
        </row>
        <row r="1680">
          <cell r="D1680" t="str">
            <v>760108-96-1</v>
          </cell>
          <cell r="E1680">
            <v>760108961</v>
          </cell>
          <cell r="F1680">
            <v>6030</v>
          </cell>
          <cell r="G1680" t="str">
            <v>Reach_4429</v>
          </cell>
          <cell r="H1680">
            <v>1672</v>
          </cell>
          <cell r="J1680">
            <v>404.35</v>
          </cell>
          <cell r="K1680">
            <v>0</v>
          </cell>
          <cell r="Q1680">
            <v>14</v>
          </cell>
        </row>
        <row r="1681">
          <cell r="D1681" t="str">
            <v>1083057-14-0</v>
          </cell>
          <cell r="E1681">
            <v>1083057140</v>
          </cell>
          <cell r="F1681">
            <v>1482</v>
          </cell>
          <cell r="G1681" t="str">
            <v>Reach_5043</v>
          </cell>
          <cell r="H1681">
            <v>1673</v>
          </cell>
          <cell r="J1681">
            <v>284.36</v>
          </cell>
          <cell r="K1681">
            <v>149.07</v>
          </cell>
          <cell r="L1681">
            <v>7.0915600000000009E-5</v>
          </cell>
          <cell r="M1681">
            <v>10.096</v>
          </cell>
          <cell r="N1681">
            <v>21877.61623949555</v>
          </cell>
          <cell r="P1681">
            <v>8.06</v>
          </cell>
          <cell r="Q1681">
            <v>5.9399999999999995</v>
          </cell>
        </row>
        <row r="1682">
          <cell r="D1682" t="str">
            <v>52567-96-1</v>
          </cell>
          <cell r="E1682">
            <v>52567961</v>
          </cell>
          <cell r="F1682">
            <v>3063</v>
          </cell>
          <cell r="G1682" t="str">
            <v>Reach_2783</v>
          </cell>
          <cell r="H1682">
            <v>1674</v>
          </cell>
          <cell r="J1682">
            <v>166.26</v>
          </cell>
          <cell r="K1682">
            <v>18.100000000000001</v>
          </cell>
          <cell r="L1682">
            <v>1.9728400000000001</v>
          </cell>
          <cell r="M1682">
            <v>11012</v>
          </cell>
          <cell r="N1682">
            <v>1949.8445997580463</v>
          </cell>
          <cell r="Q1682">
            <v>14</v>
          </cell>
        </row>
        <row r="1683">
          <cell r="D1683" t="str">
            <v>1128026-41-4</v>
          </cell>
          <cell r="E1683">
            <v>1128026414</v>
          </cell>
          <cell r="F1683">
            <v>1604</v>
          </cell>
          <cell r="G1683" t="str">
            <v>Reach_4877</v>
          </cell>
          <cell r="H1683">
            <v>1675</v>
          </cell>
          <cell r="J1683">
            <v>310.61</v>
          </cell>
          <cell r="K1683">
            <v>53.36</v>
          </cell>
          <cell r="L1683">
            <v>0.29192700000000005</v>
          </cell>
          <cell r="N1683">
            <v>1412.5375446227545</v>
          </cell>
          <cell r="Q1683">
            <v>14</v>
          </cell>
        </row>
        <row r="1684">
          <cell r="D1684" t="str">
            <v>93839-21-5</v>
          </cell>
          <cell r="E1684">
            <v>93839215</v>
          </cell>
          <cell r="F1684">
            <v>4088</v>
          </cell>
          <cell r="G1684" t="str">
            <v>Reach_3000</v>
          </cell>
          <cell r="H1684">
            <v>1676</v>
          </cell>
          <cell r="J1684">
            <v>285.26</v>
          </cell>
          <cell r="K1684">
            <v>233.91</v>
          </cell>
          <cell r="L1684">
            <v>1.41298E-9</v>
          </cell>
          <cell r="M1684">
            <v>443.7</v>
          </cell>
          <cell r="N1684">
            <v>18.197008586099841</v>
          </cell>
          <cell r="Q1684">
            <v>14</v>
          </cell>
        </row>
        <row r="1685">
          <cell r="D1685" t="str">
            <v>146763-69-1</v>
          </cell>
          <cell r="E1685">
            <v>146763691</v>
          </cell>
          <cell r="F1685">
            <v>1993</v>
          </cell>
          <cell r="G1685" t="str">
            <v>Reach_4863</v>
          </cell>
          <cell r="H1685">
            <v>1677</v>
          </cell>
          <cell r="J1685">
            <v>302.33</v>
          </cell>
          <cell r="K1685">
            <v>64.010000000000005</v>
          </cell>
          <cell r="L1685">
            <v>3.1192200000000002E-3</v>
          </cell>
          <cell r="M1685">
            <v>31.210999999999999</v>
          </cell>
          <cell r="N1685">
            <v>1698.2436524617447</v>
          </cell>
          <cell r="Q1685">
            <v>14</v>
          </cell>
        </row>
        <row r="1686">
          <cell r="D1686" t="str">
            <v>4180-23-8</v>
          </cell>
          <cell r="E1686">
            <v>4180238</v>
          </cell>
          <cell r="F1686">
            <v>635</v>
          </cell>
          <cell r="G1686" t="str">
            <v>Reach_2019</v>
          </cell>
          <cell r="H1686">
            <v>1678</v>
          </cell>
          <cell r="J1686">
            <v>148.21</v>
          </cell>
          <cell r="K1686">
            <v>-0.69</v>
          </cell>
          <cell r="L1686">
            <v>8.4512200000000011</v>
          </cell>
          <cell r="M1686">
            <v>141.06</v>
          </cell>
          <cell r="N1686">
            <v>2454.7089156850338</v>
          </cell>
          <cell r="Q1686">
            <v>14</v>
          </cell>
        </row>
        <row r="1687">
          <cell r="D1687" t="str">
            <v>7379-51-3</v>
          </cell>
          <cell r="E1687">
            <v>7379513</v>
          </cell>
          <cell r="F1687">
            <v>3626</v>
          </cell>
          <cell r="G1687" t="str">
            <v>Reach_2243</v>
          </cell>
          <cell r="H1687">
            <v>1679</v>
          </cell>
          <cell r="J1687">
            <v>168.26</v>
          </cell>
          <cell r="K1687">
            <v>71.36</v>
          </cell>
          <cell r="L1687">
            <v>0.10597350000000001</v>
          </cell>
          <cell r="M1687">
            <v>1283.2</v>
          </cell>
          <cell r="N1687">
            <v>1621.8100973589308</v>
          </cell>
          <cell r="Q1687">
            <v>14</v>
          </cell>
        </row>
        <row r="1688">
          <cell r="D1688" t="str">
            <v>90-31-3</v>
          </cell>
          <cell r="E1688">
            <v>90313</v>
          </cell>
          <cell r="F1688">
            <v>3997</v>
          </cell>
          <cell r="G1688" t="str">
            <v>Reach_363</v>
          </cell>
          <cell r="H1688">
            <v>1680</v>
          </cell>
          <cell r="J1688">
            <v>208.65</v>
          </cell>
          <cell r="K1688">
            <v>124.15</v>
          </cell>
          <cell r="L1688">
            <v>1.79955E-3</v>
          </cell>
          <cell r="M1688">
            <v>20564</v>
          </cell>
          <cell r="N1688">
            <v>1621.8100973589308</v>
          </cell>
          <cell r="Q1688">
            <v>14</v>
          </cell>
        </row>
        <row r="1689">
          <cell r="D1689" t="str">
            <v>77-93-0</v>
          </cell>
          <cell r="E1689">
            <v>77930</v>
          </cell>
          <cell r="F1689">
            <v>92</v>
          </cell>
          <cell r="G1689" t="str">
            <v>Reach_190</v>
          </cell>
          <cell r="H1689">
            <v>1681</v>
          </cell>
          <cell r="J1689">
            <v>276.29000000000002</v>
          </cell>
          <cell r="K1689">
            <v>22.72</v>
          </cell>
          <cell r="L1689">
            <v>2.6393400000000001E-2</v>
          </cell>
          <cell r="M1689">
            <v>3790</v>
          </cell>
          <cell r="N1689">
            <v>2.1379620895022322</v>
          </cell>
          <cell r="O1689">
            <v>9.92</v>
          </cell>
          <cell r="Q1689">
            <v>9.92</v>
          </cell>
        </row>
        <row r="1690">
          <cell r="D1690" t="str">
            <v>5586-73-2</v>
          </cell>
          <cell r="E1690">
            <v>5586732</v>
          </cell>
          <cell r="F1690">
            <v>3181</v>
          </cell>
          <cell r="G1690" t="str">
            <v>Reach_2128</v>
          </cell>
          <cell r="H1690">
            <v>1682</v>
          </cell>
          <cell r="J1690">
            <v>211.31</v>
          </cell>
          <cell r="K1690">
            <v>92.41</v>
          </cell>
          <cell r="L1690">
            <v>1.2730150000000001E-2</v>
          </cell>
          <cell r="M1690">
            <v>5.3476999999999997</v>
          </cell>
          <cell r="N1690">
            <v>1479.1083881682086</v>
          </cell>
          <cell r="Q1690">
            <v>14</v>
          </cell>
        </row>
        <row r="1691">
          <cell r="D1691" t="str">
            <v>3173-53-3</v>
          </cell>
          <cell r="E1691">
            <v>3173533</v>
          </cell>
          <cell r="F1691">
            <v>2630</v>
          </cell>
          <cell r="G1691" t="str">
            <v>Reach_1925</v>
          </cell>
          <cell r="H1691">
            <v>1683</v>
          </cell>
          <cell r="J1691">
            <v>125.17</v>
          </cell>
          <cell r="K1691">
            <v>-8.1199999999999992</v>
          </cell>
          <cell r="L1691">
            <v>189.286</v>
          </cell>
          <cell r="M1691">
            <v>12895</v>
          </cell>
          <cell r="N1691">
            <v>1148.1536214968839</v>
          </cell>
          <cell r="Q1691">
            <v>14</v>
          </cell>
        </row>
        <row r="1692">
          <cell r="D1692" t="str">
            <v>25092-32-4</v>
          </cell>
          <cell r="E1692">
            <v>25092324</v>
          </cell>
          <cell r="F1692">
            <v>2414</v>
          </cell>
          <cell r="G1692" t="str">
            <v>Reach_4243</v>
          </cell>
          <cell r="H1692">
            <v>1684</v>
          </cell>
          <cell r="J1692">
            <v>456.54</v>
          </cell>
          <cell r="K1692">
            <v>215.5</v>
          </cell>
          <cell r="L1692">
            <v>2.3860700000000001E-8</v>
          </cell>
          <cell r="M1692">
            <v>8.7646999999999995</v>
          </cell>
          <cell r="N1692">
            <v>1148.1536214968839</v>
          </cell>
          <cell r="Q1692">
            <v>14</v>
          </cell>
        </row>
        <row r="1693">
          <cell r="D1693" t="str">
            <v>4023-34-1</v>
          </cell>
          <cell r="E1693">
            <v>4023341</v>
          </cell>
          <cell r="F1693">
            <v>2855</v>
          </cell>
          <cell r="G1693" t="str">
            <v>Reach_2006</v>
          </cell>
          <cell r="H1693">
            <v>1685</v>
          </cell>
          <cell r="J1693">
            <v>104.54</v>
          </cell>
          <cell r="K1693">
            <v>-44.68</v>
          </cell>
          <cell r="L1693">
            <v>3652.42</v>
          </cell>
          <cell r="M1693">
            <v>16469</v>
          </cell>
          <cell r="N1693">
            <v>2.0892961308540396</v>
          </cell>
          <cell r="Q1693">
            <v>14</v>
          </cell>
        </row>
        <row r="1694">
          <cell r="D1694" t="str">
            <v>531-18-0</v>
          </cell>
          <cell r="E1694">
            <v>531180</v>
          </cell>
          <cell r="F1694">
            <v>3088</v>
          </cell>
          <cell r="G1694" t="str">
            <v>Reach_1328</v>
          </cell>
          <cell r="H1694">
            <v>1686</v>
          </cell>
          <cell r="J1694">
            <v>306.29000000000002</v>
          </cell>
          <cell r="K1694">
            <v>243.89</v>
          </cell>
          <cell r="L1694">
            <v>1.1303840000000002E-12</v>
          </cell>
          <cell r="M1694">
            <v>434000</v>
          </cell>
          <cell r="N1694">
            <v>3.3113112148259022E-6</v>
          </cell>
          <cell r="O1694">
            <v>14.7</v>
          </cell>
          <cell r="P1694">
            <v>11.44</v>
          </cell>
          <cell r="Q1694">
            <v>2.5600000000000005</v>
          </cell>
        </row>
        <row r="1695">
          <cell r="D1695" t="str">
            <v>581076-60-0</v>
          </cell>
          <cell r="E1695">
            <v>581076600</v>
          </cell>
          <cell r="F1695">
            <v>3241</v>
          </cell>
          <cell r="G1695" t="str">
            <v>Reach_4361</v>
          </cell>
          <cell r="H1695">
            <v>1687</v>
          </cell>
          <cell r="J1695">
            <v>368.44</v>
          </cell>
          <cell r="K1695">
            <v>236.44</v>
          </cell>
          <cell r="L1695">
            <v>9.5442800000000017E-10</v>
          </cell>
          <cell r="M1695">
            <v>17.202000000000002</v>
          </cell>
          <cell r="N1695">
            <v>1318.2567385564089</v>
          </cell>
          <cell r="O1695">
            <v>14.21</v>
          </cell>
          <cell r="Q1695">
            <v>14</v>
          </cell>
        </row>
        <row r="1696">
          <cell r="D1696" t="str">
            <v>1955-46-0</v>
          </cell>
          <cell r="E1696">
            <v>1955460</v>
          </cell>
          <cell r="F1696">
            <v>2235</v>
          </cell>
          <cell r="G1696" t="str">
            <v>Reach_1739</v>
          </cell>
          <cell r="H1696">
            <v>1688</v>
          </cell>
          <cell r="J1696">
            <v>225.16</v>
          </cell>
          <cell r="K1696">
            <v>146.97999999999999</v>
          </cell>
          <cell r="L1696">
            <v>2.7193200000000001E-4</v>
          </cell>
          <cell r="M1696">
            <v>714.63</v>
          </cell>
          <cell r="N1696">
            <v>33.884415613920268</v>
          </cell>
          <cell r="O1696">
            <v>3.03</v>
          </cell>
          <cell r="Q1696">
            <v>3.03</v>
          </cell>
        </row>
        <row r="1697">
          <cell r="D1697" t="str">
            <v>1609-86-5</v>
          </cell>
          <cell r="E1697">
            <v>1609865</v>
          </cell>
          <cell r="F1697">
            <v>2078</v>
          </cell>
          <cell r="G1697" t="str">
            <v>Reach_1699</v>
          </cell>
          <cell r="H1697">
            <v>1689</v>
          </cell>
          <cell r="J1697">
            <v>99.134</v>
          </cell>
          <cell r="K1697">
            <v>-44.75</v>
          </cell>
          <cell r="L1697">
            <v>1759.56</v>
          </cell>
          <cell r="M1697">
            <v>15061</v>
          </cell>
          <cell r="N1697">
            <v>141.25375446227542</v>
          </cell>
          <cell r="Q1697">
            <v>14</v>
          </cell>
        </row>
        <row r="1698">
          <cell r="D1698" t="str">
            <v>98-89-5</v>
          </cell>
          <cell r="E1698">
            <v>98895</v>
          </cell>
          <cell r="F1698">
            <v>1078</v>
          </cell>
          <cell r="G1698" t="str">
            <v>Reach_523</v>
          </cell>
          <cell r="H1698">
            <v>1690</v>
          </cell>
          <cell r="J1698">
            <v>128.16999999999999</v>
          </cell>
          <cell r="K1698">
            <v>43.53</v>
          </cell>
          <cell r="L1698">
            <v>7.5714400000000008</v>
          </cell>
          <cell r="M1698">
            <v>5535.1</v>
          </cell>
          <cell r="N1698">
            <v>229.08676527677744</v>
          </cell>
          <cell r="O1698">
            <v>4.9000000000000004</v>
          </cell>
          <cell r="Q1698">
            <v>4.9000000000000004</v>
          </cell>
        </row>
        <row r="1699">
          <cell r="D1699" t="str">
            <v>73097-51-5</v>
          </cell>
          <cell r="E1699">
            <v>73097515</v>
          </cell>
          <cell r="F1699">
            <v>3613</v>
          </cell>
          <cell r="G1699" t="str">
            <v>Reach_4418</v>
          </cell>
          <cell r="H1699">
            <v>1691</v>
          </cell>
          <cell r="J1699">
            <v>200.26</v>
          </cell>
          <cell r="K1699">
            <v>131.76</v>
          </cell>
          <cell r="L1699">
            <v>1.067733E-3</v>
          </cell>
          <cell r="M1699">
            <v>14104</v>
          </cell>
          <cell r="N1699">
            <v>0.19054607179632471</v>
          </cell>
          <cell r="P1699">
            <v>12.17</v>
          </cell>
          <cell r="Q1699">
            <v>1.83</v>
          </cell>
        </row>
        <row r="1700">
          <cell r="D1700" t="str">
            <v>17462-58-7</v>
          </cell>
          <cell r="E1700">
            <v>17462587</v>
          </cell>
          <cell r="F1700">
            <v>2140</v>
          </cell>
          <cell r="G1700" t="str">
            <v>Reach_2433</v>
          </cell>
          <cell r="H1700">
            <v>1692</v>
          </cell>
          <cell r="J1700">
            <v>136.58000000000001</v>
          </cell>
          <cell r="K1700">
            <v>-55.7</v>
          </cell>
          <cell r="L1700">
            <v>1599.6000000000001</v>
          </cell>
          <cell r="M1700">
            <v>1711.6</v>
          </cell>
          <cell r="N1700">
            <v>34.67368504525318</v>
          </cell>
          <cell r="Q1700">
            <v>14</v>
          </cell>
        </row>
        <row r="1701">
          <cell r="D1701" t="str">
            <v>3332-27-2</v>
          </cell>
          <cell r="E1701">
            <v>3332272</v>
          </cell>
          <cell r="F1701">
            <v>2679</v>
          </cell>
          <cell r="G1701" t="str">
            <v>Reach_1949</v>
          </cell>
          <cell r="H1701">
            <v>1693</v>
          </cell>
          <cell r="J1701">
            <v>257.45999999999998</v>
          </cell>
          <cell r="K1701">
            <v>183.3</v>
          </cell>
          <cell r="L1701">
            <v>1.4796300000000002E-6</v>
          </cell>
          <cell r="M1701">
            <v>5.2285999999999999E-2</v>
          </cell>
          <cell r="N1701">
            <v>457088.18961487547</v>
          </cell>
          <cell r="P1701">
            <v>9.1999999999999993</v>
          </cell>
          <cell r="Q1701">
            <v>4.8000000000000007</v>
          </cell>
        </row>
        <row r="1702">
          <cell r="D1702" t="str">
            <v>63141-09-3</v>
          </cell>
          <cell r="E1702">
            <v>63141093</v>
          </cell>
          <cell r="F1702">
            <v>3395</v>
          </cell>
          <cell r="G1702" t="str">
            <v>Reach_4382</v>
          </cell>
          <cell r="H1702">
            <v>1694</v>
          </cell>
          <cell r="J1702">
            <v>118.56</v>
          </cell>
          <cell r="K1702">
            <v>-23.27</v>
          </cell>
          <cell r="L1702">
            <v>1732.9</v>
          </cell>
          <cell r="M1702">
            <v>11982</v>
          </cell>
          <cell r="N1702">
            <v>6.0255958607435796</v>
          </cell>
          <cell r="Q1702">
            <v>14</v>
          </cell>
        </row>
        <row r="1703">
          <cell r="D1703" t="str">
            <v>93839-20-4</v>
          </cell>
          <cell r="E1703">
            <v>93839204</v>
          </cell>
          <cell r="F1703">
            <v>4087</v>
          </cell>
          <cell r="G1703" t="str">
            <v>Reach_2999</v>
          </cell>
          <cell r="H1703">
            <v>1695</v>
          </cell>
          <cell r="J1703">
            <v>315.29000000000002</v>
          </cell>
          <cell r="K1703">
            <v>244.96</v>
          </cell>
          <cell r="L1703">
            <v>2.5460300000000006E-10</v>
          </cell>
          <cell r="M1703">
            <v>335.58</v>
          </cell>
          <cell r="N1703">
            <v>21.877616239495538</v>
          </cell>
          <cell r="O1703">
            <v>14.11</v>
          </cell>
          <cell r="P1703">
            <v>14.5</v>
          </cell>
          <cell r="Q1703">
            <v>-0.5</v>
          </cell>
        </row>
        <row r="1704">
          <cell r="D1704" t="str">
            <v>82530-64-1</v>
          </cell>
          <cell r="E1704">
            <v>82530641</v>
          </cell>
          <cell r="F1704">
            <v>3825</v>
          </cell>
          <cell r="G1704" t="str">
            <v>Reach_4451</v>
          </cell>
          <cell r="H1704">
            <v>1696</v>
          </cell>
          <cell r="J1704">
            <v>199.08</v>
          </cell>
          <cell r="K1704">
            <v>16.14</v>
          </cell>
          <cell r="L1704">
            <v>2.9325999999999999</v>
          </cell>
          <cell r="M1704">
            <v>413.26</v>
          </cell>
          <cell r="N1704">
            <v>707.94578438413873</v>
          </cell>
          <cell r="Q1704">
            <v>14</v>
          </cell>
        </row>
        <row r="1705">
          <cell r="D1705" t="str">
            <v>263355-39-1</v>
          </cell>
          <cell r="E1705">
            <v>263355391</v>
          </cell>
          <cell r="F1705">
            <v>2465</v>
          </cell>
          <cell r="G1705" t="str">
            <v>Reach_4252</v>
          </cell>
          <cell r="H1705">
            <v>1697</v>
          </cell>
          <cell r="J1705">
            <v>229.28</v>
          </cell>
          <cell r="K1705">
            <v>70.44</v>
          </cell>
          <cell r="L1705">
            <v>0.16662500000000002</v>
          </cell>
          <cell r="M1705">
            <v>2235.8000000000002</v>
          </cell>
          <cell r="N1705">
            <v>851.13803820237763</v>
          </cell>
          <cell r="Q1705">
            <v>14</v>
          </cell>
        </row>
        <row r="1706">
          <cell r="D1706" t="str">
            <v>77820-58-7</v>
          </cell>
          <cell r="E1706">
            <v>77820587</v>
          </cell>
          <cell r="F1706">
            <v>3737</v>
          </cell>
          <cell r="G1706" t="str">
            <v>Reach_4558</v>
          </cell>
          <cell r="H1706">
            <v>1698</v>
          </cell>
          <cell r="J1706">
            <v>185.61</v>
          </cell>
          <cell r="K1706">
            <v>74.8</v>
          </cell>
          <cell r="L1706">
            <v>0.15329500000000001</v>
          </cell>
          <cell r="M1706">
            <v>1316.6</v>
          </cell>
          <cell r="N1706">
            <v>812.83051616409978</v>
          </cell>
          <cell r="Q1706">
            <v>14</v>
          </cell>
        </row>
        <row r="1707">
          <cell r="D1707" t="str">
            <v>2478-10-6</v>
          </cell>
          <cell r="E1707">
            <v>2478106</v>
          </cell>
          <cell r="F1707">
            <v>1247</v>
          </cell>
          <cell r="G1707" t="str">
            <v>Reach_1815</v>
          </cell>
          <cell r="H1707">
            <v>1699</v>
          </cell>
          <cell r="J1707">
            <v>144.16999999999999</v>
          </cell>
          <cell r="K1707">
            <v>6.86</v>
          </cell>
          <cell r="L1707">
            <v>2.3327500000000003</v>
          </cell>
          <cell r="M1707">
            <v>54198</v>
          </cell>
          <cell r="N1707">
            <v>5.4954087385762458</v>
          </cell>
          <cell r="O1707">
            <v>15.64</v>
          </cell>
          <cell r="Q1707">
            <v>14</v>
          </cell>
        </row>
        <row r="1708">
          <cell r="D1708" t="str">
            <v>368890-20-4</v>
          </cell>
          <cell r="E1708">
            <v>368890204</v>
          </cell>
          <cell r="F1708">
            <v>2784</v>
          </cell>
          <cell r="G1708" t="str">
            <v>Reach_4296</v>
          </cell>
          <cell r="H1708">
            <v>1700</v>
          </cell>
          <cell r="J1708">
            <v>371.8</v>
          </cell>
          <cell r="K1708">
            <v>226.32</v>
          </cell>
          <cell r="L1708">
            <v>4.5455299999999997E-9</v>
          </cell>
          <cell r="M1708">
            <v>0.59592000000000001</v>
          </cell>
          <cell r="N1708">
            <v>11481.536214968832</v>
          </cell>
          <cell r="P1708">
            <v>10.09</v>
          </cell>
          <cell r="Q1708">
            <v>3.91</v>
          </cell>
        </row>
        <row r="1709">
          <cell r="D1709" t="str">
            <v>22235-81-0</v>
          </cell>
          <cell r="E1709">
            <v>22235810</v>
          </cell>
          <cell r="F1709">
            <v>2323</v>
          </cell>
          <cell r="G1709" t="str">
            <v>Reach_2519</v>
          </cell>
          <cell r="H1709">
            <v>1701</v>
          </cell>
          <cell r="J1709">
            <v>317.43</v>
          </cell>
          <cell r="K1709">
            <v>150.74</v>
          </cell>
          <cell r="L1709">
            <v>6.9182699999999999E-7</v>
          </cell>
          <cell r="M1709">
            <v>3931.4</v>
          </cell>
          <cell r="N1709">
            <v>660.69344800759643</v>
          </cell>
          <cell r="O1709">
            <v>14.08</v>
          </cell>
          <cell r="P1709">
            <v>3.93</v>
          </cell>
          <cell r="Q1709">
            <v>10.07</v>
          </cell>
        </row>
        <row r="1710">
          <cell r="D1710" t="str">
            <v>5417-35-6</v>
          </cell>
          <cell r="E1710">
            <v>5417356</v>
          </cell>
          <cell r="F1710">
            <v>3130</v>
          </cell>
          <cell r="G1710" t="str">
            <v>Reach_2107</v>
          </cell>
          <cell r="H1710">
            <v>1702</v>
          </cell>
          <cell r="J1710">
            <v>142.19999999999999</v>
          </cell>
          <cell r="K1710">
            <v>-30.27</v>
          </cell>
          <cell r="L1710">
            <v>198.61700000000002</v>
          </cell>
          <cell r="M1710">
            <v>2976.5</v>
          </cell>
          <cell r="N1710">
            <v>61.659500186148257</v>
          </cell>
          <cell r="Q1710">
            <v>14</v>
          </cell>
        </row>
        <row r="1711">
          <cell r="D1711" t="str">
            <v>361442-00-4</v>
          </cell>
          <cell r="E1711">
            <v>361442004</v>
          </cell>
          <cell r="F1711">
            <v>2760</v>
          </cell>
          <cell r="G1711" t="str">
            <v>Reach_4874</v>
          </cell>
          <cell r="H1711">
            <v>1703</v>
          </cell>
          <cell r="J1711">
            <v>325.41000000000003</v>
          </cell>
          <cell r="K1711">
            <v>177.74</v>
          </cell>
          <cell r="L1711">
            <v>1.1383820000000001E-7</v>
          </cell>
          <cell r="M1711">
            <v>0.64663999999999999</v>
          </cell>
          <cell r="N1711">
            <v>354.81338923357566</v>
          </cell>
          <cell r="O1711">
            <v>3.44</v>
          </cell>
          <cell r="Q1711">
            <v>3.44</v>
          </cell>
        </row>
        <row r="1712">
          <cell r="D1712" t="str">
            <v>13188-60-8</v>
          </cell>
          <cell r="E1712">
            <v>13188608</v>
          </cell>
          <cell r="F1712">
            <v>5664</v>
          </cell>
          <cell r="G1712" t="str">
            <v>Reach_2326</v>
          </cell>
          <cell r="H1712">
            <v>1704</v>
          </cell>
          <cell r="J1712">
            <v>346.51</v>
          </cell>
          <cell r="K1712">
            <v>0</v>
          </cell>
          <cell r="Q1712">
            <v>14</v>
          </cell>
        </row>
        <row r="1713">
          <cell r="D1713" t="str">
            <v>15875-13-5</v>
          </cell>
          <cell r="E1713">
            <v>15875135</v>
          </cell>
          <cell r="F1713">
            <v>2064</v>
          </cell>
          <cell r="G1713" t="str">
            <v>Reach_2403</v>
          </cell>
          <cell r="H1713">
            <v>1705</v>
          </cell>
          <cell r="J1713">
            <v>342.58</v>
          </cell>
          <cell r="K1713">
            <v>162.22999999999999</v>
          </cell>
          <cell r="L1713">
            <v>5.9451800000000006E-5</v>
          </cell>
          <cell r="M1713">
            <v>5226.2</v>
          </cell>
          <cell r="N1713">
            <v>2.5703957827688629E-2</v>
          </cell>
          <cell r="P1713">
            <v>4.08</v>
          </cell>
          <cell r="Q1713">
            <v>9.92</v>
          </cell>
        </row>
        <row r="1714">
          <cell r="D1714" t="str">
            <v>110-80-5</v>
          </cell>
          <cell r="E1714">
            <v>110805</v>
          </cell>
          <cell r="F1714">
            <v>284</v>
          </cell>
          <cell r="G1714" t="str">
            <v>Reach_829</v>
          </cell>
          <cell r="H1714">
            <v>1706</v>
          </cell>
          <cell r="J1714">
            <v>90.122</v>
          </cell>
          <cell r="K1714">
            <v>-44.23</v>
          </cell>
          <cell r="L1714">
            <v>413.23000000000008</v>
          </cell>
          <cell r="M1714">
            <v>733000</v>
          </cell>
          <cell r="N1714">
            <v>0.38018939632056115</v>
          </cell>
          <cell r="O1714">
            <v>14.95</v>
          </cell>
          <cell r="Q1714">
            <v>14</v>
          </cell>
        </row>
        <row r="1715">
          <cell r="D1715" t="str">
            <v>58430-94-7</v>
          </cell>
          <cell r="E1715">
            <v>58430947</v>
          </cell>
          <cell r="F1715">
            <v>3247</v>
          </cell>
          <cell r="G1715" t="str">
            <v>Reach_2829</v>
          </cell>
          <cell r="H1715">
            <v>1707</v>
          </cell>
          <cell r="J1715">
            <v>186.29</v>
          </cell>
          <cell r="K1715">
            <v>-13.62</v>
          </cell>
          <cell r="L1715">
            <v>50.920600000000007</v>
          </cell>
          <cell r="M1715">
            <v>14.507999999999999</v>
          </cell>
          <cell r="N1715">
            <v>13182.567385564091</v>
          </cell>
          <cell r="Q1715">
            <v>14</v>
          </cell>
        </row>
        <row r="1716">
          <cell r="D1716" t="str">
            <v>530-78-9</v>
          </cell>
          <cell r="E1716">
            <v>530789</v>
          </cell>
          <cell r="F1716">
            <v>3086</v>
          </cell>
          <cell r="G1716" t="str">
            <v>Reach_1327</v>
          </cell>
          <cell r="H1716">
            <v>1708</v>
          </cell>
          <cell r="J1716">
            <v>281.23</v>
          </cell>
          <cell r="K1716">
            <v>139.66999999999999</v>
          </cell>
          <cell r="L1716">
            <v>3.0392400000000007E-4</v>
          </cell>
          <cell r="M1716">
            <v>36.481999999999999</v>
          </cell>
          <cell r="N1716">
            <v>141253.75446227577</v>
          </cell>
          <cell r="O1716">
            <v>4.1900000000000004</v>
          </cell>
          <cell r="Q1716">
            <v>4.1900000000000004</v>
          </cell>
        </row>
        <row r="1717">
          <cell r="D1717" t="str">
            <v>51336-94-8</v>
          </cell>
          <cell r="E1717">
            <v>51336948</v>
          </cell>
          <cell r="F1717">
            <v>3034</v>
          </cell>
          <cell r="G1717" t="str">
            <v>Reach_4566</v>
          </cell>
          <cell r="H1717">
            <v>1709</v>
          </cell>
          <cell r="J1717">
            <v>190.58</v>
          </cell>
          <cell r="K1717">
            <v>30.75</v>
          </cell>
          <cell r="L1717">
            <v>7.5981000000000005</v>
          </cell>
          <cell r="M1717">
            <v>453.39</v>
          </cell>
          <cell r="N1717">
            <v>213.79620895022339</v>
          </cell>
          <cell r="Q1717">
            <v>14</v>
          </cell>
        </row>
        <row r="1718">
          <cell r="D1718" t="str">
            <v>150928-21-5</v>
          </cell>
          <cell r="E1718">
            <v>150928215</v>
          </cell>
          <cell r="F1718">
            <v>2015</v>
          </cell>
          <cell r="G1718" t="str">
            <v>Reach_4161</v>
          </cell>
          <cell r="H1718">
            <v>1710</v>
          </cell>
          <cell r="J1718">
            <v>806.5</v>
          </cell>
          <cell r="K1718">
            <v>327.39</v>
          </cell>
          <cell r="L1718">
            <v>4.9720900000000003E-16</v>
          </cell>
          <cell r="M1718">
            <v>3.9301000000000003E-2</v>
          </cell>
          <cell r="N1718">
            <v>69.183097091893657</v>
          </cell>
          <cell r="O1718">
            <v>10.81</v>
          </cell>
          <cell r="Q1718">
            <v>10.81</v>
          </cell>
        </row>
        <row r="1719">
          <cell r="D1719" t="str">
            <v>255830-15-0</v>
          </cell>
          <cell r="E1719">
            <v>255830150</v>
          </cell>
          <cell r="F1719">
            <v>2438</v>
          </cell>
          <cell r="G1719" t="str">
            <v>Reach_5021</v>
          </cell>
          <cell r="H1719">
            <v>1711</v>
          </cell>
          <cell r="J1719">
            <v>127.99</v>
          </cell>
          <cell r="K1719">
            <v>-25.11</v>
          </cell>
          <cell r="L1719">
            <v>4118.97</v>
          </cell>
          <cell r="N1719">
            <v>2.7542287033381663</v>
          </cell>
          <cell r="Q1719">
            <v>14</v>
          </cell>
        </row>
        <row r="1720">
          <cell r="D1720" t="str">
            <v>89-25-8</v>
          </cell>
          <cell r="E1720">
            <v>89258</v>
          </cell>
          <cell r="F1720">
            <v>3970</v>
          </cell>
          <cell r="G1720" t="str">
            <v>Reach_339</v>
          </cell>
          <cell r="H1720">
            <v>1712</v>
          </cell>
          <cell r="J1720">
            <v>174.21</v>
          </cell>
          <cell r="K1720">
            <v>113.39</v>
          </cell>
          <cell r="L1720">
            <v>4.5588600000000005E-3</v>
          </cell>
          <cell r="M1720">
            <v>95398</v>
          </cell>
          <cell r="N1720">
            <v>363.07805477010152</v>
          </cell>
          <cell r="Q1720">
            <v>14</v>
          </cell>
        </row>
        <row r="1721">
          <cell r="D1721" t="str">
            <v>2517-43-3</v>
          </cell>
          <cell r="E1721">
            <v>2517433</v>
          </cell>
          <cell r="F1721">
            <v>2422</v>
          </cell>
          <cell r="G1721" t="str">
            <v>Reach_1827</v>
          </cell>
          <cell r="H1721">
            <v>1713</v>
          </cell>
          <cell r="J1721">
            <v>104.15</v>
          </cell>
          <cell r="K1721">
            <v>-43.5</v>
          </cell>
          <cell r="L1721">
            <v>121.43630000000002</v>
          </cell>
          <cell r="M1721">
            <v>53168</v>
          </cell>
          <cell r="N1721">
            <v>1</v>
          </cell>
          <cell r="O1721">
            <v>15.52</v>
          </cell>
          <cell r="Q1721">
            <v>14</v>
          </cell>
        </row>
        <row r="1722">
          <cell r="D1722" t="str">
            <v>543-49-7</v>
          </cell>
          <cell r="E1722">
            <v>543497</v>
          </cell>
          <cell r="F1722">
            <v>3139</v>
          </cell>
          <cell r="G1722" t="str">
            <v>Reach_1350</v>
          </cell>
          <cell r="H1722">
            <v>1714</v>
          </cell>
          <cell r="J1722">
            <v>116.2</v>
          </cell>
          <cell r="K1722">
            <v>-39.26</v>
          </cell>
          <cell r="L1722">
            <v>114.77130000000001</v>
          </cell>
          <cell r="M1722">
            <v>4901</v>
          </cell>
          <cell r="N1722">
            <v>173.78008287493768</v>
          </cell>
          <cell r="Q1722">
            <v>14</v>
          </cell>
        </row>
        <row r="1723">
          <cell r="D1723" t="str">
            <v>80012-43-7</v>
          </cell>
          <cell r="E1723">
            <v>80012437</v>
          </cell>
          <cell r="F1723">
            <v>3785</v>
          </cell>
          <cell r="G1723" t="str">
            <v>Reach_4444</v>
          </cell>
          <cell r="H1723">
            <v>1715</v>
          </cell>
          <cell r="J1723">
            <v>249.32</v>
          </cell>
          <cell r="K1723">
            <v>160.4</v>
          </cell>
          <cell r="L1723">
            <v>8.7178200000000012E-5</v>
          </cell>
          <cell r="M1723">
            <v>367.62</v>
          </cell>
          <cell r="N1723">
            <v>346.73685045253183</v>
          </cell>
          <cell r="P1723">
            <v>5</v>
          </cell>
          <cell r="Q1723">
            <v>9</v>
          </cell>
        </row>
        <row r="1724">
          <cell r="D1724" t="str">
            <v>15520-10-2</v>
          </cell>
          <cell r="E1724">
            <v>15520102</v>
          </cell>
          <cell r="F1724">
            <v>2040</v>
          </cell>
          <cell r="G1724" t="str">
            <v>Reach_2390</v>
          </cell>
          <cell r="H1724">
            <v>1716</v>
          </cell>
          <cell r="J1724">
            <v>116.21</v>
          </cell>
          <cell r="K1724">
            <v>13.42</v>
          </cell>
          <cell r="L1724">
            <v>132.50020000000001</v>
          </cell>
          <cell r="M1724">
            <v>1000000</v>
          </cell>
          <cell r="N1724">
            <v>1.8620871366628675</v>
          </cell>
          <cell r="P1724">
            <v>3.28</v>
          </cell>
          <cell r="Q1724">
            <v>10.72</v>
          </cell>
        </row>
        <row r="1725">
          <cell r="D1725" t="str">
            <v>500011-92-7</v>
          </cell>
          <cell r="E1725">
            <v>500011927</v>
          </cell>
          <cell r="F1725">
            <v>2993</v>
          </cell>
          <cell r="G1725" t="str">
            <v>Reach_4330</v>
          </cell>
          <cell r="H1725">
            <v>1717</v>
          </cell>
          <cell r="J1725">
            <v>330.58</v>
          </cell>
          <cell r="K1725">
            <v>161.05000000000001</v>
          </cell>
          <cell r="L1725">
            <v>7.9313500000000012E-5</v>
          </cell>
          <cell r="M1725">
            <v>23.125</v>
          </cell>
          <cell r="N1725">
            <v>309.02954325135937</v>
          </cell>
          <cell r="P1725">
            <v>13.57</v>
          </cell>
          <cell r="Q1725">
            <v>0.42999999999999972</v>
          </cell>
        </row>
        <row r="1726">
          <cell r="D1726" t="str">
            <v>7384-80-7</v>
          </cell>
          <cell r="E1726">
            <v>7384807</v>
          </cell>
          <cell r="F1726">
            <v>3628</v>
          </cell>
          <cell r="G1726" t="str">
            <v>Reach_2245</v>
          </cell>
          <cell r="H1726">
            <v>1718</v>
          </cell>
          <cell r="J1726">
            <v>150.22</v>
          </cell>
          <cell r="K1726">
            <v>16.98</v>
          </cell>
          <cell r="L1726">
            <v>0.42922600000000005</v>
          </cell>
          <cell r="M1726">
            <v>1281.7</v>
          </cell>
          <cell r="N1726">
            <v>301.99517204020168</v>
          </cell>
          <cell r="O1726">
            <v>15.72</v>
          </cell>
          <cell r="Q1726">
            <v>14</v>
          </cell>
        </row>
        <row r="1727">
          <cell r="D1727" t="str">
            <v>77-86-1</v>
          </cell>
          <cell r="E1727">
            <v>77861</v>
          </cell>
          <cell r="F1727">
            <v>3739</v>
          </cell>
          <cell r="G1727" t="str">
            <v>Reach_187</v>
          </cell>
          <cell r="H1727">
            <v>1719</v>
          </cell>
          <cell r="J1727">
            <v>121.14</v>
          </cell>
          <cell r="K1727">
            <v>80.75</v>
          </cell>
          <cell r="L1727">
            <v>3.0392400000000007E-4</v>
          </cell>
          <cell r="M1727">
            <v>1000000</v>
          </cell>
          <cell r="N1727">
            <v>2.7542287033381647E-2</v>
          </cell>
          <cell r="O1727">
            <v>13.92</v>
          </cell>
          <cell r="P1727">
            <v>5.9</v>
          </cell>
          <cell r="Q1727">
            <v>8.1</v>
          </cell>
        </row>
        <row r="1728">
          <cell r="D1728" t="str">
            <v>102625-64-9</v>
          </cell>
          <cell r="E1728">
            <v>102625649</v>
          </cell>
          <cell r="F1728">
            <v>1348</v>
          </cell>
          <cell r="G1728" t="str">
            <v>Reach_4729</v>
          </cell>
          <cell r="H1728">
            <v>1720</v>
          </cell>
          <cell r="J1728">
            <v>367.38</v>
          </cell>
          <cell r="K1728">
            <v>228.64</v>
          </cell>
          <cell r="L1728">
            <v>3.1858700000000003E-9</v>
          </cell>
          <cell r="M1728">
            <v>4.3903999999999996</v>
          </cell>
          <cell r="N1728">
            <v>954.99258602143675</v>
          </cell>
          <cell r="O1728">
            <v>11.85</v>
          </cell>
          <cell r="P1728">
            <v>8.8800000000000008</v>
          </cell>
          <cell r="Q1728">
            <v>5.1199999999999992</v>
          </cell>
        </row>
        <row r="1729">
          <cell r="D1729" t="str">
            <v>79-44-7</v>
          </cell>
          <cell r="E1729">
            <v>79447</v>
          </cell>
          <cell r="F1729">
            <v>3777</v>
          </cell>
          <cell r="G1729" t="str">
            <v>Reach_246</v>
          </cell>
          <cell r="H1729">
            <v>1721</v>
          </cell>
          <cell r="J1729">
            <v>107.54</v>
          </cell>
          <cell r="K1729">
            <v>-15.87</v>
          </cell>
          <cell r="L1729">
            <v>239.94000000000003</v>
          </cell>
          <cell r="M1729">
            <v>179000</v>
          </cell>
          <cell r="N1729">
            <v>0.19054607179632471</v>
          </cell>
          <cell r="P1729">
            <v>14.4</v>
          </cell>
          <cell r="Q1729">
            <v>-0.40000000000000036</v>
          </cell>
        </row>
        <row r="1730">
          <cell r="D1730" t="str">
            <v>218768-11-7</v>
          </cell>
          <cell r="E1730">
            <v>218768117</v>
          </cell>
          <cell r="F1730">
            <v>2309</v>
          </cell>
          <cell r="G1730" t="str">
            <v>Reach_4753</v>
          </cell>
          <cell r="H1730">
            <v>1722</v>
          </cell>
          <cell r="J1730">
            <v>242.27</v>
          </cell>
          <cell r="K1730">
            <v>142.16</v>
          </cell>
          <cell r="L1730">
            <v>1.3596600000000003E-6</v>
          </cell>
          <cell r="M1730">
            <v>3615.6</v>
          </cell>
          <cell r="N1730">
            <v>257.03957827688663</v>
          </cell>
          <cell r="O1730">
            <v>8.64</v>
          </cell>
          <cell r="Q1730">
            <v>8.64</v>
          </cell>
        </row>
        <row r="1731">
          <cell r="D1731" t="str">
            <v>77326-36-4</v>
          </cell>
          <cell r="E1731">
            <v>77326364</v>
          </cell>
          <cell r="F1731">
            <v>3731</v>
          </cell>
          <cell r="G1731" t="str">
            <v>Reach_4439</v>
          </cell>
          <cell r="H1731">
            <v>1723</v>
          </cell>
          <cell r="J1731">
            <v>136.13</v>
          </cell>
          <cell r="K1731">
            <v>55.76</v>
          </cell>
          <cell r="L1731">
            <v>1.3596600000000003</v>
          </cell>
          <cell r="M1731">
            <v>5004.3</v>
          </cell>
          <cell r="N1731">
            <v>23.442288153199236</v>
          </cell>
          <cell r="P1731">
            <v>13.68</v>
          </cell>
          <cell r="Q1731">
            <v>0.32000000000000028</v>
          </cell>
        </row>
        <row r="1732">
          <cell r="D1732" t="str">
            <v>133865-89-1</v>
          </cell>
          <cell r="E1732">
            <v>133865891</v>
          </cell>
          <cell r="F1732">
            <v>1871</v>
          </cell>
          <cell r="G1732" t="str">
            <v>Reach_4129</v>
          </cell>
          <cell r="H1732">
            <v>1724</v>
          </cell>
          <cell r="J1732">
            <v>302.35000000000002</v>
          </cell>
          <cell r="K1732">
            <v>190.45</v>
          </cell>
          <cell r="L1732">
            <v>1.0410730000000002E-6</v>
          </cell>
          <cell r="M1732">
            <v>8.3832000000000004</v>
          </cell>
          <cell r="N1732">
            <v>223.87211385683412</v>
          </cell>
          <cell r="Q1732">
            <v>14</v>
          </cell>
        </row>
        <row r="1733">
          <cell r="D1733" t="str">
            <v>121-60-8</v>
          </cell>
          <cell r="E1733">
            <v>121608</v>
          </cell>
          <cell r="F1733">
            <v>1730</v>
          </cell>
          <cell r="G1733" t="str">
            <v>Reach_1017</v>
          </cell>
          <cell r="H1733">
            <v>1725</v>
          </cell>
          <cell r="J1733">
            <v>233.67</v>
          </cell>
          <cell r="K1733">
            <v>166.38</v>
          </cell>
          <cell r="L1733">
            <v>4.4522200000000005E-5</v>
          </cell>
          <cell r="M1733">
            <v>4462.3</v>
          </cell>
          <cell r="N1733">
            <v>112.20184543019634</v>
          </cell>
          <cell r="P1733">
            <v>15.77</v>
          </cell>
          <cell r="Q1733">
            <v>-1.7699999999999996</v>
          </cell>
        </row>
        <row r="1734">
          <cell r="D1734" t="str">
            <v>49701-24-8</v>
          </cell>
          <cell r="E1734">
            <v>49701248</v>
          </cell>
          <cell r="F1734">
            <v>2986</v>
          </cell>
          <cell r="G1734" t="str">
            <v>Reach_2763</v>
          </cell>
          <cell r="H1734">
            <v>1726</v>
          </cell>
          <cell r="J1734">
            <v>246.29</v>
          </cell>
          <cell r="K1734">
            <v>154.6</v>
          </cell>
          <cell r="L1734">
            <v>8.2779299999999995E-5</v>
          </cell>
          <cell r="M1734">
            <v>26416</v>
          </cell>
          <cell r="N1734">
            <v>1.2022644346174129</v>
          </cell>
          <cell r="O1734">
            <v>10.48</v>
          </cell>
          <cell r="P1734">
            <v>12.3</v>
          </cell>
          <cell r="Q1734">
            <v>1.6999999999999993</v>
          </cell>
        </row>
        <row r="1735">
          <cell r="D1735" t="str">
            <v>7087-68-5</v>
          </cell>
          <cell r="E1735">
            <v>7087685</v>
          </cell>
          <cell r="F1735">
            <v>814</v>
          </cell>
          <cell r="G1735" t="str">
            <v>Reach_2225</v>
          </cell>
          <cell r="H1735">
            <v>1727</v>
          </cell>
          <cell r="J1735">
            <v>129.25</v>
          </cell>
          <cell r="K1735">
            <v>-68.81</v>
          </cell>
          <cell r="L1735">
            <v>1559.6100000000001</v>
          </cell>
          <cell r="M1735">
            <v>12615</v>
          </cell>
          <cell r="N1735">
            <v>223.87211385683412</v>
          </cell>
          <cell r="P1735">
            <v>3</v>
          </cell>
          <cell r="Q1735">
            <v>11</v>
          </cell>
        </row>
        <row r="1736">
          <cell r="D1736" t="str">
            <v>86261-90-7</v>
          </cell>
          <cell r="E1736">
            <v>86261907</v>
          </cell>
          <cell r="F1736">
            <v>3902</v>
          </cell>
          <cell r="G1736" t="str">
            <v>Reach_2989</v>
          </cell>
          <cell r="H1736">
            <v>1728</v>
          </cell>
          <cell r="J1736">
            <v>198.22</v>
          </cell>
          <cell r="K1736">
            <v>108.55</v>
          </cell>
          <cell r="L1736">
            <v>5.0520700000000005E-3</v>
          </cell>
          <cell r="M1736">
            <v>24399</v>
          </cell>
          <cell r="N1736">
            <v>2.5703957827688639</v>
          </cell>
          <cell r="O1736">
            <v>13.48</v>
          </cell>
          <cell r="P1736">
            <v>14.53</v>
          </cell>
          <cell r="Q1736">
            <v>-0.52999999999999936</v>
          </cell>
        </row>
        <row r="1737">
          <cell r="D1737" t="str">
            <v>27344-06-5</v>
          </cell>
          <cell r="E1737">
            <v>27344065</v>
          </cell>
          <cell r="F1737">
            <v>5809</v>
          </cell>
          <cell r="G1737" t="str">
            <v>Reach_2601</v>
          </cell>
          <cell r="H1737">
            <v>1729</v>
          </cell>
          <cell r="J1737">
            <v>1015</v>
          </cell>
          <cell r="K1737">
            <v>0</v>
          </cell>
          <cell r="Q1737">
            <v>14</v>
          </cell>
        </row>
        <row r="1738">
          <cell r="D1738" t="str">
            <v>24131-07-5</v>
          </cell>
          <cell r="E1738">
            <v>24131075</v>
          </cell>
          <cell r="F1738">
            <v>2375</v>
          </cell>
          <cell r="G1738" t="str">
            <v>Reach_4238</v>
          </cell>
          <cell r="H1738">
            <v>1730</v>
          </cell>
          <cell r="J1738">
            <v>203.24</v>
          </cell>
          <cell r="K1738">
            <v>79.03</v>
          </cell>
          <cell r="L1738">
            <v>3.65242E-2</v>
          </cell>
          <cell r="M1738">
            <v>185.31</v>
          </cell>
          <cell r="N1738">
            <v>125.89254117941677</v>
          </cell>
          <cell r="Q1738">
            <v>14</v>
          </cell>
        </row>
        <row r="1739">
          <cell r="D1739" t="str">
            <v>959624-24-9</v>
          </cell>
          <cell r="E1739">
            <v>959624249</v>
          </cell>
          <cell r="F1739">
            <v>4139</v>
          </cell>
          <cell r="G1739" t="str">
            <v>Reach_4779</v>
          </cell>
          <cell r="H1739">
            <v>1731</v>
          </cell>
          <cell r="J1739">
            <v>256.3</v>
          </cell>
          <cell r="K1739">
            <v>154.63</v>
          </cell>
          <cell r="L1739">
            <v>1.7595600000000002E-7</v>
          </cell>
          <cell r="M1739">
            <v>111.34</v>
          </cell>
          <cell r="N1739">
            <v>117.48975549395293</v>
          </cell>
          <cell r="Q1739">
            <v>14</v>
          </cell>
        </row>
        <row r="1740">
          <cell r="D1740" t="str">
            <v>13349-82-1</v>
          </cell>
          <cell r="E1740">
            <v>13349821</v>
          </cell>
          <cell r="F1740">
            <v>1867</v>
          </cell>
          <cell r="G1740" t="str">
            <v>Reach_4127</v>
          </cell>
          <cell r="H1740">
            <v>1732</v>
          </cell>
          <cell r="J1740">
            <v>174.25</v>
          </cell>
          <cell r="K1740">
            <v>89.54</v>
          </cell>
          <cell r="L1740">
            <v>5.1587100000000004E-3</v>
          </cell>
          <cell r="M1740">
            <v>1000000</v>
          </cell>
          <cell r="N1740">
            <v>1.4454397707459272E-2</v>
          </cell>
          <cell r="Q1740">
            <v>14</v>
          </cell>
        </row>
        <row r="1741">
          <cell r="D1741" t="str">
            <v>18559-94-9</v>
          </cell>
          <cell r="E1741">
            <v>18559949</v>
          </cell>
          <cell r="F1741">
            <v>2198</v>
          </cell>
          <cell r="G1741" t="str">
            <v>Reach_2465</v>
          </cell>
          <cell r="H1741">
            <v>1733</v>
          </cell>
          <cell r="J1741">
            <v>239.32</v>
          </cell>
          <cell r="K1741">
            <v>145.79</v>
          </cell>
          <cell r="L1741">
            <v>1.1850370000000003E-6</v>
          </cell>
          <cell r="M1741">
            <v>15840</v>
          </cell>
          <cell r="N1741">
            <v>4.3651583224016601</v>
          </cell>
          <cell r="O1741">
            <v>10.07</v>
          </cell>
          <cell r="P1741">
            <v>5.0599999999999996</v>
          </cell>
          <cell r="Q1741">
            <v>8.9400000000000013</v>
          </cell>
        </row>
        <row r="1742">
          <cell r="D1742" t="str">
            <v>4708-04-7</v>
          </cell>
          <cell r="E1742">
            <v>4708047</v>
          </cell>
          <cell r="F1742">
            <v>1271</v>
          </cell>
          <cell r="G1742" t="str">
            <v>Reach_2057</v>
          </cell>
          <cell r="H1742">
            <v>1734</v>
          </cell>
          <cell r="J1742">
            <v>160.97</v>
          </cell>
          <cell r="K1742">
            <v>-34.76</v>
          </cell>
          <cell r="L1742">
            <v>191.952</v>
          </cell>
          <cell r="M1742">
            <v>8453</v>
          </cell>
          <cell r="N1742">
            <v>7.2443596007499025</v>
          </cell>
          <cell r="Q1742">
            <v>14</v>
          </cell>
        </row>
        <row r="1743">
          <cell r="D1743" t="str">
            <v>30433-91-1</v>
          </cell>
          <cell r="E1743">
            <v>30433911</v>
          </cell>
          <cell r="F1743">
            <v>2597</v>
          </cell>
          <cell r="G1743" t="str">
            <v>Reach_2647</v>
          </cell>
          <cell r="H1743">
            <v>1735</v>
          </cell>
          <cell r="J1743">
            <v>127.21</v>
          </cell>
          <cell r="K1743">
            <v>32.01</v>
          </cell>
          <cell r="L1743">
            <v>19.595100000000002</v>
          </cell>
          <cell r="M1743">
            <v>1066.3</v>
          </cell>
          <cell r="N1743">
            <v>23.988329190194907</v>
          </cell>
          <cell r="Q1743">
            <v>14</v>
          </cell>
        </row>
        <row r="1744">
          <cell r="D1744" t="str">
            <v>82543-15-5</v>
          </cell>
          <cell r="E1744">
            <v>82543155</v>
          </cell>
          <cell r="F1744">
            <v>3828</v>
          </cell>
          <cell r="G1744" t="str">
            <v>Reach_4454</v>
          </cell>
          <cell r="H1744">
            <v>1736</v>
          </cell>
          <cell r="J1744">
            <v>316.44</v>
          </cell>
          <cell r="K1744">
            <v>177.05</v>
          </cell>
          <cell r="L1744">
            <v>5.07873E-8</v>
          </cell>
          <cell r="M1744">
            <v>856.47</v>
          </cell>
          <cell r="N1744">
            <v>97.723722095581124</v>
          </cell>
          <cell r="Q1744">
            <v>14</v>
          </cell>
        </row>
        <row r="1745">
          <cell r="D1745" t="str">
            <v>393-52-2</v>
          </cell>
          <cell r="E1745">
            <v>393522</v>
          </cell>
          <cell r="F1745">
            <v>2838</v>
          </cell>
          <cell r="G1745" t="str">
            <v>Reach_1264</v>
          </cell>
          <cell r="H1745">
            <v>1737</v>
          </cell>
          <cell r="J1745">
            <v>158.56</v>
          </cell>
          <cell r="K1745">
            <v>7.61</v>
          </cell>
          <cell r="L1745">
            <v>35.591100000000004</v>
          </cell>
          <cell r="M1745">
            <v>5229.1000000000004</v>
          </cell>
          <cell r="N1745">
            <v>43.651583224016612</v>
          </cell>
          <cell r="Q1745">
            <v>14</v>
          </cell>
        </row>
        <row r="1746">
          <cell r="D1746" t="str">
            <v>139481-58-6</v>
          </cell>
          <cell r="E1746">
            <v>139481586</v>
          </cell>
          <cell r="F1746">
            <v>1920</v>
          </cell>
          <cell r="G1746" t="str">
            <v>Reach_4610</v>
          </cell>
          <cell r="H1746">
            <v>1738</v>
          </cell>
          <cell r="J1746">
            <v>468.52</v>
          </cell>
          <cell r="K1746">
            <v>321.87</v>
          </cell>
          <cell r="L1746">
            <v>1.222361E-15</v>
          </cell>
          <cell r="M1746">
            <v>1.1898E-3</v>
          </cell>
          <cell r="N1746">
            <v>173780.0828749378</v>
          </cell>
          <cell r="Q1746">
            <v>14</v>
          </cell>
        </row>
        <row r="1747">
          <cell r="D1747" t="str">
            <v>641571-11-1</v>
          </cell>
          <cell r="E1747">
            <v>641571111</v>
          </cell>
          <cell r="F1747">
            <v>3428</v>
          </cell>
          <cell r="G1747" t="str">
            <v>Reach_4642</v>
          </cell>
          <cell r="H1747">
            <v>1739</v>
          </cell>
          <cell r="J1747">
            <v>241.22</v>
          </cell>
          <cell r="K1747">
            <v>136.66</v>
          </cell>
          <cell r="L1747">
            <v>3.9190200000000002E-4</v>
          </cell>
          <cell r="M1747">
            <v>264.19</v>
          </cell>
          <cell r="N1747">
            <v>263.02679918953817</v>
          </cell>
          <cell r="Q1747">
            <v>14</v>
          </cell>
        </row>
        <row r="1748">
          <cell r="D1748" t="str">
            <v>26447-85-8</v>
          </cell>
          <cell r="E1748">
            <v>26447858</v>
          </cell>
          <cell r="F1748">
            <v>2469</v>
          </cell>
          <cell r="G1748" t="str">
            <v>Reach_4254</v>
          </cell>
          <cell r="H1748">
            <v>1740</v>
          </cell>
          <cell r="J1748">
            <v>254.33</v>
          </cell>
          <cell r="K1748">
            <v>131.81</v>
          </cell>
          <cell r="L1748">
            <v>2.07948E-5</v>
          </cell>
          <cell r="M1748">
            <v>444.47</v>
          </cell>
          <cell r="N1748">
            <v>70.794578438413865</v>
          </cell>
          <cell r="Q1748">
            <v>14</v>
          </cell>
        </row>
        <row r="1749">
          <cell r="D1749" t="str">
            <v>99199-60-7</v>
          </cell>
          <cell r="E1749">
            <v>99199607</v>
          </cell>
          <cell r="F1749">
            <v>4199</v>
          </cell>
          <cell r="G1749" t="str">
            <v>Reach_4518</v>
          </cell>
          <cell r="H1749">
            <v>1741</v>
          </cell>
          <cell r="J1749">
            <v>196.18</v>
          </cell>
          <cell r="K1749">
            <v>99.09</v>
          </cell>
          <cell r="L1749">
            <v>2.0528200000000003E-2</v>
          </cell>
          <cell r="M1749">
            <v>3392.8</v>
          </cell>
          <cell r="N1749">
            <v>134.89628825916537</v>
          </cell>
          <cell r="Q1749">
            <v>14</v>
          </cell>
        </row>
        <row r="1750">
          <cell r="D1750" t="str">
            <v>161798-03-4</v>
          </cell>
          <cell r="E1750">
            <v>161798034</v>
          </cell>
          <cell r="F1750">
            <v>2082</v>
          </cell>
          <cell r="G1750" t="str">
            <v>Reach_4983</v>
          </cell>
          <cell r="H1750">
            <v>1742</v>
          </cell>
          <cell r="J1750">
            <v>347.43</v>
          </cell>
          <cell r="K1750">
            <v>194.36</v>
          </cell>
          <cell r="L1750">
            <v>5.8118800000000003E-7</v>
          </cell>
          <cell r="M1750">
            <v>0.50963999999999998</v>
          </cell>
          <cell r="N1750">
            <v>67608.297539198305</v>
          </cell>
          <cell r="P1750">
            <v>12.2</v>
          </cell>
          <cell r="Q1750">
            <v>1.8000000000000007</v>
          </cell>
        </row>
        <row r="1751">
          <cell r="D1751" t="str">
            <v>176972-62-6</v>
          </cell>
          <cell r="E1751">
            <v>176972626</v>
          </cell>
          <cell r="F1751">
            <v>2151</v>
          </cell>
          <cell r="G1751" t="str">
            <v>Reach_4552</v>
          </cell>
          <cell r="H1751">
            <v>1743</v>
          </cell>
          <cell r="J1751">
            <v>257.72000000000003</v>
          </cell>
          <cell r="K1751">
            <v>115.49</v>
          </cell>
          <cell r="L1751">
            <v>4.3589100000000006E-5</v>
          </cell>
          <cell r="M1751">
            <v>631.29999999999995</v>
          </cell>
          <cell r="N1751">
            <v>60.255958607435822</v>
          </cell>
          <cell r="O1751">
            <v>10.34</v>
          </cell>
          <cell r="Q1751">
            <v>10.34</v>
          </cell>
        </row>
        <row r="1752">
          <cell r="D1752" t="str">
            <v>100-06-1</v>
          </cell>
          <cell r="E1752">
            <v>100061</v>
          </cell>
          <cell r="F1752">
            <v>1291</v>
          </cell>
          <cell r="G1752" t="str">
            <v>Reach_549</v>
          </cell>
          <cell r="H1752">
            <v>1744</v>
          </cell>
          <cell r="J1752">
            <v>150.18</v>
          </cell>
          <cell r="K1752">
            <v>24.72</v>
          </cell>
          <cell r="L1752">
            <v>1.7728900000000001</v>
          </cell>
          <cell r="M1752">
            <v>3349.2</v>
          </cell>
          <cell r="N1752">
            <v>56.234132519034915</v>
          </cell>
          <cell r="Q1752">
            <v>14</v>
          </cell>
        </row>
        <row r="1753">
          <cell r="D1753" t="str">
            <v>90315-82-5</v>
          </cell>
          <cell r="E1753">
            <v>90315825</v>
          </cell>
          <cell r="F1753">
            <v>3998</v>
          </cell>
          <cell r="G1753" t="str">
            <v>Reach_4496</v>
          </cell>
          <cell r="H1753">
            <v>1745</v>
          </cell>
          <cell r="J1753">
            <v>208.26</v>
          </cell>
          <cell r="K1753">
            <v>67.44</v>
          </cell>
          <cell r="L1753">
            <v>3.3325000000000004E-3</v>
          </cell>
          <cell r="M1753">
            <v>2189.1</v>
          </cell>
          <cell r="N1753">
            <v>58.884365535558949</v>
          </cell>
          <cell r="O1753">
            <v>12.44</v>
          </cell>
          <cell r="Q1753">
            <v>12.44</v>
          </cell>
        </row>
        <row r="1754">
          <cell r="D1754" t="str">
            <v>1103234-56-5</v>
          </cell>
          <cell r="E1754">
            <v>1103234565</v>
          </cell>
          <cell r="F1754">
            <v>1517</v>
          </cell>
          <cell r="G1754" t="str">
            <v>Reach_4982</v>
          </cell>
          <cell r="H1754">
            <v>1746</v>
          </cell>
          <cell r="J1754">
            <v>279.26</v>
          </cell>
          <cell r="K1754">
            <v>166.96</v>
          </cell>
          <cell r="L1754">
            <v>3.3591599999999999E-5</v>
          </cell>
          <cell r="M1754">
            <v>442.94</v>
          </cell>
          <cell r="N1754">
            <v>22.387211385683404</v>
          </cell>
          <cell r="O1754">
            <v>1.79</v>
          </cell>
          <cell r="Q1754">
            <v>1.79</v>
          </cell>
        </row>
        <row r="1755">
          <cell r="D1755" t="str">
            <v>862574-88-7</v>
          </cell>
          <cell r="E1755">
            <v>862574887</v>
          </cell>
          <cell r="F1755">
            <v>3901</v>
          </cell>
          <cell r="G1755" t="str">
            <v>Reach_5042</v>
          </cell>
          <cell r="H1755">
            <v>1747</v>
          </cell>
          <cell r="J1755">
            <v>242.18</v>
          </cell>
          <cell r="K1755">
            <v>125.36</v>
          </cell>
          <cell r="L1755">
            <v>3.2658500000000003E-3</v>
          </cell>
          <cell r="M1755">
            <v>745.67</v>
          </cell>
          <cell r="N1755">
            <v>6606.9344800759654</v>
          </cell>
          <cell r="Q1755">
            <v>14</v>
          </cell>
        </row>
        <row r="1756">
          <cell r="D1756" t="str">
            <v>5693-27-6</v>
          </cell>
          <cell r="E1756">
            <v>5693276</v>
          </cell>
          <cell r="F1756">
            <v>3216</v>
          </cell>
          <cell r="G1756" t="str">
            <v>Reach_4656</v>
          </cell>
          <cell r="H1756">
            <v>1748</v>
          </cell>
          <cell r="J1756">
            <v>162.13999999999999</v>
          </cell>
          <cell r="K1756">
            <v>85.68</v>
          </cell>
          <cell r="L1756">
            <v>1.4796300000000002E-2</v>
          </cell>
          <cell r="M1756">
            <v>3361.8</v>
          </cell>
          <cell r="N1756">
            <v>45.708818961487509</v>
          </cell>
          <cell r="Q1756">
            <v>14</v>
          </cell>
        </row>
        <row r="1757">
          <cell r="D1757" t="str">
            <v>22038-86-4</v>
          </cell>
          <cell r="E1757">
            <v>22038864</v>
          </cell>
          <cell r="F1757">
            <v>2315</v>
          </cell>
          <cell r="G1757" t="str">
            <v>Reach_4224</v>
          </cell>
          <cell r="H1757">
            <v>1749</v>
          </cell>
          <cell r="J1757">
            <v>151.21</v>
          </cell>
          <cell r="K1757">
            <v>34.4</v>
          </cell>
          <cell r="L1757">
            <v>7.6114300000000004</v>
          </cell>
          <cell r="M1757">
            <v>6117.1</v>
          </cell>
          <cell r="N1757">
            <v>37.153522909717275</v>
          </cell>
          <cell r="Q1757">
            <v>14</v>
          </cell>
        </row>
        <row r="1758">
          <cell r="D1758" t="str">
            <v>41851-59-6</v>
          </cell>
          <cell r="E1758">
            <v>41851596</v>
          </cell>
          <cell r="F1758">
            <v>2884</v>
          </cell>
          <cell r="G1758" t="str">
            <v>Reach_4317</v>
          </cell>
          <cell r="H1758">
            <v>1750</v>
          </cell>
          <cell r="J1758">
            <v>151.21</v>
          </cell>
          <cell r="K1758">
            <v>34.4</v>
          </cell>
          <cell r="L1758">
            <v>7.6114300000000004</v>
          </cell>
          <cell r="M1758">
            <v>6117.1</v>
          </cell>
          <cell r="N1758">
            <v>37.153522909717275</v>
          </cell>
          <cell r="Q1758">
            <v>14</v>
          </cell>
        </row>
        <row r="1759">
          <cell r="D1759" t="str">
            <v>88196-70-7</v>
          </cell>
          <cell r="E1759">
            <v>88196707</v>
          </cell>
          <cell r="F1759">
            <v>3950</v>
          </cell>
          <cell r="G1759" t="str">
            <v>Reach_4487</v>
          </cell>
          <cell r="H1759">
            <v>1751</v>
          </cell>
          <cell r="J1759">
            <v>151.21</v>
          </cell>
          <cell r="K1759">
            <v>34.4</v>
          </cell>
          <cell r="L1759">
            <v>7.6114300000000004</v>
          </cell>
          <cell r="M1759">
            <v>6117.1</v>
          </cell>
          <cell r="N1759">
            <v>37.153522909717275</v>
          </cell>
          <cell r="Q1759">
            <v>14</v>
          </cell>
        </row>
        <row r="1760">
          <cell r="D1760" t="str">
            <v>2743-38-6</v>
          </cell>
          <cell r="E1760">
            <v>2743386</v>
          </cell>
          <cell r="F1760">
            <v>2506</v>
          </cell>
          <cell r="G1760" t="str">
            <v>Reach_1862</v>
          </cell>
          <cell r="H1760">
            <v>1752</v>
          </cell>
          <cell r="J1760">
            <v>358.3</v>
          </cell>
          <cell r="K1760">
            <v>207.91</v>
          </cell>
          <cell r="L1760">
            <v>3.42581E-8</v>
          </cell>
          <cell r="M1760">
            <v>7087.6</v>
          </cell>
          <cell r="N1760">
            <v>7762.4711662869322</v>
          </cell>
          <cell r="O1760">
            <v>1.07</v>
          </cell>
          <cell r="Q1760">
            <v>1.07</v>
          </cell>
        </row>
        <row r="1761">
          <cell r="D1761" t="str">
            <v>99636-38-1</v>
          </cell>
          <cell r="E1761">
            <v>99636381</v>
          </cell>
          <cell r="F1761">
            <v>4213</v>
          </cell>
          <cell r="G1761" t="str">
            <v>Reach_4557</v>
          </cell>
          <cell r="H1761">
            <v>1753</v>
          </cell>
          <cell r="J1761">
            <v>89.138999999999996</v>
          </cell>
          <cell r="K1761">
            <v>-52.06</v>
          </cell>
          <cell r="L1761">
            <v>5371.99</v>
          </cell>
          <cell r="M1761">
            <v>201000</v>
          </cell>
          <cell r="N1761">
            <v>0.31622776601683794</v>
          </cell>
          <cell r="P1761">
            <v>4.5</v>
          </cell>
          <cell r="Q1761">
            <v>9.5</v>
          </cell>
        </row>
        <row r="1762">
          <cell r="D1762" t="str">
            <v>99636-32-5</v>
          </cell>
          <cell r="E1762">
            <v>99636325</v>
          </cell>
          <cell r="F1762">
            <v>4212</v>
          </cell>
          <cell r="G1762" t="str">
            <v>Reach_4808</v>
          </cell>
          <cell r="H1762">
            <v>1754</v>
          </cell>
          <cell r="J1762">
            <v>89.138999999999996</v>
          </cell>
          <cell r="K1762">
            <v>-52.06</v>
          </cell>
          <cell r="L1762">
            <v>5371.99</v>
          </cell>
          <cell r="M1762">
            <v>201000</v>
          </cell>
          <cell r="N1762">
            <v>0.31622776601683794</v>
          </cell>
          <cell r="Q1762">
            <v>14</v>
          </cell>
        </row>
        <row r="1763">
          <cell r="D1763" t="str">
            <v>92-36-4</v>
          </cell>
          <cell r="E1763">
            <v>92364</v>
          </cell>
          <cell r="F1763">
            <v>4032</v>
          </cell>
          <cell r="G1763" t="str">
            <v>Reach_384</v>
          </cell>
          <cell r="H1763">
            <v>1755</v>
          </cell>
          <cell r="J1763">
            <v>240.33</v>
          </cell>
          <cell r="K1763">
            <v>172.21</v>
          </cell>
          <cell r="L1763">
            <v>2.6793300000000003E-6</v>
          </cell>
          <cell r="M1763">
            <v>88.808000000000007</v>
          </cell>
          <cell r="N1763">
            <v>3630.7805477010188</v>
          </cell>
          <cell r="Q1763">
            <v>14</v>
          </cell>
        </row>
        <row r="1764">
          <cell r="D1764" t="str">
            <v>152402-98-7</v>
          </cell>
          <cell r="E1764">
            <v>152402987</v>
          </cell>
          <cell r="F1764">
            <v>2023</v>
          </cell>
          <cell r="G1764" t="str">
            <v>Reach_4164</v>
          </cell>
          <cell r="H1764">
            <v>1756</v>
          </cell>
          <cell r="J1764">
            <v>300.33999999999997</v>
          </cell>
          <cell r="K1764">
            <v>229.13</v>
          </cell>
          <cell r="L1764">
            <v>2.9459300000000004E-9</v>
          </cell>
          <cell r="M1764">
            <v>17.016999999999999</v>
          </cell>
          <cell r="N1764">
            <v>1819.7008586099832</v>
          </cell>
          <cell r="O1764">
            <v>12.12</v>
          </cell>
          <cell r="Q1764">
            <v>12.12</v>
          </cell>
        </row>
        <row r="1765">
          <cell r="D1765" t="str">
            <v>106410-46-2</v>
          </cell>
          <cell r="E1765">
            <v>106410462</v>
          </cell>
          <cell r="F1765">
            <v>1435</v>
          </cell>
          <cell r="G1765" t="str">
            <v>Reach_4073</v>
          </cell>
          <cell r="H1765">
            <v>1757</v>
          </cell>
          <cell r="J1765">
            <v>352.39</v>
          </cell>
          <cell r="K1765">
            <v>231.54</v>
          </cell>
          <cell r="L1765">
            <v>8.4512200000000004E-12</v>
          </cell>
          <cell r="M1765">
            <v>2591.6</v>
          </cell>
          <cell r="N1765">
            <v>29.512092266663863</v>
          </cell>
          <cell r="O1765">
            <v>4.67</v>
          </cell>
          <cell r="Q1765">
            <v>4.67</v>
          </cell>
        </row>
        <row r="1766">
          <cell r="D1766" t="str">
            <v>82796-69-8</v>
          </cell>
          <cell r="E1766">
            <v>82796698</v>
          </cell>
          <cell r="F1766">
            <v>3837</v>
          </cell>
          <cell r="G1766" t="str">
            <v>Reach_4599</v>
          </cell>
          <cell r="H1766">
            <v>1758</v>
          </cell>
          <cell r="J1766">
            <v>151.21</v>
          </cell>
          <cell r="K1766">
            <v>18.82</v>
          </cell>
          <cell r="L1766">
            <v>15.596100000000002</v>
          </cell>
          <cell r="M1766">
            <v>6117.1</v>
          </cell>
          <cell r="N1766">
            <v>20.8929613085404</v>
          </cell>
          <cell r="P1766">
            <v>4.8099999999999996</v>
          </cell>
          <cell r="Q1766">
            <v>9.1900000000000013</v>
          </cell>
        </row>
        <row r="1767">
          <cell r="D1767" t="str">
            <v>71839-12-8</v>
          </cell>
          <cell r="E1767">
            <v>71839128</v>
          </cell>
          <cell r="F1767">
            <v>3592</v>
          </cell>
          <cell r="G1767" t="str">
            <v>Reach_4854</v>
          </cell>
          <cell r="H1767">
            <v>1759</v>
          </cell>
          <cell r="J1767">
            <v>207.27</v>
          </cell>
          <cell r="K1767">
            <v>73.14</v>
          </cell>
          <cell r="L1767">
            <v>9.9841700000000005E-2</v>
          </cell>
          <cell r="M1767">
            <v>171.49</v>
          </cell>
          <cell r="N1767">
            <v>2137.9620895022344</v>
          </cell>
          <cell r="Q1767">
            <v>14</v>
          </cell>
        </row>
        <row r="1768">
          <cell r="D1768" t="str">
            <v>179688-27-8</v>
          </cell>
          <cell r="E1768">
            <v>179688278</v>
          </cell>
          <cell r="F1768">
            <v>2161</v>
          </cell>
          <cell r="G1768" t="str">
            <v>Reach_4931</v>
          </cell>
          <cell r="H1768">
            <v>1760</v>
          </cell>
          <cell r="J1768">
            <v>313.35000000000002</v>
          </cell>
          <cell r="K1768">
            <v>152.43</v>
          </cell>
          <cell r="L1768">
            <v>3.5724400000000006E-5</v>
          </cell>
          <cell r="M1768">
            <v>451.89</v>
          </cell>
          <cell r="N1768">
            <v>70.794578438413865</v>
          </cell>
          <cell r="P1768">
            <v>11.93</v>
          </cell>
          <cell r="Q1768">
            <v>2.0700000000000003</v>
          </cell>
        </row>
        <row r="1769">
          <cell r="D1769" t="str">
            <v>3423-28-7</v>
          </cell>
          <cell r="E1769">
            <v>3423287</v>
          </cell>
          <cell r="F1769">
            <v>2697</v>
          </cell>
          <cell r="G1769" t="str">
            <v>Reach_1958</v>
          </cell>
          <cell r="H1769">
            <v>1761</v>
          </cell>
          <cell r="J1769">
            <v>167.25</v>
          </cell>
          <cell r="K1769">
            <v>46.11</v>
          </cell>
          <cell r="L1769">
            <v>3.4924600000000003</v>
          </cell>
          <cell r="M1769">
            <v>13206</v>
          </cell>
          <cell r="N1769">
            <v>21.877616239495538</v>
          </cell>
          <cell r="P1769">
            <v>4.4000000000000004</v>
          </cell>
          <cell r="Q1769">
            <v>9.6</v>
          </cell>
        </row>
        <row r="1770">
          <cell r="D1770" t="str">
            <v>147118-40-9</v>
          </cell>
          <cell r="E1770">
            <v>147118409</v>
          </cell>
          <cell r="F1770">
            <v>1995</v>
          </cell>
          <cell r="G1770" t="str">
            <v>Reach_4157</v>
          </cell>
          <cell r="H1770">
            <v>1762</v>
          </cell>
          <cell r="J1770">
            <v>495.57</v>
          </cell>
          <cell r="K1770">
            <v>271.19</v>
          </cell>
          <cell r="L1770">
            <v>1.3596600000000001E-15</v>
          </cell>
          <cell r="M1770">
            <v>1.1024</v>
          </cell>
          <cell r="N1770">
            <v>575.43993733715706</v>
          </cell>
          <cell r="O1770">
            <v>14.18</v>
          </cell>
          <cell r="P1770">
            <v>12.47</v>
          </cell>
          <cell r="Q1770">
            <v>1.5299999999999994</v>
          </cell>
        </row>
        <row r="1771">
          <cell r="D1771" t="str">
            <v>335153-21-4</v>
          </cell>
          <cell r="E1771">
            <v>335153214</v>
          </cell>
          <cell r="F1771">
            <v>2682</v>
          </cell>
          <cell r="G1771" t="str">
            <v>Reach_4284</v>
          </cell>
          <cell r="H1771">
            <v>1763</v>
          </cell>
          <cell r="J1771">
            <v>281.26</v>
          </cell>
          <cell r="K1771">
            <v>179.3</v>
          </cell>
          <cell r="L1771">
            <v>5.4653000000000008E-6</v>
          </cell>
          <cell r="M1771">
            <v>224.91</v>
          </cell>
          <cell r="N1771">
            <v>562.34132519034927</v>
          </cell>
          <cell r="Q1771">
            <v>14</v>
          </cell>
        </row>
        <row r="1772">
          <cell r="D1772" t="str">
            <v>445-03-4</v>
          </cell>
          <cell r="E1772">
            <v>445034</v>
          </cell>
          <cell r="F1772">
            <v>2926</v>
          </cell>
          <cell r="G1772" t="str">
            <v>Reach_1276</v>
          </cell>
          <cell r="H1772">
            <v>1764</v>
          </cell>
          <cell r="J1772">
            <v>195.57</v>
          </cell>
          <cell r="K1772">
            <v>31.94</v>
          </cell>
          <cell r="L1772">
            <v>12.983420000000001</v>
          </cell>
          <cell r="M1772">
            <v>1086.0999999999999</v>
          </cell>
          <cell r="N1772">
            <v>478.63009232263886</v>
          </cell>
          <cell r="P1772">
            <v>10.06</v>
          </cell>
          <cell r="Q1772">
            <v>3.9399999999999995</v>
          </cell>
        </row>
        <row r="1773">
          <cell r="D1773" t="str">
            <v>110-76-9</v>
          </cell>
          <cell r="E1773">
            <v>110769</v>
          </cell>
          <cell r="F1773">
            <v>1530</v>
          </cell>
          <cell r="G1773" t="str">
            <v>Reach_827</v>
          </cell>
          <cell r="H1773">
            <v>1765</v>
          </cell>
          <cell r="J1773">
            <v>89.138999999999996</v>
          </cell>
          <cell r="K1773">
            <v>-40.36</v>
          </cell>
          <cell r="L1773">
            <v>3532.4500000000003</v>
          </cell>
          <cell r="M1773">
            <v>206000</v>
          </cell>
          <cell r="N1773">
            <v>0.38018939632056115</v>
          </cell>
          <cell r="P1773">
            <v>4.5</v>
          </cell>
          <cell r="Q1773">
            <v>9.5</v>
          </cell>
        </row>
        <row r="1774">
          <cell r="D1774" t="str">
            <v>95-79-4</v>
          </cell>
          <cell r="E1774">
            <v>95794</v>
          </cell>
          <cell r="F1774">
            <v>4135</v>
          </cell>
          <cell r="G1774" t="str">
            <v>Reach_442</v>
          </cell>
          <cell r="H1774">
            <v>1766</v>
          </cell>
          <cell r="J1774">
            <v>141.6</v>
          </cell>
          <cell r="K1774">
            <v>41.77</v>
          </cell>
          <cell r="L1774">
            <v>6.0918100000000006</v>
          </cell>
          <cell r="M1774">
            <v>561.95000000000005</v>
          </cell>
          <cell r="N1774">
            <v>186.20871366628685</v>
          </cell>
          <cell r="Q1774">
            <v>14</v>
          </cell>
        </row>
        <row r="1775">
          <cell r="D1775" t="str">
            <v>18480-53-0</v>
          </cell>
          <cell r="E1775">
            <v>18480530</v>
          </cell>
          <cell r="F1775">
            <v>2193</v>
          </cell>
          <cell r="G1775" t="str">
            <v>Reach_4527</v>
          </cell>
          <cell r="H1775">
            <v>1767</v>
          </cell>
          <cell r="J1775">
            <v>198.03</v>
          </cell>
          <cell r="K1775">
            <v>113.23</v>
          </cell>
          <cell r="L1775">
            <v>1.58627E-2</v>
          </cell>
          <cell r="M1775">
            <v>785.38</v>
          </cell>
          <cell r="N1775">
            <v>144.54397707459285</v>
          </cell>
          <cell r="O1775">
            <v>3.15</v>
          </cell>
          <cell r="P1775">
            <v>14.62</v>
          </cell>
          <cell r="Q1775">
            <v>-0.61999999999999922</v>
          </cell>
        </row>
        <row r="1776">
          <cell r="D1776" t="str">
            <v>179688-26-7</v>
          </cell>
          <cell r="E1776">
            <v>179688267</v>
          </cell>
          <cell r="F1776">
            <v>2160</v>
          </cell>
          <cell r="G1776" t="str">
            <v>Reach_4183</v>
          </cell>
          <cell r="H1776">
            <v>1768</v>
          </cell>
          <cell r="J1776">
            <v>343.33</v>
          </cell>
          <cell r="K1776">
            <v>170.62</v>
          </cell>
          <cell r="L1776">
            <v>1.0637340000000002E-5</v>
          </cell>
          <cell r="M1776">
            <v>93.135999999999996</v>
          </cell>
          <cell r="N1776">
            <v>16.982436524617448</v>
          </cell>
          <cell r="Q1776">
            <v>14</v>
          </cell>
        </row>
        <row r="1777">
          <cell r="D1777" t="str">
            <v>130-00-7</v>
          </cell>
          <cell r="E1777">
            <v>130007</v>
          </cell>
          <cell r="F1777">
            <v>1831</v>
          </cell>
          <cell r="G1777" t="str">
            <v>Reach_1115</v>
          </cell>
          <cell r="H1777">
            <v>1769</v>
          </cell>
          <cell r="J1777">
            <v>169.18</v>
          </cell>
          <cell r="K1777">
            <v>142.63</v>
          </cell>
          <cell r="L1777">
            <v>1.1410480000000002E-4</v>
          </cell>
          <cell r="M1777">
            <v>284.27999999999997</v>
          </cell>
          <cell r="N1777">
            <v>128.82495516931343</v>
          </cell>
          <cell r="Q1777">
            <v>14</v>
          </cell>
        </row>
        <row r="1778">
          <cell r="D1778" t="str">
            <v>144163-97-3</v>
          </cell>
          <cell r="E1778">
            <v>144163973</v>
          </cell>
          <cell r="F1778">
            <v>1972</v>
          </cell>
          <cell r="G1778" t="str">
            <v>Reach_4626</v>
          </cell>
          <cell r="H1778">
            <v>1770</v>
          </cell>
          <cell r="J1778">
            <v>280.26</v>
          </cell>
          <cell r="K1778">
            <v>153.04</v>
          </cell>
          <cell r="L1778">
            <v>3.5191200000000003E-5</v>
          </cell>
          <cell r="M1778">
            <v>110.11</v>
          </cell>
          <cell r="N1778">
            <v>95.499258602143655</v>
          </cell>
          <cell r="Q1778">
            <v>14</v>
          </cell>
        </row>
        <row r="1779">
          <cell r="D1779" t="str">
            <v>141818-73-7</v>
          </cell>
          <cell r="E1779">
            <v>141818737</v>
          </cell>
          <cell r="F1779">
            <v>1943</v>
          </cell>
          <cell r="G1779" t="str">
            <v>Reach_4145</v>
          </cell>
          <cell r="H1779">
            <v>1771</v>
          </cell>
          <cell r="J1779">
            <v>362.45</v>
          </cell>
          <cell r="K1779">
            <v>201.85</v>
          </cell>
          <cell r="L1779">
            <v>1.8795300000000002E-7</v>
          </cell>
          <cell r="M1779">
            <v>152.66999999999999</v>
          </cell>
          <cell r="N1779">
            <v>93.325430079699174</v>
          </cell>
          <cell r="Q1779">
            <v>14</v>
          </cell>
        </row>
        <row r="1780">
          <cell r="D1780" t="str">
            <v>112110-16-4</v>
          </cell>
          <cell r="E1780">
            <v>112110164</v>
          </cell>
          <cell r="F1780">
            <v>1574</v>
          </cell>
          <cell r="G1780" t="str">
            <v>Reach_4080</v>
          </cell>
          <cell r="H1780">
            <v>1772</v>
          </cell>
          <cell r="J1780">
            <v>209.2</v>
          </cell>
          <cell r="K1780">
            <v>26.53</v>
          </cell>
          <cell r="L1780">
            <v>1.0104140000000001</v>
          </cell>
          <cell r="M1780">
            <v>304.01</v>
          </cell>
          <cell r="N1780">
            <v>5.1286138399136494</v>
          </cell>
          <cell r="P1780">
            <v>13.98</v>
          </cell>
          <cell r="Q1780">
            <v>1.9999999999999574E-2</v>
          </cell>
        </row>
        <row r="1781">
          <cell r="D1781" t="str">
            <v>13734-41-3</v>
          </cell>
          <cell r="E1781">
            <v>13734413</v>
          </cell>
          <cell r="F1781">
            <v>1908</v>
          </cell>
          <cell r="G1781" t="str">
            <v>Reach_2347</v>
          </cell>
          <cell r="H1781">
            <v>1773</v>
          </cell>
          <cell r="J1781">
            <v>217.27</v>
          </cell>
          <cell r="K1781">
            <v>88.83</v>
          </cell>
          <cell r="L1781">
            <v>4.1989500000000006E-2</v>
          </cell>
          <cell r="M1781">
            <v>3831.6</v>
          </cell>
          <cell r="N1781">
            <v>79.432823472428197</v>
          </cell>
          <cell r="Q1781">
            <v>14</v>
          </cell>
        </row>
        <row r="1782">
          <cell r="D1782" t="str">
            <v>7785-70-8</v>
          </cell>
          <cell r="E1782">
            <v>7785708</v>
          </cell>
          <cell r="F1782">
            <v>888</v>
          </cell>
          <cell r="G1782" t="str">
            <v>Reach_2274</v>
          </cell>
          <cell r="H1782">
            <v>1774</v>
          </cell>
          <cell r="J1782">
            <v>136.24</v>
          </cell>
          <cell r="K1782">
            <v>-13.62</v>
          </cell>
          <cell r="L1782">
            <v>535.86599999999999</v>
          </cell>
          <cell r="M1782">
            <v>28.271999999999998</v>
          </cell>
          <cell r="N1782">
            <v>18620.871366628675</v>
          </cell>
          <cell r="Q1782">
            <v>14</v>
          </cell>
        </row>
        <row r="1783">
          <cell r="D1783" t="str">
            <v>286-20-4</v>
          </cell>
          <cell r="E1783">
            <v>286204</v>
          </cell>
          <cell r="F1783">
            <v>2539</v>
          </cell>
          <cell r="G1783" t="str">
            <v>Reach_1221</v>
          </cell>
          <cell r="H1783">
            <v>1775</v>
          </cell>
          <cell r="J1783">
            <v>98.144999999999996</v>
          </cell>
          <cell r="K1783">
            <v>-52.3</v>
          </cell>
          <cell r="L1783">
            <v>1532.95</v>
          </cell>
          <cell r="M1783">
            <v>19553</v>
          </cell>
          <cell r="N1783">
            <v>45.708818961487509</v>
          </cell>
          <cell r="Q1783">
            <v>14</v>
          </cell>
        </row>
        <row r="1784">
          <cell r="D1784" t="str">
            <v>106006-84-2</v>
          </cell>
          <cell r="E1784">
            <v>106006842</v>
          </cell>
          <cell r="F1784">
            <v>1424</v>
          </cell>
          <cell r="G1784" t="str">
            <v>Reach_4071</v>
          </cell>
          <cell r="H1784">
            <v>1776</v>
          </cell>
          <cell r="J1784">
            <v>225.32</v>
          </cell>
          <cell r="K1784">
            <v>175.57</v>
          </cell>
          <cell r="L1784">
            <v>9.4776300000000009E-6</v>
          </cell>
          <cell r="M1784">
            <v>53.075000000000003</v>
          </cell>
          <cell r="N1784">
            <v>47.863009232263856</v>
          </cell>
          <cell r="O1784">
            <v>15.1</v>
          </cell>
          <cell r="P1784">
            <v>8.91</v>
          </cell>
          <cell r="Q1784">
            <v>5.09</v>
          </cell>
        </row>
        <row r="1785">
          <cell r="D1785" t="str">
            <v>3423-25-4</v>
          </cell>
          <cell r="E1785">
            <v>3423254</v>
          </cell>
          <cell r="F1785">
            <v>2696</v>
          </cell>
          <cell r="G1785" t="str">
            <v>Reach_1957</v>
          </cell>
          <cell r="H1785">
            <v>1777</v>
          </cell>
          <cell r="J1785">
            <v>169.27</v>
          </cell>
          <cell r="K1785">
            <v>44.38</v>
          </cell>
          <cell r="L1785">
            <v>0.33591600000000005</v>
          </cell>
          <cell r="M1785">
            <v>13108</v>
          </cell>
          <cell r="N1785">
            <v>14.125375446227544</v>
          </cell>
          <cell r="Q1785">
            <v>14</v>
          </cell>
        </row>
        <row r="1786">
          <cell r="D1786" t="str">
            <v>816431-72-8</v>
          </cell>
          <cell r="E1786">
            <v>816431728</v>
          </cell>
          <cell r="F1786">
            <v>3809</v>
          </cell>
          <cell r="G1786" t="str">
            <v>Reach_4448</v>
          </cell>
          <cell r="H1786">
            <v>1778</v>
          </cell>
          <cell r="J1786">
            <v>353.78</v>
          </cell>
          <cell r="K1786">
            <v>229.42</v>
          </cell>
          <cell r="L1786">
            <v>2.82596E-9</v>
          </cell>
          <cell r="M1786">
            <v>10.509</v>
          </cell>
          <cell r="N1786">
            <v>54.95408738576247</v>
          </cell>
          <cell r="Q1786">
            <v>14</v>
          </cell>
        </row>
        <row r="1787">
          <cell r="D1787" t="str">
            <v>2840-28-0</v>
          </cell>
          <cell r="E1787">
            <v>2840280</v>
          </cell>
          <cell r="F1787">
            <v>2529</v>
          </cell>
          <cell r="G1787" t="str">
            <v>Reach_1874</v>
          </cell>
          <cell r="H1787">
            <v>1779</v>
          </cell>
          <cell r="J1787">
            <v>171.58</v>
          </cell>
          <cell r="K1787">
            <v>114.19</v>
          </cell>
          <cell r="L1787">
            <v>5.2386900000000005E-4</v>
          </cell>
          <cell r="M1787">
            <v>3632</v>
          </cell>
          <cell r="N1787">
            <v>39.810717055349755</v>
          </cell>
          <cell r="Q1787">
            <v>14</v>
          </cell>
        </row>
        <row r="1788">
          <cell r="D1788" t="str">
            <v>99-34-3</v>
          </cell>
          <cell r="E1788">
            <v>99343</v>
          </cell>
          <cell r="F1788">
            <v>4204</v>
          </cell>
          <cell r="G1788" t="str">
            <v>Reach_527</v>
          </cell>
          <cell r="H1788">
            <v>1780</v>
          </cell>
          <cell r="J1788">
            <v>212.12</v>
          </cell>
          <cell r="K1788">
            <v>147.85</v>
          </cell>
          <cell r="L1788">
            <v>4.1323000000000004E-5</v>
          </cell>
          <cell r="M1788">
            <v>3781.2</v>
          </cell>
          <cell r="N1788">
            <v>32.359365692962832</v>
          </cell>
          <cell r="Q1788">
            <v>14</v>
          </cell>
        </row>
        <row r="1789">
          <cell r="D1789" t="str">
            <v>120100-77-8</v>
          </cell>
          <cell r="E1789">
            <v>120100778</v>
          </cell>
          <cell r="F1789">
            <v>1704</v>
          </cell>
          <cell r="G1789" t="str">
            <v>Reach_4544</v>
          </cell>
          <cell r="H1789">
            <v>1781</v>
          </cell>
          <cell r="J1789">
            <v>346.71</v>
          </cell>
          <cell r="K1789">
            <v>175.28</v>
          </cell>
          <cell r="L1789">
            <v>9.890860000000001E-6</v>
          </cell>
          <cell r="M1789">
            <v>42.703000000000003</v>
          </cell>
          <cell r="N1789">
            <v>26.915348039269158</v>
          </cell>
          <cell r="Q1789">
            <v>14</v>
          </cell>
        </row>
        <row r="1790">
          <cell r="D1790" t="str">
            <v>117-96-4</v>
          </cell>
          <cell r="E1790">
            <v>117964</v>
          </cell>
          <cell r="F1790">
            <v>5277</v>
          </cell>
          <cell r="G1790" t="str">
            <v>PharmaUBA</v>
          </cell>
          <cell r="H1790">
            <v>1782</v>
          </cell>
          <cell r="J1790">
            <v>613.9</v>
          </cell>
          <cell r="K1790">
            <v>284.83999999999997</v>
          </cell>
          <cell r="L1790">
            <v>4.7588100000000006E-13</v>
          </cell>
          <cell r="M1790">
            <v>0.82532000000000005</v>
          </cell>
          <cell r="N1790">
            <v>23.442288153199236</v>
          </cell>
          <cell r="Q1790">
            <v>14</v>
          </cell>
        </row>
        <row r="1791">
          <cell r="D1791" t="str">
            <v>50977-10-1</v>
          </cell>
          <cell r="E1791">
            <v>50977101</v>
          </cell>
          <cell r="F1791">
            <v>3024</v>
          </cell>
          <cell r="G1791" t="str">
            <v>Reach_2768</v>
          </cell>
          <cell r="H1791">
            <v>1783</v>
          </cell>
          <cell r="J1791">
            <v>257.45999999999998</v>
          </cell>
          <cell r="K1791">
            <v>80.959999999999994</v>
          </cell>
          <cell r="L1791">
            <v>2.3194200000000002E-2</v>
          </cell>
          <cell r="M1791">
            <v>0.35674</v>
          </cell>
          <cell r="N1791">
            <v>251188.64315095844</v>
          </cell>
          <cell r="P1791">
            <v>4.0999999999999996</v>
          </cell>
          <cell r="Q1791">
            <v>9.9</v>
          </cell>
        </row>
        <row r="1792">
          <cell r="D1792" t="str">
            <v>28443-50-7</v>
          </cell>
          <cell r="E1792">
            <v>28443507</v>
          </cell>
          <cell r="F1792">
            <v>2530</v>
          </cell>
          <cell r="G1792" t="str">
            <v>Reach_2617</v>
          </cell>
          <cell r="H1792">
            <v>1784</v>
          </cell>
          <cell r="J1792">
            <v>143.57</v>
          </cell>
          <cell r="K1792">
            <v>69.8</v>
          </cell>
          <cell r="L1792">
            <v>0.18795300000000001</v>
          </cell>
          <cell r="M1792">
            <v>4429.6000000000004</v>
          </cell>
          <cell r="N1792">
            <v>17.378008287493756</v>
          </cell>
          <cell r="Q1792">
            <v>14</v>
          </cell>
        </row>
        <row r="1793">
          <cell r="D1793" t="str">
            <v>95-85-2</v>
          </cell>
          <cell r="E1793">
            <v>95852</v>
          </cell>
          <cell r="F1793">
            <v>4136</v>
          </cell>
          <cell r="G1793" t="str">
            <v>Reach_445</v>
          </cell>
          <cell r="H1793">
            <v>1785</v>
          </cell>
          <cell r="J1793">
            <v>143.57</v>
          </cell>
          <cell r="K1793">
            <v>69.8</v>
          </cell>
          <cell r="L1793">
            <v>3.4258100000000007E-2</v>
          </cell>
          <cell r="M1793">
            <v>7432.5</v>
          </cell>
          <cell r="N1793">
            <v>17.378008287493756</v>
          </cell>
          <cell r="Q1793">
            <v>14</v>
          </cell>
        </row>
        <row r="1794">
          <cell r="D1794" t="str">
            <v>27006-83-3</v>
          </cell>
          <cell r="E1794">
            <v>27006833</v>
          </cell>
          <cell r="F1794">
            <v>2492</v>
          </cell>
          <cell r="G1794" t="str">
            <v>Reach_4259</v>
          </cell>
          <cell r="H1794">
            <v>1786</v>
          </cell>
          <cell r="J1794">
            <v>193.04</v>
          </cell>
          <cell r="K1794">
            <v>72.569999999999993</v>
          </cell>
          <cell r="L1794">
            <v>0.74114800000000003</v>
          </cell>
          <cell r="M1794">
            <v>1049.4000000000001</v>
          </cell>
          <cell r="N1794">
            <v>17.378008287493756</v>
          </cell>
          <cell r="Q1794">
            <v>14</v>
          </cell>
        </row>
        <row r="1795">
          <cell r="D1795" t="str">
            <v>80-20-6</v>
          </cell>
          <cell r="E1795">
            <v>80206</v>
          </cell>
          <cell r="F1795">
            <v>3789</v>
          </cell>
          <cell r="G1795" t="str">
            <v>Reach_260</v>
          </cell>
          <cell r="H1795">
            <v>1787</v>
          </cell>
          <cell r="J1795">
            <v>264.31</v>
          </cell>
          <cell r="K1795">
            <v>190.16</v>
          </cell>
          <cell r="L1795">
            <v>1.78622E-7</v>
          </cell>
          <cell r="M1795">
            <v>556.78</v>
          </cell>
          <cell r="N1795">
            <v>16.982436524617448</v>
          </cell>
          <cell r="P1795">
            <v>10.96</v>
          </cell>
          <cell r="Q1795">
            <v>3.0399999999999991</v>
          </cell>
        </row>
        <row r="1796">
          <cell r="D1796" t="str">
            <v>2736-23-4</v>
          </cell>
          <cell r="E1796">
            <v>2736234</v>
          </cell>
          <cell r="F1796">
            <v>2501</v>
          </cell>
          <cell r="G1796" t="str">
            <v>Reach_1860</v>
          </cell>
          <cell r="H1796">
            <v>1788</v>
          </cell>
          <cell r="J1796">
            <v>270.08999999999997</v>
          </cell>
          <cell r="K1796">
            <v>174.9</v>
          </cell>
          <cell r="L1796">
            <v>1.046405E-5</v>
          </cell>
          <cell r="M1796">
            <v>322.89</v>
          </cell>
          <cell r="N1796">
            <v>15.848931924611136</v>
          </cell>
          <cell r="Q1796">
            <v>14</v>
          </cell>
        </row>
        <row r="1797">
          <cell r="D1797" t="str">
            <v>13636-02-7</v>
          </cell>
          <cell r="E1797">
            <v>13636027</v>
          </cell>
          <cell r="F1797">
            <v>1898</v>
          </cell>
          <cell r="G1797" t="str">
            <v>Reach_4134</v>
          </cell>
          <cell r="H1797">
            <v>1789</v>
          </cell>
          <cell r="J1797">
            <v>185.29</v>
          </cell>
          <cell r="K1797">
            <v>69.69</v>
          </cell>
          <cell r="L1797">
            <v>1.7195700000000001E-2</v>
          </cell>
          <cell r="M1797">
            <v>23924</v>
          </cell>
          <cell r="N1797">
            <v>10.232929922807543</v>
          </cell>
          <cell r="Q1797">
            <v>14</v>
          </cell>
        </row>
        <row r="1798">
          <cell r="D1798" t="str">
            <v>617-89-0</v>
          </cell>
          <cell r="E1798">
            <v>617890</v>
          </cell>
          <cell r="F1798">
            <v>3353</v>
          </cell>
          <cell r="G1798" t="str">
            <v>Reach_1436</v>
          </cell>
          <cell r="H1798">
            <v>1790</v>
          </cell>
          <cell r="J1798">
            <v>97.117999999999995</v>
          </cell>
          <cell r="K1798">
            <v>-8.1</v>
          </cell>
          <cell r="L1798">
            <v>658.50200000000007</v>
          </cell>
          <cell r="M1798">
            <v>110000</v>
          </cell>
          <cell r="N1798">
            <v>2.7542287033381663</v>
          </cell>
          <cell r="Q1798">
            <v>14</v>
          </cell>
        </row>
        <row r="1799">
          <cell r="D1799" t="str">
            <v>42142-52-9</v>
          </cell>
          <cell r="E1799">
            <v>42142529</v>
          </cell>
          <cell r="F1799">
            <v>2890</v>
          </cell>
          <cell r="G1799" t="str">
            <v>Reach_2750</v>
          </cell>
          <cell r="H1799">
            <v>1791</v>
          </cell>
          <cell r="J1799">
            <v>165.24</v>
          </cell>
          <cell r="K1799">
            <v>50.88</v>
          </cell>
          <cell r="L1799">
            <v>4.7588100000000001E-2</v>
          </cell>
          <cell r="M1799">
            <v>8992.5</v>
          </cell>
          <cell r="N1799">
            <v>9.5499258602143584</v>
          </cell>
          <cell r="O1799">
            <v>14.33</v>
          </cell>
          <cell r="Q1799">
            <v>14</v>
          </cell>
        </row>
        <row r="1800">
          <cell r="D1800" t="str">
            <v>598-72-1</v>
          </cell>
          <cell r="E1800">
            <v>598721</v>
          </cell>
          <cell r="F1800">
            <v>3291</v>
          </cell>
          <cell r="G1800" t="str">
            <v>Reach_1405</v>
          </cell>
          <cell r="H1800">
            <v>1792</v>
          </cell>
          <cell r="J1800">
            <v>152.97999999999999</v>
          </cell>
          <cell r="K1800">
            <v>29.65</v>
          </cell>
          <cell r="L1800">
            <v>34.524700000000003</v>
          </cell>
          <cell r="M1800">
            <v>102000</v>
          </cell>
          <cell r="N1800">
            <v>7.0794578438413795</v>
          </cell>
          <cell r="Q1800">
            <v>14</v>
          </cell>
        </row>
        <row r="1801">
          <cell r="D1801" t="str">
            <v>4245-76-5</v>
          </cell>
          <cell r="E1801">
            <v>4245765</v>
          </cell>
          <cell r="F1801">
            <v>2892</v>
          </cell>
          <cell r="G1801" t="str">
            <v>Reach_4320</v>
          </cell>
          <cell r="H1801">
            <v>1793</v>
          </cell>
          <cell r="J1801">
            <v>118.1</v>
          </cell>
          <cell r="K1801">
            <v>34.590000000000003</v>
          </cell>
          <cell r="L1801">
            <v>16.929100000000002</v>
          </cell>
          <cell r="M1801">
            <v>367000</v>
          </cell>
          <cell r="N1801">
            <v>6.7608297539198184E-2</v>
          </cell>
          <cell r="Q1801">
            <v>14</v>
          </cell>
        </row>
        <row r="1802">
          <cell r="D1802" t="str">
            <v>473799-16-5</v>
          </cell>
          <cell r="E1802">
            <v>473799165</v>
          </cell>
          <cell r="F1802">
            <v>2965</v>
          </cell>
          <cell r="G1802" t="str">
            <v>Reach_4969</v>
          </cell>
          <cell r="H1802">
            <v>1794</v>
          </cell>
          <cell r="J1802">
            <v>289.36</v>
          </cell>
          <cell r="K1802">
            <v>216.49</v>
          </cell>
          <cell r="L1802">
            <v>2.0528200000000004E-8</v>
          </cell>
          <cell r="M1802">
            <v>17.946000000000002</v>
          </cell>
          <cell r="N1802">
            <v>4.8977881936844625</v>
          </cell>
          <cell r="Q1802">
            <v>14</v>
          </cell>
        </row>
        <row r="1803">
          <cell r="D1803" t="str">
            <v>937203-35-5</v>
          </cell>
          <cell r="E1803">
            <v>937203355</v>
          </cell>
          <cell r="F1803">
            <v>4081</v>
          </cell>
          <cell r="G1803" t="str">
            <v>Reach_4504</v>
          </cell>
          <cell r="H1803">
            <v>1795</v>
          </cell>
          <cell r="J1803">
            <v>254.29</v>
          </cell>
          <cell r="K1803">
            <v>161.47999999999999</v>
          </cell>
          <cell r="L1803">
            <v>6.9049399999999997E-5</v>
          </cell>
          <cell r="M1803">
            <v>51.154000000000003</v>
          </cell>
          <cell r="N1803">
            <v>3.0199517204020165</v>
          </cell>
          <cell r="P1803">
            <v>6.95</v>
          </cell>
          <cell r="Q1803">
            <v>7.05</v>
          </cell>
        </row>
        <row r="1804">
          <cell r="D1804" t="str">
            <v>696-23-1</v>
          </cell>
          <cell r="E1804">
            <v>696231</v>
          </cell>
          <cell r="F1804">
            <v>3545</v>
          </cell>
          <cell r="G1804" t="str">
            <v>Reach_1511</v>
          </cell>
          <cell r="H1804">
            <v>1796</v>
          </cell>
          <cell r="J1804">
            <v>127.11</v>
          </cell>
          <cell r="K1804">
            <v>106.55</v>
          </cell>
          <cell r="L1804">
            <v>1.8395400000000001E-4</v>
          </cell>
          <cell r="M1804">
            <v>4393.3</v>
          </cell>
          <cell r="N1804">
            <v>2.6302679918953822</v>
          </cell>
          <cell r="Q1804">
            <v>14</v>
          </cell>
        </row>
        <row r="1805">
          <cell r="D1805" t="str">
            <v>60046-50-6</v>
          </cell>
          <cell r="E1805">
            <v>60046506</v>
          </cell>
          <cell r="F1805">
            <v>3303</v>
          </cell>
          <cell r="G1805" t="str">
            <v>Reach_4741</v>
          </cell>
          <cell r="H1805">
            <v>1797</v>
          </cell>
          <cell r="J1805">
            <v>156.22</v>
          </cell>
          <cell r="K1805">
            <v>52.08</v>
          </cell>
          <cell r="L1805">
            <v>0.19195200000000004</v>
          </cell>
          <cell r="M1805">
            <v>20393</v>
          </cell>
          <cell r="N1805">
            <v>7.5857757502918375</v>
          </cell>
          <cell r="Q1805">
            <v>14</v>
          </cell>
        </row>
        <row r="1806">
          <cell r="D1806" t="str">
            <v>130-17-6</v>
          </cell>
          <cell r="E1806">
            <v>130176</v>
          </cell>
          <cell r="F1806">
            <v>1833</v>
          </cell>
          <cell r="G1806" t="str">
            <v>Reach_1117</v>
          </cell>
          <cell r="H1806">
            <v>1798</v>
          </cell>
          <cell r="J1806">
            <v>320.39</v>
          </cell>
          <cell r="K1806">
            <v>238.36</v>
          </cell>
          <cell r="L1806">
            <v>2.4660500000000004E-12</v>
          </cell>
          <cell r="M1806">
            <v>1436</v>
          </cell>
          <cell r="N1806">
            <v>2.5703957827688639</v>
          </cell>
          <cell r="Q1806">
            <v>14</v>
          </cell>
        </row>
        <row r="1807">
          <cell r="D1807" t="str">
            <v>142-30-3</v>
          </cell>
          <cell r="E1807">
            <v>142303</v>
          </cell>
          <cell r="F1807">
            <v>1953</v>
          </cell>
          <cell r="G1807" t="str">
            <v>Reach_1177</v>
          </cell>
          <cell r="H1807">
            <v>1799</v>
          </cell>
          <cell r="J1807">
            <v>142.19999999999999</v>
          </cell>
          <cell r="K1807">
            <v>45.06</v>
          </cell>
          <cell r="L1807">
            <v>0.94243100000000002</v>
          </cell>
          <cell r="M1807">
            <v>2.99E+17</v>
          </cell>
          <cell r="N1807">
            <v>6.4565422903465572</v>
          </cell>
          <cell r="Q1807">
            <v>14</v>
          </cell>
        </row>
        <row r="1808">
          <cell r="D1808" t="str">
            <v>887-76-3</v>
          </cell>
          <cell r="E1808">
            <v>887763</v>
          </cell>
          <cell r="F1808">
            <v>3964</v>
          </cell>
          <cell r="G1808" t="str">
            <v>Reach_1585</v>
          </cell>
          <cell r="H1808">
            <v>1800</v>
          </cell>
          <cell r="J1808">
            <v>250.23</v>
          </cell>
          <cell r="K1808">
            <v>274.20999999999998</v>
          </cell>
          <cell r="L1808">
            <v>3.4391400000000005E-15</v>
          </cell>
          <cell r="M1808">
            <v>1.5231E-2</v>
          </cell>
          <cell r="N1808">
            <v>0.77624711662869172</v>
          </cell>
          <cell r="Q1808">
            <v>14</v>
          </cell>
        </row>
        <row r="1809">
          <cell r="D1809" t="str">
            <v>54527-65-0</v>
          </cell>
          <cell r="E1809">
            <v>54527650</v>
          </cell>
          <cell r="F1809">
            <v>3147</v>
          </cell>
          <cell r="G1809" t="str">
            <v>Reach_2800</v>
          </cell>
          <cell r="H1809">
            <v>1801</v>
          </cell>
          <cell r="J1809">
            <v>249.31</v>
          </cell>
          <cell r="K1809">
            <v>98.14</v>
          </cell>
          <cell r="L1809">
            <v>6.1451300000000013E-3</v>
          </cell>
          <cell r="M1809">
            <v>123.93</v>
          </cell>
          <cell r="N1809">
            <v>5.1286138399136494</v>
          </cell>
          <cell r="Q1809">
            <v>14</v>
          </cell>
        </row>
        <row r="1810">
          <cell r="D1810" t="str">
            <v>1072-63-5</v>
          </cell>
          <cell r="E1810">
            <v>1072635</v>
          </cell>
          <cell r="F1810">
            <v>1457</v>
          </cell>
          <cell r="G1810" t="str">
            <v>Reach_1642</v>
          </cell>
          <cell r="H1810">
            <v>1802</v>
          </cell>
          <cell r="J1810">
            <v>94.119</v>
          </cell>
          <cell r="K1810">
            <v>12.71</v>
          </cell>
          <cell r="L1810">
            <v>25.460300000000004</v>
          </cell>
          <cell r="M1810">
            <v>45841</v>
          </cell>
          <cell r="N1810">
            <v>9.1201083935590983</v>
          </cell>
          <cell r="Q1810">
            <v>14</v>
          </cell>
        </row>
        <row r="1811">
          <cell r="D1811" t="str">
            <v>93-01-6</v>
          </cell>
          <cell r="E1811">
            <v>93016</v>
          </cell>
          <cell r="F1811">
            <v>4055</v>
          </cell>
          <cell r="G1811" t="str">
            <v>Reach_396</v>
          </cell>
          <cell r="H1811">
            <v>1803</v>
          </cell>
          <cell r="J1811">
            <v>224.23</v>
          </cell>
          <cell r="K1811">
            <v>172.96</v>
          </cell>
          <cell r="L1811">
            <v>4.1323000000000005E-7</v>
          </cell>
          <cell r="M1811">
            <v>4293.8999999999996</v>
          </cell>
          <cell r="N1811">
            <v>0.33884415613920255</v>
          </cell>
          <cell r="O1811">
            <v>0.68</v>
          </cell>
          <cell r="Q1811">
            <v>0.68</v>
          </cell>
        </row>
        <row r="1812">
          <cell r="D1812" t="str">
            <v>84-87-7</v>
          </cell>
          <cell r="E1812">
            <v>84877</v>
          </cell>
          <cell r="F1812">
            <v>3880</v>
          </cell>
          <cell r="G1812" t="str">
            <v>Reach_291</v>
          </cell>
          <cell r="H1812">
            <v>1804</v>
          </cell>
          <cell r="J1812">
            <v>224.23</v>
          </cell>
          <cell r="K1812">
            <v>172.96</v>
          </cell>
          <cell r="L1812">
            <v>1.301008E-7</v>
          </cell>
          <cell r="M1812">
            <v>4031.3</v>
          </cell>
          <cell r="N1812">
            <v>0.33884415613920255</v>
          </cell>
          <cell r="Q1812">
            <v>14</v>
          </cell>
        </row>
        <row r="1813">
          <cell r="D1813" t="str">
            <v>89-36-1</v>
          </cell>
          <cell r="E1813">
            <v>89361</v>
          </cell>
          <cell r="F1813">
            <v>3972</v>
          </cell>
          <cell r="G1813" t="str">
            <v>Reach_341</v>
          </cell>
          <cell r="H1813">
            <v>1805</v>
          </cell>
          <cell r="J1813">
            <v>254.27</v>
          </cell>
          <cell r="K1813">
            <v>196.56</v>
          </cell>
          <cell r="L1813">
            <v>4.2922600000000006E-9</v>
          </cell>
          <cell r="M1813">
            <v>3691.4</v>
          </cell>
          <cell r="N1813">
            <v>0.25118864315095801</v>
          </cell>
          <cell r="Q1813">
            <v>14</v>
          </cell>
        </row>
        <row r="1814">
          <cell r="D1814" t="str">
            <v>265136-65-0</v>
          </cell>
          <cell r="E1814">
            <v>265136650</v>
          </cell>
          <cell r="F1814">
            <v>2473</v>
          </cell>
          <cell r="G1814" t="str">
            <v>Reach_4750</v>
          </cell>
          <cell r="H1814">
            <v>1806</v>
          </cell>
          <cell r="J1814">
            <v>318.33</v>
          </cell>
          <cell r="K1814">
            <v>223.1</v>
          </cell>
          <cell r="L1814">
            <v>7.4514700000000009E-9</v>
          </cell>
          <cell r="M1814">
            <v>2210.4</v>
          </cell>
          <cell r="N1814">
            <v>4.1686938347033546</v>
          </cell>
          <cell r="Q1814">
            <v>14</v>
          </cell>
        </row>
        <row r="1815">
          <cell r="D1815" t="str">
            <v>96240-10-7</v>
          </cell>
          <cell r="E1815">
            <v>96240107</v>
          </cell>
          <cell r="F1815">
            <v>4142</v>
          </cell>
          <cell r="G1815" t="str">
            <v>Reach_4651</v>
          </cell>
          <cell r="H1815">
            <v>1807</v>
          </cell>
          <cell r="J1815">
            <v>142.16999999999999</v>
          </cell>
          <cell r="K1815">
            <v>123.64</v>
          </cell>
          <cell r="L1815">
            <v>2.2527700000000003E-3</v>
          </cell>
          <cell r="M1815">
            <v>82311</v>
          </cell>
          <cell r="N1815">
            <v>9.120108393559094E-2</v>
          </cell>
          <cell r="Q1815">
            <v>14</v>
          </cell>
        </row>
        <row r="1816">
          <cell r="D1816" t="str">
            <v>98210-99-2</v>
          </cell>
          <cell r="E1816">
            <v>98210992</v>
          </cell>
          <cell r="F1816">
            <v>4180</v>
          </cell>
          <cell r="G1816" t="str">
            <v>Reach_4513</v>
          </cell>
          <cell r="H1816">
            <v>1808</v>
          </cell>
          <cell r="J1816">
            <v>545.34</v>
          </cell>
          <cell r="K1816">
            <v>349.84</v>
          </cell>
          <cell r="L1816">
            <v>6.2117800000000002E-23</v>
          </cell>
          <cell r="M1816">
            <v>4.3801999999999999E-3</v>
          </cell>
          <cell r="N1816">
            <v>6.7608297539198184E-2</v>
          </cell>
          <cell r="Q1816">
            <v>14</v>
          </cell>
        </row>
        <row r="1817">
          <cell r="D1817" t="str">
            <v>133047-57-1</v>
          </cell>
          <cell r="E1817">
            <v>133047571</v>
          </cell>
          <cell r="F1817">
            <v>1865</v>
          </cell>
          <cell r="G1817" t="str">
            <v>Reach_4676</v>
          </cell>
          <cell r="H1817">
            <v>1809</v>
          </cell>
          <cell r="J1817">
            <v>659.53</v>
          </cell>
          <cell r="K1817">
            <v>349.84</v>
          </cell>
          <cell r="L1817">
            <v>1.5062900000000002E-25</v>
          </cell>
          <cell r="M1817">
            <v>4.7750000000000001E-4</v>
          </cell>
          <cell r="N1817">
            <v>6.3095734448019317E-2</v>
          </cell>
          <cell r="Q1817">
            <v>14</v>
          </cell>
        </row>
        <row r="1818">
          <cell r="D1818" t="str">
            <v>16415-12-6</v>
          </cell>
          <cell r="E1818">
            <v>16415126</v>
          </cell>
          <cell r="F1818">
            <v>2092</v>
          </cell>
          <cell r="G1818" t="str">
            <v>Reach_2419</v>
          </cell>
          <cell r="H1818">
            <v>1810</v>
          </cell>
          <cell r="J1818">
            <v>346.63</v>
          </cell>
          <cell r="K1818">
            <v>100.54</v>
          </cell>
          <cell r="L1818">
            <v>2.0128300000000002E-3</v>
          </cell>
          <cell r="M1818">
            <v>0.156</v>
          </cell>
          <cell r="N1818">
            <v>4897788.1936844708</v>
          </cell>
          <cell r="Q1818">
            <v>14</v>
          </cell>
        </row>
        <row r="1819">
          <cell r="D1819" t="str">
            <v>7529-16-0</v>
          </cell>
          <cell r="E1819">
            <v>7529160</v>
          </cell>
          <cell r="F1819">
            <v>3662</v>
          </cell>
          <cell r="G1819" t="str">
            <v>Reach_4426</v>
          </cell>
          <cell r="H1819">
            <v>1811</v>
          </cell>
          <cell r="J1819">
            <v>111.15</v>
          </cell>
          <cell r="K1819">
            <v>63.05</v>
          </cell>
          <cell r="L1819">
            <v>0.7238190000000001</v>
          </cell>
          <cell r="M1819">
            <v>76913</v>
          </cell>
          <cell r="N1819">
            <v>2.8183829312644542</v>
          </cell>
          <cell r="Q1819">
            <v>14</v>
          </cell>
        </row>
        <row r="1820">
          <cell r="D1820" t="str">
            <v>51-34-3</v>
          </cell>
          <cell r="E1820">
            <v>51343</v>
          </cell>
          <cell r="F1820">
            <v>3036</v>
          </cell>
          <cell r="G1820" t="str">
            <v>Reach_15</v>
          </cell>
          <cell r="H1820">
            <v>1812</v>
          </cell>
          <cell r="J1820">
            <v>303.36</v>
          </cell>
          <cell r="K1820">
            <v>151.28</v>
          </cell>
          <cell r="L1820">
            <v>2.6393400000000007E-7</v>
          </cell>
          <cell r="M1820">
            <v>7492</v>
          </cell>
          <cell r="N1820">
            <v>2.4547089156850306</v>
          </cell>
          <cell r="O1820">
            <v>14.08</v>
          </cell>
          <cell r="Q1820">
            <v>14</v>
          </cell>
        </row>
        <row r="1821">
          <cell r="D1821" t="str">
            <v>88-23-3</v>
          </cell>
          <cell r="E1821">
            <v>88233</v>
          </cell>
          <cell r="F1821">
            <v>3953</v>
          </cell>
          <cell r="G1821" t="str">
            <v>Reach_321</v>
          </cell>
          <cell r="H1821">
            <v>1813</v>
          </cell>
          <cell r="J1821">
            <v>223.63</v>
          </cell>
          <cell r="K1821">
            <v>173.73</v>
          </cell>
          <cell r="L1821">
            <v>2.2794300000000004E-7</v>
          </cell>
          <cell r="M1821">
            <v>5567</v>
          </cell>
          <cell r="N1821">
            <v>1.2022644346174125E-2</v>
          </cell>
          <cell r="Q1821">
            <v>14</v>
          </cell>
        </row>
        <row r="1822">
          <cell r="D1822" t="str">
            <v>90-20-0</v>
          </cell>
          <cell r="E1822">
            <v>90200</v>
          </cell>
          <cell r="F1822">
            <v>3993</v>
          </cell>
          <cell r="G1822" t="str">
            <v>Reach_361</v>
          </cell>
          <cell r="H1822">
            <v>1814</v>
          </cell>
          <cell r="J1822">
            <v>319.31</v>
          </cell>
          <cell r="K1822">
            <v>260.8</v>
          </cell>
          <cell r="L1822">
            <v>9.877530000000001E-15</v>
          </cell>
          <cell r="M1822">
            <v>64951</v>
          </cell>
          <cell r="N1822">
            <v>4.6773514128719777E-3</v>
          </cell>
          <cell r="O1822">
            <v>-0.78</v>
          </cell>
          <cell r="Q1822">
            <v>-0.78</v>
          </cell>
        </row>
        <row r="1823">
          <cell r="D1823" t="str">
            <v>2963-69-1</v>
          </cell>
          <cell r="E1823">
            <v>2963691</v>
          </cell>
          <cell r="F1823">
            <v>2570</v>
          </cell>
          <cell r="G1823" t="str">
            <v>Reach_4274</v>
          </cell>
          <cell r="H1823">
            <v>1815</v>
          </cell>
          <cell r="J1823">
            <v>320.43</v>
          </cell>
          <cell r="K1823">
            <v>195.17</v>
          </cell>
          <cell r="L1823">
            <v>6.9449300000000007E-10</v>
          </cell>
          <cell r="M1823">
            <v>541.83000000000004</v>
          </cell>
          <cell r="N1823">
            <v>2.0417379446695296</v>
          </cell>
          <cell r="O1823">
            <v>14.75</v>
          </cell>
          <cell r="Q1823">
            <v>14</v>
          </cell>
        </row>
        <row r="1824">
          <cell r="D1824" t="str">
            <v>172529-93-0</v>
          </cell>
          <cell r="E1824">
            <v>172529930</v>
          </cell>
          <cell r="F1824">
            <v>2128</v>
          </cell>
          <cell r="G1824" t="str">
            <v>Reach_4181</v>
          </cell>
          <cell r="H1824">
            <v>1816</v>
          </cell>
          <cell r="J1824">
            <v>327.73</v>
          </cell>
          <cell r="K1824">
            <v>201.48</v>
          </cell>
          <cell r="L1824">
            <v>1.9861700000000001E-7</v>
          </cell>
          <cell r="M1824">
            <v>130.69999999999999</v>
          </cell>
          <cell r="N1824">
            <v>1.9952623149688797</v>
          </cell>
          <cell r="O1824">
            <v>12.94</v>
          </cell>
          <cell r="Q1824">
            <v>12.94</v>
          </cell>
        </row>
        <row r="1825">
          <cell r="D1825" t="str">
            <v>1170-02-1</v>
          </cell>
          <cell r="E1825">
            <v>1170021</v>
          </cell>
          <cell r="F1825">
            <v>1654</v>
          </cell>
          <cell r="G1825" t="str">
            <v>Reach_1665</v>
          </cell>
          <cell r="H1825">
            <v>1817</v>
          </cell>
          <cell r="J1825">
            <v>360.37</v>
          </cell>
          <cell r="K1825">
            <v>323.67</v>
          </cell>
          <cell r="L1825">
            <v>1.2383570000000001E-14</v>
          </cell>
          <cell r="M1825">
            <v>0.53978000000000004</v>
          </cell>
          <cell r="N1825">
            <v>3.3113112148259105E-3</v>
          </cell>
          <cell r="P1825">
            <v>4.76</v>
          </cell>
          <cell r="Q1825">
            <v>9.24</v>
          </cell>
        </row>
        <row r="1826">
          <cell r="D1826" t="str">
            <v>25157-64-6</v>
          </cell>
          <cell r="E1826">
            <v>25157646</v>
          </cell>
          <cell r="F1826">
            <v>2418</v>
          </cell>
          <cell r="G1826" t="str">
            <v>Reach_4244</v>
          </cell>
          <cell r="H1826">
            <v>1818</v>
          </cell>
          <cell r="J1826">
            <v>282.18</v>
          </cell>
          <cell r="K1826">
            <v>349.84</v>
          </cell>
          <cell r="L1826">
            <v>2.9192700000000007E-19</v>
          </cell>
          <cell r="M1826">
            <v>1000000</v>
          </cell>
          <cell r="N1826">
            <v>2.3442288153199204E-3</v>
          </cell>
          <cell r="Q1826">
            <v>14</v>
          </cell>
        </row>
        <row r="1827">
          <cell r="D1827" t="str">
            <v>1194-65-6</v>
          </cell>
          <cell r="E1827">
            <v>1194656</v>
          </cell>
          <cell r="F1827">
            <v>352</v>
          </cell>
          <cell r="G1827" t="str">
            <v>Reach_1672</v>
          </cell>
          <cell r="H1827">
            <v>1819</v>
          </cell>
          <cell r="J1827">
            <v>172.01</v>
          </cell>
          <cell r="K1827">
            <v>52.67</v>
          </cell>
          <cell r="L1827">
            <v>7.7580600000000013E-2</v>
          </cell>
          <cell r="M1827">
            <v>62.543999999999997</v>
          </cell>
          <cell r="N1827">
            <v>676.08297539198213</v>
          </cell>
          <cell r="Q1827">
            <v>14</v>
          </cell>
        </row>
        <row r="1828">
          <cell r="D1828" t="str">
            <v>4684-28-0</v>
          </cell>
          <cell r="E1828">
            <v>4684280</v>
          </cell>
          <cell r="F1828">
            <v>2958</v>
          </cell>
          <cell r="G1828" t="str">
            <v>Reach_2055</v>
          </cell>
          <cell r="H1828">
            <v>1820</v>
          </cell>
          <cell r="J1828">
            <v>289.33</v>
          </cell>
          <cell r="K1828">
            <v>158</v>
          </cell>
          <cell r="L1828">
            <v>5.6652500000000005E-7</v>
          </cell>
          <cell r="M1828">
            <v>4667.1000000000004</v>
          </cell>
          <cell r="N1828">
            <v>1.5135612484362082</v>
          </cell>
          <cell r="Q1828">
            <v>14</v>
          </cell>
        </row>
        <row r="1829">
          <cell r="D1829" t="str">
            <v>18063-03-1</v>
          </cell>
          <cell r="E1829">
            <v>18063031</v>
          </cell>
          <cell r="F1829">
            <v>2163</v>
          </cell>
          <cell r="G1829" t="str">
            <v>Reach_2450</v>
          </cell>
          <cell r="H1829">
            <v>1821</v>
          </cell>
          <cell r="J1829">
            <v>157.12</v>
          </cell>
          <cell r="K1829">
            <v>84.65</v>
          </cell>
          <cell r="L1829">
            <v>3.8123800000000006E-2</v>
          </cell>
          <cell r="M1829">
            <v>1265.9000000000001</v>
          </cell>
          <cell r="N1829">
            <v>1.0232929922807541</v>
          </cell>
          <cell r="Q1829">
            <v>14</v>
          </cell>
        </row>
        <row r="1830">
          <cell r="D1830" t="str">
            <v>121315-20-6</v>
          </cell>
          <cell r="E1830">
            <v>121315206</v>
          </cell>
          <cell r="F1830">
            <v>1725</v>
          </cell>
          <cell r="G1830" t="str">
            <v>Reach_4103</v>
          </cell>
          <cell r="H1830">
            <v>1822</v>
          </cell>
          <cell r="J1830">
            <v>352.39</v>
          </cell>
          <cell r="K1830">
            <v>264.81</v>
          </cell>
          <cell r="L1830">
            <v>1.9595100000000002E-14</v>
          </cell>
          <cell r="M1830">
            <v>1262.0999999999999</v>
          </cell>
          <cell r="N1830">
            <v>3.3113112148259056E-5</v>
          </cell>
          <cell r="Q1830">
            <v>14</v>
          </cell>
        </row>
        <row r="1831">
          <cell r="D1831" t="str">
            <v>6860-97-5</v>
          </cell>
          <cell r="E1831">
            <v>6860975</v>
          </cell>
          <cell r="F1831">
            <v>3521</v>
          </cell>
          <cell r="G1831" t="str">
            <v>Reach_2209</v>
          </cell>
          <cell r="H1831">
            <v>1823</v>
          </cell>
          <cell r="J1831">
            <v>473.5</v>
          </cell>
          <cell r="K1831">
            <v>334.17</v>
          </cell>
          <cell r="L1831">
            <v>6.5183699999999999E-21</v>
          </cell>
          <cell r="M1831">
            <v>0.11507000000000001</v>
          </cell>
          <cell r="N1831">
            <v>0.58884365535558891</v>
          </cell>
          <cell r="Q1831">
            <v>14</v>
          </cell>
        </row>
        <row r="1832">
          <cell r="D1832" t="str">
            <v>143382-03-0</v>
          </cell>
          <cell r="E1832">
            <v>143382030</v>
          </cell>
          <cell r="F1832">
            <v>1964</v>
          </cell>
          <cell r="G1832" t="str">
            <v>Reach_4149</v>
          </cell>
          <cell r="H1832">
            <v>1824</v>
          </cell>
          <cell r="J1832">
            <v>211.17</v>
          </cell>
          <cell r="K1832">
            <v>162.18</v>
          </cell>
          <cell r="L1832">
            <v>6.7316500000000012E-5</v>
          </cell>
          <cell r="M1832">
            <v>4642.8999999999996</v>
          </cell>
          <cell r="N1832">
            <v>0.45708818961487502</v>
          </cell>
          <cell r="Q1832">
            <v>14</v>
          </cell>
        </row>
        <row r="1833">
          <cell r="D1833" t="str">
            <v>5926-26-1</v>
          </cell>
          <cell r="E1833">
            <v>5926261</v>
          </cell>
          <cell r="F1833">
            <v>3271</v>
          </cell>
          <cell r="G1833" t="str">
            <v>Reach_4365</v>
          </cell>
          <cell r="H1833">
            <v>1825</v>
          </cell>
          <cell r="J1833">
            <v>170.67</v>
          </cell>
          <cell r="K1833">
            <v>-27.13</v>
          </cell>
          <cell r="L1833">
            <v>339.91500000000002</v>
          </cell>
          <cell r="N1833">
            <v>0.38018939632056115</v>
          </cell>
          <cell r="Q1833">
            <v>14</v>
          </cell>
        </row>
        <row r="1834">
          <cell r="D1834" t="str">
            <v>598-55-0</v>
          </cell>
          <cell r="E1834">
            <v>598550</v>
          </cell>
          <cell r="F1834">
            <v>3290</v>
          </cell>
          <cell r="G1834" t="str">
            <v>Reach_1403</v>
          </cell>
          <cell r="H1834">
            <v>1826</v>
          </cell>
          <cell r="J1834">
            <v>75.067999999999998</v>
          </cell>
          <cell r="K1834">
            <v>-47.05</v>
          </cell>
          <cell r="L1834">
            <v>73.048400000000015</v>
          </cell>
          <cell r="M1834">
            <v>454000</v>
          </cell>
          <cell r="N1834">
            <v>0.30902954325135895</v>
          </cell>
          <cell r="Q1834">
            <v>14</v>
          </cell>
        </row>
        <row r="1835">
          <cell r="D1835" t="str">
            <v>132-57-0</v>
          </cell>
          <cell r="E1835">
            <v>132570</v>
          </cell>
          <cell r="F1835">
            <v>1860</v>
          </cell>
          <cell r="G1835" t="str">
            <v>Reach_1123</v>
          </cell>
          <cell r="H1835">
            <v>1827</v>
          </cell>
          <cell r="J1835">
            <v>224.23</v>
          </cell>
          <cell r="K1835">
            <v>172.96</v>
          </cell>
          <cell r="L1835">
            <v>1.2036990000000002E-7</v>
          </cell>
          <cell r="M1835">
            <v>4031.3</v>
          </cell>
          <cell r="N1835">
            <v>0.33884415613920255</v>
          </cell>
          <cell r="Q1835">
            <v>14</v>
          </cell>
        </row>
        <row r="1836">
          <cell r="D1836" t="str">
            <v>3577-63-7</v>
          </cell>
          <cell r="E1836">
            <v>3577637</v>
          </cell>
          <cell r="F1836">
            <v>2748</v>
          </cell>
          <cell r="G1836" t="str">
            <v>Reach_1974</v>
          </cell>
          <cell r="H1836">
            <v>1828</v>
          </cell>
          <cell r="J1836">
            <v>217.2</v>
          </cell>
          <cell r="K1836">
            <v>187.23</v>
          </cell>
          <cell r="L1836">
            <v>2.1994500000000002E-8</v>
          </cell>
          <cell r="M1836">
            <v>165000</v>
          </cell>
          <cell r="N1836">
            <v>1.5848931924611124E-2</v>
          </cell>
          <cell r="Q1836">
            <v>14</v>
          </cell>
        </row>
        <row r="1837">
          <cell r="D1837" t="str">
            <v>7474-78-4</v>
          </cell>
          <cell r="E1837">
            <v>7474784</v>
          </cell>
          <cell r="F1837">
            <v>3643</v>
          </cell>
          <cell r="G1837" t="str">
            <v>Reach_2254</v>
          </cell>
          <cell r="H1837">
            <v>1829</v>
          </cell>
          <cell r="J1837">
            <v>188.21</v>
          </cell>
          <cell r="K1837">
            <v>161.25</v>
          </cell>
          <cell r="L1837">
            <v>6.6383399999999999E-7</v>
          </cell>
          <cell r="M1837">
            <v>51775</v>
          </cell>
          <cell r="N1837">
            <v>1E-3</v>
          </cell>
          <cell r="Q1837">
            <v>14</v>
          </cell>
        </row>
        <row r="1838">
          <cell r="D1838" t="str">
            <v>74124-79-1</v>
          </cell>
          <cell r="E1838">
            <v>74124791</v>
          </cell>
          <cell r="F1838">
            <v>3632</v>
          </cell>
          <cell r="G1838" t="str">
            <v>Reach_2942</v>
          </cell>
          <cell r="H1838">
            <v>1830</v>
          </cell>
          <cell r="J1838">
            <v>256.17</v>
          </cell>
          <cell r="K1838">
            <v>240.31</v>
          </cell>
          <cell r="L1838">
            <v>5.2520200000000002E-10</v>
          </cell>
          <cell r="M1838">
            <v>1000000</v>
          </cell>
          <cell r="N1838">
            <v>1.6595869074375568E-5</v>
          </cell>
          <cell r="Q1838">
            <v>14</v>
          </cell>
        </row>
        <row r="1839">
          <cell r="D1839" t="str">
            <v>926-63-6</v>
          </cell>
          <cell r="E1839">
            <v>926636</v>
          </cell>
          <cell r="F1839">
            <v>4042</v>
          </cell>
          <cell r="G1839" t="str">
            <v>Reach_1598</v>
          </cell>
          <cell r="H1839">
            <v>1831</v>
          </cell>
          <cell r="J1839">
            <v>87.167000000000002</v>
          </cell>
          <cell r="K1839">
            <v>-83.44</v>
          </cell>
          <cell r="L1839">
            <v>20661.5</v>
          </cell>
          <cell r="M1839">
            <v>135000</v>
          </cell>
          <cell r="N1839">
            <v>10.471285480509</v>
          </cell>
          <cell r="P1839">
            <v>3.9</v>
          </cell>
          <cell r="Q1839">
            <v>10.1</v>
          </cell>
        </row>
        <row r="1840">
          <cell r="D1840" t="str">
            <v>4090-51-1</v>
          </cell>
          <cell r="E1840">
            <v>4090511</v>
          </cell>
          <cell r="F1840">
            <v>2866</v>
          </cell>
          <cell r="G1840" t="str">
            <v>Reach_2012</v>
          </cell>
          <cell r="H1840">
            <v>1832</v>
          </cell>
          <cell r="J1840">
            <v>346.34</v>
          </cell>
          <cell r="K1840">
            <v>-19.829999999999998</v>
          </cell>
          <cell r="L1840">
            <v>3.5724400000000005E-3</v>
          </cell>
          <cell r="M1840">
            <v>5.5355999999999996</v>
          </cell>
          <cell r="N1840">
            <v>33113.11214825909</v>
          </cell>
          <cell r="Q1840">
            <v>14</v>
          </cell>
        </row>
        <row r="1841">
          <cell r="D1841" t="str">
            <v>63589-25-3</v>
          </cell>
          <cell r="E1841">
            <v>63589253</v>
          </cell>
          <cell r="F1841">
            <v>3412</v>
          </cell>
          <cell r="G1841" t="str">
            <v>Reach_2861</v>
          </cell>
          <cell r="H1841">
            <v>1833</v>
          </cell>
          <cell r="J1841">
            <v>295.23</v>
          </cell>
          <cell r="K1841">
            <v>300.20999999999998</v>
          </cell>
          <cell r="L1841">
            <v>2.6793300000000004E-17</v>
          </cell>
          <cell r="M1841">
            <v>71.623000000000005</v>
          </cell>
          <cell r="N1841">
            <v>0.51286138399136483</v>
          </cell>
          <cell r="O1841">
            <v>-1.76</v>
          </cell>
          <cell r="Q1841">
            <v>-1.76</v>
          </cell>
        </row>
        <row r="1842">
          <cell r="D1842" t="str">
            <v>89-58-7</v>
          </cell>
          <cell r="E1842">
            <v>89587</v>
          </cell>
          <cell r="F1842">
            <v>3981</v>
          </cell>
          <cell r="G1842" t="str">
            <v>Reach_346</v>
          </cell>
          <cell r="H1842">
            <v>1834</v>
          </cell>
          <cell r="J1842">
            <v>151.16999999999999</v>
          </cell>
          <cell r="K1842">
            <v>53.19</v>
          </cell>
          <cell r="L1842">
            <v>6.0118300000000007</v>
          </cell>
          <cell r="M1842">
            <v>123.06</v>
          </cell>
          <cell r="N1842">
            <v>812.83051616409978</v>
          </cell>
          <cell r="Q1842">
            <v>14</v>
          </cell>
        </row>
        <row r="1843">
          <cell r="D1843" t="str">
            <v>20193-20-8</v>
          </cell>
          <cell r="E1843">
            <v>20193208</v>
          </cell>
          <cell r="F1843">
            <v>2253</v>
          </cell>
          <cell r="G1843" t="str">
            <v>Reach_2489</v>
          </cell>
          <cell r="H1843">
            <v>1835</v>
          </cell>
          <cell r="J1843">
            <v>87.167000000000002</v>
          </cell>
          <cell r="K1843">
            <v>-66.88</v>
          </cell>
          <cell r="L1843">
            <v>11143.880000000001</v>
          </cell>
          <cell r="M1843">
            <v>176000</v>
          </cell>
          <cell r="N1843">
            <v>19.952623149688804</v>
          </cell>
          <cell r="P1843">
            <v>3.1</v>
          </cell>
          <cell r="Q1843">
            <v>10.9</v>
          </cell>
        </row>
        <row r="1844">
          <cell r="D1844" t="str">
            <v>15793-73-4</v>
          </cell>
          <cell r="E1844">
            <v>15793734</v>
          </cell>
          <cell r="F1844">
            <v>2057</v>
          </cell>
          <cell r="G1844" t="str">
            <v>Reach_2399</v>
          </cell>
          <cell r="H1844">
            <v>1836</v>
          </cell>
          <cell r="J1844">
            <v>651.57000000000005</v>
          </cell>
          <cell r="K1844">
            <v>349.84</v>
          </cell>
          <cell r="L1844">
            <v>2.3060900000000004E-19</v>
          </cell>
          <cell r="M1844">
            <v>1.06E-5</v>
          </cell>
          <cell r="N1844">
            <v>181970085860.99881</v>
          </cell>
          <cell r="P1844">
            <v>13.28</v>
          </cell>
          <cell r="Q1844">
            <v>0.72000000000000064</v>
          </cell>
        </row>
        <row r="1845">
          <cell r="D1845" t="str">
            <v>89-87-2</v>
          </cell>
          <cell r="E1845">
            <v>89872</v>
          </cell>
          <cell r="F1845">
            <v>3988</v>
          </cell>
          <cell r="G1845" t="str">
            <v>Reach_354</v>
          </cell>
          <cell r="H1845">
            <v>1837</v>
          </cell>
          <cell r="J1845">
            <v>151.16999999999999</v>
          </cell>
          <cell r="K1845">
            <v>53.19</v>
          </cell>
          <cell r="L1845">
            <v>4.2656000000000001</v>
          </cell>
          <cell r="M1845">
            <v>123.06</v>
          </cell>
          <cell r="N1845">
            <v>812.83051616409978</v>
          </cell>
          <cell r="Q1845">
            <v>14</v>
          </cell>
        </row>
        <row r="1846">
          <cell r="D1846" t="str">
            <v>107-94-8</v>
          </cell>
          <cell r="E1846">
            <v>107948</v>
          </cell>
          <cell r="F1846">
            <v>1471</v>
          </cell>
          <cell r="G1846" t="str">
            <v>Reach_721</v>
          </cell>
          <cell r="H1846">
            <v>1838</v>
          </cell>
          <cell r="J1846">
            <v>108.52</v>
          </cell>
          <cell r="K1846">
            <v>22.44</v>
          </cell>
          <cell r="L1846">
            <v>263.93400000000003</v>
          </cell>
          <cell r="M1846">
            <v>119000</v>
          </cell>
          <cell r="N1846">
            <v>6.7608297539198183</v>
          </cell>
          <cell r="O1846">
            <v>4</v>
          </cell>
          <cell r="Q1846">
            <v>4</v>
          </cell>
        </row>
        <row r="1847">
          <cell r="D1847" t="str">
            <v>91-22-5</v>
          </cell>
          <cell r="E1847">
            <v>91225</v>
          </cell>
          <cell r="F1847">
            <v>1006</v>
          </cell>
          <cell r="G1847" t="str">
            <v>Reach_374</v>
          </cell>
          <cell r="H1847">
            <v>1839</v>
          </cell>
          <cell r="J1847">
            <v>129.16</v>
          </cell>
          <cell r="K1847">
            <v>37.630000000000003</v>
          </cell>
          <cell r="L1847">
            <v>7.184870000000001</v>
          </cell>
          <cell r="M1847">
            <v>354.09</v>
          </cell>
          <cell r="N1847">
            <v>138.0384264602886</v>
          </cell>
          <cell r="P1847">
            <v>9</v>
          </cell>
          <cell r="Q1847">
            <v>5</v>
          </cell>
        </row>
        <row r="1848">
          <cell r="D1848" t="str">
            <v>122731-59-3</v>
          </cell>
          <cell r="E1848">
            <v>122731593</v>
          </cell>
          <cell r="F1848">
            <v>1758</v>
          </cell>
          <cell r="G1848" t="str">
            <v>Reach_4107</v>
          </cell>
          <cell r="H1848">
            <v>1840</v>
          </cell>
          <cell r="J1848">
            <v>715.99</v>
          </cell>
          <cell r="K1848">
            <v>294.81</v>
          </cell>
          <cell r="L1848">
            <v>9.664250000000001E-14</v>
          </cell>
          <cell r="M1848">
            <v>1.6633999999999999E-2</v>
          </cell>
          <cell r="N1848">
            <v>363.07805477010152</v>
          </cell>
          <cell r="O1848">
            <v>1.68</v>
          </cell>
          <cell r="Q1848">
            <v>1.68</v>
          </cell>
        </row>
        <row r="1849">
          <cell r="D1849" t="str">
            <v>924-88-9</v>
          </cell>
          <cell r="E1849">
            <v>924889</v>
          </cell>
          <cell r="F1849">
            <v>4037</v>
          </cell>
          <cell r="G1849" t="str">
            <v>Reach_1595</v>
          </cell>
          <cell r="H1849">
            <v>1841</v>
          </cell>
          <cell r="J1849">
            <v>202.25</v>
          </cell>
          <cell r="K1849">
            <v>-70.599999999999994</v>
          </cell>
          <cell r="L1849">
            <v>41.456300000000006</v>
          </cell>
          <cell r="M1849">
            <v>2366.1999999999998</v>
          </cell>
          <cell r="N1849">
            <v>165.95869074375622</v>
          </cell>
          <cell r="Q1849">
            <v>14</v>
          </cell>
        </row>
        <row r="1850">
          <cell r="D1850" t="str">
            <v>111-70-6</v>
          </cell>
          <cell r="E1850">
            <v>111706</v>
          </cell>
          <cell r="F1850">
            <v>308</v>
          </cell>
          <cell r="G1850" t="str">
            <v>Reach_866</v>
          </cell>
          <cell r="H1850">
            <v>1842</v>
          </cell>
          <cell r="J1850">
            <v>116.2</v>
          </cell>
          <cell r="K1850">
            <v>-26.03</v>
          </cell>
          <cell r="L1850">
            <v>39.856700000000004</v>
          </cell>
          <cell r="M1850">
            <v>1488</v>
          </cell>
          <cell r="N1850">
            <v>204.17379446695315</v>
          </cell>
          <cell r="O1850">
            <v>15.9</v>
          </cell>
          <cell r="Q1850">
            <v>14</v>
          </cell>
        </row>
        <row r="1851">
          <cell r="D1851" t="str">
            <v>66-25-1</v>
          </cell>
          <cell r="E1851">
            <v>66251</v>
          </cell>
          <cell r="F1851">
            <v>788</v>
          </cell>
          <cell r="G1851" t="str">
            <v>Reach_78</v>
          </cell>
          <cell r="H1851">
            <v>1843</v>
          </cell>
          <cell r="J1851">
            <v>100.16</v>
          </cell>
          <cell r="K1851">
            <v>-55.13</v>
          </cell>
          <cell r="L1851">
            <v>1275.681</v>
          </cell>
          <cell r="M1851">
            <v>5200.7</v>
          </cell>
          <cell r="N1851">
            <v>63.095734448019364</v>
          </cell>
          <cell r="Q1851">
            <v>14</v>
          </cell>
        </row>
        <row r="1852">
          <cell r="D1852" t="str">
            <v>454-31-9</v>
          </cell>
          <cell r="E1852">
            <v>454319</v>
          </cell>
          <cell r="F1852">
            <v>2940</v>
          </cell>
          <cell r="G1852" t="str">
            <v>Reach_1278</v>
          </cell>
          <cell r="H1852">
            <v>1844</v>
          </cell>
          <cell r="J1852">
            <v>124.09</v>
          </cell>
          <cell r="K1852">
            <v>-91.96</v>
          </cell>
          <cell r="L1852">
            <v>4998.75</v>
          </cell>
          <cell r="M1852">
            <v>23202</v>
          </cell>
          <cell r="N1852">
            <v>4.6773514128719835</v>
          </cell>
          <cell r="Q1852">
            <v>14</v>
          </cell>
        </row>
        <row r="1853">
          <cell r="D1853" t="str">
            <v>63968-64-9</v>
          </cell>
          <cell r="E1853">
            <v>63968649</v>
          </cell>
          <cell r="F1853">
            <v>3421</v>
          </cell>
          <cell r="G1853" t="str">
            <v>Reach_4844</v>
          </cell>
          <cell r="H1853">
            <v>1845</v>
          </cell>
          <cell r="J1853">
            <v>282.33999999999997</v>
          </cell>
          <cell r="K1853">
            <v>132.75</v>
          </cell>
          <cell r="L1853">
            <v>2.9059400000000003E-4</v>
          </cell>
          <cell r="M1853">
            <v>148.79</v>
          </cell>
          <cell r="N1853">
            <v>707.94578438413873</v>
          </cell>
          <cell r="Q1853">
            <v>14</v>
          </cell>
        </row>
        <row r="1854">
          <cell r="D1854" t="str">
            <v>3147-75-9</v>
          </cell>
          <cell r="E1854">
            <v>3147759</v>
          </cell>
          <cell r="F1854">
            <v>2626</v>
          </cell>
          <cell r="G1854" t="str">
            <v>Reach_1920</v>
          </cell>
          <cell r="H1854">
            <v>1846</v>
          </cell>
          <cell r="J1854">
            <v>323.44</v>
          </cell>
          <cell r="K1854">
            <v>191.41</v>
          </cell>
          <cell r="L1854">
            <v>1.4663000000000001E-7</v>
          </cell>
          <cell r="M1854">
            <v>0.30865999999999999</v>
          </cell>
          <cell r="N1854">
            <v>1621810.0973589318</v>
          </cell>
          <cell r="O1854">
            <v>10.3</v>
          </cell>
          <cell r="P1854">
            <v>15.01</v>
          </cell>
          <cell r="Q1854">
            <v>-1.0099999999999998</v>
          </cell>
        </row>
        <row r="1855">
          <cell r="D1855" t="str">
            <v>535-13-7</v>
          </cell>
          <cell r="E1855">
            <v>535137</v>
          </cell>
          <cell r="F1855">
            <v>3105</v>
          </cell>
          <cell r="G1855" t="str">
            <v>Reach_1333</v>
          </cell>
          <cell r="H1855">
            <v>1847</v>
          </cell>
          <cell r="J1855">
            <v>136.58000000000001</v>
          </cell>
          <cell r="K1855">
            <v>-51.48</v>
          </cell>
          <cell r="L1855">
            <v>614.51300000000015</v>
          </cell>
          <cell r="M1855">
            <v>5010.8999999999996</v>
          </cell>
          <cell r="N1855">
            <v>34.67368504525318</v>
          </cell>
          <cell r="Q1855">
            <v>14</v>
          </cell>
        </row>
        <row r="1856">
          <cell r="D1856" t="str">
            <v>4223-03-4</v>
          </cell>
          <cell r="E1856">
            <v>4223034</v>
          </cell>
          <cell r="F1856">
            <v>1266</v>
          </cell>
          <cell r="G1856" t="str">
            <v>Reach_2021</v>
          </cell>
          <cell r="H1856">
            <v>1848</v>
          </cell>
          <cell r="J1856">
            <v>183.3</v>
          </cell>
          <cell r="K1856">
            <v>83.71</v>
          </cell>
          <cell r="L1856">
            <v>8.8377900000000009E-2</v>
          </cell>
          <cell r="M1856">
            <v>216.27</v>
          </cell>
          <cell r="N1856">
            <v>741.31024130091828</v>
          </cell>
          <cell r="O1856">
            <v>15.1</v>
          </cell>
          <cell r="P1856">
            <v>14.4</v>
          </cell>
          <cell r="Q1856">
            <v>-0.40000000000000036</v>
          </cell>
        </row>
        <row r="1857">
          <cell r="D1857" t="str">
            <v>563-80-4</v>
          </cell>
          <cell r="E1857">
            <v>563804</v>
          </cell>
          <cell r="F1857">
            <v>712</v>
          </cell>
          <cell r="G1857" t="str">
            <v>Reach_1375</v>
          </cell>
          <cell r="H1857">
            <v>1849</v>
          </cell>
          <cell r="J1857">
            <v>86.134</v>
          </cell>
          <cell r="K1857">
            <v>-79.459999999999994</v>
          </cell>
          <cell r="L1857">
            <v>7264.85</v>
          </cell>
          <cell r="M1857">
            <v>22189</v>
          </cell>
          <cell r="N1857">
            <v>4.6773514128719835</v>
          </cell>
          <cell r="Q1857">
            <v>14</v>
          </cell>
        </row>
        <row r="1858">
          <cell r="D1858" t="str">
            <v>62-56-6</v>
          </cell>
          <cell r="E1858">
            <v>62566</v>
          </cell>
          <cell r="F1858">
            <v>767</v>
          </cell>
          <cell r="G1858" t="str">
            <v>Reach_66</v>
          </cell>
          <cell r="H1858">
            <v>1850</v>
          </cell>
          <cell r="J1858">
            <v>76.123000000000005</v>
          </cell>
          <cell r="K1858">
            <v>25.82</v>
          </cell>
          <cell r="L1858">
            <v>7.7980500000000008</v>
          </cell>
          <cell r="M1858">
            <v>1000000</v>
          </cell>
          <cell r="N1858">
            <v>4.8977881936844603E-2</v>
          </cell>
          <cell r="O1858">
            <v>13</v>
          </cell>
          <cell r="P1858">
            <v>12</v>
          </cell>
          <cell r="Q1858">
            <v>2</v>
          </cell>
        </row>
        <row r="1859">
          <cell r="D1859" t="str">
            <v>90474-13-8</v>
          </cell>
          <cell r="E1859">
            <v>90474138</v>
          </cell>
          <cell r="F1859">
            <v>4000</v>
          </cell>
          <cell r="G1859" t="str">
            <v>Reach_2994</v>
          </cell>
          <cell r="H1859">
            <v>1851</v>
          </cell>
          <cell r="J1859">
            <v>214.26</v>
          </cell>
          <cell r="K1859">
            <v>-34.21</v>
          </cell>
          <cell r="L1859">
            <v>4.6121800000000004</v>
          </cell>
          <cell r="M1859">
            <v>2322.3000000000002</v>
          </cell>
          <cell r="N1859">
            <v>398.10717055349761</v>
          </cell>
          <cell r="Q1859">
            <v>14</v>
          </cell>
        </row>
        <row r="1860">
          <cell r="D1860" t="str">
            <v>118-48-9</v>
          </cell>
          <cell r="E1860">
            <v>118489</v>
          </cell>
          <cell r="F1860">
            <v>1671</v>
          </cell>
          <cell r="G1860" t="str">
            <v>Reach_964</v>
          </cell>
          <cell r="H1860">
            <v>1852</v>
          </cell>
          <cell r="J1860">
            <v>163.13</v>
          </cell>
          <cell r="K1860">
            <v>76.69</v>
          </cell>
          <cell r="L1860">
            <v>0.10064150000000001</v>
          </cell>
          <cell r="M1860">
            <v>3421</v>
          </cell>
          <cell r="N1860">
            <v>398.10717055349761</v>
          </cell>
          <cell r="Q1860">
            <v>14</v>
          </cell>
        </row>
        <row r="1861">
          <cell r="D1861" t="str">
            <v>94695-50-8</v>
          </cell>
          <cell r="E1861">
            <v>94695508</v>
          </cell>
          <cell r="F1861">
            <v>4108</v>
          </cell>
          <cell r="G1861" t="str">
            <v>Reach_4787</v>
          </cell>
          <cell r="H1861">
            <v>1853</v>
          </cell>
          <cell r="J1861">
            <v>264.17</v>
          </cell>
          <cell r="K1861">
            <v>66.400000000000006</v>
          </cell>
          <cell r="L1861">
            <v>0.52653500000000009</v>
          </cell>
          <cell r="M1861">
            <v>113.33</v>
          </cell>
          <cell r="N1861">
            <v>323.59365692962825</v>
          </cell>
          <cell r="Q1861">
            <v>14</v>
          </cell>
        </row>
        <row r="1862">
          <cell r="D1862" t="str">
            <v>97-53-0</v>
          </cell>
          <cell r="E1862">
            <v>97530</v>
          </cell>
          <cell r="F1862">
            <v>1057</v>
          </cell>
          <cell r="G1862" t="str">
            <v>Reach_480</v>
          </cell>
          <cell r="H1862">
            <v>1854</v>
          </cell>
          <cell r="J1862">
            <v>164.2</v>
          </cell>
          <cell r="K1862">
            <v>60.57</v>
          </cell>
          <cell r="L1862">
            <v>1.2636840000000003</v>
          </cell>
          <cell r="M1862">
            <v>253.51</v>
          </cell>
          <cell r="N1862">
            <v>537.03179637025301</v>
          </cell>
          <cell r="O1862">
            <v>10</v>
          </cell>
          <cell r="Q1862">
            <v>10</v>
          </cell>
        </row>
        <row r="1863">
          <cell r="D1863" t="str">
            <v>116-16-5</v>
          </cell>
          <cell r="E1863">
            <v>116165</v>
          </cell>
          <cell r="F1863">
            <v>1647</v>
          </cell>
          <cell r="G1863" t="str">
            <v>Reach_953</v>
          </cell>
          <cell r="H1863">
            <v>1855</v>
          </cell>
          <cell r="J1863">
            <v>264.75</v>
          </cell>
          <cell r="K1863">
            <v>36.200000000000003</v>
          </cell>
          <cell r="L1863">
            <v>41.323</v>
          </cell>
          <cell r="M1863">
            <v>18.001999999999999</v>
          </cell>
          <cell r="N1863">
            <v>301.99517204020168</v>
          </cell>
          <cell r="P1863">
            <v>0</v>
          </cell>
          <cell r="Q1863">
            <v>14</v>
          </cell>
        </row>
        <row r="1864">
          <cell r="D1864" t="str">
            <v>70905-68-9</v>
          </cell>
          <cell r="E1864">
            <v>70905689</v>
          </cell>
          <cell r="F1864">
            <v>3574</v>
          </cell>
          <cell r="G1864" t="str">
            <v>Reach_4742</v>
          </cell>
          <cell r="H1864">
            <v>1856</v>
          </cell>
          <cell r="J1864">
            <v>252.35</v>
          </cell>
          <cell r="K1864">
            <v>148.66</v>
          </cell>
          <cell r="L1864">
            <v>6.9582600000000005E-7</v>
          </cell>
          <cell r="M1864">
            <v>351.4</v>
          </cell>
          <cell r="N1864">
            <v>229.08676527677744</v>
          </cell>
          <cell r="Q1864">
            <v>14</v>
          </cell>
        </row>
        <row r="1865">
          <cell r="D1865" t="str">
            <v>93839-71-5</v>
          </cell>
          <cell r="E1865">
            <v>93839715</v>
          </cell>
          <cell r="F1865">
            <v>4089</v>
          </cell>
          <cell r="G1865" t="str">
            <v>Reach_3001</v>
          </cell>
          <cell r="H1865">
            <v>1857</v>
          </cell>
          <cell r="J1865">
            <v>262.36</v>
          </cell>
          <cell r="K1865">
            <v>134.05000000000001</v>
          </cell>
          <cell r="L1865">
            <v>2.2794300000000001E-4</v>
          </cell>
          <cell r="M1865">
            <v>846.72</v>
          </cell>
          <cell r="N1865">
            <v>223.87211385683412</v>
          </cell>
          <cell r="P1865">
            <v>4.25</v>
          </cell>
          <cell r="Q1865">
            <v>9.75</v>
          </cell>
        </row>
        <row r="1866">
          <cell r="D1866" t="str">
            <v>104632-26-0</v>
          </cell>
          <cell r="E1866">
            <v>104632260</v>
          </cell>
          <cell r="F1866">
            <v>1396</v>
          </cell>
          <cell r="G1866" t="str">
            <v>PharmaBeta_621</v>
          </cell>
          <cell r="H1866">
            <v>1858</v>
          </cell>
          <cell r="J1866">
            <v>211.33</v>
          </cell>
          <cell r="K1866">
            <v>127.35</v>
          </cell>
          <cell r="L1866">
            <v>2.0661500000000001E-3</v>
          </cell>
          <cell r="M1866">
            <v>5795.5</v>
          </cell>
          <cell r="N1866">
            <v>218.77616239495524</v>
          </cell>
          <cell r="Q1866">
            <v>14</v>
          </cell>
        </row>
        <row r="1867">
          <cell r="D1867" t="str">
            <v>50892-62-1</v>
          </cell>
          <cell r="E1867">
            <v>50892621</v>
          </cell>
          <cell r="F1867">
            <v>3020</v>
          </cell>
          <cell r="G1867" t="str">
            <v>Reach_4726</v>
          </cell>
          <cell r="H1867">
            <v>1859</v>
          </cell>
          <cell r="J1867">
            <v>244.68</v>
          </cell>
          <cell r="K1867">
            <v>184.94</v>
          </cell>
          <cell r="L1867">
            <v>2.3727400000000004E-6</v>
          </cell>
          <cell r="M1867">
            <v>45.85</v>
          </cell>
          <cell r="N1867">
            <v>1513.5612484362093</v>
          </cell>
          <cell r="O1867">
            <v>15.13</v>
          </cell>
          <cell r="P1867">
            <v>11.63</v>
          </cell>
          <cell r="Q1867">
            <v>2.3699999999999992</v>
          </cell>
        </row>
        <row r="1868">
          <cell r="D1868" t="str">
            <v>112-15-2</v>
          </cell>
          <cell r="E1868">
            <v>112152</v>
          </cell>
          <cell r="F1868">
            <v>1577</v>
          </cell>
          <cell r="G1868" t="str">
            <v>Reach_890</v>
          </cell>
          <cell r="H1868">
            <v>1860</v>
          </cell>
          <cell r="J1868">
            <v>176.21</v>
          </cell>
          <cell r="K1868">
            <v>1.9</v>
          </cell>
          <cell r="L1868">
            <v>18.928599999999999</v>
          </cell>
          <cell r="M1868">
            <v>65722</v>
          </cell>
          <cell r="N1868">
            <v>2.0892961308540396</v>
          </cell>
          <cell r="Q1868">
            <v>14</v>
          </cell>
        </row>
        <row r="1869">
          <cell r="D1869" t="str">
            <v>1229457-94-6</v>
          </cell>
          <cell r="E1869">
            <v>1229457946</v>
          </cell>
          <cell r="F1869">
            <v>1759</v>
          </cell>
          <cell r="G1869" t="str">
            <v>Reach_4607</v>
          </cell>
          <cell r="H1869">
            <v>1861</v>
          </cell>
          <cell r="J1869">
            <v>277.11</v>
          </cell>
          <cell r="K1869">
            <v>114.88</v>
          </cell>
          <cell r="L1869">
            <v>9.4909599999999997E-3</v>
          </cell>
          <cell r="M1869">
            <v>13191</v>
          </cell>
          <cell r="N1869">
            <v>114.81536214968835</v>
          </cell>
          <cell r="Q1869">
            <v>14</v>
          </cell>
        </row>
        <row r="1870">
          <cell r="D1870" t="str">
            <v>74-97-5</v>
          </cell>
          <cell r="E1870">
            <v>74975</v>
          </cell>
          <cell r="F1870">
            <v>844</v>
          </cell>
          <cell r="G1870" t="str">
            <v>Reach_120</v>
          </cell>
          <cell r="H1870">
            <v>1862</v>
          </cell>
          <cell r="J1870">
            <v>129.38999999999999</v>
          </cell>
          <cell r="K1870">
            <v>-70.53</v>
          </cell>
          <cell r="L1870">
            <v>19061.900000000001</v>
          </cell>
          <cell r="M1870">
            <v>13493</v>
          </cell>
          <cell r="N1870">
            <v>26.915348039269158</v>
          </cell>
          <cell r="Q1870">
            <v>14</v>
          </cell>
        </row>
        <row r="1871">
          <cell r="D1871" t="str">
            <v>50-21-5</v>
          </cell>
          <cell r="E1871">
            <v>50215</v>
          </cell>
          <cell r="F1871">
            <v>654</v>
          </cell>
          <cell r="G1871" t="str">
            <v>Reach_4</v>
          </cell>
          <cell r="H1871">
            <v>1863</v>
          </cell>
          <cell r="J1871">
            <v>90.078000000000003</v>
          </cell>
          <cell r="K1871">
            <v>22.66</v>
          </cell>
          <cell r="L1871">
            <v>3.8123800000000005</v>
          </cell>
          <cell r="M1871">
            <v>772000</v>
          </cell>
          <cell r="N1871">
            <v>0.22387211385683392</v>
          </cell>
          <cell r="O1871">
            <v>3.8</v>
          </cell>
          <cell r="Q1871">
            <v>3.8</v>
          </cell>
        </row>
        <row r="1872">
          <cell r="D1872" t="str">
            <v>107-51-7</v>
          </cell>
          <cell r="E1872">
            <v>107517</v>
          </cell>
          <cell r="F1872">
            <v>1464</v>
          </cell>
          <cell r="G1872" t="str">
            <v>Reach_710</v>
          </cell>
          <cell r="H1872">
            <v>1864</v>
          </cell>
          <cell r="J1872">
            <v>236.54</v>
          </cell>
          <cell r="K1872">
            <v>-53.16</v>
          </cell>
          <cell r="L1872">
            <v>465.21700000000004</v>
          </cell>
          <cell r="M1872">
            <v>0.61928000000000005</v>
          </cell>
          <cell r="N1872">
            <v>5011872.3362727314</v>
          </cell>
          <cell r="Q1872">
            <v>14</v>
          </cell>
        </row>
        <row r="1873">
          <cell r="D1873" t="str">
            <v>18917-91-4</v>
          </cell>
          <cell r="E1873">
            <v>18917914</v>
          </cell>
          <cell r="F1873">
            <v>5751</v>
          </cell>
          <cell r="G1873" t="str">
            <v>Reach_2471</v>
          </cell>
          <cell r="H1873">
            <v>1865</v>
          </cell>
          <cell r="J1873">
            <v>294.19</v>
          </cell>
          <cell r="K1873">
            <v>0</v>
          </cell>
          <cell r="Q1873">
            <v>14</v>
          </cell>
        </row>
        <row r="1874">
          <cell r="D1874" t="str">
            <v>96-67-3</v>
          </cell>
          <cell r="E1874">
            <v>96673</v>
          </cell>
          <cell r="F1874">
            <v>4151</v>
          </cell>
          <cell r="G1874" t="str">
            <v>Reach_468</v>
          </cell>
          <cell r="H1874">
            <v>1866</v>
          </cell>
          <cell r="J1874">
            <v>234.19</v>
          </cell>
          <cell r="K1874">
            <v>191.01</v>
          </cell>
          <cell r="L1874">
            <v>1.1357160000000002E-8</v>
          </cell>
          <cell r="M1874">
            <v>2830.8</v>
          </cell>
          <cell r="N1874">
            <v>6.7608297539198132E-3</v>
          </cell>
          <cell r="O1874">
            <v>-1.75</v>
          </cell>
          <cell r="P1874">
            <v>12.4</v>
          </cell>
          <cell r="Q1874">
            <v>-1.75</v>
          </cell>
        </row>
        <row r="1875">
          <cell r="D1875" t="str">
            <v>4435-53-4</v>
          </cell>
          <cell r="E1875">
            <v>4435534</v>
          </cell>
          <cell r="F1875">
            <v>2923</v>
          </cell>
          <cell r="G1875" t="str">
            <v>Reach_2036</v>
          </cell>
          <cell r="H1875">
            <v>1867</v>
          </cell>
          <cell r="J1875">
            <v>146.19</v>
          </cell>
          <cell r="K1875">
            <v>-38.200000000000003</v>
          </cell>
          <cell r="L1875">
            <v>369.24100000000004</v>
          </cell>
          <cell r="M1875">
            <v>10484</v>
          </cell>
          <cell r="N1875">
            <v>10.232929922807543</v>
          </cell>
          <cell r="Q1875">
            <v>14</v>
          </cell>
        </row>
        <row r="1876">
          <cell r="D1876" t="str">
            <v>924-50-5</v>
          </cell>
          <cell r="E1876">
            <v>924505</v>
          </cell>
          <cell r="F1876">
            <v>4034</v>
          </cell>
          <cell r="G1876" t="str">
            <v>Reach_1594</v>
          </cell>
          <cell r="H1876">
            <v>1868</v>
          </cell>
          <cell r="J1876">
            <v>114.14</v>
          </cell>
          <cell r="K1876">
            <v>-66.12</v>
          </cell>
          <cell r="L1876">
            <v>121.30300000000001</v>
          </cell>
          <cell r="M1876">
            <v>8491.6</v>
          </cell>
          <cell r="N1876">
            <v>48.977881936844632</v>
          </cell>
          <cell r="Q1876">
            <v>14</v>
          </cell>
        </row>
        <row r="1877">
          <cell r="D1877" t="str">
            <v>611-07-4</v>
          </cell>
          <cell r="E1877">
            <v>611074</v>
          </cell>
          <cell r="F1877">
            <v>3325</v>
          </cell>
          <cell r="G1877" t="str">
            <v>Reach_1418</v>
          </cell>
          <cell r="H1877">
            <v>1869</v>
          </cell>
          <cell r="J1877">
            <v>173.56</v>
          </cell>
          <cell r="K1877">
            <v>92.77</v>
          </cell>
          <cell r="L1877">
            <v>0.12770140000000002</v>
          </cell>
          <cell r="M1877">
            <v>782.56</v>
          </cell>
          <cell r="N1877">
            <v>354.81338923357566</v>
          </cell>
          <cell r="Q1877">
            <v>14</v>
          </cell>
        </row>
        <row r="1878">
          <cell r="D1878" t="str">
            <v>594-44-5</v>
          </cell>
          <cell r="E1878">
            <v>594445</v>
          </cell>
          <cell r="F1878">
            <v>3277</v>
          </cell>
          <cell r="G1878" t="str">
            <v>Reach_1399</v>
          </cell>
          <cell r="H1878">
            <v>1870</v>
          </cell>
          <cell r="J1878">
            <v>128.58000000000001</v>
          </cell>
          <cell r="K1878">
            <v>4.37</v>
          </cell>
          <cell r="L1878">
            <v>171.95700000000002</v>
          </cell>
          <cell r="M1878">
            <v>30833</v>
          </cell>
          <cell r="N1878">
            <v>57.543993733715695</v>
          </cell>
          <cell r="Q1878">
            <v>14</v>
          </cell>
        </row>
        <row r="1879">
          <cell r="D1879" t="str">
            <v>5056-17-7</v>
          </cell>
          <cell r="E1879">
            <v>5056177</v>
          </cell>
          <cell r="F1879">
            <v>3009</v>
          </cell>
          <cell r="G1879" t="str">
            <v>Reach_2074</v>
          </cell>
          <cell r="H1879">
            <v>1871</v>
          </cell>
          <cell r="J1879">
            <v>164.2</v>
          </cell>
          <cell r="K1879">
            <v>6.51</v>
          </cell>
          <cell r="L1879">
            <v>1.3596600000000003</v>
          </cell>
          <cell r="M1879">
            <v>2451.3000000000002</v>
          </cell>
          <cell r="N1879">
            <v>54.95408738576247</v>
          </cell>
          <cell r="Q1879">
            <v>14</v>
          </cell>
        </row>
        <row r="1880">
          <cell r="D1880" t="str">
            <v>203448-76-4</v>
          </cell>
          <cell r="E1880">
            <v>203448764</v>
          </cell>
          <cell r="F1880">
            <v>2262</v>
          </cell>
          <cell r="G1880" t="str">
            <v>Reach_4759</v>
          </cell>
          <cell r="H1880">
            <v>1872</v>
          </cell>
          <cell r="J1880">
            <v>276.39999999999998</v>
          </cell>
          <cell r="K1880">
            <v>63.3</v>
          </cell>
          <cell r="L1880">
            <v>0.13596600000000003</v>
          </cell>
          <cell r="M1880">
            <v>141.29</v>
          </cell>
          <cell r="N1880">
            <v>47.863009232263856</v>
          </cell>
          <cell r="Q1880">
            <v>14</v>
          </cell>
        </row>
        <row r="1881">
          <cell r="D1881" t="str">
            <v>20208-39-3</v>
          </cell>
          <cell r="E1881">
            <v>20208393</v>
          </cell>
          <cell r="F1881">
            <v>2254</v>
          </cell>
          <cell r="G1881" t="str">
            <v>Reach_4884</v>
          </cell>
          <cell r="H1881">
            <v>1873</v>
          </cell>
          <cell r="J1881">
            <v>276.39999999999998</v>
          </cell>
          <cell r="K1881">
            <v>63.3</v>
          </cell>
          <cell r="L1881">
            <v>0.13596600000000003</v>
          </cell>
          <cell r="M1881">
            <v>141.29</v>
          </cell>
          <cell r="N1881">
            <v>47.863009232263856</v>
          </cell>
          <cell r="Q1881">
            <v>14</v>
          </cell>
        </row>
        <row r="1882">
          <cell r="D1882" t="str">
            <v>137-32-6</v>
          </cell>
          <cell r="E1882">
            <v>137326</v>
          </cell>
          <cell r="F1882">
            <v>1907</v>
          </cell>
          <cell r="G1882" t="str">
            <v>Reach_1138</v>
          </cell>
          <cell r="H1882">
            <v>1874</v>
          </cell>
          <cell r="J1882">
            <v>88.15</v>
          </cell>
          <cell r="K1882">
            <v>-61.49</v>
          </cell>
          <cell r="L1882">
            <v>605.18200000000002</v>
          </cell>
          <cell r="M1882">
            <v>37014</v>
          </cell>
          <cell r="N1882">
            <v>18.197008586099841</v>
          </cell>
          <cell r="Q1882">
            <v>14</v>
          </cell>
        </row>
        <row r="1883">
          <cell r="D1883" t="str">
            <v>13076-17-0</v>
          </cell>
          <cell r="E1883">
            <v>13076170</v>
          </cell>
          <cell r="F1883">
            <v>1843</v>
          </cell>
          <cell r="G1883" t="str">
            <v>Reach_4121</v>
          </cell>
          <cell r="H1883">
            <v>1875</v>
          </cell>
          <cell r="J1883">
            <v>144.13</v>
          </cell>
          <cell r="K1883">
            <v>26.08</v>
          </cell>
          <cell r="L1883">
            <v>2.0928100000000002E-2</v>
          </cell>
          <cell r="M1883">
            <v>15200000</v>
          </cell>
          <cell r="N1883">
            <v>44.668359215096324</v>
          </cell>
          <cell r="Q1883">
            <v>14</v>
          </cell>
        </row>
        <row r="1884">
          <cell r="D1884" t="str">
            <v>3120-74-9</v>
          </cell>
          <cell r="E1884">
            <v>3120749</v>
          </cell>
          <cell r="F1884">
            <v>2620</v>
          </cell>
          <cell r="G1884" t="str">
            <v>Reach_1918</v>
          </cell>
          <cell r="H1884">
            <v>1876</v>
          </cell>
          <cell r="J1884">
            <v>154.22999999999999</v>
          </cell>
          <cell r="K1884">
            <v>57.06</v>
          </cell>
          <cell r="L1884">
            <v>0.36924100000000004</v>
          </cell>
          <cell r="M1884">
            <v>3356.2</v>
          </cell>
          <cell r="N1884">
            <v>457.0881896148756</v>
          </cell>
          <cell r="O1884">
            <v>9.5</v>
          </cell>
          <cell r="Q1884">
            <v>9.5</v>
          </cell>
        </row>
        <row r="1885">
          <cell r="D1885" t="str">
            <v>915416-45-4</v>
          </cell>
          <cell r="E1885">
            <v>915416454</v>
          </cell>
          <cell r="F1885">
            <v>4018</v>
          </cell>
          <cell r="G1885" t="str">
            <v>Reach_4553</v>
          </cell>
          <cell r="H1885">
            <v>1877</v>
          </cell>
          <cell r="J1885">
            <v>223.2</v>
          </cell>
          <cell r="K1885">
            <v>94.23</v>
          </cell>
          <cell r="L1885">
            <v>2.2394400000000002E-2</v>
          </cell>
          <cell r="M1885">
            <v>46.985999999999997</v>
          </cell>
          <cell r="N1885">
            <v>2754.228703338169</v>
          </cell>
          <cell r="Q1885">
            <v>14</v>
          </cell>
        </row>
        <row r="1886">
          <cell r="D1886" t="str">
            <v>4394-85-8</v>
          </cell>
          <cell r="E1886">
            <v>4394858</v>
          </cell>
          <cell r="F1886">
            <v>2918</v>
          </cell>
          <cell r="G1886" t="str">
            <v>Reach_2031</v>
          </cell>
          <cell r="H1886">
            <v>1878</v>
          </cell>
          <cell r="J1886">
            <v>115.13</v>
          </cell>
          <cell r="K1886">
            <v>24.81</v>
          </cell>
          <cell r="L1886">
            <v>6.505040000000001</v>
          </cell>
          <cell r="M1886">
            <v>263000000</v>
          </cell>
          <cell r="N1886">
            <v>4.7863009232263824E-2</v>
          </cell>
          <cell r="Q1886">
            <v>14</v>
          </cell>
        </row>
        <row r="1887">
          <cell r="D1887" t="str">
            <v>19719-28-9</v>
          </cell>
          <cell r="E1887">
            <v>19719289</v>
          </cell>
          <cell r="F1887">
            <v>2238</v>
          </cell>
          <cell r="G1887" t="str">
            <v>Reach_2483</v>
          </cell>
          <cell r="H1887">
            <v>1879</v>
          </cell>
          <cell r="J1887">
            <v>205.04</v>
          </cell>
          <cell r="K1887">
            <v>97.55</v>
          </cell>
          <cell r="L1887">
            <v>2.2527700000000001E-2</v>
          </cell>
          <cell r="M1887">
            <v>515.98</v>
          </cell>
          <cell r="N1887">
            <v>524.80746024977293</v>
          </cell>
          <cell r="O1887">
            <v>3.98</v>
          </cell>
          <cell r="Q1887">
            <v>3.98</v>
          </cell>
        </row>
        <row r="1888">
          <cell r="D1888" t="str">
            <v>685-88-1</v>
          </cell>
          <cell r="E1888">
            <v>685881</v>
          </cell>
          <cell r="F1888">
            <v>3520</v>
          </cell>
          <cell r="G1888" t="str">
            <v>Reach_1501</v>
          </cell>
          <cell r="H1888">
            <v>1880</v>
          </cell>
          <cell r="J1888">
            <v>178.16</v>
          </cell>
          <cell r="K1888">
            <v>-93.68</v>
          </cell>
          <cell r="L1888">
            <v>421.22800000000007</v>
          </cell>
          <cell r="M1888">
            <v>5365.7</v>
          </cell>
          <cell r="N1888">
            <v>5.7543993733715713</v>
          </cell>
          <cell r="Q1888">
            <v>14</v>
          </cell>
        </row>
        <row r="1889">
          <cell r="D1889" t="str">
            <v>97845-60-8</v>
          </cell>
          <cell r="E1889">
            <v>97845608</v>
          </cell>
          <cell r="F1889">
            <v>4173</v>
          </cell>
          <cell r="G1889" t="str">
            <v>Reach_4512</v>
          </cell>
          <cell r="H1889">
            <v>1881</v>
          </cell>
          <cell r="J1889">
            <v>355.79</v>
          </cell>
          <cell r="K1889">
            <v>212.33</v>
          </cell>
          <cell r="L1889">
            <v>3.8523699999999998E-8</v>
          </cell>
          <cell r="M1889">
            <v>38.076999999999998</v>
          </cell>
          <cell r="N1889">
            <v>19.498445997580465</v>
          </cell>
          <cell r="Q1889">
            <v>14</v>
          </cell>
        </row>
        <row r="1890">
          <cell r="D1890" t="str">
            <v>75028-24-9</v>
          </cell>
          <cell r="E1890">
            <v>75028249</v>
          </cell>
          <cell r="F1890">
            <v>3656</v>
          </cell>
          <cell r="G1890" t="str">
            <v>Reach_4425</v>
          </cell>
          <cell r="H1890">
            <v>1882</v>
          </cell>
          <cell r="J1890">
            <v>216.22</v>
          </cell>
          <cell r="K1890">
            <v>160.56</v>
          </cell>
          <cell r="L1890">
            <v>8.5178700000000012E-5</v>
          </cell>
          <cell r="M1890">
            <v>10764</v>
          </cell>
          <cell r="N1890">
            <v>91.201083935590972</v>
          </cell>
          <cell r="Q1890">
            <v>14</v>
          </cell>
        </row>
        <row r="1891">
          <cell r="D1891" t="str">
            <v>52449-76-0</v>
          </cell>
          <cell r="E1891">
            <v>52449760</v>
          </cell>
          <cell r="F1891">
            <v>3059</v>
          </cell>
          <cell r="G1891" t="str">
            <v>Reach_4336</v>
          </cell>
          <cell r="H1891">
            <v>1883</v>
          </cell>
          <cell r="J1891">
            <v>206.16</v>
          </cell>
          <cell r="K1891">
            <v>117.94</v>
          </cell>
          <cell r="L1891">
            <v>4.0389900000000001E-3</v>
          </cell>
          <cell r="M1891">
            <v>75.59</v>
          </cell>
          <cell r="N1891">
            <v>15.488166189124817</v>
          </cell>
          <cell r="Q1891">
            <v>14</v>
          </cell>
        </row>
        <row r="1892">
          <cell r="D1892" t="str">
            <v>5537-71-3</v>
          </cell>
          <cell r="E1892">
            <v>5537713</v>
          </cell>
          <cell r="F1892">
            <v>3168</v>
          </cell>
          <cell r="G1892" t="str">
            <v>Reach_2123</v>
          </cell>
          <cell r="H1892">
            <v>1884</v>
          </cell>
          <cell r="J1892">
            <v>175.19</v>
          </cell>
          <cell r="K1892">
            <v>109.77</v>
          </cell>
          <cell r="L1892">
            <v>3.7324000000000003E-3</v>
          </cell>
          <cell r="M1892">
            <v>917.87</v>
          </cell>
          <cell r="N1892">
            <v>72.443596007499067</v>
          </cell>
          <cell r="Q1892">
            <v>14</v>
          </cell>
        </row>
        <row r="1893">
          <cell r="D1893" t="str">
            <v>144689-93-0</v>
          </cell>
          <cell r="E1893">
            <v>144689930</v>
          </cell>
          <cell r="F1893">
            <v>1978</v>
          </cell>
          <cell r="G1893" t="str">
            <v>Reach_4152</v>
          </cell>
          <cell r="H1893">
            <v>1885</v>
          </cell>
          <cell r="J1893">
            <v>240.31</v>
          </cell>
          <cell r="K1893">
            <v>154.43</v>
          </cell>
          <cell r="L1893">
            <v>3.9723400000000002E-7</v>
          </cell>
          <cell r="M1893">
            <v>825.24</v>
          </cell>
          <cell r="N1893">
            <v>74.131024130091816</v>
          </cell>
          <cell r="O1893">
            <v>11.83</v>
          </cell>
          <cell r="P1893">
            <v>11.12</v>
          </cell>
          <cell r="Q1893">
            <v>2.8800000000000008</v>
          </cell>
        </row>
        <row r="1894">
          <cell r="D1894" t="str">
            <v>14205-39-1</v>
          </cell>
          <cell r="E1894">
            <v>14205391</v>
          </cell>
          <cell r="F1894">
            <v>1944</v>
          </cell>
          <cell r="G1894" t="str">
            <v>Reach_2358</v>
          </cell>
          <cell r="H1894">
            <v>1886</v>
          </cell>
          <cell r="J1894">
            <v>115.13</v>
          </cell>
          <cell r="K1894">
            <v>-19.39</v>
          </cell>
          <cell r="L1894">
            <v>285.26200000000006</v>
          </cell>
          <cell r="M1894">
            <v>18598</v>
          </cell>
          <cell r="N1894">
            <v>0.53703179637025267</v>
          </cell>
          <cell r="Q1894">
            <v>14</v>
          </cell>
        </row>
        <row r="1895">
          <cell r="D1895" t="str">
            <v>18595-18-1</v>
          </cell>
          <cell r="E1895">
            <v>18595181</v>
          </cell>
          <cell r="F1895">
            <v>2199</v>
          </cell>
          <cell r="G1895" t="str">
            <v>Reach_4191</v>
          </cell>
          <cell r="H1895">
            <v>1887</v>
          </cell>
          <cell r="J1895">
            <v>165.19</v>
          </cell>
          <cell r="K1895">
            <v>64.87</v>
          </cell>
          <cell r="L1895">
            <v>0.31858700000000006</v>
          </cell>
          <cell r="M1895">
            <v>3542.9</v>
          </cell>
          <cell r="N1895">
            <v>70.794578438413865</v>
          </cell>
          <cell r="Q1895">
            <v>14</v>
          </cell>
        </row>
        <row r="1896">
          <cell r="D1896" t="str">
            <v>6358-08-3</v>
          </cell>
          <cell r="E1896">
            <v>6358083</v>
          </cell>
          <cell r="F1896">
            <v>1283</v>
          </cell>
          <cell r="G1896" t="str">
            <v>Reach_2166</v>
          </cell>
          <cell r="H1896">
            <v>1888</v>
          </cell>
          <cell r="J1896">
            <v>188.57</v>
          </cell>
          <cell r="K1896">
            <v>127.83</v>
          </cell>
          <cell r="L1896">
            <v>8.9177700000000017E-4</v>
          </cell>
          <cell r="M1896">
            <v>502.79</v>
          </cell>
          <cell r="N1896">
            <v>43.651583224016612</v>
          </cell>
          <cell r="O1896">
            <v>6.32</v>
          </cell>
          <cell r="Q1896">
            <v>6.32</v>
          </cell>
        </row>
        <row r="1897">
          <cell r="D1897" t="str">
            <v>18361-03-0</v>
          </cell>
          <cell r="E1897">
            <v>18361030</v>
          </cell>
          <cell r="F1897">
            <v>2185</v>
          </cell>
          <cell r="G1897" t="str">
            <v>Reach_4188</v>
          </cell>
          <cell r="H1897">
            <v>1889</v>
          </cell>
          <cell r="J1897">
            <v>230.19</v>
          </cell>
          <cell r="K1897">
            <v>173.44</v>
          </cell>
          <cell r="L1897">
            <v>1.2970090000000002E-5</v>
          </cell>
          <cell r="M1897">
            <v>9228.5</v>
          </cell>
          <cell r="N1897">
            <v>42.657951880159267</v>
          </cell>
          <cell r="O1897">
            <v>2.8</v>
          </cell>
          <cell r="Q1897">
            <v>2.8</v>
          </cell>
        </row>
        <row r="1898">
          <cell r="D1898" t="str">
            <v>53445-37-7</v>
          </cell>
          <cell r="E1898">
            <v>53445377</v>
          </cell>
          <cell r="F1898">
            <v>3103</v>
          </cell>
          <cell r="G1898" t="str">
            <v>Reach_2793</v>
          </cell>
          <cell r="H1898">
            <v>1890</v>
          </cell>
          <cell r="J1898">
            <v>188.22</v>
          </cell>
          <cell r="K1898">
            <v>115.51</v>
          </cell>
          <cell r="L1898">
            <v>7.0115799999999999E-3</v>
          </cell>
          <cell r="M1898">
            <v>11399</v>
          </cell>
          <cell r="N1898">
            <v>33.113112148259127</v>
          </cell>
          <cell r="Q1898">
            <v>14</v>
          </cell>
        </row>
        <row r="1899">
          <cell r="D1899" t="str">
            <v>94-05-3</v>
          </cell>
          <cell r="E1899">
            <v>94053</v>
          </cell>
          <cell r="F1899">
            <v>4097</v>
          </cell>
          <cell r="G1899" t="str">
            <v>Reach_411</v>
          </cell>
          <cell r="H1899">
            <v>1891</v>
          </cell>
          <cell r="J1899">
            <v>169.18</v>
          </cell>
          <cell r="K1899">
            <v>29.56</v>
          </cell>
          <cell r="L1899">
            <v>1.38632</v>
          </cell>
          <cell r="M1899">
            <v>8694.7000000000007</v>
          </cell>
          <cell r="N1899">
            <v>11.481536214968834</v>
          </cell>
          <cell r="Q1899">
            <v>14</v>
          </cell>
        </row>
        <row r="1900">
          <cell r="D1900" t="str">
            <v>5894-79-1</v>
          </cell>
          <cell r="E1900">
            <v>5894791</v>
          </cell>
          <cell r="F1900">
            <v>3261</v>
          </cell>
          <cell r="G1900" t="str">
            <v>Reach_2143</v>
          </cell>
          <cell r="H1900">
            <v>1892</v>
          </cell>
          <cell r="J1900">
            <v>178.19</v>
          </cell>
          <cell r="K1900">
            <v>33.92</v>
          </cell>
          <cell r="L1900">
            <v>1.1650420000000001</v>
          </cell>
          <cell r="M1900">
            <v>4781.8999999999996</v>
          </cell>
          <cell r="N1900">
            <v>10.232929922807543</v>
          </cell>
          <cell r="O1900">
            <v>5.9</v>
          </cell>
          <cell r="Q1900">
            <v>5.9</v>
          </cell>
        </row>
        <row r="1901">
          <cell r="D1901" t="str">
            <v>121-88-0</v>
          </cell>
          <cell r="E1901">
            <v>121880</v>
          </cell>
          <cell r="F1901">
            <v>1737</v>
          </cell>
          <cell r="G1901" t="str">
            <v>Reach_1021</v>
          </cell>
          <cell r="H1901">
            <v>1893</v>
          </cell>
          <cell r="J1901">
            <v>154.13</v>
          </cell>
          <cell r="K1901">
            <v>109.67</v>
          </cell>
          <cell r="L1901">
            <v>3.6124300000000002E-4</v>
          </cell>
          <cell r="M1901">
            <v>6241</v>
          </cell>
          <cell r="N1901">
            <v>9.7723722095581103</v>
          </cell>
          <cell r="P1901">
            <v>12.66</v>
          </cell>
          <cell r="Q1901">
            <v>1.3399999999999999</v>
          </cell>
        </row>
        <row r="1902">
          <cell r="D1902" t="str">
            <v>6153-06-6</v>
          </cell>
          <cell r="E1902">
            <v>6153066</v>
          </cell>
          <cell r="F1902">
            <v>1280</v>
          </cell>
          <cell r="G1902" t="str">
            <v>Reach_2155</v>
          </cell>
          <cell r="H1902">
            <v>1894</v>
          </cell>
          <cell r="J1902">
            <v>96.129000000000005</v>
          </cell>
          <cell r="K1902">
            <v>-21.47</v>
          </cell>
          <cell r="L1902">
            <v>67.049900000000008</v>
          </cell>
          <cell r="M1902">
            <v>45401</v>
          </cell>
          <cell r="N1902">
            <v>7.7624711662869199</v>
          </cell>
          <cell r="O1902">
            <v>15.5</v>
          </cell>
          <cell r="Q1902">
            <v>14</v>
          </cell>
        </row>
        <row r="1903">
          <cell r="D1903" t="str">
            <v>6153-05-5</v>
          </cell>
          <cell r="E1903">
            <v>6153055</v>
          </cell>
          <cell r="F1903">
            <v>1279</v>
          </cell>
          <cell r="G1903" t="str">
            <v>Reach_2154</v>
          </cell>
          <cell r="H1903">
            <v>1895</v>
          </cell>
          <cell r="J1903">
            <v>96.129000000000005</v>
          </cell>
          <cell r="K1903">
            <v>-21.47</v>
          </cell>
          <cell r="L1903">
            <v>67.049900000000008</v>
          </cell>
          <cell r="M1903">
            <v>45401</v>
          </cell>
          <cell r="N1903">
            <v>7.7624711662869199</v>
          </cell>
          <cell r="O1903">
            <v>15.5</v>
          </cell>
          <cell r="Q1903">
            <v>14</v>
          </cell>
        </row>
        <row r="1904">
          <cell r="D1904" t="str">
            <v>91-35-0</v>
          </cell>
          <cell r="E1904">
            <v>91350</v>
          </cell>
          <cell r="F1904">
            <v>4015</v>
          </cell>
          <cell r="G1904" t="str">
            <v>Reach_375</v>
          </cell>
          <cell r="H1904">
            <v>1896</v>
          </cell>
          <cell r="J1904">
            <v>308.31</v>
          </cell>
          <cell r="K1904">
            <v>228.66</v>
          </cell>
          <cell r="L1904">
            <v>3.4658000000000001E-10</v>
          </cell>
          <cell r="M1904">
            <v>1191.9000000000001</v>
          </cell>
          <cell r="N1904">
            <v>5.8884365535558905</v>
          </cell>
          <cell r="O1904">
            <v>4.21</v>
          </cell>
          <cell r="Q1904">
            <v>4.21</v>
          </cell>
        </row>
        <row r="1905">
          <cell r="D1905" t="str">
            <v>63422-71-9</v>
          </cell>
          <cell r="E1905">
            <v>63422719</v>
          </cell>
          <cell r="F1905">
            <v>3400</v>
          </cell>
          <cell r="G1905" t="str">
            <v>Reach_2857</v>
          </cell>
          <cell r="H1905">
            <v>1897</v>
          </cell>
          <cell r="J1905">
            <v>319.32</v>
          </cell>
          <cell r="K1905">
            <v>260.52999999999997</v>
          </cell>
          <cell r="L1905">
            <v>2.2261100000000001E-11</v>
          </cell>
          <cell r="M1905">
            <v>508.66</v>
          </cell>
          <cell r="N1905">
            <v>5.6234132519034921</v>
          </cell>
          <cell r="P1905">
            <v>15.59</v>
          </cell>
          <cell r="Q1905">
            <v>-1.5899999999999999</v>
          </cell>
        </row>
        <row r="1906">
          <cell r="D1906" t="str">
            <v>204254-84-2</v>
          </cell>
          <cell r="E1906">
            <v>204254842</v>
          </cell>
          <cell r="F1906">
            <v>2263</v>
          </cell>
          <cell r="G1906" t="str">
            <v>Reach_4211</v>
          </cell>
          <cell r="H1906">
            <v>1898</v>
          </cell>
          <cell r="J1906">
            <v>320.36</v>
          </cell>
          <cell r="K1906">
            <v>151.91</v>
          </cell>
          <cell r="L1906">
            <v>6.3450799999999999E-5</v>
          </cell>
          <cell r="M1906">
            <v>2029.1</v>
          </cell>
          <cell r="N1906">
            <v>8.709635899560805</v>
          </cell>
          <cell r="Q1906">
            <v>14</v>
          </cell>
        </row>
        <row r="1907">
          <cell r="D1907" t="str">
            <v>42487-72-9</v>
          </cell>
          <cell r="E1907">
            <v>42487729</v>
          </cell>
          <cell r="F1907">
            <v>2894</v>
          </cell>
          <cell r="G1907" t="str">
            <v>Reach_2751</v>
          </cell>
          <cell r="H1907">
            <v>1899</v>
          </cell>
          <cell r="J1907">
            <v>181.24</v>
          </cell>
          <cell r="K1907">
            <v>148.72999999999999</v>
          </cell>
          <cell r="L1907">
            <v>6.9049399999999997E-5</v>
          </cell>
          <cell r="M1907">
            <v>1946.1</v>
          </cell>
          <cell r="N1907">
            <v>2.4547089156850306</v>
          </cell>
          <cell r="P1907">
            <v>10</v>
          </cell>
          <cell r="Q1907">
            <v>4</v>
          </cell>
        </row>
        <row r="1908">
          <cell r="D1908" t="str">
            <v>89-00-9</v>
          </cell>
          <cell r="E1908">
            <v>89009</v>
          </cell>
          <cell r="F1908">
            <v>3966</v>
          </cell>
          <cell r="G1908" t="str">
            <v>Reach_336</v>
          </cell>
          <cell r="H1908">
            <v>1900</v>
          </cell>
          <cell r="J1908">
            <v>167.12</v>
          </cell>
          <cell r="K1908">
            <v>141.18</v>
          </cell>
          <cell r="L1908">
            <v>7.9180200000000011E-5</v>
          </cell>
          <cell r="M1908">
            <v>7884</v>
          </cell>
          <cell r="N1908">
            <v>0.75857757502918366</v>
          </cell>
          <cell r="Q1908">
            <v>14</v>
          </cell>
        </row>
        <row r="1909">
          <cell r="D1909" t="str">
            <v>87-41-2</v>
          </cell>
          <cell r="E1909">
            <v>87412</v>
          </cell>
          <cell r="F1909">
            <v>3932</v>
          </cell>
          <cell r="G1909" t="str">
            <v>Reach_309</v>
          </cell>
          <cell r="H1909">
            <v>1901</v>
          </cell>
          <cell r="J1909">
            <v>134.13</v>
          </cell>
          <cell r="K1909">
            <v>31.03</v>
          </cell>
          <cell r="L1909">
            <v>0.14796300000000001</v>
          </cell>
          <cell r="M1909">
            <v>4671.7</v>
          </cell>
          <cell r="N1909">
            <v>5.1286138399136494</v>
          </cell>
          <cell r="Q1909">
            <v>14</v>
          </cell>
        </row>
        <row r="1910">
          <cell r="D1910" t="str">
            <v>30414-53-0</v>
          </cell>
          <cell r="E1910">
            <v>30414530</v>
          </cell>
          <cell r="F1910">
            <v>2595</v>
          </cell>
          <cell r="G1910" t="str">
            <v>Reach_2645</v>
          </cell>
          <cell r="H1910">
            <v>1902</v>
          </cell>
          <cell r="J1910">
            <v>130.13999999999999</v>
          </cell>
          <cell r="K1910">
            <v>-19.23</v>
          </cell>
          <cell r="L1910">
            <v>217.279</v>
          </cell>
          <cell r="M1910">
            <v>42467</v>
          </cell>
          <cell r="N1910">
            <v>0.63095734448019325</v>
          </cell>
          <cell r="O1910">
            <v>10.6</v>
          </cell>
          <cell r="Q1910">
            <v>10.6</v>
          </cell>
        </row>
        <row r="1911">
          <cell r="D1911" t="str">
            <v>135302-13-5</v>
          </cell>
          <cell r="E1911">
            <v>135302135</v>
          </cell>
          <cell r="F1911">
            <v>1888</v>
          </cell>
          <cell r="G1911" t="str">
            <v>Reach_4531</v>
          </cell>
          <cell r="H1911">
            <v>1903</v>
          </cell>
          <cell r="J1911">
            <v>129.12</v>
          </cell>
          <cell r="K1911">
            <v>107.14</v>
          </cell>
          <cell r="L1911">
            <v>1.3076730000000002E-2</v>
          </cell>
          <cell r="M1911">
            <v>123000</v>
          </cell>
          <cell r="N1911">
            <v>5.7543993733715687E-2</v>
          </cell>
          <cell r="Q1911">
            <v>14</v>
          </cell>
        </row>
        <row r="1912">
          <cell r="D1912" t="str">
            <v>71-30-7</v>
          </cell>
          <cell r="E1912">
            <v>71307</v>
          </cell>
          <cell r="F1912">
            <v>3580</v>
          </cell>
          <cell r="G1912" t="str">
            <v>Reach_100</v>
          </cell>
          <cell r="H1912">
            <v>1904</v>
          </cell>
          <cell r="J1912">
            <v>111.11</v>
          </cell>
          <cell r="K1912">
            <v>91.14</v>
          </cell>
          <cell r="L1912">
            <v>2.78597E-4</v>
          </cell>
          <cell r="M1912">
            <v>9580.7999999999993</v>
          </cell>
          <cell r="N1912">
            <v>3.3884415613920249E-2</v>
          </cell>
          <cell r="Q1912">
            <v>14</v>
          </cell>
        </row>
        <row r="1913">
          <cell r="D1913" t="str">
            <v>73611-02-6</v>
          </cell>
          <cell r="E1913">
            <v>73611026</v>
          </cell>
          <cell r="F1913">
            <v>3625</v>
          </cell>
          <cell r="G1913" t="str">
            <v>Reach_4542</v>
          </cell>
          <cell r="H1913">
            <v>1905</v>
          </cell>
          <cell r="J1913">
            <v>142.15</v>
          </cell>
          <cell r="K1913">
            <v>50.62</v>
          </cell>
          <cell r="L1913">
            <v>6.8249600000000007E-2</v>
          </cell>
          <cell r="M1913">
            <v>10500000</v>
          </cell>
          <cell r="N1913">
            <v>2.8840315031266059</v>
          </cell>
          <cell r="Q1913">
            <v>14</v>
          </cell>
        </row>
        <row r="1914">
          <cell r="D1914" t="str">
            <v>96-93-5</v>
          </cell>
          <cell r="E1914">
            <v>96935</v>
          </cell>
          <cell r="F1914">
            <v>4156</v>
          </cell>
          <cell r="G1914" t="str">
            <v>Reach_471</v>
          </cell>
          <cell r="H1914">
            <v>1906</v>
          </cell>
          <cell r="J1914">
            <v>234.19</v>
          </cell>
          <cell r="K1914">
            <v>191.01</v>
          </cell>
          <cell r="L1914">
            <v>1.1357160000000002E-8</v>
          </cell>
          <cell r="M1914">
            <v>2830.8</v>
          </cell>
          <cell r="N1914">
            <v>6.7608297539198132E-3</v>
          </cell>
          <cell r="P1914">
            <v>12.26</v>
          </cell>
          <cell r="Q1914">
            <v>1.7400000000000002</v>
          </cell>
        </row>
        <row r="1915">
          <cell r="D1915" t="str">
            <v>89182-60-5</v>
          </cell>
          <cell r="E1915">
            <v>89182605</v>
          </cell>
          <cell r="F1915">
            <v>3969</v>
          </cell>
          <cell r="G1915" t="str">
            <v>Reach_4489</v>
          </cell>
          <cell r="H1915">
            <v>1907</v>
          </cell>
          <cell r="J1915">
            <v>209.2</v>
          </cell>
          <cell r="K1915">
            <v>191.66</v>
          </cell>
          <cell r="L1915">
            <v>1.333E-9</v>
          </cell>
          <cell r="M1915">
            <v>967000</v>
          </cell>
          <cell r="N1915">
            <v>7.5857757502918263E-5</v>
          </cell>
          <cell r="Q1915">
            <v>14</v>
          </cell>
        </row>
        <row r="1916">
          <cell r="D1916" t="str">
            <v>433733-94-9</v>
          </cell>
          <cell r="E1916">
            <v>433733949</v>
          </cell>
          <cell r="F1916">
            <v>2910</v>
          </cell>
          <cell r="G1916" t="str">
            <v>Reach_4321</v>
          </cell>
          <cell r="H1916">
            <v>1908</v>
          </cell>
          <cell r="J1916">
            <v>326.31</v>
          </cell>
          <cell r="K1916">
            <v>226.07</v>
          </cell>
          <cell r="L1916">
            <v>4.7188200000000005E-9</v>
          </cell>
          <cell r="M1916">
            <v>270.77</v>
          </cell>
          <cell r="N1916">
            <v>0.79432823472428149</v>
          </cell>
          <cell r="Q1916">
            <v>14</v>
          </cell>
        </row>
        <row r="1917">
          <cell r="D1917" t="str">
            <v>433733-92-7</v>
          </cell>
          <cell r="E1917">
            <v>433733927</v>
          </cell>
          <cell r="F1917">
            <v>2909</v>
          </cell>
          <cell r="G1917" t="str">
            <v>Reach_4864</v>
          </cell>
          <cell r="H1917">
            <v>1909</v>
          </cell>
          <cell r="J1917">
            <v>240.22</v>
          </cell>
          <cell r="K1917">
            <v>176.74</v>
          </cell>
          <cell r="L1917">
            <v>5.3586600000000007E-8</v>
          </cell>
          <cell r="M1917">
            <v>96826</v>
          </cell>
          <cell r="N1917">
            <v>0.28183829312644532</v>
          </cell>
          <cell r="O1917">
            <v>14.38</v>
          </cell>
          <cell r="Q1917">
            <v>14</v>
          </cell>
        </row>
        <row r="1918">
          <cell r="D1918" t="str">
            <v>61477-40-5</v>
          </cell>
          <cell r="E1918">
            <v>61477405</v>
          </cell>
          <cell r="F1918">
            <v>3335</v>
          </cell>
          <cell r="G1918" t="str">
            <v>Reach_4608</v>
          </cell>
          <cell r="H1918">
            <v>1910</v>
          </cell>
          <cell r="J1918">
            <v>89.138999999999996</v>
          </cell>
          <cell r="K1918">
            <v>-14.7</v>
          </cell>
          <cell r="L1918">
            <v>101.5746</v>
          </cell>
          <cell r="M1918">
            <v>861000</v>
          </cell>
          <cell r="N1918">
            <v>0.19952623149688795</v>
          </cell>
          <cell r="O1918">
            <v>15.34</v>
          </cell>
          <cell r="P1918">
            <v>4.0999999999999996</v>
          </cell>
          <cell r="Q1918">
            <v>9.9</v>
          </cell>
        </row>
        <row r="1919">
          <cell r="D1919" t="str">
            <v>3217-00-3</v>
          </cell>
          <cell r="E1919">
            <v>3217003</v>
          </cell>
          <cell r="F1919">
            <v>2643</v>
          </cell>
          <cell r="G1919" t="str">
            <v>Reach_1933</v>
          </cell>
          <cell r="H1919">
            <v>1911</v>
          </cell>
          <cell r="J1919">
            <v>166.23</v>
          </cell>
          <cell r="K1919">
            <v>100.44</v>
          </cell>
          <cell r="L1919">
            <v>9.0910600000000015E-3</v>
          </cell>
          <cell r="M1919">
            <v>1000000</v>
          </cell>
          <cell r="N1919">
            <v>2.1877616239495523E-2</v>
          </cell>
          <cell r="Q1919">
            <v>14</v>
          </cell>
        </row>
        <row r="1920">
          <cell r="D1920" t="str">
            <v>21134-38-3</v>
          </cell>
          <cell r="E1920">
            <v>21134383</v>
          </cell>
          <cell r="F1920">
            <v>2283</v>
          </cell>
          <cell r="G1920" t="str">
            <v>Reach_4855</v>
          </cell>
          <cell r="H1920">
            <v>1912</v>
          </cell>
          <cell r="J1920">
            <v>206.27</v>
          </cell>
          <cell r="K1920">
            <v>10.1</v>
          </cell>
          <cell r="L1920">
            <v>27.5931</v>
          </cell>
          <cell r="N1920">
            <v>0.16595869074375599</v>
          </cell>
          <cell r="Q1920">
            <v>14</v>
          </cell>
        </row>
        <row r="1921">
          <cell r="D1921" t="str">
            <v>7531-52-4</v>
          </cell>
          <cell r="E1921">
            <v>7531524</v>
          </cell>
          <cell r="F1921">
            <v>3666</v>
          </cell>
          <cell r="G1921" t="str">
            <v>Reach_2259</v>
          </cell>
          <cell r="H1921">
            <v>1913</v>
          </cell>
          <cell r="J1921">
            <v>114.15</v>
          </cell>
          <cell r="K1921">
            <v>96.03</v>
          </cell>
          <cell r="L1921">
            <v>0.11117220000000001</v>
          </cell>
          <cell r="M1921">
            <v>1630000</v>
          </cell>
          <cell r="N1921">
            <v>0.10715193052376064</v>
          </cell>
          <cell r="Q1921">
            <v>14</v>
          </cell>
        </row>
        <row r="1922">
          <cell r="D1922" t="str">
            <v>107-35-7</v>
          </cell>
          <cell r="E1922">
            <v>107357</v>
          </cell>
          <cell r="F1922">
            <v>1460</v>
          </cell>
          <cell r="G1922" t="str">
            <v>Reach_705</v>
          </cell>
          <cell r="H1922">
            <v>1914</v>
          </cell>
          <cell r="J1922">
            <v>125.15</v>
          </cell>
          <cell r="K1922">
            <v>70.91</v>
          </cell>
          <cell r="L1922">
            <v>2.33275E-5</v>
          </cell>
          <cell r="M1922">
            <v>214000</v>
          </cell>
          <cell r="N1922">
            <v>4.3651583224016562E-4</v>
          </cell>
          <cell r="O1922">
            <v>-0.3</v>
          </cell>
          <cell r="P1922">
            <v>5</v>
          </cell>
          <cell r="Q1922">
            <v>-0.3</v>
          </cell>
        </row>
        <row r="1923">
          <cell r="D1923" t="str">
            <v>488-43-7</v>
          </cell>
          <cell r="E1923">
            <v>488437</v>
          </cell>
          <cell r="F1923">
            <v>2977</v>
          </cell>
          <cell r="G1923" t="str">
            <v>Reach_1293</v>
          </cell>
          <cell r="H1923">
            <v>1915</v>
          </cell>
          <cell r="J1923">
            <v>181.19</v>
          </cell>
          <cell r="K1923">
            <v>132.75</v>
          </cell>
          <cell r="L1923">
            <v>2.2261100000000004E-6</v>
          </cell>
          <cell r="M1923">
            <v>1000000</v>
          </cell>
          <cell r="N1923">
            <v>2.4547089156850275E-4</v>
          </cell>
          <cell r="Q1923">
            <v>14</v>
          </cell>
        </row>
        <row r="1924">
          <cell r="D1924" t="str">
            <v>118-60-5</v>
          </cell>
          <cell r="E1924">
            <v>118605</v>
          </cell>
          <cell r="F1924">
            <v>1675</v>
          </cell>
          <cell r="G1924" t="str">
            <v>Reach_967</v>
          </cell>
          <cell r="H1924">
            <v>1916</v>
          </cell>
          <cell r="J1924">
            <v>250.34</v>
          </cell>
          <cell r="K1924">
            <v>108.87</v>
          </cell>
          <cell r="L1924">
            <v>9.5042900000000014E-4</v>
          </cell>
          <cell r="M1924">
            <v>2.3353000000000002</v>
          </cell>
          <cell r="N1924">
            <v>933254.30079699249</v>
          </cell>
          <cell r="O1924">
            <v>9.8000000000000007</v>
          </cell>
          <cell r="Q1924">
            <v>9.8000000000000007</v>
          </cell>
        </row>
        <row r="1925">
          <cell r="D1925" t="str">
            <v>77-94-1</v>
          </cell>
          <cell r="E1925">
            <v>77941</v>
          </cell>
          <cell r="F1925">
            <v>3745</v>
          </cell>
          <cell r="G1925" t="str">
            <v>Reach_191</v>
          </cell>
          <cell r="H1925">
            <v>1917</v>
          </cell>
          <cell r="J1925">
            <v>360.45</v>
          </cell>
          <cell r="K1925">
            <v>89.11</v>
          </cell>
          <cell r="L1925">
            <v>3.3058400000000002E-5</v>
          </cell>
          <cell r="M1925">
            <v>122.06</v>
          </cell>
          <cell r="N1925">
            <v>1905.4607179632485</v>
          </cell>
          <cell r="O1925">
            <v>9.92</v>
          </cell>
          <cell r="Q1925">
            <v>9.92</v>
          </cell>
        </row>
        <row r="1926">
          <cell r="D1926" t="str">
            <v>120-51-4</v>
          </cell>
          <cell r="E1926">
            <v>120514</v>
          </cell>
          <cell r="F1926">
            <v>359</v>
          </cell>
          <cell r="G1926" t="str">
            <v>Reach_996</v>
          </cell>
          <cell r="H1926">
            <v>1918</v>
          </cell>
          <cell r="J1926">
            <v>212.25</v>
          </cell>
          <cell r="K1926">
            <v>70.75</v>
          </cell>
          <cell r="L1926">
            <v>7.3981500000000006E-2</v>
          </cell>
          <cell r="M1926">
            <v>72.545000000000002</v>
          </cell>
          <cell r="N1926">
            <v>3467.3685045253224</v>
          </cell>
          <cell r="Q1926">
            <v>14</v>
          </cell>
        </row>
        <row r="1927">
          <cell r="D1927" t="str">
            <v>59-42-7</v>
          </cell>
          <cell r="E1927">
            <v>59427</v>
          </cell>
          <cell r="F1927">
            <v>3275</v>
          </cell>
          <cell r="G1927" t="str">
            <v>Reach_50</v>
          </cell>
          <cell r="H1927">
            <v>1919</v>
          </cell>
          <cell r="J1927">
            <v>167.21</v>
          </cell>
          <cell r="K1927">
            <v>87.65</v>
          </cell>
          <cell r="L1927">
            <v>2.9592600000000004E-3</v>
          </cell>
          <cell r="M1927">
            <v>16856</v>
          </cell>
          <cell r="N1927">
            <v>0.61659500186148219</v>
          </cell>
          <cell r="Q1927">
            <v>14</v>
          </cell>
        </row>
        <row r="1928">
          <cell r="D1928" t="str">
            <v>13360-57-1</v>
          </cell>
          <cell r="E1928">
            <v>13360571</v>
          </cell>
          <cell r="F1928">
            <v>1868</v>
          </cell>
          <cell r="G1928" t="str">
            <v>Reach_2329</v>
          </cell>
          <cell r="H1928">
            <v>1920</v>
          </cell>
          <cell r="J1928">
            <v>143.59</v>
          </cell>
          <cell r="K1928">
            <v>26.42</v>
          </cell>
          <cell r="L1928">
            <v>49.854200000000006</v>
          </cell>
          <cell r="M1928">
            <v>84641</v>
          </cell>
          <cell r="N1928">
            <v>95.499258602143655</v>
          </cell>
          <cell r="Q1928">
            <v>14</v>
          </cell>
        </row>
        <row r="1929">
          <cell r="D1929" t="str">
            <v>81-77-6</v>
          </cell>
          <cell r="E1929">
            <v>81776</v>
          </cell>
          <cell r="F1929">
            <v>940</v>
          </cell>
          <cell r="G1929" t="str">
            <v>Reach_277</v>
          </cell>
          <cell r="H1929">
            <v>1921</v>
          </cell>
          <cell r="J1929">
            <v>442.43</v>
          </cell>
          <cell r="K1929">
            <v>301.22000000000003</v>
          </cell>
          <cell r="L1929">
            <v>1.250354E-16</v>
          </cell>
          <cell r="M1929">
            <v>8.0590999999999996E-3</v>
          </cell>
          <cell r="N1929">
            <v>53703179.637025505</v>
          </cell>
          <cell r="Q1929">
            <v>14</v>
          </cell>
        </row>
        <row r="1930">
          <cell r="D1930" t="str">
            <v>2778-42-9</v>
          </cell>
          <cell r="E1930">
            <v>2778429</v>
          </cell>
          <cell r="F1930">
            <v>2517</v>
          </cell>
          <cell r="G1930" t="str">
            <v>Reach_1865</v>
          </cell>
          <cell r="H1930">
            <v>1922</v>
          </cell>
          <cell r="J1930">
            <v>244.3</v>
          </cell>
          <cell r="K1930">
            <v>106.95</v>
          </cell>
          <cell r="L1930">
            <v>1.3996500000000002E-2</v>
          </cell>
          <cell r="M1930">
            <v>146.52000000000001</v>
          </cell>
          <cell r="N1930">
            <v>54954.087385762505</v>
          </cell>
          <cell r="Q1930">
            <v>14</v>
          </cell>
        </row>
        <row r="1931">
          <cell r="D1931" t="str">
            <v>109-16-0</v>
          </cell>
          <cell r="E1931">
            <v>109160</v>
          </cell>
          <cell r="F1931">
            <v>1495</v>
          </cell>
          <cell r="G1931" t="str">
            <v>Reach_772</v>
          </cell>
          <cell r="H1931">
            <v>1923</v>
          </cell>
          <cell r="J1931">
            <v>286.32</v>
          </cell>
          <cell r="K1931">
            <v>5.76</v>
          </cell>
          <cell r="L1931">
            <v>0.12583520000000001</v>
          </cell>
          <cell r="M1931">
            <v>395.6</v>
          </cell>
          <cell r="N1931">
            <v>45.708818961487509</v>
          </cell>
          <cell r="Q1931">
            <v>14</v>
          </cell>
        </row>
        <row r="1932">
          <cell r="D1932" t="str">
            <v>137-30-4</v>
          </cell>
          <cell r="E1932">
            <v>137304</v>
          </cell>
          <cell r="F1932">
            <v>6353</v>
          </cell>
          <cell r="G1932" t="str">
            <v>Pest_436</v>
          </cell>
          <cell r="H1932">
            <v>1924</v>
          </cell>
          <cell r="Q1932">
            <v>14</v>
          </cell>
        </row>
        <row r="1933">
          <cell r="D1933" t="str">
            <v>709-55-7</v>
          </cell>
          <cell r="E1933">
            <v>709557</v>
          </cell>
          <cell r="F1933">
            <v>3576</v>
          </cell>
          <cell r="G1933" t="str">
            <v>Reach_1519</v>
          </cell>
          <cell r="H1933">
            <v>1925</v>
          </cell>
          <cell r="J1933">
            <v>181.24</v>
          </cell>
          <cell r="K1933">
            <v>96.52</v>
          </cell>
          <cell r="L1933">
            <v>2.7593100000000004E-4</v>
          </cell>
          <cell r="M1933">
            <v>42904</v>
          </cell>
          <cell r="N1933">
            <v>1.9054607179632475</v>
          </cell>
          <cell r="Q1933">
            <v>14</v>
          </cell>
        </row>
        <row r="1934">
          <cell r="D1934" t="str">
            <v>2421-28-5</v>
          </cell>
          <cell r="E1934">
            <v>2421285</v>
          </cell>
          <cell r="F1934">
            <v>2378</v>
          </cell>
          <cell r="G1934" t="str">
            <v>Reach_1803</v>
          </cell>
          <cell r="H1934">
            <v>1926</v>
          </cell>
          <cell r="J1934">
            <v>322.23</v>
          </cell>
          <cell r="K1934">
            <v>188.43</v>
          </cell>
          <cell r="L1934">
            <v>3.1325500000000001E-7</v>
          </cell>
          <cell r="M1934">
            <v>16.835999999999999</v>
          </cell>
          <cell r="N1934">
            <v>1995.2623149688804</v>
          </cell>
          <cell r="Q1934">
            <v>14</v>
          </cell>
        </row>
        <row r="1935">
          <cell r="D1935" t="str">
            <v>632-79-1</v>
          </cell>
          <cell r="E1935">
            <v>632791</v>
          </cell>
          <cell r="F1935">
            <v>3396</v>
          </cell>
          <cell r="G1935" t="str">
            <v>Reach_1473</v>
          </cell>
          <cell r="H1935">
            <v>1927</v>
          </cell>
          <cell r="J1935">
            <v>463.73</v>
          </cell>
          <cell r="K1935">
            <v>152.91</v>
          </cell>
          <cell r="L1935">
            <v>2.7059900000000002E-6</v>
          </cell>
          <cell r="M1935">
            <v>0.20971000000000001</v>
          </cell>
          <cell r="N1935">
            <v>426579.51880159322</v>
          </cell>
          <cell r="Q1935">
            <v>14</v>
          </cell>
        </row>
        <row r="1936">
          <cell r="D1936" t="str">
            <v>6440-58-0</v>
          </cell>
          <cell r="E1936">
            <v>6440580</v>
          </cell>
          <cell r="F1936">
            <v>779</v>
          </cell>
          <cell r="G1936" t="str">
            <v>Reach_2186</v>
          </cell>
          <cell r="H1936">
            <v>1928</v>
          </cell>
          <cell r="J1936">
            <v>188.19</v>
          </cell>
          <cell r="K1936">
            <v>171.27</v>
          </cell>
          <cell r="L1936">
            <v>1.4129800000000003E-7</v>
          </cell>
          <cell r="M1936">
            <v>455000</v>
          </cell>
          <cell r="N1936">
            <v>4.2657951880159251E-3</v>
          </cell>
          <cell r="O1936">
            <v>14.16</v>
          </cell>
          <cell r="P1936">
            <v>15</v>
          </cell>
          <cell r="Q1936">
            <v>-1</v>
          </cell>
        </row>
        <row r="1937">
          <cell r="D1937" t="str">
            <v>3710-30-3</v>
          </cell>
          <cell r="E1937">
            <v>3710303</v>
          </cell>
          <cell r="F1937">
            <v>2790</v>
          </cell>
          <cell r="G1937" t="str">
            <v>Reach_1986</v>
          </cell>
          <cell r="H1937">
            <v>1929</v>
          </cell>
          <cell r="J1937">
            <v>110.2</v>
          </cell>
          <cell r="K1937">
            <v>-71.23</v>
          </cell>
          <cell r="L1937">
            <v>3025.9100000000003</v>
          </cell>
          <cell r="M1937">
            <v>25.16</v>
          </cell>
          <cell r="N1937">
            <v>10000</v>
          </cell>
          <cell r="Q1937">
            <v>14</v>
          </cell>
        </row>
        <row r="1938">
          <cell r="D1938" t="str">
            <v>111453-32-8</v>
          </cell>
          <cell r="E1938">
            <v>111453328</v>
          </cell>
          <cell r="F1938">
            <v>1548</v>
          </cell>
          <cell r="G1938" t="str">
            <v>Reach_4078</v>
          </cell>
          <cell r="H1938">
            <v>1930</v>
          </cell>
          <cell r="J1938">
            <v>631.91999999999996</v>
          </cell>
          <cell r="K1938">
            <v>295.35000000000002</v>
          </cell>
          <cell r="L1938">
            <v>1.3010080000000002E-17</v>
          </cell>
          <cell r="M1938">
            <v>0.27453</v>
          </cell>
          <cell r="N1938">
            <v>9.1201083935590983</v>
          </cell>
          <cell r="O1938">
            <v>1.69</v>
          </cell>
          <cell r="Q1938">
            <v>1.69</v>
          </cell>
        </row>
        <row r="1939">
          <cell r="D1939" t="str">
            <v>123-39-7</v>
          </cell>
          <cell r="E1939">
            <v>123397</v>
          </cell>
          <cell r="F1939">
            <v>392</v>
          </cell>
          <cell r="G1939" t="str">
            <v>Reach_1048</v>
          </cell>
          <cell r="H1939">
            <v>1931</v>
          </cell>
          <cell r="J1939">
            <v>59.069000000000003</v>
          </cell>
          <cell r="K1939">
            <v>28.24</v>
          </cell>
          <cell r="L1939">
            <v>49.321000000000005</v>
          </cell>
          <cell r="M1939">
            <v>1000000</v>
          </cell>
          <cell r="N1939">
            <v>7.2443596007498987E-2</v>
          </cell>
          <cell r="O1939">
            <v>15.1</v>
          </cell>
          <cell r="P1939">
            <v>14</v>
          </cell>
          <cell r="Q1939">
            <v>0</v>
          </cell>
        </row>
        <row r="1940">
          <cell r="D1940" t="str">
            <v>97-99-4</v>
          </cell>
          <cell r="E1940">
            <v>97994</v>
          </cell>
          <cell r="F1940">
            <v>1062</v>
          </cell>
          <cell r="G1940" t="str">
            <v>Reach_493</v>
          </cell>
          <cell r="H1940">
            <v>1932</v>
          </cell>
          <cell r="J1940">
            <v>102.13</v>
          </cell>
          <cell r="K1940">
            <v>-20.87</v>
          </cell>
          <cell r="L1940">
            <v>36.257600000000004</v>
          </cell>
          <cell r="M1940">
            <v>335000</v>
          </cell>
          <cell r="N1940">
            <v>0.77624711662869172</v>
          </cell>
          <cell r="O1940">
            <v>14.95</v>
          </cell>
          <cell r="Q1940">
            <v>14</v>
          </cell>
        </row>
        <row r="1941">
          <cell r="D1941" t="str">
            <v>110-95-2</v>
          </cell>
          <cell r="E1941">
            <v>110952</v>
          </cell>
          <cell r="F1941">
            <v>1533</v>
          </cell>
          <cell r="G1941" t="str">
            <v>Reach_839</v>
          </cell>
          <cell r="H1941">
            <v>1933</v>
          </cell>
          <cell r="J1941">
            <v>130.24</v>
          </cell>
          <cell r="K1941">
            <v>-35.32</v>
          </cell>
          <cell r="L1941">
            <v>705.15700000000004</v>
          </cell>
          <cell r="M1941">
            <v>32174</v>
          </cell>
          <cell r="N1941">
            <v>1.6982436524617444</v>
          </cell>
          <cell r="P1941">
            <v>4.4000000000000004</v>
          </cell>
          <cell r="Q1941">
            <v>9.6</v>
          </cell>
        </row>
        <row r="1942">
          <cell r="D1942" t="str">
            <v>1569-69-3</v>
          </cell>
          <cell r="E1942">
            <v>1569693</v>
          </cell>
          <cell r="F1942">
            <v>2054</v>
          </cell>
          <cell r="G1942" t="str">
            <v>Reach_1695</v>
          </cell>
          <cell r="H1942">
            <v>1934</v>
          </cell>
          <cell r="J1942">
            <v>116.23</v>
          </cell>
          <cell r="K1942">
            <v>-45.3</v>
          </cell>
          <cell r="L1942">
            <v>353.245</v>
          </cell>
          <cell r="M1942">
            <v>663.05</v>
          </cell>
          <cell r="N1942">
            <v>1122.0184543019636</v>
          </cell>
          <cell r="O1942">
            <v>10.7</v>
          </cell>
          <cell r="Q1942">
            <v>10.7</v>
          </cell>
        </row>
        <row r="1943">
          <cell r="D1943" t="str">
            <v>142-18-7</v>
          </cell>
          <cell r="E1943">
            <v>142187</v>
          </cell>
          <cell r="F1943">
            <v>1949</v>
          </cell>
          <cell r="G1943" t="str">
            <v>Reach_1173</v>
          </cell>
          <cell r="H1943">
            <v>1935</v>
          </cell>
          <cell r="J1943">
            <v>274.39999999999998</v>
          </cell>
          <cell r="K1943">
            <v>121.05</v>
          </cell>
          <cell r="L1943">
            <v>5.1053900000000004E-6</v>
          </cell>
          <cell r="M1943">
            <v>11.157999999999999</v>
          </cell>
          <cell r="N1943">
            <v>4677.3514128719844</v>
          </cell>
          <cell r="O1943">
            <v>13.53</v>
          </cell>
          <cell r="Q1943">
            <v>13.53</v>
          </cell>
        </row>
        <row r="1944">
          <cell r="D1944" t="str">
            <v>2386-87-0</v>
          </cell>
          <cell r="E1944">
            <v>2386870</v>
          </cell>
          <cell r="F1944">
            <v>2362</v>
          </cell>
          <cell r="G1944" t="str">
            <v>Reach_1792</v>
          </cell>
          <cell r="H1944">
            <v>1936</v>
          </cell>
          <cell r="J1944">
            <v>252.31</v>
          </cell>
          <cell r="K1944">
            <v>91.67</v>
          </cell>
          <cell r="L1944">
            <v>7.9580100000000001E-2</v>
          </cell>
          <cell r="M1944">
            <v>1081.2</v>
          </cell>
          <cell r="N1944">
            <v>234.42288153199232</v>
          </cell>
          <cell r="Q1944">
            <v>14</v>
          </cell>
        </row>
        <row r="1945">
          <cell r="D1945" t="str">
            <v>54423-67-5</v>
          </cell>
          <cell r="E1945">
            <v>54423675</v>
          </cell>
          <cell r="F1945">
            <v>3143</v>
          </cell>
          <cell r="G1945" t="str">
            <v>Reach_2798</v>
          </cell>
          <cell r="H1945">
            <v>1937</v>
          </cell>
          <cell r="J1945">
            <v>184.28</v>
          </cell>
          <cell r="K1945">
            <v>-3.96</v>
          </cell>
          <cell r="L1945">
            <v>30.125800000000002</v>
          </cell>
          <cell r="M1945">
            <v>63.122</v>
          </cell>
          <cell r="N1945">
            <v>11220.184543019639</v>
          </cell>
          <cell r="Q1945">
            <v>14</v>
          </cell>
        </row>
        <row r="1946">
          <cell r="D1946" t="str">
            <v>3891-98-3</v>
          </cell>
          <cell r="E1946">
            <v>3891983</v>
          </cell>
          <cell r="F1946">
            <v>2829</v>
          </cell>
          <cell r="G1946" t="str">
            <v>Reach_4576</v>
          </cell>
          <cell r="H1946">
            <v>1938</v>
          </cell>
          <cell r="J1946">
            <v>212.42</v>
          </cell>
          <cell r="K1946">
            <v>-19.8</v>
          </cell>
          <cell r="L1946">
            <v>17.329000000000001</v>
          </cell>
          <cell r="M1946">
            <v>1.0482E-3</v>
          </cell>
          <cell r="N1946">
            <v>30902954.325135998</v>
          </cell>
          <cell r="Q1946">
            <v>14</v>
          </cell>
        </row>
        <row r="1947">
          <cell r="D1947" t="str">
            <v>2234-16-4</v>
          </cell>
          <cell r="E1947">
            <v>2234164</v>
          </cell>
          <cell r="F1947">
            <v>541</v>
          </cell>
          <cell r="G1947" t="str">
            <v>Reach_1776</v>
          </cell>
          <cell r="H1947">
            <v>1939</v>
          </cell>
          <cell r="J1947">
            <v>189.04</v>
          </cell>
          <cell r="K1947">
            <v>50.37</v>
          </cell>
          <cell r="L1947">
            <v>2.8659500000000002</v>
          </cell>
          <cell r="M1947">
            <v>49.238</v>
          </cell>
          <cell r="N1947">
            <v>912.01083935590987</v>
          </cell>
          <cell r="Q1947">
            <v>14</v>
          </cell>
        </row>
        <row r="1948">
          <cell r="D1948" t="str">
            <v>504-02-9</v>
          </cell>
          <cell r="E1948">
            <v>504029</v>
          </cell>
          <cell r="F1948">
            <v>3005</v>
          </cell>
          <cell r="G1948" t="str">
            <v>Reach_1303</v>
          </cell>
          <cell r="H1948">
            <v>1940</v>
          </cell>
          <cell r="J1948">
            <v>112.13</v>
          </cell>
          <cell r="K1948">
            <v>21.51</v>
          </cell>
          <cell r="L1948">
            <v>5.5852700000000004</v>
          </cell>
          <cell r="M1948">
            <v>412000</v>
          </cell>
          <cell r="N1948">
            <v>2.691534803926916</v>
          </cell>
          <cell r="O1948">
            <v>5.4</v>
          </cell>
          <cell r="Q1948">
            <v>5.4</v>
          </cell>
        </row>
        <row r="1949">
          <cell r="D1949" t="str">
            <v>3160-86-9</v>
          </cell>
          <cell r="E1949">
            <v>3160869</v>
          </cell>
          <cell r="F1949">
            <v>5840</v>
          </cell>
          <cell r="G1949" t="str">
            <v>Reach_4813</v>
          </cell>
          <cell r="H1949">
            <v>1941</v>
          </cell>
          <cell r="J1949">
            <v>282.33999999999997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Q1949">
            <v>14</v>
          </cell>
        </row>
        <row r="1950">
          <cell r="D1950" t="str">
            <v>104-61-0</v>
          </cell>
          <cell r="E1950">
            <v>104610</v>
          </cell>
          <cell r="F1950">
            <v>1395</v>
          </cell>
          <cell r="G1950" t="str">
            <v>Reach_624</v>
          </cell>
          <cell r="H1950">
            <v>1942</v>
          </cell>
          <cell r="J1950">
            <v>156.22</v>
          </cell>
          <cell r="K1950">
            <v>9.83</v>
          </cell>
          <cell r="L1950">
            <v>1.57294</v>
          </cell>
          <cell r="M1950">
            <v>656.57</v>
          </cell>
          <cell r="N1950">
            <v>120.22644346174135</v>
          </cell>
          <cell r="Q1950">
            <v>14</v>
          </cell>
        </row>
        <row r="1951">
          <cell r="D1951" t="str">
            <v>15782-05-5</v>
          </cell>
          <cell r="E1951">
            <v>15782055</v>
          </cell>
          <cell r="F1951">
            <v>5724</v>
          </cell>
          <cell r="G1951" t="str">
            <v>Reach_2397</v>
          </cell>
          <cell r="H1951">
            <v>1943</v>
          </cell>
          <cell r="J1951">
            <v>506.44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Q1951">
            <v>14</v>
          </cell>
        </row>
        <row r="1952">
          <cell r="D1952" t="str">
            <v>98-17-9</v>
          </cell>
          <cell r="E1952">
            <v>98179</v>
          </cell>
          <cell r="F1952">
            <v>1069</v>
          </cell>
          <cell r="G1952" t="str">
            <v>Reach_502</v>
          </cell>
          <cell r="H1952">
            <v>1944</v>
          </cell>
          <cell r="J1952">
            <v>162.11000000000001</v>
          </cell>
          <cell r="K1952">
            <v>13.53</v>
          </cell>
          <cell r="L1952">
            <v>81.179700000000011</v>
          </cell>
          <cell r="M1952">
            <v>5971</v>
          </cell>
          <cell r="N1952">
            <v>301.99517204020168</v>
          </cell>
          <cell r="O1952">
            <v>8.8000000000000007</v>
          </cell>
          <cell r="Q1952">
            <v>8.8000000000000007</v>
          </cell>
        </row>
        <row r="1953">
          <cell r="D1953" t="str">
            <v>97-77-8</v>
          </cell>
          <cell r="E1953">
            <v>97778</v>
          </cell>
          <cell r="F1953">
            <v>1060</v>
          </cell>
          <cell r="G1953" t="str">
            <v>Reach_487</v>
          </cell>
          <cell r="H1953">
            <v>1945</v>
          </cell>
          <cell r="J1953">
            <v>296.54000000000002</v>
          </cell>
          <cell r="K1953">
            <v>138.91999999999999</v>
          </cell>
          <cell r="L1953">
            <v>8.811130000000001E-4</v>
          </cell>
          <cell r="M1953">
            <v>9.6571999999999996</v>
          </cell>
          <cell r="N1953">
            <v>4677.3514128719844</v>
          </cell>
          <cell r="P1953">
            <v>16</v>
          </cell>
          <cell r="Q1953">
            <v>-2</v>
          </cell>
        </row>
        <row r="1954">
          <cell r="D1954" t="str">
            <v>6528-34-3</v>
          </cell>
          <cell r="E1954">
            <v>6528343</v>
          </cell>
          <cell r="F1954">
            <v>3450</v>
          </cell>
          <cell r="G1954" t="str">
            <v>Reach_2192</v>
          </cell>
          <cell r="H1954">
            <v>1946</v>
          </cell>
          <cell r="J1954">
            <v>386.37</v>
          </cell>
          <cell r="K1954">
            <v>241.55</v>
          </cell>
          <cell r="L1954">
            <v>4.3322500000000007E-10</v>
          </cell>
          <cell r="M1954">
            <v>8.0213999999999999</v>
          </cell>
          <cell r="N1954">
            <v>977.23722095581138</v>
          </cell>
          <cell r="O1954">
            <v>8.57</v>
          </cell>
          <cell r="P1954">
            <v>13.98</v>
          </cell>
          <cell r="Q1954">
            <v>1.9999999999999574E-2</v>
          </cell>
        </row>
        <row r="1955">
          <cell r="D1955" t="str">
            <v>6362-79-4</v>
          </cell>
          <cell r="E1955">
            <v>6362794</v>
          </cell>
          <cell r="F1955">
            <v>5962</v>
          </cell>
          <cell r="G1955" t="str">
            <v>Reach_2173</v>
          </cell>
          <cell r="H1955">
            <v>1947</v>
          </cell>
          <cell r="J1955">
            <v>268.18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Q1955">
            <v>14</v>
          </cell>
        </row>
        <row r="1956">
          <cell r="D1956" t="str">
            <v>15721-78-5</v>
          </cell>
          <cell r="E1956">
            <v>15721785</v>
          </cell>
          <cell r="F1956">
            <v>2055</v>
          </cell>
          <cell r="G1956" t="str">
            <v>Reach_2395</v>
          </cell>
          <cell r="H1956">
            <v>1948</v>
          </cell>
          <cell r="J1956">
            <v>393.66</v>
          </cell>
          <cell r="K1956">
            <v>165.16</v>
          </cell>
          <cell r="L1956">
            <v>6.731650000000001E-6</v>
          </cell>
          <cell r="M1956">
            <v>1.7099999999999999E-5</v>
          </cell>
          <cell r="N1956">
            <v>66069344800.759811</v>
          </cell>
          <cell r="P1956">
            <v>13.2</v>
          </cell>
          <cell r="Q1956">
            <v>0.80000000000000071</v>
          </cell>
        </row>
        <row r="1957">
          <cell r="D1957" t="str">
            <v>56-93-9</v>
          </cell>
          <cell r="E1957">
            <v>56939</v>
          </cell>
          <cell r="F1957">
            <v>1222</v>
          </cell>
          <cell r="G1957" t="str">
            <v>Reach_34</v>
          </cell>
          <cell r="H1957">
            <v>1949</v>
          </cell>
          <cell r="J1957">
            <v>185.7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Q1957">
            <v>14</v>
          </cell>
        </row>
        <row r="1958">
          <cell r="D1958" t="str">
            <v>51167-18-1</v>
          </cell>
          <cell r="E1958">
            <v>51167181</v>
          </cell>
          <cell r="F1958">
            <v>3028</v>
          </cell>
          <cell r="G1958" t="str">
            <v>Reach_2769</v>
          </cell>
          <cell r="H1958">
            <v>1950</v>
          </cell>
          <cell r="J1958">
            <v>319.23</v>
          </cell>
          <cell r="K1958">
            <v>179.02</v>
          </cell>
          <cell r="L1958">
            <v>5.7052400000000003E-6</v>
          </cell>
          <cell r="M1958">
            <v>0.51470000000000005</v>
          </cell>
          <cell r="N1958">
            <v>23988.329190194923</v>
          </cell>
          <cell r="Q1958">
            <v>14</v>
          </cell>
        </row>
        <row r="1959">
          <cell r="D1959" t="str">
            <v>84402-58-4</v>
          </cell>
          <cell r="E1959">
            <v>84402584</v>
          </cell>
          <cell r="F1959">
            <v>6051</v>
          </cell>
          <cell r="G1959" t="str">
            <v>Reach_2972</v>
          </cell>
          <cell r="H1959">
            <v>1951</v>
          </cell>
          <cell r="J1959">
            <v>198.12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Q1959">
            <v>14</v>
          </cell>
        </row>
        <row r="1960">
          <cell r="D1960" t="str">
            <v>3913-02-8</v>
          </cell>
          <cell r="E1960">
            <v>3913028</v>
          </cell>
          <cell r="F1960">
            <v>1263</v>
          </cell>
          <cell r="G1960" t="str">
            <v>Reach_2001</v>
          </cell>
          <cell r="H1960">
            <v>1952</v>
          </cell>
          <cell r="J1960">
            <v>186.34</v>
          </cell>
          <cell r="K1960">
            <v>18.78</v>
          </cell>
          <cell r="L1960">
            <v>0.18662000000000001</v>
          </cell>
          <cell r="M1960">
            <v>3.6036000000000001</v>
          </cell>
          <cell r="N1960">
            <v>50118.723362727294</v>
          </cell>
          <cell r="O1960">
            <v>15.9</v>
          </cell>
          <cell r="Q1960">
            <v>14</v>
          </cell>
        </row>
        <row r="1961">
          <cell r="D1961" t="str">
            <v>28510-23-8</v>
          </cell>
          <cell r="E1961">
            <v>28510238</v>
          </cell>
          <cell r="F1961">
            <v>2534</v>
          </cell>
          <cell r="G1961" t="str">
            <v>Reach_2619</v>
          </cell>
          <cell r="H1961">
            <v>1953</v>
          </cell>
          <cell r="J1961">
            <v>356.55</v>
          </cell>
          <cell r="K1961">
            <v>-0.67</v>
          </cell>
          <cell r="L1961">
            <v>1.2663500000000001E-2</v>
          </cell>
          <cell r="M1961">
            <v>2.6251999999999998E-3</v>
          </cell>
          <cell r="N1961">
            <v>32359365.692962918</v>
          </cell>
          <cell r="Q1961">
            <v>14</v>
          </cell>
        </row>
        <row r="1962">
          <cell r="D1962" t="str">
            <v>996-35-0</v>
          </cell>
          <cell r="E1962">
            <v>996350</v>
          </cell>
          <cell r="F1962">
            <v>4211</v>
          </cell>
          <cell r="G1962" t="str">
            <v>Reach_1629</v>
          </cell>
          <cell r="H1962">
            <v>1954</v>
          </cell>
          <cell r="J1962">
            <v>87.167000000000002</v>
          </cell>
          <cell r="K1962">
            <v>-95.41</v>
          </cell>
          <cell r="L1962">
            <v>20661.5</v>
          </cell>
          <cell r="M1962">
            <v>142000</v>
          </cell>
          <cell r="N1962">
            <v>8.9125093813374576</v>
          </cell>
          <cell r="P1962">
            <v>3.8</v>
          </cell>
          <cell r="Q1962">
            <v>10.199999999999999</v>
          </cell>
        </row>
        <row r="1963">
          <cell r="D1963" t="str">
            <v>53817-61-1</v>
          </cell>
          <cell r="E1963">
            <v>53817611</v>
          </cell>
          <cell r="F1963">
            <v>3111</v>
          </cell>
          <cell r="G1963" t="str">
            <v>Reach_2794</v>
          </cell>
          <cell r="H1963">
            <v>1955</v>
          </cell>
          <cell r="J1963">
            <v>396.61</v>
          </cell>
          <cell r="K1963">
            <v>26.12</v>
          </cell>
          <cell r="L1963">
            <v>7.7447300000000013E-4</v>
          </cell>
          <cell r="M1963">
            <v>9.6880000000000002E-4</v>
          </cell>
          <cell r="N1963">
            <v>8128305161.6410027</v>
          </cell>
          <cell r="Q1963">
            <v>14</v>
          </cell>
        </row>
        <row r="1964">
          <cell r="D1964" t="str">
            <v>70942-01-7</v>
          </cell>
          <cell r="E1964">
            <v>70942017</v>
          </cell>
          <cell r="F1964">
            <v>6007</v>
          </cell>
          <cell r="G1964" t="str">
            <v>Reach_2923</v>
          </cell>
          <cell r="H1964">
            <v>1956</v>
          </cell>
          <cell r="J1964">
            <v>977.08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Q1964">
            <v>14</v>
          </cell>
        </row>
        <row r="1965">
          <cell r="D1965" t="str">
            <v>107-75-5</v>
          </cell>
          <cell r="E1965">
            <v>107755</v>
          </cell>
          <cell r="F1965">
            <v>1468</v>
          </cell>
          <cell r="G1965" t="str">
            <v>Reach_714</v>
          </cell>
          <cell r="H1965">
            <v>1957</v>
          </cell>
          <cell r="J1965">
            <v>172.27</v>
          </cell>
          <cell r="K1965">
            <v>23.36</v>
          </cell>
          <cell r="L1965">
            <v>0.77314000000000005</v>
          </cell>
          <cell r="M1965">
            <v>27829</v>
          </cell>
          <cell r="N1965">
            <v>128.82495516931343</v>
          </cell>
          <cell r="O1965">
            <v>15.98</v>
          </cell>
          <cell r="Q1965">
            <v>14</v>
          </cell>
        </row>
        <row r="1966">
          <cell r="D1966" t="str">
            <v>1112-39-6</v>
          </cell>
          <cell r="E1966">
            <v>1112396</v>
          </cell>
          <cell r="F1966">
            <v>1544</v>
          </cell>
          <cell r="G1966" t="str">
            <v>Reach_1647</v>
          </cell>
          <cell r="H1966">
            <v>1958</v>
          </cell>
          <cell r="J1966">
            <v>120.22</v>
          </cell>
          <cell r="K1966">
            <v>-78.540000000000006</v>
          </cell>
          <cell r="L1966">
            <v>10690.660000000002</v>
          </cell>
          <cell r="M1966">
            <v>4735.5</v>
          </cell>
          <cell r="N1966">
            <v>3.8018939632056119</v>
          </cell>
          <cell r="Q1966">
            <v>14</v>
          </cell>
        </row>
        <row r="1967">
          <cell r="D1967" t="str">
            <v>74-79-3</v>
          </cell>
          <cell r="E1967">
            <v>74793</v>
          </cell>
          <cell r="F1967">
            <v>3644</v>
          </cell>
          <cell r="G1967" t="str">
            <v>Reach_107</v>
          </cell>
          <cell r="H1967">
            <v>1959</v>
          </cell>
          <cell r="J1967">
            <v>174.21</v>
          </cell>
          <cell r="K1967">
            <v>296.81</v>
          </cell>
          <cell r="L1967">
            <v>1.7728900000000001E-6</v>
          </cell>
          <cell r="M1967">
            <v>44262</v>
          </cell>
          <cell r="N1967">
            <v>1E-4</v>
          </cell>
          <cell r="O1967">
            <v>1.86</v>
          </cell>
          <cell r="P1967">
            <v>1.9</v>
          </cell>
          <cell r="Q1967">
            <v>1.86</v>
          </cell>
        </row>
        <row r="1968">
          <cell r="D1968" t="str">
            <v>1459-93-4</v>
          </cell>
          <cell r="E1968">
            <v>1459934</v>
          </cell>
          <cell r="F1968">
            <v>1990</v>
          </cell>
          <cell r="G1968" t="str">
            <v>Reach_1685</v>
          </cell>
          <cell r="H1968">
            <v>1960</v>
          </cell>
          <cell r="J1968">
            <v>194.19</v>
          </cell>
          <cell r="K1968">
            <v>-22.74</v>
          </cell>
          <cell r="L1968">
            <v>0.26793300000000003</v>
          </cell>
          <cell r="M1968">
            <v>1927.5</v>
          </cell>
          <cell r="N1968">
            <v>45.708818961487509</v>
          </cell>
          <cell r="Q1968">
            <v>14</v>
          </cell>
        </row>
        <row r="1969">
          <cell r="D1969" t="str">
            <v>110-43-0</v>
          </cell>
          <cell r="E1969">
            <v>110430</v>
          </cell>
          <cell r="F1969">
            <v>278</v>
          </cell>
          <cell r="G1969" t="str">
            <v>Reach_814</v>
          </cell>
          <cell r="H1969">
            <v>1961</v>
          </cell>
          <cell r="J1969">
            <v>114.19</v>
          </cell>
          <cell r="K1969">
            <v>-42.77</v>
          </cell>
          <cell r="L1969">
            <v>654.50300000000004</v>
          </cell>
          <cell r="M1969">
            <v>2432.1999999999998</v>
          </cell>
          <cell r="N1969">
            <v>53.703179637025293</v>
          </cell>
          <cell r="Q1969">
            <v>14</v>
          </cell>
        </row>
        <row r="1970">
          <cell r="D1970" t="str">
            <v>2855-19-8</v>
          </cell>
          <cell r="E1970">
            <v>2855198</v>
          </cell>
          <cell r="F1970">
            <v>2537</v>
          </cell>
          <cell r="G1970" t="str">
            <v>Reach_1876</v>
          </cell>
          <cell r="H1970">
            <v>1962</v>
          </cell>
          <cell r="J1970">
            <v>184.32</v>
          </cell>
          <cell r="K1970">
            <v>9.39</v>
          </cell>
          <cell r="L1970">
            <v>13.729900000000001</v>
          </cell>
          <cell r="M1970">
            <v>4.6740000000000004</v>
          </cell>
          <cell r="N1970">
            <v>61659.500186148245</v>
          </cell>
          <cell r="Q1970">
            <v>14</v>
          </cell>
        </row>
        <row r="1971">
          <cell r="D1971" t="str">
            <v>759-94-4</v>
          </cell>
          <cell r="E1971">
            <v>759944</v>
          </cell>
          <cell r="F1971">
            <v>869</v>
          </cell>
          <cell r="G1971" t="str">
            <v>Reach_1529</v>
          </cell>
          <cell r="H1971">
            <v>1963</v>
          </cell>
          <cell r="J1971">
            <v>189.32</v>
          </cell>
          <cell r="K1971">
            <v>60.53</v>
          </cell>
          <cell r="L1971">
            <v>0.50120799999999999</v>
          </cell>
          <cell r="M1971">
            <v>162.07</v>
          </cell>
          <cell r="N1971">
            <v>1047.1285480509</v>
          </cell>
          <cell r="P1971">
            <v>14</v>
          </cell>
          <cell r="Q1971">
            <v>0</v>
          </cell>
        </row>
        <row r="1972">
          <cell r="D1972" t="str">
            <v>70969-58-3</v>
          </cell>
          <cell r="E1972">
            <v>70969583</v>
          </cell>
          <cell r="F1972">
            <v>815</v>
          </cell>
          <cell r="G1972" t="str">
            <v>Reach_2924</v>
          </cell>
          <cell r="H1972">
            <v>1964</v>
          </cell>
          <cell r="J1972">
            <v>284.39999999999998</v>
          </cell>
          <cell r="K1972">
            <v>-4.68</v>
          </cell>
          <cell r="L1972">
            <v>0.17329</v>
          </cell>
          <cell r="M1972">
            <v>2.2740999999999998</v>
          </cell>
          <cell r="N1972">
            <v>81283.051616410012</v>
          </cell>
          <cell r="Q1972">
            <v>14</v>
          </cell>
        </row>
        <row r="1973">
          <cell r="D1973" t="str">
            <v>143-24-8</v>
          </cell>
          <cell r="E1973">
            <v>143248</v>
          </cell>
          <cell r="F1973">
            <v>28</v>
          </cell>
          <cell r="G1973" t="str">
            <v>Reach_1191</v>
          </cell>
          <cell r="H1973">
            <v>1965</v>
          </cell>
          <cell r="J1973">
            <v>222.28</v>
          </cell>
          <cell r="K1973">
            <v>40.43</v>
          </cell>
          <cell r="L1973">
            <v>1.1957010000000001</v>
          </cell>
          <cell r="M1973">
            <v>221000</v>
          </cell>
          <cell r="N1973">
            <v>9.3325430079699068E-2</v>
          </cell>
          <cell r="Q1973">
            <v>14</v>
          </cell>
        </row>
        <row r="1974">
          <cell r="D1974" t="str">
            <v>109-02-4</v>
          </cell>
          <cell r="E1974">
            <v>109024</v>
          </cell>
          <cell r="F1974">
            <v>1493</v>
          </cell>
          <cell r="G1974" t="str">
            <v>Reach_769</v>
          </cell>
          <cell r="H1974">
            <v>1966</v>
          </cell>
          <cell r="J1974">
            <v>101.15</v>
          </cell>
          <cell r="K1974">
            <v>-29.01</v>
          </cell>
          <cell r="L1974">
            <v>2492.71</v>
          </cell>
          <cell r="M1974">
            <v>1370000</v>
          </cell>
          <cell r="N1974">
            <v>0.44668359215096315</v>
          </cell>
          <cell r="P1974">
            <v>6.5</v>
          </cell>
          <cell r="Q1974">
            <v>7.5</v>
          </cell>
        </row>
        <row r="1975">
          <cell r="D1975" t="str">
            <v>12389-75-2</v>
          </cell>
          <cell r="E1975">
            <v>12389752</v>
          </cell>
          <cell r="F1975">
            <v>5635</v>
          </cell>
          <cell r="G1975" t="str">
            <v>Reach_2313</v>
          </cell>
          <cell r="H1975">
            <v>1967</v>
          </cell>
          <cell r="J1975">
            <v>468.16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Q1975">
            <v>14</v>
          </cell>
        </row>
        <row r="1976">
          <cell r="D1976" t="str">
            <v>2680-03-7</v>
          </cell>
          <cell r="E1976">
            <v>2680037</v>
          </cell>
          <cell r="F1976">
            <v>1254</v>
          </cell>
          <cell r="G1976" t="str">
            <v>Reach_1852</v>
          </cell>
          <cell r="H1976">
            <v>1968</v>
          </cell>
          <cell r="J1976">
            <v>99.134</v>
          </cell>
          <cell r="K1976">
            <v>-17.72</v>
          </cell>
          <cell r="L1976">
            <v>355.911</v>
          </cell>
          <cell r="M1976">
            <v>676000</v>
          </cell>
          <cell r="N1976">
            <v>0.74131024130091738</v>
          </cell>
          <cell r="P1976">
            <v>14.4</v>
          </cell>
          <cell r="Q1976">
            <v>-0.40000000000000036</v>
          </cell>
        </row>
        <row r="1977">
          <cell r="D1977" t="str">
            <v>63721-05-1</v>
          </cell>
          <cell r="E1977">
            <v>63721051</v>
          </cell>
          <cell r="F1977">
            <v>3417</v>
          </cell>
          <cell r="G1977" t="str">
            <v>Reach_2862</v>
          </cell>
          <cell r="H1977">
            <v>1969</v>
          </cell>
          <cell r="J1977">
            <v>142.19999999999999</v>
          </cell>
          <cell r="K1977">
            <v>-39.119999999999997</v>
          </cell>
          <cell r="L1977">
            <v>621.17800000000011</v>
          </cell>
          <cell r="M1977">
            <v>3389.5</v>
          </cell>
          <cell r="N1977">
            <v>380.18939632056163</v>
          </cell>
          <cell r="Q1977">
            <v>14</v>
          </cell>
        </row>
        <row r="1978">
          <cell r="D1978" t="str">
            <v>109-43-3</v>
          </cell>
          <cell r="E1978">
            <v>109433</v>
          </cell>
          <cell r="F1978">
            <v>1500</v>
          </cell>
          <cell r="G1978" t="str">
            <v>Reach_773</v>
          </cell>
          <cell r="H1978">
            <v>1970</v>
          </cell>
          <cell r="J1978">
            <v>314.47000000000003</v>
          </cell>
          <cell r="K1978">
            <v>-6.76</v>
          </cell>
          <cell r="L1978">
            <v>2.3727399999999999E-2</v>
          </cell>
          <cell r="M1978">
            <v>0.78190999999999999</v>
          </cell>
          <cell r="N1978">
            <v>1995262.31496888</v>
          </cell>
          <cell r="Q1978">
            <v>14</v>
          </cell>
        </row>
        <row r="1979">
          <cell r="D1979" t="str">
            <v>122-79-2</v>
          </cell>
          <cell r="E1979">
            <v>122792</v>
          </cell>
          <cell r="F1979">
            <v>382</v>
          </cell>
          <cell r="G1979" t="str">
            <v>Reach_1035</v>
          </cell>
          <cell r="H1979">
            <v>1971</v>
          </cell>
          <cell r="J1979">
            <v>136.15</v>
          </cell>
          <cell r="K1979">
            <v>-11.87</v>
          </cell>
          <cell r="L1979">
            <v>58.652000000000008</v>
          </cell>
          <cell r="M1979">
            <v>2488.6</v>
          </cell>
          <cell r="N1979">
            <v>38.904514499428075</v>
          </cell>
          <cell r="Q1979">
            <v>14</v>
          </cell>
        </row>
        <row r="1980">
          <cell r="D1980" t="str">
            <v>5423-22-3</v>
          </cell>
          <cell r="E1980">
            <v>5423223</v>
          </cell>
          <cell r="F1980">
            <v>5924</v>
          </cell>
          <cell r="G1980" t="str">
            <v>Reach_2110</v>
          </cell>
          <cell r="H1980">
            <v>1972</v>
          </cell>
          <cell r="J1980">
            <v>157.07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Q1980">
            <v>14</v>
          </cell>
        </row>
        <row r="1981">
          <cell r="D1981" t="str">
            <v>127-63-9</v>
          </cell>
          <cell r="E1981">
            <v>127639</v>
          </cell>
          <cell r="F1981">
            <v>1813</v>
          </cell>
          <cell r="G1981" t="str">
            <v>Reach_1100</v>
          </cell>
          <cell r="H1981">
            <v>1973</v>
          </cell>
          <cell r="J1981">
            <v>218.27</v>
          </cell>
          <cell r="K1981">
            <v>113.14</v>
          </cell>
          <cell r="L1981">
            <v>7.2781800000000008E-2</v>
          </cell>
          <cell r="M1981">
            <v>15.996</v>
          </cell>
          <cell r="N1981">
            <v>407.38027780411272</v>
          </cell>
          <cell r="Q1981">
            <v>14</v>
          </cell>
        </row>
        <row r="1982">
          <cell r="D1982" t="str">
            <v>13031-41-9</v>
          </cell>
          <cell r="E1982">
            <v>13031419</v>
          </cell>
          <cell r="F1982">
            <v>1835</v>
          </cell>
          <cell r="G1982" t="str">
            <v>Reach_2318</v>
          </cell>
          <cell r="H1982">
            <v>1974</v>
          </cell>
          <cell r="J1982">
            <v>161.16</v>
          </cell>
          <cell r="K1982">
            <v>54.03</v>
          </cell>
          <cell r="L1982">
            <v>0.69449300000000014</v>
          </cell>
          <cell r="M1982">
            <v>1228.3</v>
          </cell>
          <cell r="N1982">
            <v>13.803842646028851</v>
          </cell>
          <cell r="Q1982">
            <v>14</v>
          </cell>
        </row>
        <row r="1983">
          <cell r="D1983" t="str">
            <v>13732-62-2</v>
          </cell>
          <cell r="E1983">
            <v>13732622</v>
          </cell>
          <cell r="F1983">
            <v>5681</v>
          </cell>
          <cell r="G1983" t="str">
            <v>Reach_2346</v>
          </cell>
          <cell r="H1983">
            <v>1975</v>
          </cell>
          <cell r="J1983">
            <v>259.32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Q1983">
            <v>14</v>
          </cell>
        </row>
        <row r="1984">
          <cell r="D1984" t="str">
            <v>12542-30-2</v>
          </cell>
          <cell r="E1984">
            <v>12542302</v>
          </cell>
          <cell r="F1984">
            <v>1797</v>
          </cell>
          <cell r="G1984" t="str">
            <v>Reach_2314</v>
          </cell>
          <cell r="H1984">
            <v>1976</v>
          </cell>
          <cell r="J1984">
            <v>204.27</v>
          </cell>
          <cell r="K1984">
            <v>44.02</v>
          </cell>
          <cell r="L1984">
            <v>1.0304090000000001</v>
          </cell>
          <cell r="M1984">
            <v>281.52999999999997</v>
          </cell>
          <cell r="N1984">
            <v>1584.8931924611156</v>
          </cell>
          <cell r="Q1984">
            <v>14</v>
          </cell>
        </row>
        <row r="1985">
          <cell r="D1985" t="str">
            <v>111-96-6</v>
          </cell>
          <cell r="E1985">
            <v>111966</v>
          </cell>
          <cell r="F1985">
            <v>318</v>
          </cell>
          <cell r="G1985" t="str">
            <v>Reach_883</v>
          </cell>
          <cell r="H1985">
            <v>1977</v>
          </cell>
          <cell r="J1985">
            <v>134.18</v>
          </cell>
          <cell r="K1985">
            <v>-38.96</v>
          </cell>
          <cell r="L1985">
            <v>401.233</v>
          </cell>
          <cell r="M1985">
            <v>324000</v>
          </cell>
          <cell r="N1985">
            <v>0.33113112148259105</v>
          </cell>
          <cell r="Q1985">
            <v>14</v>
          </cell>
        </row>
        <row r="1986">
          <cell r="D1986" t="str">
            <v>28219-61-6</v>
          </cell>
          <cell r="E1986">
            <v>28219616</v>
          </cell>
          <cell r="F1986">
            <v>2525</v>
          </cell>
          <cell r="G1986" t="str">
            <v>Reach_2615</v>
          </cell>
          <cell r="H1986">
            <v>1978</v>
          </cell>
          <cell r="J1986">
            <v>208.35</v>
          </cell>
          <cell r="K1986">
            <v>60.19</v>
          </cell>
          <cell r="L1986">
            <v>9.57094E-3</v>
          </cell>
          <cell r="M1986">
            <v>13.56</v>
          </cell>
          <cell r="N1986">
            <v>138038.42646028858</v>
          </cell>
          <cell r="O1986">
            <v>15.5</v>
          </cell>
          <cell r="Q1986">
            <v>14</v>
          </cell>
        </row>
        <row r="1987">
          <cell r="D1987" t="str">
            <v>80-04-6</v>
          </cell>
          <cell r="E1987">
            <v>80046</v>
          </cell>
          <cell r="F1987">
            <v>931</v>
          </cell>
          <cell r="G1987" t="str">
            <v>Reach_253</v>
          </cell>
          <cell r="H1987">
            <v>1979</v>
          </cell>
          <cell r="J1987">
            <v>240.39</v>
          </cell>
          <cell r="K1987">
            <v>102.71</v>
          </cell>
          <cell r="L1987">
            <v>6.75831E-5</v>
          </cell>
          <cell r="M1987">
            <v>90.293999999999997</v>
          </cell>
          <cell r="N1987">
            <v>35481.33892335758</v>
          </cell>
          <cell r="O1987">
            <v>15.7</v>
          </cell>
          <cell r="Q1987">
            <v>14</v>
          </cell>
        </row>
        <row r="1988">
          <cell r="D1988" t="str">
            <v>18835-34-2</v>
          </cell>
          <cell r="E1988">
            <v>18835342</v>
          </cell>
          <cell r="F1988">
            <v>2211</v>
          </cell>
          <cell r="G1988" t="str">
            <v>Reach_2470</v>
          </cell>
          <cell r="H1988">
            <v>1980</v>
          </cell>
          <cell r="J1988">
            <v>392.76</v>
          </cell>
          <cell r="K1988">
            <v>132.85</v>
          </cell>
          <cell r="L1988">
            <v>5.2920100000000009E-5</v>
          </cell>
          <cell r="M1988">
            <v>6.7600000000000004E-10</v>
          </cell>
          <cell r="N1988">
            <v>91201083935591.125</v>
          </cell>
          <cell r="Q1988">
            <v>14</v>
          </cell>
        </row>
        <row r="1989">
          <cell r="D1989" t="str">
            <v>18835-33-1</v>
          </cell>
          <cell r="E1989">
            <v>18835331</v>
          </cell>
          <cell r="F1989">
            <v>2210</v>
          </cell>
          <cell r="G1989" t="str">
            <v>Reach_2469</v>
          </cell>
          <cell r="H1989">
            <v>1981</v>
          </cell>
          <cell r="J1989">
            <v>364.7</v>
          </cell>
          <cell r="K1989">
            <v>114.81</v>
          </cell>
          <cell r="L1989">
            <v>2.8792800000000001E-4</v>
          </cell>
          <cell r="M1989">
            <v>3.1100000000000001E-8</v>
          </cell>
          <cell r="N1989">
            <v>9332543007969.9473</v>
          </cell>
          <cell r="P1989">
            <v>0</v>
          </cell>
          <cell r="Q1989">
            <v>14</v>
          </cell>
        </row>
        <row r="1990">
          <cell r="D1990" t="str">
            <v>615-50-9</v>
          </cell>
          <cell r="E1990">
            <v>615509</v>
          </cell>
          <cell r="F1990">
            <v>5951</v>
          </cell>
          <cell r="G1990" t="str">
            <v>Reach_1427</v>
          </cell>
          <cell r="H1990">
            <v>1982</v>
          </cell>
          <cell r="J1990">
            <v>220.25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Q1990">
            <v>14</v>
          </cell>
        </row>
        <row r="1991">
          <cell r="D1991" t="str">
            <v>56358-09-9</v>
          </cell>
          <cell r="E1991">
            <v>56358099</v>
          </cell>
          <cell r="F1991">
            <v>3191</v>
          </cell>
          <cell r="G1991" t="str">
            <v>Reach_2813</v>
          </cell>
          <cell r="H1991">
            <v>1983</v>
          </cell>
          <cell r="J1991">
            <v>493.7</v>
          </cell>
          <cell r="K1991">
            <v>254.82</v>
          </cell>
          <cell r="L1991">
            <v>5.4653000000000006E-11</v>
          </cell>
          <cell r="M1991">
            <v>2.879E-4</v>
          </cell>
          <cell r="N1991">
            <v>933254300796.99377</v>
          </cell>
          <cell r="Q1991">
            <v>14</v>
          </cell>
        </row>
        <row r="1992">
          <cell r="D1992" t="str">
            <v>80-51-3</v>
          </cell>
          <cell r="E1992">
            <v>80513</v>
          </cell>
          <cell r="F1992">
            <v>3792</v>
          </cell>
          <cell r="G1992" t="str">
            <v>Reach_264</v>
          </cell>
          <cell r="H1992">
            <v>1984</v>
          </cell>
          <cell r="J1992">
            <v>358.4</v>
          </cell>
          <cell r="K1992">
            <v>236.9</v>
          </cell>
          <cell r="L1992">
            <v>8.8911100000000005E-10</v>
          </cell>
          <cell r="M1992">
            <v>19463</v>
          </cell>
          <cell r="N1992">
            <v>1.2022644346174129</v>
          </cell>
          <cell r="P1992">
            <v>5.75</v>
          </cell>
          <cell r="Q1992">
            <v>8.25</v>
          </cell>
        </row>
        <row r="1993">
          <cell r="D1993" t="str">
            <v>115-18-4</v>
          </cell>
          <cell r="E1993">
            <v>115184</v>
          </cell>
          <cell r="F1993">
            <v>1632</v>
          </cell>
          <cell r="G1993" t="str">
            <v>Reach_938</v>
          </cell>
          <cell r="H1993">
            <v>1985</v>
          </cell>
          <cell r="J1993">
            <v>86.134</v>
          </cell>
          <cell r="K1993">
            <v>-62.39</v>
          </cell>
          <cell r="L1993">
            <v>3119.2200000000003</v>
          </cell>
          <cell r="M1993">
            <v>107000</v>
          </cell>
          <cell r="N1993">
            <v>12.022644346174133</v>
          </cell>
          <cell r="O1993">
            <v>15.5</v>
          </cell>
          <cell r="Q1993">
            <v>14</v>
          </cell>
        </row>
        <row r="1994">
          <cell r="D1994" t="str">
            <v>62-33-9</v>
          </cell>
          <cell r="E1994">
            <v>62339</v>
          </cell>
          <cell r="F1994">
            <v>5957</v>
          </cell>
          <cell r="G1994" t="str">
            <v>Reach_63</v>
          </cell>
          <cell r="H1994">
            <v>1986</v>
          </cell>
          <cell r="J1994">
            <v>374.28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Q1994">
            <v>14</v>
          </cell>
        </row>
        <row r="1995">
          <cell r="D1995" t="str">
            <v>41098-56-0</v>
          </cell>
          <cell r="E1995">
            <v>41098560</v>
          </cell>
          <cell r="F1995">
            <v>5875</v>
          </cell>
          <cell r="G1995" t="str">
            <v>Reach_2735</v>
          </cell>
          <cell r="H1995">
            <v>1987</v>
          </cell>
          <cell r="J1995">
            <v>1305.2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Q1995">
            <v>14</v>
          </cell>
        </row>
        <row r="1996">
          <cell r="D1996" t="str">
            <v>121-32-4</v>
          </cell>
          <cell r="E1996">
            <v>121324</v>
          </cell>
          <cell r="F1996">
            <v>368</v>
          </cell>
          <cell r="G1996" t="str">
            <v>Reach_1010</v>
          </cell>
          <cell r="H1996">
            <v>1988</v>
          </cell>
          <cell r="J1996">
            <v>166.18</v>
          </cell>
          <cell r="K1996">
            <v>81.44</v>
          </cell>
          <cell r="L1996">
            <v>3.9056900000000006E-2</v>
          </cell>
          <cell r="M1996">
            <v>5865.2</v>
          </cell>
          <cell r="N1996">
            <v>35.481338923357555</v>
          </cell>
          <cell r="O1996">
            <v>7.3</v>
          </cell>
          <cell r="Q1996">
            <v>7.3</v>
          </cell>
        </row>
        <row r="1997">
          <cell r="D1997" t="str">
            <v>10109-95-2</v>
          </cell>
          <cell r="E1997">
            <v>10109952</v>
          </cell>
          <cell r="F1997">
            <v>1314</v>
          </cell>
          <cell r="G1997" t="str">
            <v>Reach_2282</v>
          </cell>
          <cell r="H1997">
            <v>1989</v>
          </cell>
          <cell r="J1997">
            <v>348.36</v>
          </cell>
          <cell r="K1997">
            <v>242.05</v>
          </cell>
          <cell r="L1997">
            <v>3.9990000000000004E-10</v>
          </cell>
          <cell r="M1997">
            <v>117.18</v>
          </cell>
          <cell r="N1997">
            <v>29512.092266663854</v>
          </cell>
          <cell r="O1997">
            <v>3.7</v>
          </cell>
          <cell r="P1997">
            <v>14.54</v>
          </cell>
          <cell r="Q1997">
            <v>-0.53999999999999915</v>
          </cell>
        </row>
        <row r="1998">
          <cell r="D1998" t="str">
            <v>54-21-7</v>
          </cell>
          <cell r="E1998">
            <v>54217</v>
          </cell>
          <cell r="F1998">
            <v>1219</v>
          </cell>
          <cell r="G1998" t="str">
            <v>Reach_22</v>
          </cell>
          <cell r="H1998">
            <v>1990</v>
          </cell>
          <cell r="J1998">
            <v>160.1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Q1998">
            <v>14</v>
          </cell>
        </row>
        <row r="1999">
          <cell r="D1999" t="str">
            <v>12286-66-7</v>
          </cell>
          <cell r="E1999">
            <v>12286667</v>
          </cell>
          <cell r="F1999">
            <v>5632</v>
          </cell>
          <cell r="G1999" t="str">
            <v>Reach_2312</v>
          </cell>
          <cell r="H1999">
            <v>1991</v>
          </cell>
          <cell r="J1999">
            <v>878.87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Q1999">
            <v>14</v>
          </cell>
        </row>
        <row r="2000">
          <cell r="D2000" t="str">
            <v>29857-13-4</v>
          </cell>
          <cell r="E2000">
            <v>29857134</v>
          </cell>
          <cell r="F2000">
            <v>5826</v>
          </cell>
          <cell r="G2000" t="str">
            <v>Reach_2633</v>
          </cell>
          <cell r="H2000">
            <v>1992</v>
          </cell>
          <cell r="J2000">
            <v>500.67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Q2000">
            <v>14</v>
          </cell>
        </row>
        <row r="2001">
          <cell r="D2001" t="str">
            <v>97-74-5</v>
          </cell>
          <cell r="E2001">
            <v>97745</v>
          </cell>
          <cell r="F2001">
            <v>1059</v>
          </cell>
          <cell r="G2001" t="str">
            <v>Reach_486</v>
          </cell>
          <cell r="H2001">
            <v>1993</v>
          </cell>
          <cell r="J2001">
            <v>208.37</v>
          </cell>
          <cell r="K2001">
            <v>88.51</v>
          </cell>
          <cell r="L2001">
            <v>3.5991000000000002E-2</v>
          </cell>
          <cell r="M2001">
            <v>1900</v>
          </cell>
          <cell r="N2001">
            <v>5.6234132519034921</v>
          </cell>
          <cell r="Q2001">
            <v>14</v>
          </cell>
        </row>
        <row r="2002">
          <cell r="D2002" t="str">
            <v>104-55-2</v>
          </cell>
          <cell r="E2002">
            <v>104552</v>
          </cell>
          <cell r="F2002">
            <v>168</v>
          </cell>
          <cell r="G2002" t="str">
            <v>Reach_623</v>
          </cell>
          <cell r="H2002">
            <v>1994</v>
          </cell>
          <cell r="J2002">
            <v>132.16</v>
          </cell>
          <cell r="K2002">
            <v>0.04</v>
          </cell>
          <cell r="L2002">
            <v>4.4922100000000009</v>
          </cell>
          <cell r="M2002">
            <v>387.95</v>
          </cell>
          <cell r="N2002">
            <v>66.069344800759623</v>
          </cell>
          <cell r="Q2002">
            <v>14</v>
          </cell>
        </row>
        <row r="2003">
          <cell r="D2003" t="str">
            <v>88-51-7</v>
          </cell>
          <cell r="E2003">
            <v>88517</v>
          </cell>
          <cell r="F2003">
            <v>3959</v>
          </cell>
          <cell r="G2003" t="str">
            <v>Reach_326</v>
          </cell>
          <cell r="H2003">
            <v>1995</v>
          </cell>
          <cell r="J2003">
            <v>221.66</v>
          </cell>
          <cell r="K2003">
            <v>149.6</v>
          </cell>
          <cell r="L2003">
            <v>2.0661500000000001E-6</v>
          </cell>
          <cell r="M2003">
            <v>1070.8</v>
          </cell>
          <cell r="N2003">
            <v>0.12882495516931336</v>
          </cell>
          <cell r="O2003">
            <v>-1.1599999999999999</v>
          </cell>
          <cell r="P2003">
            <v>12.18</v>
          </cell>
          <cell r="Q2003">
            <v>-1.1599999999999999</v>
          </cell>
        </row>
        <row r="2004">
          <cell r="D2004" t="str">
            <v>80-46-6</v>
          </cell>
          <cell r="E2004">
            <v>80466</v>
          </cell>
          <cell r="F2004">
            <v>936</v>
          </cell>
          <cell r="G2004" t="str">
            <v>Reach_263</v>
          </cell>
          <cell r="H2004">
            <v>1996</v>
          </cell>
          <cell r="J2004">
            <v>164.25</v>
          </cell>
          <cell r="K2004">
            <v>47.7</v>
          </cell>
          <cell r="L2004">
            <v>0.15462800000000002</v>
          </cell>
          <cell r="M2004">
            <v>70.959999999999994</v>
          </cell>
          <cell r="N2004">
            <v>8128.3051616410066</v>
          </cell>
          <cell r="O2004">
            <v>10</v>
          </cell>
          <cell r="Q2004">
            <v>10</v>
          </cell>
        </row>
        <row r="2005">
          <cell r="D2005" t="str">
            <v>563-78-0</v>
          </cell>
          <cell r="E2005">
            <v>563780</v>
          </cell>
          <cell r="F2005">
            <v>3194</v>
          </cell>
          <cell r="G2005" t="str">
            <v>Reach_1374</v>
          </cell>
          <cell r="H2005">
            <v>1997</v>
          </cell>
          <cell r="J2005">
            <v>84.162000000000006</v>
          </cell>
          <cell r="K2005">
            <v>-116.27</v>
          </cell>
          <cell r="L2005">
            <v>33058.400000000001</v>
          </cell>
          <cell r="M2005">
            <v>250.22</v>
          </cell>
          <cell r="N2005">
            <v>1348.9628825916541</v>
          </cell>
          <cell r="Q2005">
            <v>14</v>
          </cell>
        </row>
        <row r="2006">
          <cell r="D2006" t="str">
            <v>131-17-9</v>
          </cell>
          <cell r="E2006">
            <v>131179</v>
          </cell>
          <cell r="F2006">
            <v>418</v>
          </cell>
          <cell r="G2006" t="str">
            <v>Reach_1120</v>
          </cell>
          <cell r="H2006">
            <v>1998</v>
          </cell>
          <cell r="J2006">
            <v>246.26</v>
          </cell>
          <cell r="K2006">
            <v>15.82</v>
          </cell>
          <cell r="L2006">
            <v>0.15462800000000002</v>
          </cell>
          <cell r="M2006">
            <v>92.546000000000006</v>
          </cell>
          <cell r="N2006">
            <v>2290.8676527677749</v>
          </cell>
          <cell r="Q2006">
            <v>14</v>
          </cell>
        </row>
        <row r="2007">
          <cell r="D2007" t="str">
            <v>1561-92-8</v>
          </cell>
          <cell r="E2007">
            <v>1561928</v>
          </cell>
          <cell r="F2007">
            <v>5718</v>
          </cell>
          <cell r="G2007" t="str">
            <v>Reach_1691</v>
          </cell>
          <cell r="H2007">
            <v>1999</v>
          </cell>
          <cell r="J2007">
            <v>158.15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Q2007">
            <v>14</v>
          </cell>
        </row>
        <row r="2008">
          <cell r="D2008" t="str">
            <v>149-74-6</v>
          </cell>
          <cell r="E2008">
            <v>149746</v>
          </cell>
          <cell r="F2008">
            <v>2006</v>
          </cell>
          <cell r="G2008" t="str">
            <v>Reach_1202</v>
          </cell>
          <cell r="H2008">
            <v>2000</v>
          </cell>
          <cell r="J2008">
            <v>191.13</v>
          </cell>
          <cell r="K2008">
            <v>-6.47</v>
          </cell>
          <cell r="L2008">
            <v>34.658000000000001</v>
          </cell>
          <cell r="M2008">
            <v>296.70999999999998</v>
          </cell>
          <cell r="N2008">
            <v>6918.3097091893687</v>
          </cell>
          <cell r="Q2008">
            <v>14</v>
          </cell>
        </row>
        <row r="2009">
          <cell r="D2009" t="str">
            <v>118-82-1</v>
          </cell>
          <cell r="E2009">
            <v>118821</v>
          </cell>
          <cell r="F2009">
            <v>1679</v>
          </cell>
          <cell r="G2009" t="str">
            <v>Reach_971</v>
          </cell>
          <cell r="H2009">
            <v>2001</v>
          </cell>
          <cell r="J2009">
            <v>424.67</v>
          </cell>
          <cell r="K2009">
            <v>208.48</v>
          </cell>
          <cell r="L2009">
            <v>1.5862700000000001E-9</v>
          </cell>
          <cell r="M2009">
            <v>5.4299999999999998E-5</v>
          </cell>
          <cell r="N2009">
            <v>977237220.95581353</v>
          </cell>
          <cell r="O2009">
            <v>11</v>
          </cell>
          <cell r="Q2009">
            <v>11</v>
          </cell>
        </row>
        <row r="2010">
          <cell r="D2010" t="str">
            <v>78-95-5</v>
          </cell>
          <cell r="E2010">
            <v>78955</v>
          </cell>
          <cell r="F2010">
            <v>3761</v>
          </cell>
          <cell r="G2010" t="str">
            <v>Reach_218</v>
          </cell>
          <cell r="H2010">
            <v>2002</v>
          </cell>
          <cell r="J2010">
            <v>92.525000000000006</v>
          </cell>
          <cell r="K2010">
            <v>-59.22</v>
          </cell>
          <cell r="L2010">
            <v>2186.12</v>
          </cell>
          <cell r="M2010">
            <v>38445</v>
          </cell>
          <cell r="N2010">
            <v>1.0471285480508996</v>
          </cell>
          <cell r="Q2010">
            <v>14</v>
          </cell>
        </row>
        <row r="2011">
          <cell r="D2011" t="str">
            <v>2720-73-2</v>
          </cell>
          <cell r="E2011">
            <v>2720732</v>
          </cell>
          <cell r="F2011">
            <v>1211</v>
          </cell>
          <cell r="G2011" t="str">
            <v>Reach_1858</v>
          </cell>
          <cell r="H2011">
            <v>2003</v>
          </cell>
          <cell r="J2011">
            <v>202.38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Q2011">
            <v>14</v>
          </cell>
        </row>
        <row r="2012">
          <cell r="D2012" t="str">
            <v>1187-93-5</v>
          </cell>
          <cell r="E2012">
            <v>1187935</v>
          </cell>
          <cell r="F2012">
            <v>1678</v>
          </cell>
          <cell r="G2012" t="str">
            <v>Reach_1668</v>
          </cell>
          <cell r="H2012">
            <v>2004</v>
          </cell>
          <cell r="J2012">
            <v>166.02</v>
          </cell>
          <cell r="K2012">
            <v>-133.16</v>
          </cell>
          <cell r="L2012">
            <v>214613.00000000003</v>
          </cell>
          <cell r="M2012">
            <v>420.01</v>
          </cell>
          <cell r="N2012">
            <v>26.302679918953825</v>
          </cell>
          <cell r="Q2012">
            <v>14</v>
          </cell>
        </row>
        <row r="2013">
          <cell r="D2013" t="str">
            <v>75-46-7</v>
          </cell>
          <cell r="E2013">
            <v>75467</v>
          </cell>
          <cell r="F2013">
            <v>3674</v>
          </cell>
          <cell r="G2013" t="str">
            <v>Reach_146</v>
          </cell>
          <cell r="H2013">
            <v>2005</v>
          </cell>
          <cell r="J2013">
            <v>70.013000000000005</v>
          </cell>
          <cell r="K2013">
            <v>-171.21</v>
          </cell>
          <cell r="L2013">
            <v>2252770</v>
          </cell>
          <cell r="M2013">
            <v>2108.8000000000002</v>
          </cell>
          <cell r="N2013">
            <v>3.8018939632056119</v>
          </cell>
          <cell r="Q2013">
            <v>14</v>
          </cell>
        </row>
        <row r="2014">
          <cell r="D2014" t="str">
            <v>19147-16-1</v>
          </cell>
          <cell r="E2014">
            <v>19147161</v>
          </cell>
          <cell r="F2014">
            <v>5754</v>
          </cell>
          <cell r="G2014" t="str">
            <v>Reach_2474</v>
          </cell>
          <cell r="H2014">
            <v>2006</v>
          </cell>
          <cell r="J2014">
            <v>222.33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Q2014">
            <v>14</v>
          </cell>
        </row>
        <row r="2015">
          <cell r="D2015" t="str">
            <v>534-03-2</v>
          </cell>
          <cell r="E2015">
            <v>534032</v>
          </cell>
          <cell r="F2015">
            <v>3100</v>
          </cell>
          <cell r="G2015" t="str">
            <v>Reach_1331</v>
          </cell>
          <cell r="H2015">
            <v>2007</v>
          </cell>
          <cell r="J2015">
            <v>91.111000000000004</v>
          </cell>
          <cell r="K2015">
            <v>26.43</v>
          </cell>
          <cell r="L2015">
            <v>2.17279</v>
          </cell>
          <cell r="M2015">
            <v>563000</v>
          </cell>
          <cell r="N2015">
            <v>2.8183829312644532E-2</v>
          </cell>
          <cell r="O2015">
            <v>14.41</v>
          </cell>
          <cell r="P2015">
            <v>5.2</v>
          </cell>
          <cell r="Q2015">
            <v>8.8000000000000007</v>
          </cell>
        </row>
        <row r="2016">
          <cell r="D2016" t="str">
            <v>21829-52-7</v>
          </cell>
          <cell r="E2016">
            <v>21829527</v>
          </cell>
          <cell r="F2016">
            <v>5775</v>
          </cell>
          <cell r="G2016" t="str">
            <v>Reach_2510</v>
          </cell>
          <cell r="H2016">
            <v>2008</v>
          </cell>
          <cell r="J2016">
            <v>184.19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Q2016">
            <v>14</v>
          </cell>
        </row>
        <row r="2017">
          <cell r="D2017" t="str">
            <v>4292-10-8</v>
          </cell>
          <cell r="E2017">
            <v>4292108</v>
          </cell>
          <cell r="F2017">
            <v>1267</v>
          </cell>
          <cell r="G2017" t="str">
            <v>Reach_2026</v>
          </cell>
          <cell r="H2017">
            <v>2009</v>
          </cell>
          <cell r="J2017">
            <v>342.53</v>
          </cell>
          <cell r="K2017">
            <v>282.95999999999998</v>
          </cell>
          <cell r="L2017">
            <v>6.41173E-13</v>
          </cell>
          <cell r="M2017">
            <v>1.6799999999999999E-2</v>
          </cell>
          <cell r="N2017">
            <v>489.77881936844625</v>
          </cell>
          <cell r="O2017">
            <v>1.87</v>
          </cell>
          <cell r="P2017">
            <v>15.48</v>
          </cell>
          <cell r="Q2017">
            <v>-1.4800000000000004</v>
          </cell>
        </row>
        <row r="2018">
          <cell r="D2018" t="str">
            <v>6915-15-7</v>
          </cell>
          <cell r="E2018">
            <v>6915157</v>
          </cell>
          <cell r="F2018">
            <v>3533</v>
          </cell>
          <cell r="G2018" t="str">
            <v>Reach_2210</v>
          </cell>
          <cell r="H2018">
            <v>2010</v>
          </cell>
          <cell r="J2018">
            <v>134.09</v>
          </cell>
          <cell r="K2018">
            <v>112.71</v>
          </cell>
          <cell r="L2018">
            <v>3.9056900000000001E-4</v>
          </cell>
          <cell r="M2018">
            <v>344000</v>
          </cell>
          <cell r="N2018">
            <v>2.0892961308540386E-2</v>
          </cell>
          <cell r="O2018">
            <v>3.63</v>
          </cell>
          <cell r="Q2018">
            <v>3.63</v>
          </cell>
        </row>
        <row r="2019">
          <cell r="D2019" t="str">
            <v>76-03-9</v>
          </cell>
          <cell r="E2019">
            <v>76039</v>
          </cell>
          <cell r="F2019">
            <v>90</v>
          </cell>
          <cell r="G2019" t="str">
            <v>Reach_170</v>
          </cell>
          <cell r="H2019">
            <v>2011</v>
          </cell>
          <cell r="J2019">
            <v>163.38999999999999</v>
          </cell>
          <cell r="K2019">
            <v>26.7</v>
          </cell>
          <cell r="L2019">
            <v>26.126800000000003</v>
          </cell>
          <cell r="M2019">
            <v>158000</v>
          </cell>
          <cell r="N2019">
            <v>27.542287033381665</v>
          </cell>
          <cell r="O2019">
            <v>0.6</v>
          </cell>
          <cell r="Q2019">
            <v>0.6</v>
          </cell>
        </row>
        <row r="2020">
          <cell r="D2020" t="str">
            <v>24544-04-5</v>
          </cell>
          <cell r="E2020">
            <v>24544045</v>
          </cell>
          <cell r="F2020">
            <v>560</v>
          </cell>
          <cell r="G2020" t="str">
            <v>Reach_2548</v>
          </cell>
          <cell r="H2020">
            <v>2012</v>
          </cell>
          <cell r="J2020">
            <v>177.29</v>
          </cell>
          <cell r="K2020">
            <v>51</v>
          </cell>
          <cell r="L2020">
            <v>2.4927100000000002</v>
          </cell>
          <cell r="M2020">
            <v>13.407999999999999</v>
          </cell>
          <cell r="N2020">
            <v>9772.3722095581161</v>
          </cell>
          <cell r="P2020">
            <v>10</v>
          </cell>
          <cell r="Q2020">
            <v>4</v>
          </cell>
        </row>
        <row r="2021">
          <cell r="D2021" t="str">
            <v>29091-09-6</v>
          </cell>
          <cell r="E2021">
            <v>29091096</v>
          </cell>
          <cell r="F2021">
            <v>2557</v>
          </cell>
          <cell r="G2021" t="str">
            <v>Reach_2627</v>
          </cell>
          <cell r="H2021">
            <v>2013</v>
          </cell>
          <cell r="J2021">
            <v>305</v>
          </cell>
          <cell r="K2021">
            <v>121.52</v>
          </cell>
          <cell r="L2021">
            <v>3.6257600000000004E-3</v>
          </cell>
          <cell r="M2021">
            <v>10.175000000000001</v>
          </cell>
          <cell r="N2021">
            <v>7585.7757502918394</v>
          </cell>
          <cell r="Q2021">
            <v>14</v>
          </cell>
        </row>
        <row r="2022">
          <cell r="D2022" t="str">
            <v>3159-62-4</v>
          </cell>
          <cell r="E2022">
            <v>3159624</v>
          </cell>
          <cell r="F2022">
            <v>5839</v>
          </cell>
          <cell r="G2022" t="str">
            <v>Reach_1922</v>
          </cell>
          <cell r="H2022">
            <v>2014</v>
          </cell>
          <cell r="J2022">
            <v>639.03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Q2022">
            <v>14</v>
          </cell>
        </row>
        <row r="2023">
          <cell r="D2023" t="str">
            <v>542-28-9</v>
          </cell>
          <cell r="E2023">
            <v>542289</v>
          </cell>
          <cell r="F2023">
            <v>3136</v>
          </cell>
          <cell r="G2023" t="str">
            <v>Reach_1347</v>
          </cell>
          <cell r="H2023">
            <v>2015</v>
          </cell>
          <cell r="J2023">
            <v>100.12</v>
          </cell>
          <cell r="K2023">
            <v>-31.69</v>
          </cell>
          <cell r="L2023">
            <v>18.395400000000002</v>
          </cell>
          <cell r="M2023">
            <v>33844</v>
          </cell>
          <cell r="N2023">
            <v>1.5488166189124815</v>
          </cell>
          <cell r="Q2023">
            <v>14</v>
          </cell>
        </row>
        <row r="2024">
          <cell r="D2024" t="str">
            <v>3699-54-5</v>
          </cell>
          <cell r="E2024">
            <v>3699545</v>
          </cell>
          <cell r="F2024">
            <v>2788</v>
          </cell>
          <cell r="G2024" t="str">
            <v>Reach_1984</v>
          </cell>
          <cell r="H2024">
            <v>2016</v>
          </cell>
          <cell r="J2024">
            <v>130.15</v>
          </cell>
          <cell r="K2024">
            <v>93.44</v>
          </cell>
          <cell r="L2024">
            <v>2.0661500000000001E-3</v>
          </cell>
          <cell r="M2024">
            <v>541000</v>
          </cell>
          <cell r="N2024">
            <v>3.1622776601683784E-2</v>
          </cell>
          <cell r="Q2024">
            <v>14</v>
          </cell>
        </row>
        <row r="2025">
          <cell r="D2025" t="str">
            <v>5332-73-0</v>
          </cell>
          <cell r="E2025">
            <v>5332730</v>
          </cell>
          <cell r="F2025">
            <v>3095</v>
          </cell>
          <cell r="G2025" t="str">
            <v>Reach_2097</v>
          </cell>
          <cell r="H2025">
            <v>2017</v>
          </cell>
          <cell r="J2025">
            <v>89.138999999999996</v>
          </cell>
          <cell r="K2025">
            <v>-40.36</v>
          </cell>
          <cell r="L2025">
            <v>2332.75</v>
          </cell>
          <cell r="M2025">
            <v>323000</v>
          </cell>
          <cell r="N2025">
            <v>0.38018939632056115</v>
          </cell>
          <cell r="P2025">
            <v>4.0999999999999996</v>
          </cell>
          <cell r="Q2025">
            <v>9.9</v>
          </cell>
        </row>
        <row r="2026">
          <cell r="D2026" t="str">
            <v>32588-76-4</v>
          </cell>
          <cell r="E2026">
            <v>32588764</v>
          </cell>
          <cell r="F2026">
            <v>2656</v>
          </cell>
          <cell r="G2026" t="str">
            <v>Reach_2663</v>
          </cell>
          <cell r="H2026">
            <v>2018</v>
          </cell>
          <cell r="J2026">
            <v>951.52</v>
          </cell>
          <cell r="K2026">
            <v>349.84</v>
          </cell>
          <cell r="L2026">
            <v>1.8262100000000002E-21</v>
          </cell>
          <cell r="M2026">
            <v>1.48E-8</v>
          </cell>
          <cell r="N2026">
            <v>6309573444.8019466</v>
          </cell>
          <cell r="Q2026">
            <v>14</v>
          </cell>
        </row>
        <row r="2027">
          <cell r="D2027" t="str">
            <v>85959-68-8</v>
          </cell>
          <cell r="E2027">
            <v>85959688</v>
          </cell>
          <cell r="F2027">
            <v>6062</v>
          </cell>
          <cell r="G2027" t="str">
            <v>Reach_2988</v>
          </cell>
          <cell r="H2027">
            <v>2019</v>
          </cell>
          <cell r="J2027">
            <v>480.24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Q2027">
            <v>14</v>
          </cell>
        </row>
        <row r="2028">
          <cell r="D2028" t="str">
            <v>505-52-2</v>
          </cell>
          <cell r="E2028">
            <v>505522</v>
          </cell>
          <cell r="F2028">
            <v>3008</v>
          </cell>
          <cell r="G2028" t="str">
            <v>Reach_1308</v>
          </cell>
          <cell r="H2028">
            <v>2020</v>
          </cell>
          <cell r="J2028">
            <v>244.33</v>
          </cell>
          <cell r="K2028">
            <v>150.38</v>
          </cell>
          <cell r="L2028">
            <v>2.10614E-4</v>
          </cell>
          <cell r="M2028">
            <v>133.66999999999999</v>
          </cell>
          <cell r="N2028">
            <v>4677.3514128719844</v>
          </cell>
          <cell r="O2028">
            <v>4.5999999999999996</v>
          </cell>
          <cell r="Q2028">
            <v>4.5999999999999996</v>
          </cell>
        </row>
        <row r="2029">
          <cell r="D2029" t="str">
            <v>41200-97-9</v>
          </cell>
          <cell r="E2029">
            <v>41200979</v>
          </cell>
          <cell r="F2029">
            <v>2872</v>
          </cell>
          <cell r="G2029" t="str">
            <v>Reach_2740</v>
          </cell>
          <cell r="H2029">
            <v>2021</v>
          </cell>
          <cell r="J2029">
            <v>250.08</v>
          </cell>
          <cell r="K2029">
            <v>101.84</v>
          </cell>
          <cell r="L2029">
            <v>1.8528699999999999E-2</v>
          </cell>
          <cell r="M2029">
            <v>8.3630999999999993</v>
          </cell>
          <cell r="N2029">
            <v>12302.687708123816</v>
          </cell>
          <cell r="Q2029">
            <v>14</v>
          </cell>
        </row>
        <row r="2030">
          <cell r="D2030" t="str">
            <v>25134-21-8</v>
          </cell>
          <cell r="E2030">
            <v>25134218</v>
          </cell>
          <cell r="F2030">
            <v>2417</v>
          </cell>
          <cell r="G2030" t="str">
            <v>Reach_2559</v>
          </cell>
          <cell r="H2030">
            <v>2022</v>
          </cell>
          <cell r="J2030">
            <v>178.19</v>
          </cell>
          <cell r="K2030">
            <v>38.89</v>
          </cell>
          <cell r="L2030">
            <v>1.8928600000000002</v>
          </cell>
          <cell r="M2030">
            <v>4246.3</v>
          </cell>
          <cell r="N2030">
            <v>199.52623149688802</v>
          </cell>
          <cell r="Q2030">
            <v>14</v>
          </cell>
        </row>
        <row r="2031">
          <cell r="D2031" t="str">
            <v>110-59-8</v>
          </cell>
          <cell r="E2031">
            <v>110598</v>
          </cell>
          <cell r="F2031">
            <v>1523</v>
          </cell>
          <cell r="G2031" t="str">
            <v>Reach_818</v>
          </cell>
          <cell r="H2031">
            <v>2023</v>
          </cell>
          <cell r="J2031">
            <v>83.135000000000005</v>
          </cell>
          <cell r="K2031">
            <v>-46.12</v>
          </cell>
          <cell r="L2031">
            <v>798.4670000000001</v>
          </cell>
          <cell r="M2031">
            <v>15128</v>
          </cell>
          <cell r="N2031">
            <v>21.379620895022335</v>
          </cell>
          <cell r="Q2031">
            <v>14</v>
          </cell>
        </row>
        <row r="2032">
          <cell r="D2032" t="str">
            <v>565-62-8</v>
          </cell>
          <cell r="E2032">
            <v>565628</v>
          </cell>
          <cell r="F2032">
            <v>3204</v>
          </cell>
          <cell r="G2032" t="str">
            <v>Reach_1377</v>
          </cell>
          <cell r="H2032">
            <v>2024</v>
          </cell>
          <cell r="J2032">
            <v>98.144999999999996</v>
          </cell>
          <cell r="K2032">
            <v>-64.36</v>
          </cell>
          <cell r="L2032">
            <v>2546.0300000000002</v>
          </cell>
          <cell r="M2032">
            <v>12569</v>
          </cell>
          <cell r="N2032">
            <v>23.442288153199236</v>
          </cell>
          <cell r="Q2032">
            <v>14</v>
          </cell>
        </row>
        <row r="2033">
          <cell r="D2033" t="str">
            <v>51263-08-2</v>
          </cell>
          <cell r="E2033">
            <v>51263082</v>
          </cell>
          <cell r="F2033">
            <v>5904</v>
          </cell>
          <cell r="G2033" t="str">
            <v>Reach_2771</v>
          </cell>
          <cell r="H2033">
            <v>2025</v>
          </cell>
          <cell r="J2033">
            <v>220.75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Q2033">
            <v>0</v>
          </cell>
        </row>
        <row r="2034">
          <cell r="D2034" t="str">
            <v>89-79-2</v>
          </cell>
          <cell r="E2034">
            <v>89792</v>
          </cell>
          <cell r="F2034">
            <v>995</v>
          </cell>
          <cell r="G2034" t="str">
            <v>Reach_352</v>
          </cell>
          <cell r="H2034">
            <v>2026</v>
          </cell>
          <cell r="J2034">
            <v>154.25</v>
          </cell>
          <cell r="K2034">
            <v>-4.8499999999999996</v>
          </cell>
          <cell r="L2034">
            <v>0.66116800000000009</v>
          </cell>
          <cell r="M2034">
            <v>1425.9</v>
          </cell>
          <cell r="N2034">
            <v>2344.2288153199238</v>
          </cell>
          <cell r="Q2034">
            <v>14</v>
          </cell>
        </row>
        <row r="2035">
          <cell r="D2035" t="str">
            <v>26496-99-1</v>
          </cell>
          <cell r="E2035">
            <v>26496991</v>
          </cell>
          <cell r="F2035">
            <v>2471</v>
          </cell>
          <cell r="G2035" t="str">
            <v>Reach_2584</v>
          </cell>
          <cell r="H2035">
            <v>2027</v>
          </cell>
          <cell r="J2035">
            <v>352</v>
          </cell>
          <cell r="K2035">
            <v>137</v>
          </cell>
          <cell r="L2035">
            <v>6.5183700000000011E-5</v>
          </cell>
          <cell r="M2035">
            <v>6.6519999999999996E-2</v>
          </cell>
          <cell r="N2035">
            <v>602559.58607435878</v>
          </cell>
          <cell r="Q2035">
            <v>14</v>
          </cell>
        </row>
        <row r="2036">
          <cell r="D2036" t="str">
            <v>1117-86-8</v>
          </cell>
          <cell r="E2036">
            <v>1117868</v>
          </cell>
          <cell r="F2036">
            <v>1557</v>
          </cell>
          <cell r="G2036" t="str">
            <v>Reach_1651</v>
          </cell>
          <cell r="H2036">
            <v>2028</v>
          </cell>
          <cell r="J2036">
            <v>146.22999999999999</v>
          </cell>
          <cell r="K2036">
            <v>23.77</v>
          </cell>
          <cell r="L2036">
            <v>0.217279</v>
          </cell>
          <cell r="M2036">
            <v>3962.3</v>
          </cell>
          <cell r="N2036">
            <v>46.773514128719818</v>
          </cell>
          <cell r="O2036">
            <v>14.86</v>
          </cell>
          <cell r="Q2036">
            <v>14</v>
          </cell>
        </row>
        <row r="2037">
          <cell r="D2037" t="str">
            <v>75-85-4</v>
          </cell>
          <cell r="E2037">
            <v>75854</v>
          </cell>
          <cell r="F2037">
            <v>865</v>
          </cell>
          <cell r="G2037" t="str">
            <v>Reach_164</v>
          </cell>
          <cell r="H2037">
            <v>2029</v>
          </cell>
          <cell r="J2037">
            <v>88.15</v>
          </cell>
          <cell r="K2037">
            <v>-60.98</v>
          </cell>
          <cell r="L2037">
            <v>2359.4100000000003</v>
          </cell>
          <cell r="M2037">
            <v>108000</v>
          </cell>
          <cell r="N2037">
            <v>16.595869074375614</v>
          </cell>
          <cell r="Q2037">
            <v>14</v>
          </cell>
        </row>
        <row r="2038">
          <cell r="D2038" t="str">
            <v>652-67-5</v>
          </cell>
          <cell r="E2038">
            <v>652675</v>
          </cell>
          <cell r="F2038">
            <v>3449</v>
          </cell>
          <cell r="G2038" t="str">
            <v>Reach_1488</v>
          </cell>
          <cell r="H2038">
            <v>2030</v>
          </cell>
          <cell r="J2038">
            <v>146.13999999999999</v>
          </cell>
          <cell r="K2038">
            <v>60.53</v>
          </cell>
          <cell r="L2038">
            <v>4.0923100000000004E-2</v>
          </cell>
          <cell r="M2038">
            <v>49033</v>
          </cell>
          <cell r="N2038">
            <v>0.12302687708123815</v>
          </cell>
          <cell r="O2038">
            <v>13.67</v>
          </cell>
          <cell r="Q2038">
            <v>13.67</v>
          </cell>
        </row>
        <row r="2039">
          <cell r="D2039" t="str">
            <v>6574-99-8</v>
          </cell>
          <cell r="E2039">
            <v>6574998</v>
          </cell>
          <cell r="F2039">
            <v>3456</v>
          </cell>
          <cell r="G2039" t="str">
            <v>Reach_2194</v>
          </cell>
          <cell r="H2039">
            <v>2031</v>
          </cell>
          <cell r="J2039">
            <v>172.01</v>
          </cell>
          <cell r="K2039">
            <v>52.67</v>
          </cell>
          <cell r="L2039">
            <v>1.7728900000000001</v>
          </cell>
          <cell r="M2039">
            <v>62.543999999999997</v>
          </cell>
          <cell r="N2039">
            <v>676.08297539198213</v>
          </cell>
          <cell r="Q2039">
            <v>14</v>
          </cell>
        </row>
        <row r="2040">
          <cell r="D2040" t="str">
            <v>140-93-2</v>
          </cell>
          <cell r="E2040">
            <v>140932</v>
          </cell>
          <cell r="F2040">
            <v>1197</v>
          </cell>
          <cell r="G2040" t="str">
            <v>Reach_1154</v>
          </cell>
          <cell r="H2040">
            <v>2032</v>
          </cell>
          <cell r="J2040">
            <v>158.22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  <cell r="Q2040">
            <v>14</v>
          </cell>
        </row>
        <row r="2041">
          <cell r="D2041" t="str">
            <v>2280-49-1</v>
          </cell>
          <cell r="E2041">
            <v>2280491</v>
          </cell>
          <cell r="F2041">
            <v>2338</v>
          </cell>
          <cell r="G2041" t="str">
            <v>Reach_1781</v>
          </cell>
          <cell r="H2041">
            <v>2033</v>
          </cell>
          <cell r="J2041">
            <v>382.72</v>
          </cell>
          <cell r="K2041">
            <v>185.53</v>
          </cell>
          <cell r="L2041">
            <v>1.181038E-6</v>
          </cell>
          <cell r="M2041">
            <v>0.16819999999999999</v>
          </cell>
          <cell r="N2041">
            <v>33113.11214825909</v>
          </cell>
          <cell r="Q2041">
            <v>14</v>
          </cell>
        </row>
        <row r="2042">
          <cell r="D2042" t="str">
            <v>624-03-3</v>
          </cell>
          <cell r="E2042">
            <v>624033</v>
          </cell>
          <cell r="F2042">
            <v>3368</v>
          </cell>
          <cell r="G2042" t="str">
            <v>Reach_1451</v>
          </cell>
          <cell r="H2042">
            <v>2034</v>
          </cell>
          <cell r="J2042">
            <v>538.9</v>
          </cell>
          <cell r="K2042">
            <v>165.14</v>
          </cell>
          <cell r="L2042">
            <v>1.9728400000000003E-7</v>
          </cell>
          <cell r="M2042">
            <v>1.18E-8</v>
          </cell>
          <cell r="N2042">
            <v>144543977074593.75</v>
          </cell>
          <cell r="Q2042">
            <v>14</v>
          </cell>
        </row>
        <row r="2043">
          <cell r="D2043" t="str">
            <v>4559-86-8</v>
          </cell>
          <cell r="E2043">
            <v>4559868</v>
          </cell>
          <cell r="F2043">
            <v>2943</v>
          </cell>
          <cell r="G2043" t="str">
            <v>Reach_2048</v>
          </cell>
          <cell r="H2043">
            <v>2035</v>
          </cell>
          <cell r="J2043">
            <v>284.49</v>
          </cell>
          <cell r="K2043">
            <v>99.68</v>
          </cell>
          <cell r="L2043">
            <v>2.61268E-3</v>
          </cell>
          <cell r="M2043">
            <v>1.5972</v>
          </cell>
          <cell r="N2043">
            <v>489778.81936844741</v>
          </cell>
          <cell r="P2043">
            <v>13.9</v>
          </cell>
          <cell r="Q2043">
            <v>9.9999999999999645E-2</v>
          </cell>
        </row>
        <row r="2044">
          <cell r="D2044" t="str">
            <v>6712-98-7</v>
          </cell>
          <cell r="E2044">
            <v>6712987</v>
          </cell>
          <cell r="F2044">
            <v>3486</v>
          </cell>
          <cell r="G2044" t="str">
            <v>Reach_2204</v>
          </cell>
          <cell r="H2044">
            <v>2036</v>
          </cell>
          <cell r="J2044">
            <v>163.22</v>
          </cell>
          <cell r="K2044">
            <v>81.760000000000005</v>
          </cell>
          <cell r="L2044">
            <v>7.0115800000000001E-4</v>
          </cell>
          <cell r="M2044">
            <v>808000</v>
          </cell>
          <cell r="N2044">
            <v>8.7096358995608011E-3</v>
          </cell>
          <cell r="O2044">
            <v>14.45</v>
          </cell>
          <cell r="P2044">
            <v>6.2</v>
          </cell>
          <cell r="Q2044">
            <v>7.8</v>
          </cell>
        </row>
        <row r="2045">
          <cell r="D2045" t="str">
            <v>6610-29-3</v>
          </cell>
          <cell r="E2045">
            <v>6610293</v>
          </cell>
          <cell r="F2045">
            <v>3462</v>
          </cell>
          <cell r="G2045" t="str">
            <v>Reach_2197</v>
          </cell>
          <cell r="H2045">
            <v>2037</v>
          </cell>
          <cell r="J2045">
            <v>105.17</v>
          </cell>
          <cell r="K2045">
            <v>29.51</v>
          </cell>
          <cell r="L2045">
            <v>37.7239</v>
          </cell>
          <cell r="M2045">
            <v>1000000</v>
          </cell>
          <cell r="N2045">
            <v>6.1659500186148221E-2</v>
          </cell>
          <cell r="O2045">
            <v>11.9</v>
          </cell>
          <cell r="P2045">
            <v>12.23</v>
          </cell>
          <cell r="Q2045">
            <v>1.7699999999999996</v>
          </cell>
        </row>
        <row r="2046">
          <cell r="D2046" t="str">
            <v>105-53-3</v>
          </cell>
          <cell r="E2046">
            <v>105533</v>
          </cell>
          <cell r="F2046">
            <v>177</v>
          </cell>
          <cell r="G2046" t="str">
            <v>Reach_641</v>
          </cell>
          <cell r="H2046">
            <v>2038</v>
          </cell>
          <cell r="J2046">
            <v>160.16999999999999</v>
          </cell>
          <cell r="K2046">
            <v>-83.29</v>
          </cell>
          <cell r="L2046">
            <v>48.121300000000005</v>
          </cell>
          <cell r="M2046">
            <v>40796</v>
          </cell>
          <cell r="N2046">
            <v>7.9432823472428176</v>
          </cell>
          <cell r="O2046">
            <v>13</v>
          </cell>
          <cell r="Q2046">
            <v>13</v>
          </cell>
        </row>
        <row r="2047">
          <cell r="D2047" t="str">
            <v>56677-60-2</v>
          </cell>
          <cell r="E2047">
            <v>56677602</v>
          </cell>
          <cell r="F2047">
            <v>3208</v>
          </cell>
          <cell r="G2047" t="str">
            <v>Reach_2818</v>
          </cell>
          <cell r="H2047">
            <v>2039</v>
          </cell>
          <cell r="J2047">
            <v>276.85000000000002</v>
          </cell>
          <cell r="K2047">
            <v>64.91</v>
          </cell>
          <cell r="L2047">
            <v>4.2522700000000004E-2</v>
          </cell>
          <cell r="M2047">
            <v>1.4383E-2</v>
          </cell>
          <cell r="N2047">
            <v>3311311.2148259105</v>
          </cell>
          <cell r="Q2047">
            <v>14</v>
          </cell>
        </row>
        <row r="2048">
          <cell r="D2048" t="str">
            <v>135-57-9</v>
          </cell>
          <cell r="E2048">
            <v>135579</v>
          </cell>
          <cell r="F2048">
            <v>1891</v>
          </cell>
          <cell r="G2048" t="str">
            <v>Reach_1131</v>
          </cell>
          <cell r="H2048">
            <v>2040</v>
          </cell>
          <cell r="J2048">
            <v>456.59</v>
          </cell>
          <cell r="K2048">
            <v>315.89999999999998</v>
          </cell>
          <cell r="L2048">
            <v>3.2258600000000003E-15</v>
          </cell>
          <cell r="M2048">
            <v>1.3403E-2</v>
          </cell>
          <cell r="N2048">
            <v>38904.514499428085</v>
          </cell>
          <cell r="O2048">
            <v>14.35</v>
          </cell>
          <cell r="P2048">
            <v>12.88</v>
          </cell>
          <cell r="Q2048">
            <v>1.1199999999999992</v>
          </cell>
        </row>
        <row r="2049">
          <cell r="D2049" t="str">
            <v>76-22-2</v>
          </cell>
          <cell r="E2049">
            <v>76222</v>
          </cell>
          <cell r="F2049">
            <v>872</v>
          </cell>
          <cell r="G2049" t="str">
            <v>Reach_175</v>
          </cell>
          <cell r="H2049">
            <v>2041</v>
          </cell>
          <cell r="J2049">
            <v>152.24</v>
          </cell>
          <cell r="K2049">
            <v>28.07</v>
          </cell>
          <cell r="L2049">
            <v>1.42631</v>
          </cell>
          <cell r="M2049">
            <v>1025.5999999999999</v>
          </cell>
          <cell r="N2049">
            <v>1096.4781961431863</v>
          </cell>
          <cell r="Q2049">
            <v>14</v>
          </cell>
        </row>
        <row r="2050">
          <cell r="D2050" t="str">
            <v>28281-49-4</v>
          </cell>
          <cell r="E2050">
            <v>28281494</v>
          </cell>
          <cell r="F2050">
            <v>2526</v>
          </cell>
          <cell r="G2050" t="str">
            <v>Reach_2616</v>
          </cell>
          <cell r="H2050">
            <v>2042</v>
          </cell>
          <cell r="J2050">
            <v>178.19</v>
          </cell>
          <cell r="K2050">
            <v>68.69</v>
          </cell>
          <cell r="L2050">
            <v>0.28526200000000002</v>
          </cell>
          <cell r="M2050">
            <v>1880.2</v>
          </cell>
          <cell r="N2050">
            <v>169.82436524617444</v>
          </cell>
          <cell r="Q2050">
            <v>14</v>
          </cell>
        </row>
        <row r="2051">
          <cell r="D2051" t="str">
            <v>123-04-6</v>
          </cell>
          <cell r="E2051">
            <v>123046</v>
          </cell>
          <cell r="F2051">
            <v>1760</v>
          </cell>
          <cell r="G2051" t="str">
            <v>Reach_1037</v>
          </cell>
          <cell r="H2051">
            <v>2043</v>
          </cell>
          <cell r="J2051">
            <v>148.68</v>
          </cell>
          <cell r="K2051">
            <v>-47.46</v>
          </cell>
          <cell r="L2051">
            <v>189.286</v>
          </cell>
          <cell r="M2051">
            <v>1.3823000000000001</v>
          </cell>
          <cell r="N2051">
            <v>28183.829312644593</v>
          </cell>
          <cell r="P2051">
            <v>0</v>
          </cell>
          <cell r="Q2051">
            <v>14</v>
          </cell>
        </row>
        <row r="2052">
          <cell r="D2052" t="str">
            <v>27213-90-7</v>
          </cell>
          <cell r="E2052">
            <v>27213907</v>
          </cell>
          <cell r="F2052">
            <v>5808</v>
          </cell>
          <cell r="G2052" t="str">
            <v>Reach_2598</v>
          </cell>
          <cell r="H2052">
            <v>2044</v>
          </cell>
          <cell r="J2052">
            <v>342.43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Q2052">
            <v>14</v>
          </cell>
        </row>
        <row r="2053">
          <cell r="D2053" t="str">
            <v>55566-30-8</v>
          </cell>
          <cell r="E2053">
            <v>55566308</v>
          </cell>
          <cell r="F2053">
            <v>1221</v>
          </cell>
          <cell r="G2053" t="str">
            <v>Reach_2809</v>
          </cell>
          <cell r="H2053">
            <v>2045</v>
          </cell>
          <cell r="J2053">
            <v>406.28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Q2053">
            <v>14</v>
          </cell>
        </row>
        <row r="2054">
          <cell r="D2054" t="str">
            <v>41198-08-7</v>
          </cell>
          <cell r="E2054">
            <v>41198087</v>
          </cell>
          <cell r="F2054">
            <v>631</v>
          </cell>
          <cell r="G2054" t="str">
            <v>Reach_2738</v>
          </cell>
          <cell r="H2054">
            <v>2046</v>
          </cell>
          <cell r="J2054">
            <v>373.64</v>
          </cell>
          <cell r="K2054">
            <v>86.45</v>
          </cell>
          <cell r="L2054">
            <v>1.014413E-3</v>
          </cell>
          <cell r="M2054">
            <v>0.40758</v>
          </cell>
          <cell r="N2054">
            <v>66069.344800759733</v>
          </cell>
          <cell r="Q2054">
            <v>14</v>
          </cell>
        </row>
        <row r="2055">
          <cell r="D2055" t="str">
            <v>100-40-3</v>
          </cell>
          <cell r="E2055">
            <v>100403</v>
          </cell>
          <cell r="F2055">
            <v>1305</v>
          </cell>
          <cell r="G2055" t="str">
            <v>Reach_555</v>
          </cell>
          <cell r="H2055">
            <v>2047</v>
          </cell>
          <cell r="J2055">
            <v>108.18</v>
          </cell>
          <cell r="K2055">
            <v>-61.89</v>
          </cell>
          <cell r="L2055">
            <v>1786.2200000000003</v>
          </cell>
          <cell r="M2055">
            <v>58.53</v>
          </cell>
          <cell r="N2055">
            <v>5370.3179637025269</v>
          </cell>
          <cell r="Q2055">
            <v>14</v>
          </cell>
        </row>
        <row r="2056">
          <cell r="D2056" t="str">
            <v>52334-81-3</v>
          </cell>
          <cell r="E2056">
            <v>52334813</v>
          </cell>
          <cell r="F2056">
            <v>3058</v>
          </cell>
          <cell r="G2056" t="str">
            <v>Reach_2781</v>
          </cell>
          <cell r="H2056">
            <v>2048</v>
          </cell>
          <cell r="J2056">
            <v>181.54</v>
          </cell>
          <cell r="K2056">
            <v>3.27</v>
          </cell>
          <cell r="L2056">
            <v>359.91000000000008</v>
          </cell>
          <cell r="M2056">
            <v>537.94000000000005</v>
          </cell>
          <cell r="N2056">
            <v>257.03957827688663</v>
          </cell>
          <cell r="P2056">
            <v>15.71</v>
          </cell>
          <cell r="Q2056">
            <v>-1.7100000000000009</v>
          </cell>
        </row>
        <row r="2057">
          <cell r="D2057" t="str">
            <v>2162-74-5</v>
          </cell>
          <cell r="E2057">
            <v>2162745</v>
          </cell>
          <cell r="F2057">
            <v>2300</v>
          </cell>
          <cell r="G2057" t="str">
            <v>Reach_1767</v>
          </cell>
          <cell r="H2057">
            <v>2049</v>
          </cell>
          <cell r="J2057">
            <v>362.56</v>
          </cell>
          <cell r="K2057">
            <v>140.97</v>
          </cell>
          <cell r="L2057">
            <v>1.89286E-5</v>
          </cell>
          <cell r="M2057">
            <v>5.7810000000000001E-4</v>
          </cell>
          <cell r="N2057">
            <v>524807460.24977362</v>
          </cell>
          <cell r="Q2057">
            <v>14</v>
          </cell>
        </row>
        <row r="2058">
          <cell r="D2058" t="str">
            <v>112-44-7</v>
          </cell>
          <cell r="E2058">
            <v>112447</v>
          </cell>
          <cell r="F2058">
            <v>1589</v>
          </cell>
          <cell r="G2058" t="str">
            <v>Reach_907</v>
          </cell>
          <cell r="H2058">
            <v>2050</v>
          </cell>
          <cell r="J2058">
            <v>170.3</v>
          </cell>
          <cell r="K2058">
            <v>3.01</v>
          </cell>
          <cell r="L2058">
            <v>8.1046399999999998</v>
          </cell>
          <cell r="M2058">
            <v>13.385</v>
          </cell>
          <cell r="N2058">
            <v>17782.794100389234</v>
          </cell>
          <cell r="Q2058">
            <v>14</v>
          </cell>
        </row>
        <row r="2059">
          <cell r="D2059" t="str">
            <v>780-69-8</v>
          </cell>
          <cell r="E2059">
            <v>780698</v>
          </cell>
          <cell r="F2059">
            <v>891</v>
          </cell>
          <cell r="G2059" t="str">
            <v>Reach_1546</v>
          </cell>
          <cell r="H2059">
            <v>2051</v>
          </cell>
          <cell r="J2059">
            <v>240.38</v>
          </cell>
          <cell r="K2059">
            <v>52.07</v>
          </cell>
          <cell r="L2059">
            <v>0.36790800000000001</v>
          </cell>
          <cell r="M2059">
            <v>63.973999999999997</v>
          </cell>
          <cell r="N2059">
            <v>104.71285480508998</v>
          </cell>
          <cell r="Q2059">
            <v>14</v>
          </cell>
        </row>
        <row r="2060">
          <cell r="D2060" t="str">
            <v>102-81-8</v>
          </cell>
          <cell r="E2060">
            <v>102818</v>
          </cell>
          <cell r="F2060">
            <v>1354</v>
          </cell>
          <cell r="G2060" t="str">
            <v>Reach_599</v>
          </cell>
          <cell r="H2060">
            <v>2052</v>
          </cell>
          <cell r="J2060">
            <v>173.3</v>
          </cell>
          <cell r="K2060">
            <v>29.13</v>
          </cell>
          <cell r="L2060">
            <v>1.6529200000000002</v>
          </cell>
          <cell r="M2060">
            <v>2444.8000000000002</v>
          </cell>
          <cell r="N2060">
            <v>102.32929922807544</v>
          </cell>
          <cell r="O2060">
            <v>15.03</v>
          </cell>
          <cell r="P2060">
            <v>4.0999999999999996</v>
          </cell>
          <cell r="Q2060">
            <v>9.9</v>
          </cell>
        </row>
        <row r="2061">
          <cell r="D2061" t="str">
            <v>29911-27-1</v>
          </cell>
          <cell r="E2061">
            <v>29911271</v>
          </cell>
          <cell r="F2061">
            <v>2577</v>
          </cell>
          <cell r="G2061" t="str">
            <v>Reach_2636</v>
          </cell>
          <cell r="H2061">
            <v>2053</v>
          </cell>
          <cell r="J2061">
            <v>176.26</v>
          </cell>
          <cell r="K2061">
            <v>7.08</v>
          </cell>
          <cell r="L2061">
            <v>4.7454800000000006</v>
          </cell>
          <cell r="M2061">
            <v>4765.6000000000004</v>
          </cell>
          <cell r="N2061">
            <v>4.3651583224016601</v>
          </cell>
          <cell r="O2061">
            <v>14.99</v>
          </cell>
          <cell r="Q2061">
            <v>14</v>
          </cell>
        </row>
        <row r="2062">
          <cell r="D2062" t="str">
            <v>120570-77-6</v>
          </cell>
          <cell r="E2062">
            <v>120570776</v>
          </cell>
          <cell r="F2062">
            <v>1716</v>
          </cell>
          <cell r="G2062" t="str">
            <v>Reach_4102</v>
          </cell>
          <cell r="H2062">
            <v>2054</v>
          </cell>
          <cell r="J2062">
            <v>162.13999999999999</v>
          </cell>
          <cell r="K2062">
            <v>-60.05</v>
          </cell>
          <cell r="L2062">
            <v>201.28300000000002</v>
          </cell>
          <cell r="M2062">
            <v>1200000</v>
          </cell>
          <cell r="N2062">
            <v>0.10964781961431849</v>
          </cell>
          <cell r="Q2062">
            <v>14</v>
          </cell>
        </row>
        <row r="2063">
          <cell r="D2063" t="str">
            <v>144-83-2</v>
          </cell>
          <cell r="E2063">
            <v>144832</v>
          </cell>
          <cell r="F2063">
            <v>29</v>
          </cell>
          <cell r="G2063" t="str">
            <v>Reach_1196</v>
          </cell>
          <cell r="H2063">
            <v>2055</v>
          </cell>
          <cell r="J2063">
            <v>249.29</v>
          </cell>
          <cell r="K2063">
            <v>176.42</v>
          </cell>
          <cell r="L2063">
            <v>5.5186200000000005E-6</v>
          </cell>
          <cell r="M2063">
            <v>2520</v>
          </cell>
          <cell r="N2063">
            <v>3.3884415613920265</v>
          </cell>
          <cell r="O2063">
            <v>8.7799999999999994</v>
          </cell>
          <cell r="P2063">
            <v>10.95</v>
          </cell>
          <cell r="Q2063">
            <v>3.0500000000000007</v>
          </cell>
        </row>
        <row r="2064">
          <cell r="D2064" t="str">
            <v>1809-19-4</v>
          </cell>
          <cell r="E2064">
            <v>1809194</v>
          </cell>
          <cell r="F2064">
            <v>2164</v>
          </cell>
          <cell r="G2064" t="str">
            <v>Reach_1722</v>
          </cell>
          <cell r="H2064">
            <v>2056</v>
          </cell>
          <cell r="J2064">
            <v>194.21</v>
          </cell>
          <cell r="K2064">
            <v>17.38</v>
          </cell>
          <cell r="L2064">
            <v>3.2391900000000002</v>
          </cell>
          <cell r="M2064">
            <v>67623</v>
          </cell>
          <cell r="N2064">
            <v>64.565422903465588</v>
          </cell>
          <cell r="Q2064">
            <v>14</v>
          </cell>
        </row>
        <row r="2065">
          <cell r="D2065" t="str">
            <v>1704-62-7</v>
          </cell>
          <cell r="E2065">
            <v>1704627</v>
          </cell>
          <cell r="F2065">
            <v>2119</v>
          </cell>
          <cell r="G2065" t="str">
            <v>Reach_1710</v>
          </cell>
          <cell r="H2065">
            <v>2057</v>
          </cell>
          <cell r="J2065">
            <v>133.19</v>
          </cell>
          <cell r="K2065">
            <v>1.69</v>
          </cell>
          <cell r="L2065">
            <v>9.3176700000000015</v>
          </cell>
          <cell r="M2065">
            <v>1000000</v>
          </cell>
          <cell r="N2065">
            <v>6.1659500186148221E-2</v>
          </cell>
          <cell r="O2065">
            <v>14.86</v>
          </cell>
          <cell r="P2065">
            <v>5.26</v>
          </cell>
          <cell r="Q2065">
            <v>8.74</v>
          </cell>
        </row>
        <row r="2066">
          <cell r="D2066" t="str">
            <v>2385-77-5</v>
          </cell>
          <cell r="E2066">
            <v>2385775</v>
          </cell>
          <cell r="F2066">
            <v>2361</v>
          </cell>
          <cell r="G2066" t="str">
            <v>Reach_1791</v>
          </cell>
          <cell r="H2066">
            <v>2058</v>
          </cell>
          <cell r="J2066">
            <v>154.25</v>
          </cell>
          <cell r="K2066">
            <v>-28.33</v>
          </cell>
          <cell r="L2066">
            <v>33.858200000000004</v>
          </cell>
          <cell r="M2066">
            <v>292.87</v>
          </cell>
          <cell r="N2066">
            <v>3388.4415613920255</v>
          </cell>
          <cell r="Q2066">
            <v>14</v>
          </cell>
        </row>
        <row r="2067">
          <cell r="D2067" t="str">
            <v>3457-61-2</v>
          </cell>
          <cell r="E2067">
            <v>3457612</v>
          </cell>
          <cell r="F2067">
            <v>2709</v>
          </cell>
          <cell r="G2067" t="str">
            <v>Reach_1965</v>
          </cell>
          <cell r="H2067">
            <v>2059</v>
          </cell>
          <cell r="J2067">
            <v>208.3</v>
          </cell>
          <cell r="K2067">
            <v>35.299999999999997</v>
          </cell>
          <cell r="L2067">
            <v>3.0125800000000003</v>
          </cell>
          <cell r="M2067">
            <v>56.451999999999998</v>
          </cell>
          <cell r="N2067">
            <v>45708.818961487581</v>
          </cell>
          <cell r="Q2067">
            <v>14</v>
          </cell>
        </row>
        <row r="2068">
          <cell r="D2068" t="str">
            <v>70516-41-5</v>
          </cell>
          <cell r="E2068">
            <v>70516415</v>
          </cell>
          <cell r="F2068">
            <v>3563</v>
          </cell>
          <cell r="G2068" t="str">
            <v>Reach_2918</v>
          </cell>
          <cell r="H2068">
            <v>2060</v>
          </cell>
          <cell r="J2068">
            <v>518.66</v>
          </cell>
          <cell r="K2068">
            <v>289.04000000000002</v>
          </cell>
          <cell r="L2068">
            <v>2.4260600000000003E-13</v>
          </cell>
          <cell r="M2068">
            <v>4.6299999999999997E-6</v>
          </cell>
          <cell r="N2068">
            <v>524807460.24977362</v>
          </cell>
          <cell r="P2068">
            <v>10.23</v>
          </cell>
          <cell r="Q2068">
            <v>3.7699999999999996</v>
          </cell>
        </row>
        <row r="2069">
          <cell r="D2069" t="str">
            <v>1643-19-2</v>
          </cell>
          <cell r="E2069">
            <v>1643192</v>
          </cell>
          <cell r="F2069">
            <v>1201</v>
          </cell>
          <cell r="G2069" t="str">
            <v>Reach_1703</v>
          </cell>
          <cell r="H2069">
            <v>2061</v>
          </cell>
          <cell r="J2069">
            <v>322.38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Q2069">
            <v>14</v>
          </cell>
        </row>
        <row r="2070">
          <cell r="D2070" t="str">
            <v>118-75-2</v>
          </cell>
          <cell r="E2070">
            <v>118752</v>
          </cell>
          <cell r="F2070">
            <v>1677</v>
          </cell>
          <cell r="G2070" t="str">
            <v>Reach_969</v>
          </cell>
          <cell r="H2070">
            <v>2062</v>
          </cell>
          <cell r="J2070">
            <v>245.88</v>
          </cell>
          <cell r="K2070">
            <v>102.05</v>
          </cell>
          <cell r="L2070">
            <v>3.0392400000000007E-4</v>
          </cell>
          <cell r="M2070">
            <v>626.99</v>
          </cell>
          <cell r="N2070">
            <v>165.95869074375622</v>
          </cell>
          <cell r="Q2070">
            <v>14</v>
          </cell>
        </row>
        <row r="2071">
          <cell r="D2071" t="str">
            <v>150-84-5</v>
          </cell>
          <cell r="E2071">
            <v>150845</v>
          </cell>
          <cell r="F2071">
            <v>2012</v>
          </cell>
          <cell r="G2071" t="str">
            <v>Reach_1206</v>
          </cell>
          <cell r="H2071">
            <v>2063</v>
          </cell>
          <cell r="J2071">
            <v>198.31</v>
          </cell>
          <cell r="K2071">
            <v>-7.4</v>
          </cell>
          <cell r="L2071">
            <v>7.0115800000000004</v>
          </cell>
          <cell r="M2071">
            <v>52.46</v>
          </cell>
          <cell r="N2071">
            <v>36307.805477010166</v>
          </cell>
          <cell r="Q2071">
            <v>14</v>
          </cell>
        </row>
        <row r="2072">
          <cell r="D2072" t="str">
            <v>3006-86-8</v>
          </cell>
          <cell r="E2072">
            <v>3006868</v>
          </cell>
          <cell r="F2072">
            <v>2584</v>
          </cell>
          <cell r="G2072" t="str">
            <v>Reach_1896</v>
          </cell>
          <cell r="H2072">
            <v>2064</v>
          </cell>
          <cell r="J2072">
            <v>260.37</v>
          </cell>
          <cell r="K2072">
            <v>65.69</v>
          </cell>
          <cell r="L2072">
            <v>0.59185200000000004</v>
          </cell>
          <cell r="M2072">
            <v>21.056999999999999</v>
          </cell>
          <cell r="N2072">
            <v>1905460.7179632513</v>
          </cell>
          <cell r="Q2072">
            <v>14</v>
          </cell>
        </row>
        <row r="2073">
          <cell r="D2073" t="str">
            <v>26159-31-9</v>
          </cell>
          <cell r="E2073">
            <v>26159319</v>
          </cell>
          <cell r="F2073">
            <v>572</v>
          </cell>
          <cell r="G2073" t="str">
            <v>Reach_2575</v>
          </cell>
          <cell r="H2073">
            <v>2065</v>
          </cell>
          <cell r="J2073">
            <v>230.26</v>
          </cell>
          <cell r="K2073">
            <v>137.63</v>
          </cell>
          <cell r="L2073">
            <v>1.6929099999999999E-4</v>
          </cell>
          <cell r="M2073">
            <v>277.35000000000002</v>
          </cell>
          <cell r="N2073">
            <v>1258.925411794168</v>
          </cell>
          <cell r="O2073">
            <v>4.3600000000000003</v>
          </cell>
          <cell r="Q2073">
            <v>4.3600000000000003</v>
          </cell>
        </row>
        <row r="2074">
          <cell r="D2074" t="str">
            <v>6711-48-4</v>
          </cell>
          <cell r="E2074">
            <v>6711484</v>
          </cell>
          <cell r="F2074">
            <v>3485</v>
          </cell>
          <cell r="G2074" t="str">
            <v>Reach_2203</v>
          </cell>
          <cell r="H2074">
            <v>2066</v>
          </cell>
          <cell r="J2074">
            <v>187.33</v>
          </cell>
          <cell r="K2074">
            <v>36.64</v>
          </cell>
          <cell r="L2074">
            <v>4.6788300000000005</v>
          </cell>
          <cell r="M2074">
            <v>155000</v>
          </cell>
          <cell r="N2074">
            <v>1.5848931924611136</v>
          </cell>
          <cell r="P2074">
            <v>2.2999999999999998</v>
          </cell>
          <cell r="Q2074">
            <v>11.7</v>
          </cell>
        </row>
        <row r="2075">
          <cell r="D2075" t="str">
            <v>2786-76-7</v>
          </cell>
          <cell r="E2075">
            <v>2786767</v>
          </cell>
          <cell r="F2075">
            <v>2520</v>
          </cell>
          <cell r="G2075" t="str">
            <v>Reach_1868</v>
          </cell>
          <cell r="H2075">
            <v>2067</v>
          </cell>
          <cell r="J2075">
            <v>454.49</v>
          </cell>
          <cell r="K2075">
            <v>327.08</v>
          </cell>
          <cell r="L2075">
            <v>1.93285E-17</v>
          </cell>
          <cell r="M2075">
            <v>0.15426000000000001</v>
          </cell>
          <cell r="N2075">
            <v>1096478.196143186</v>
          </cell>
          <cell r="O2075">
            <v>9.4600000000000009</v>
          </cell>
          <cell r="P2075">
            <v>14.9</v>
          </cell>
          <cell r="Q2075">
            <v>-0.90000000000000036</v>
          </cell>
        </row>
        <row r="2076">
          <cell r="D2076" t="str">
            <v>4724-48-5</v>
          </cell>
          <cell r="E2076">
            <v>4724485</v>
          </cell>
          <cell r="F2076">
            <v>2964</v>
          </cell>
          <cell r="G2076" t="str">
            <v>Reach_2060</v>
          </cell>
          <cell r="H2076">
            <v>2068</v>
          </cell>
          <cell r="J2076">
            <v>194.21</v>
          </cell>
          <cell r="K2076">
            <v>76.209999999999994</v>
          </cell>
          <cell r="L2076">
            <v>1.1330500000000001E-4</v>
          </cell>
          <cell r="M2076">
            <v>1597.1</v>
          </cell>
          <cell r="N2076">
            <v>275.42287033381683</v>
          </cell>
          <cell r="O2076">
            <v>2.6</v>
          </cell>
          <cell r="Q2076">
            <v>2.6</v>
          </cell>
        </row>
        <row r="2077">
          <cell r="D2077" t="str">
            <v>3547-33-9</v>
          </cell>
          <cell r="E2077">
            <v>3547339</v>
          </cell>
          <cell r="F2077">
            <v>613</v>
          </cell>
          <cell r="G2077" t="str">
            <v>Reach_1970</v>
          </cell>
          <cell r="H2077">
            <v>2069</v>
          </cell>
          <cell r="J2077">
            <v>190.35</v>
          </cell>
          <cell r="K2077">
            <v>39.130000000000003</v>
          </cell>
          <cell r="L2077">
            <v>4.1989500000000006E-2</v>
          </cell>
          <cell r="M2077">
            <v>26.082999999999998</v>
          </cell>
          <cell r="N2077">
            <v>2398.8329190194918</v>
          </cell>
          <cell r="O2077">
            <v>15</v>
          </cell>
          <cell r="Q2077">
            <v>14</v>
          </cell>
        </row>
        <row r="2078">
          <cell r="D2078" t="str">
            <v>68855-18-5</v>
          </cell>
          <cell r="E2078">
            <v>68855185</v>
          </cell>
          <cell r="F2078">
            <v>3527</v>
          </cell>
          <cell r="G2078" t="str">
            <v>Reach_2910</v>
          </cell>
          <cell r="H2078">
            <v>2070</v>
          </cell>
          <cell r="J2078">
            <v>216.32</v>
          </cell>
          <cell r="K2078">
            <v>57.32</v>
          </cell>
          <cell r="L2078">
            <v>1.43964E-2</v>
          </cell>
          <cell r="M2078">
            <v>225.3</v>
          </cell>
          <cell r="N2078">
            <v>1659.5869074375626</v>
          </cell>
          <cell r="O2078">
            <v>15.25</v>
          </cell>
          <cell r="Q2078">
            <v>14</v>
          </cell>
        </row>
        <row r="2079">
          <cell r="D2079" t="str">
            <v>78605-96-6</v>
          </cell>
          <cell r="E2079">
            <v>78605966</v>
          </cell>
          <cell r="F2079">
            <v>3752</v>
          </cell>
          <cell r="G2079" t="str">
            <v>Reach_5047</v>
          </cell>
          <cell r="H2079">
            <v>2071</v>
          </cell>
          <cell r="J2079">
            <v>202.3</v>
          </cell>
          <cell r="K2079">
            <v>33.9</v>
          </cell>
          <cell r="L2079">
            <v>6.0251600000000002E-2</v>
          </cell>
          <cell r="M2079">
            <v>8.6219999999999999</v>
          </cell>
          <cell r="N2079">
            <v>21379.620895022348</v>
          </cell>
          <cell r="Q2079">
            <v>14</v>
          </cell>
        </row>
        <row r="2080">
          <cell r="D2080" t="str">
            <v>1843-03-4</v>
          </cell>
          <cell r="E2080">
            <v>1843034</v>
          </cell>
          <cell r="F2080">
            <v>2190</v>
          </cell>
          <cell r="G2080" t="str">
            <v>Reach_1724</v>
          </cell>
          <cell r="H2080">
            <v>2072</v>
          </cell>
          <cell r="J2080">
            <v>544.82000000000005</v>
          </cell>
          <cell r="K2080">
            <v>273.77999999999997</v>
          </cell>
          <cell r="L2080">
            <v>2.06615E-13</v>
          </cell>
          <cell r="M2080">
            <v>1.8199999999999999E-7</v>
          </cell>
          <cell r="N2080">
            <v>5011872336272.7197</v>
          </cell>
          <cell r="O2080">
            <v>10.32</v>
          </cell>
          <cell r="Q2080">
            <v>10.32</v>
          </cell>
        </row>
        <row r="2081">
          <cell r="D2081" t="str">
            <v>4404-43-7</v>
          </cell>
          <cell r="E2081">
            <v>4404437</v>
          </cell>
          <cell r="F2081">
            <v>641</v>
          </cell>
          <cell r="G2081" t="str">
            <v>Reach_2033</v>
          </cell>
          <cell r="H2081">
            <v>2073</v>
          </cell>
          <cell r="J2081">
            <v>917.01</v>
          </cell>
          <cell r="K2081">
            <v>349.84</v>
          </cell>
          <cell r="L2081">
            <v>2.6126800000000001E-42</v>
          </cell>
          <cell r="M2081">
            <v>7.0800000000000004E-9</v>
          </cell>
          <cell r="N2081">
            <v>1698.2436524617447</v>
          </cell>
          <cell r="O2081">
            <v>-0.52</v>
          </cell>
          <cell r="P2081">
            <v>10</v>
          </cell>
          <cell r="Q2081">
            <v>-0.52</v>
          </cell>
        </row>
        <row r="2082">
          <cell r="D2082" t="str">
            <v>79-36-7</v>
          </cell>
          <cell r="E2082">
            <v>79367</v>
          </cell>
          <cell r="F2082">
            <v>3772</v>
          </cell>
          <cell r="G2082" t="str">
            <v>Reach_241</v>
          </cell>
          <cell r="H2082">
            <v>2074</v>
          </cell>
          <cell r="J2082">
            <v>147.38999999999999</v>
          </cell>
          <cell r="K2082">
            <v>-32.51</v>
          </cell>
          <cell r="L2082">
            <v>3532.4500000000003</v>
          </cell>
          <cell r="M2082">
            <v>1233</v>
          </cell>
          <cell r="N2082">
            <v>0.91201083935590965</v>
          </cell>
          <cell r="Q2082">
            <v>14</v>
          </cell>
        </row>
        <row r="2083">
          <cell r="D2083" t="str">
            <v>58-08-2</v>
          </cell>
          <cell r="E2083">
            <v>58082</v>
          </cell>
          <cell r="F2083">
            <v>66</v>
          </cell>
          <cell r="G2083" t="str">
            <v>Reach_45</v>
          </cell>
          <cell r="H2083">
            <v>2075</v>
          </cell>
          <cell r="J2083">
            <v>194.2</v>
          </cell>
          <cell r="K2083">
            <v>180.3</v>
          </cell>
          <cell r="L2083">
            <v>9.7708900000000005E-7</v>
          </cell>
          <cell r="M2083">
            <v>323000</v>
          </cell>
          <cell r="N2083">
            <v>1.4454397707459274</v>
          </cell>
          <cell r="P2083">
            <v>0</v>
          </cell>
          <cell r="Q2083">
            <v>14</v>
          </cell>
        </row>
        <row r="2084">
          <cell r="D2084" t="str">
            <v>626-67-5</v>
          </cell>
          <cell r="E2084">
            <v>626675</v>
          </cell>
          <cell r="F2084">
            <v>769</v>
          </cell>
          <cell r="G2084" t="str">
            <v>Reach_1458</v>
          </cell>
          <cell r="H2084">
            <v>2076</v>
          </cell>
          <cell r="J2084">
            <v>99.177999999999997</v>
          </cell>
          <cell r="K2084">
            <v>-38.49</v>
          </cell>
          <cell r="L2084">
            <v>3692.4100000000003</v>
          </cell>
          <cell r="M2084">
            <v>45016</v>
          </cell>
          <cell r="N2084">
            <v>25.118864315095799</v>
          </cell>
          <cell r="Q2084">
            <v>14</v>
          </cell>
        </row>
        <row r="2085">
          <cell r="D2085" t="str">
            <v>50-98-6</v>
          </cell>
          <cell r="E2085">
            <v>50986</v>
          </cell>
          <cell r="F2085">
            <v>5902</v>
          </cell>
          <cell r="G2085" t="str">
            <v>Reach_11</v>
          </cell>
          <cell r="H2085">
            <v>2077</v>
          </cell>
          <cell r="J2085">
            <v>201.7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  <cell r="Q2085">
            <v>0</v>
          </cell>
        </row>
        <row r="2086">
          <cell r="D2086" t="str">
            <v>28874-51-3</v>
          </cell>
          <cell r="E2086">
            <v>28874513</v>
          </cell>
          <cell r="F2086">
            <v>5820</v>
          </cell>
          <cell r="G2086" t="str">
            <v>Reach_2625</v>
          </cell>
          <cell r="H2086">
            <v>2078</v>
          </cell>
          <cell r="J2086">
            <v>151.1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Q2086">
            <v>0</v>
          </cell>
        </row>
        <row r="2087">
          <cell r="D2087" t="str">
            <v>34730-59-1</v>
          </cell>
          <cell r="E2087">
            <v>34730591</v>
          </cell>
          <cell r="F2087">
            <v>5853</v>
          </cell>
          <cell r="G2087" t="str">
            <v>Reach_2682</v>
          </cell>
          <cell r="H2087">
            <v>2079</v>
          </cell>
          <cell r="J2087">
            <v>190.2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Q2087">
            <v>0</v>
          </cell>
        </row>
        <row r="2088">
          <cell r="D2088" t="str">
            <v>1860-26-0</v>
          </cell>
          <cell r="E2088">
            <v>1860260</v>
          </cell>
          <cell r="F2088">
            <v>2200</v>
          </cell>
          <cell r="G2088" t="str">
            <v>Reach_1728</v>
          </cell>
          <cell r="H2088">
            <v>2080</v>
          </cell>
          <cell r="J2088">
            <v>353.68</v>
          </cell>
          <cell r="K2088">
            <v>88.79</v>
          </cell>
          <cell r="L2088">
            <v>1.3463300000000002E-3</v>
          </cell>
          <cell r="M2088">
            <v>4.9599999999999999E-5</v>
          </cell>
          <cell r="N2088">
            <v>13489628825.916573</v>
          </cell>
          <cell r="Q2088">
            <v>14</v>
          </cell>
        </row>
        <row r="2089">
          <cell r="D2089" t="str">
            <v>5698-98-6</v>
          </cell>
          <cell r="E2089">
            <v>5698986</v>
          </cell>
          <cell r="F2089">
            <v>5937</v>
          </cell>
          <cell r="G2089" t="str">
            <v>Reach_2132</v>
          </cell>
          <cell r="H2089">
            <v>2081</v>
          </cell>
          <cell r="J2089">
            <v>166.43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Q2089">
            <v>14</v>
          </cell>
        </row>
        <row r="2090">
          <cell r="D2090" t="str">
            <v>141-27-5</v>
          </cell>
          <cell r="E2090">
            <v>141275</v>
          </cell>
          <cell r="F2090">
            <v>1935</v>
          </cell>
          <cell r="G2090" t="str">
            <v>Reach_1160</v>
          </cell>
          <cell r="H2090">
            <v>2082</v>
          </cell>
          <cell r="J2090">
            <v>152.24</v>
          </cell>
          <cell r="K2090">
            <v>-26.74</v>
          </cell>
          <cell r="L2090">
            <v>12.170290000000001</v>
          </cell>
          <cell r="M2090">
            <v>862.3</v>
          </cell>
          <cell r="N2090">
            <v>2818.3829312644561</v>
          </cell>
          <cell r="Q2090">
            <v>14</v>
          </cell>
        </row>
        <row r="2091">
          <cell r="D2091" t="str">
            <v>106-26-3</v>
          </cell>
          <cell r="E2091">
            <v>106263</v>
          </cell>
          <cell r="F2091">
            <v>1433</v>
          </cell>
          <cell r="G2091" t="str">
            <v>Reach_663</v>
          </cell>
          <cell r="H2091">
            <v>2083</v>
          </cell>
          <cell r="J2091">
            <v>152.24</v>
          </cell>
          <cell r="K2091">
            <v>-26.74</v>
          </cell>
          <cell r="L2091">
            <v>12.170290000000001</v>
          </cell>
          <cell r="M2091">
            <v>862.3</v>
          </cell>
          <cell r="N2091">
            <v>2818.3829312644561</v>
          </cell>
          <cell r="Q2091">
            <v>14</v>
          </cell>
        </row>
        <row r="2092">
          <cell r="D2092" t="str">
            <v>98-44-2</v>
          </cell>
          <cell r="E2092">
            <v>98442</v>
          </cell>
          <cell r="F2092">
            <v>4185</v>
          </cell>
          <cell r="G2092" t="str">
            <v>Reach_507</v>
          </cell>
          <cell r="H2092">
            <v>2084</v>
          </cell>
          <cell r="J2092">
            <v>253.25</v>
          </cell>
          <cell r="K2092">
            <v>211.41</v>
          </cell>
          <cell r="L2092">
            <v>1.0090810000000001E-10</v>
          </cell>
          <cell r="M2092">
            <v>24577</v>
          </cell>
          <cell r="N2092">
            <v>9.3325430079699062E-4</v>
          </cell>
          <cell r="O2092">
            <v>-1.89</v>
          </cell>
          <cell r="P2092">
            <v>11.96</v>
          </cell>
          <cell r="Q2092">
            <v>-1.89</v>
          </cell>
        </row>
        <row r="2093">
          <cell r="D2093" t="str">
            <v>14666-78-5</v>
          </cell>
          <cell r="E2093">
            <v>14666785</v>
          </cell>
          <cell r="F2093">
            <v>1992</v>
          </cell>
          <cell r="G2093" t="str">
            <v>Reach_2367</v>
          </cell>
          <cell r="H2093">
            <v>2085</v>
          </cell>
          <cell r="J2093">
            <v>178.14</v>
          </cell>
          <cell r="K2093">
            <v>-4.9000000000000004</v>
          </cell>
          <cell r="L2093">
            <v>1.2156960000000001</v>
          </cell>
          <cell r="M2093">
            <v>5253</v>
          </cell>
          <cell r="N2093">
            <v>16.982436524617448</v>
          </cell>
          <cell r="Q2093">
            <v>14</v>
          </cell>
        </row>
        <row r="2094">
          <cell r="D2094" t="str">
            <v>621-29-4</v>
          </cell>
          <cell r="E2094">
            <v>621294</v>
          </cell>
          <cell r="F2094">
            <v>3362</v>
          </cell>
          <cell r="G2094" t="str">
            <v>Reach_1442</v>
          </cell>
          <cell r="H2094">
            <v>2086</v>
          </cell>
          <cell r="J2094">
            <v>133.15</v>
          </cell>
          <cell r="K2094">
            <v>-19.23</v>
          </cell>
          <cell r="L2094">
            <v>134.63300000000001</v>
          </cell>
          <cell r="M2094">
            <v>2299</v>
          </cell>
          <cell r="N2094">
            <v>1380.3842646028863</v>
          </cell>
          <cell r="O2094">
            <v>0</v>
          </cell>
          <cell r="Q2094">
            <v>0</v>
          </cell>
        </row>
        <row r="2095">
          <cell r="D2095" t="str">
            <v>79-38-9</v>
          </cell>
          <cell r="E2095">
            <v>79389</v>
          </cell>
          <cell r="F2095">
            <v>3774</v>
          </cell>
          <cell r="G2095" t="str">
            <v>Reach_243</v>
          </cell>
          <cell r="H2095">
            <v>2087</v>
          </cell>
          <cell r="J2095">
            <v>116.47</v>
          </cell>
          <cell r="K2095">
            <v>-135.72</v>
          </cell>
          <cell r="L2095">
            <v>558527</v>
          </cell>
          <cell r="M2095">
            <v>68.260000000000005</v>
          </cell>
          <cell r="N2095">
            <v>44.668359215096324</v>
          </cell>
          <cell r="Q2095">
            <v>14</v>
          </cell>
        </row>
        <row r="2096">
          <cell r="D2096" t="str">
            <v>123-41-1</v>
          </cell>
          <cell r="E2096">
            <v>123411</v>
          </cell>
          <cell r="F2096">
            <v>5634</v>
          </cell>
          <cell r="G2096" t="str">
            <v>Reach_1049</v>
          </cell>
          <cell r="H2096">
            <v>2088</v>
          </cell>
          <cell r="J2096">
            <v>121.18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Q2096">
            <v>14</v>
          </cell>
        </row>
        <row r="2097">
          <cell r="D2097" t="str">
            <v>367-51-1</v>
          </cell>
          <cell r="E2097">
            <v>367511</v>
          </cell>
          <cell r="F2097">
            <v>5861</v>
          </cell>
          <cell r="G2097" t="str">
            <v>Reach_1254</v>
          </cell>
          <cell r="H2097">
            <v>2089</v>
          </cell>
          <cell r="J2097">
            <v>114.1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Q2097">
            <v>14</v>
          </cell>
        </row>
        <row r="2098">
          <cell r="D2098" t="str">
            <v>971-15-3</v>
          </cell>
          <cell r="E2098">
            <v>971153</v>
          </cell>
          <cell r="F2098">
            <v>4161</v>
          </cell>
          <cell r="G2098" t="str">
            <v>Reach_1621</v>
          </cell>
          <cell r="H2098">
            <v>2090</v>
          </cell>
          <cell r="J2098">
            <v>448.82</v>
          </cell>
          <cell r="K2098">
            <v>242.44</v>
          </cell>
          <cell r="L2098">
            <v>3.7723900000000002E-10</v>
          </cell>
          <cell r="M2098">
            <v>8.9234999999999991E-3</v>
          </cell>
          <cell r="N2098">
            <v>26915.348039269167</v>
          </cell>
          <cell r="P2098">
            <v>15.21</v>
          </cell>
          <cell r="Q2098">
            <v>-1.2100000000000009</v>
          </cell>
        </row>
        <row r="2099">
          <cell r="D2099" t="str">
            <v>4443-26-9</v>
          </cell>
          <cell r="E2099">
            <v>4443269</v>
          </cell>
          <cell r="F2099">
            <v>2925</v>
          </cell>
          <cell r="G2099" t="str">
            <v>Reach_2037</v>
          </cell>
          <cell r="H2099">
            <v>2091</v>
          </cell>
          <cell r="J2099">
            <v>261.27999999999997</v>
          </cell>
          <cell r="K2099">
            <v>212.93</v>
          </cell>
          <cell r="L2099">
            <v>3.5191200000000005E-8</v>
          </cell>
          <cell r="M2099">
            <v>2532.5</v>
          </cell>
          <cell r="N2099">
            <v>537.03179637025301</v>
          </cell>
          <cell r="O2099">
            <v>4.8600000000000003</v>
          </cell>
          <cell r="P2099">
            <v>14.45</v>
          </cell>
          <cell r="Q2099">
            <v>-0.44999999999999929</v>
          </cell>
        </row>
        <row r="2100">
          <cell r="D2100" t="str">
            <v>1879-09-0</v>
          </cell>
          <cell r="E2100">
            <v>1879090</v>
          </cell>
          <cell r="F2100">
            <v>2209</v>
          </cell>
          <cell r="G2100" t="str">
            <v>Reach_1730</v>
          </cell>
          <cell r="H2100">
            <v>2092</v>
          </cell>
          <cell r="J2100">
            <v>178.28</v>
          </cell>
          <cell r="K2100">
            <v>66.48</v>
          </cell>
          <cell r="L2100">
            <v>1.6129300000000002</v>
          </cell>
          <cell r="M2100">
            <v>245.48</v>
          </cell>
          <cell r="N2100">
            <v>33113.11214825909</v>
          </cell>
          <cell r="O2100">
            <v>12.1</v>
          </cell>
          <cell r="Q2100">
            <v>12.1</v>
          </cell>
        </row>
        <row r="2101">
          <cell r="D2101" t="str">
            <v>91-57-6</v>
          </cell>
          <cell r="E2101">
            <v>91576</v>
          </cell>
          <cell r="F2101">
            <v>1007</v>
          </cell>
          <cell r="G2101" t="str">
            <v>Reach_376</v>
          </cell>
          <cell r="H2101">
            <v>2093</v>
          </cell>
          <cell r="J2101">
            <v>142.19999999999999</v>
          </cell>
          <cell r="K2101">
            <v>22.15</v>
          </cell>
          <cell r="L2101">
            <v>4.5988500000000005</v>
          </cell>
          <cell r="M2101">
            <v>10.478999999999999</v>
          </cell>
          <cell r="N2101">
            <v>5248.0746024977352</v>
          </cell>
          <cell r="Q2101">
            <v>14</v>
          </cell>
        </row>
        <row r="2102">
          <cell r="D2102" t="str">
            <v>118-45-6</v>
          </cell>
          <cell r="E2102">
            <v>118456</v>
          </cell>
          <cell r="F2102">
            <v>1670</v>
          </cell>
          <cell r="G2102" t="str">
            <v>Reach_963</v>
          </cell>
          <cell r="H2102">
            <v>2094</v>
          </cell>
          <cell r="J2102">
            <v>182.56</v>
          </cell>
          <cell r="K2102">
            <v>50.82</v>
          </cell>
          <cell r="L2102">
            <v>0.437224</v>
          </cell>
          <cell r="M2102">
            <v>85.168999999999997</v>
          </cell>
          <cell r="N2102">
            <v>512.86138399136519</v>
          </cell>
          <cell r="O2102">
            <v>0</v>
          </cell>
          <cell r="P2102">
            <v>0</v>
          </cell>
          <cell r="Q2102">
            <v>0</v>
          </cell>
        </row>
        <row r="2103">
          <cell r="D2103" t="str">
            <v>147-85-3</v>
          </cell>
          <cell r="E2103">
            <v>147853</v>
          </cell>
          <cell r="F2103">
            <v>1999</v>
          </cell>
          <cell r="G2103" t="str">
            <v>Reach_1197</v>
          </cell>
          <cell r="H2103">
            <v>2095</v>
          </cell>
          <cell r="J2103">
            <v>115.13</v>
          </cell>
          <cell r="K2103">
            <v>294.42</v>
          </cell>
          <cell r="L2103">
            <v>6.2384400000000005E-6</v>
          </cell>
          <cell r="M2103">
            <v>284000</v>
          </cell>
          <cell r="N2103">
            <v>7.0794578438413795E-3</v>
          </cell>
          <cell r="O2103">
            <v>1.9</v>
          </cell>
          <cell r="P2103">
            <v>3.4</v>
          </cell>
          <cell r="Q2103">
            <v>1.9</v>
          </cell>
        </row>
        <row r="2104">
          <cell r="D2104" t="str">
            <v>106-02-5</v>
          </cell>
          <cell r="E2104">
            <v>106025</v>
          </cell>
          <cell r="F2104">
            <v>1425</v>
          </cell>
          <cell r="G2104" t="str">
            <v>Reach_654</v>
          </cell>
          <cell r="H2104">
            <v>2096</v>
          </cell>
          <cell r="J2104">
            <v>240.39</v>
          </cell>
          <cell r="K2104">
            <v>26.06</v>
          </cell>
          <cell r="L2104">
            <v>6.8916100000000011E-3</v>
          </cell>
          <cell r="M2104">
            <v>0.86556</v>
          </cell>
          <cell r="N2104">
            <v>1412537.5446227565</v>
          </cell>
          <cell r="Q2104">
            <v>14</v>
          </cell>
        </row>
        <row r="2105">
          <cell r="D2105" t="str">
            <v>41200-96-8</v>
          </cell>
          <cell r="E2105">
            <v>41200968</v>
          </cell>
          <cell r="F2105">
            <v>2871</v>
          </cell>
          <cell r="G2105" t="str">
            <v>Reach_2739</v>
          </cell>
          <cell r="H2105">
            <v>2097</v>
          </cell>
          <cell r="J2105">
            <v>220.1</v>
          </cell>
          <cell r="K2105">
            <v>85.61</v>
          </cell>
          <cell r="L2105">
            <v>6.3717400000000007E-2</v>
          </cell>
          <cell r="M2105">
            <v>46.414999999999999</v>
          </cell>
          <cell r="N2105">
            <v>2238.7211385683418</v>
          </cell>
          <cell r="P2105">
            <v>12.49</v>
          </cell>
          <cell r="Q2105">
            <v>1.5099999999999998</v>
          </cell>
        </row>
        <row r="2106">
          <cell r="D2106" t="str">
            <v>40601-76-1</v>
          </cell>
          <cell r="E2106">
            <v>40601761</v>
          </cell>
          <cell r="F2106">
            <v>2859</v>
          </cell>
          <cell r="G2106" t="str">
            <v>Reach_2731</v>
          </cell>
          <cell r="H2106">
            <v>2098</v>
          </cell>
          <cell r="J2106">
            <v>699.94</v>
          </cell>
          <cell r="K2106">
            <v>349.84</v>
          </cell>
          <cell r="L2106">
            <v>8.5178700000000008E-25</v>
          </cell>
          <cell r="M2106">
            <v>8.2399999999999997E-8</v>
          </cell>
          <cell r="N2106">
            <v>1905460717963253.3</v>
          </cell>
          <cell r="O2106">
            <v>11.49</v>
          </cell>
          <cell r="P2106">
            <v>14.18</v>
          </cell>
          <cell r="Q2106">
            <v>-0.17999999999999972</v>
          </cell>
        </row>
        <row r="2107">
          <cell r="D2107" t="str">
            <v>19186-97-1</v>
          </cell>
          <cell r="E2107">
            <v>19186971</v>
          </cell>
          <cell r="F2107">
            <v>2226</v>
          </cell>
          <cell r="G2107" t="str">
            <v>Reach_4202</v>
          </cell>
          <cell r="H2107">
            <v>2099</v>
          </cell>
          <cell r="J2107">
            <v>1018.5</v>
          </cell>
          <cell r="K2107">
            <v>90.27</v>
          </cell>
          <cell r="L2107">
            <v>2.7459799999999999E-6</v>
          </cell>
          <cell r="M2107">
            <v>4.2200000000000001E-8</v>
          </cell>
          <cell r="N2107">
            <v>112201845.43019688</v>
          </cell>
          <cell r="Q2107">
            <v>14</v>
          </cell>
        </row>
        <row r="2108">
          <cell r="D2108" t="str">
            <v>109-74-0</v>
          </cell>
          <cell r="E2108">
            <v>109740</v>
          </cell>
          <cell r="F2108">
            <v>1507</v>
          </cell>
          <cell r="G2108" t="str">
            <v>Reach_788</v>
          </cell>
          <cell r="H2108">
            <v>2100</v>
          </cell>
          <cell r="J2108">
            <v>69.108000000000004</v>
          </cell>
          <cell r="K2108">
            <v>-58.41</v>
          </cell>
          <cell r="L2108">
            <v>2319.42</v>
          </cell>
          <cell r="M2108">
            <v>44799</v>
          </cell>
          <cell r="N2108">
            <v>6.9183097091893666</v>
          </cell>
          <cell r="Q2108">
            <v>14</v>
          </cell>
        </row>
        <row r="2109">
          <cell r="D2109" t="str">
            <v>693-57-2</v>
          </cell>
          <cell r="E2109">
            <v>693572</v>
          </cell>
          <cell r="F2109">
            <v>3540</v>
          </cell>
          <cell r="G2109" t="str">
            <v>Reach_1508</v>
          </cell>
          <cell r="H2109">
            <v>2101</v>
          </cell>
          <cell r="J2109">
            <v>215.34</v>
          </cell>
          <cell r="K2109">
            <v>305.74</v>
          </cell>
          <cell r="L2109">
            <v>4.2656000000000007E-9</v>
          </cell>
          <cell r="M2109">
            <v>5.7031999999999998</v>
          </cell>
          <cell r="N2109">
            <v>2.1379620895022322</v>
          </cell>
          <cell r="Q2109">
            <v>14</v>
          </cell>
        </row>
        <row r="2110">
          <cell r="D2110" t="str">
            <v>53378-51-1</v>
          </cell>
          <cell r="E2110">
            <v>53378511</v>
          </cell>
          <cell r="F2110">
            <v>5920</v>
          </cell>
          <cell r="G2110" t="str">
            <v>Reach_2792</v>
          </cell>
          <cell r="H2110">
            <v>2102</v>
          </cell>
          <cell r="J2110">
            <v>264.32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Q2110">
            <v>14</v>
          </cell>
        </row>
        <row r="2111">
          <cell r="D2111" t="str">
            <v>4083-64-1</v>
          </cell>
          <cell r="E2111">
            <v>4083641</v>
          </cell>
          <cell r="F2111">
            <v>629</v>
          </cell>
          <cell r="G2111" t="str">
            <v>Reach_2011</v>
          </cell>
          <cell r="H2111">
            <v>2103</v>
          </cell>
          <cell r="J2111">
            <v>197.21</v>
          </cell>
          <cell r="K2111">
            <v>104.04</v>
          </cell>
          <cell r="L2111">
            <v>1.2583520000000001E-2</v>
          </cell>
          <cell r="M2111">
            <v>660.05</v>
          </cell>
          <cell r="N2111">
            <v>218.77616239495524</v>
          </cell>
          <cell r="Q2111">
            <v>14</v>
          </cell>
        </row>
        <row r="2112">
          <cell r="D2112" t="str">
            <v>29820-13-1</v>
          </cell>
          <cell r="E2112">
            <v>29820131</v>
          </cell>
          <cell r="F2112">
            <v>5825</v>
          </cell>
          <cell r="G2112" t="str">
            <v>Reach_2632</v>
          </cell>
          <cell r="H2112">
            <v>2104</v>
          </cell>
          <cell r="J2112">
            <v>130.18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Q2112">
            <v>14</v>
          </cell>
        </row>
        <row r="2113">
          <cell r="D2113" t="str">
            <v>7747-35-5</v>
          </cell>
          <cell r="E2113">
            <v>7747355</v>
          </cell>
          <cell r="F2113">
            <v>880</v>
          </cell>
          <cell r="G2113" t="str">
            <v>Reach_2272</v>
          </cell>
          <cell r="H2113">
            <v>2105</v>
          </cell>
          <cell r="J2113">
            <v>143.19</v>
          </cell>
          <cell r="K2113">
            <v>15.43</v>
          </cell>
          <cell r="L2113">
            <v>98.508700000000005</v>
          </cell>
          <cell r="M2113">
            <v>284000</v>
          </cell>
          <cell r="N2113">
            <v>2.5118864315095806</v>
          </cell>
          <cell r="P2113">
            <v>8</v>
          </cell>
          <cell r="Q2113">
            <v>6</v>
          </cell>
        </row>
        <row r="2114">
          <cell r="D2114" t="str">
            <v>6731-36-8</v>
          </cell>
          <cell r="E2114">
            <v>6731368</v>
          </cell>
          <cell r="F2114">
            <v>3488</v>
          </cell>
          <cell r="G2114" t="str">
            <v>Reach_2205</v>
          </cell>
          <cell r="H2114">
            <v>2106</v>
          </cell>
          <cell r="J2114">
            <v>302.45</v>
          </cell>
          <cell r="K2114">
            <v>86.3</v>
          </cell>
          <cell r="L2114">
            <v>24927.100000000002</v>
          </cell>
          <cell r="M2114">
            <v>0.45751999999999998</v>
          </cell>
          <cell r="N2114">
            <v>36307805.47701022</v>
          </cell>
          <cell r="Q2114">
            <v>14</v>
          </cell>
        </row>
        <row r="2115">
          <cell r="D2115" t="str">
            <v>865-47-4</v>
          </cell>
          <cell r="E2115">
            <v>865474</v>
          </cell>
          <cell r="F2115">
            <v>6065</v>
          </cell>
          <cell r="G2115" t="str">
            <v>Reach_1569</v>
          </cell>
          <cell r="H2115">
            <v>2107</v>
          </cell>
          <cell r="J2115">
            <v>112.22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  <cell r="Q2115">
            <v>14</v>
          </cell>
        </row>
        <row r="2116">
          <cell r="D2116" t="str">
            <v>12236-62-3</v>
          </cell>
          <cell r="E2116">
            <v>12236623</v>
          </cell>
          <cell r="F2116">
            <v>1747</v>
          </cell>
          <cell r="G2116" t="str">
            <v>Reach_2307</v>
          </cell>
          <cell r="H2116">
            <v>2108</v>
          </cell>
          <cell r="J2116">
            <v>416.79</v>
          </cell>
          <cell r="K2116">
            <v>284.26</v>
          </cell>
          <cell r="L2116">
            <v>5.2120300000000006E-13</v>
          </cell>
          <cell r="M2116">
            <v>13.397</v>
          </cell>
          <cell r="N2116">
            <v>1778.2794100389244</v>
          </cell>
          <cell r="O2116">
            <v>8.58</v>
          </cell>
          <cell r="P2116">
            <v>12.08</v>
          </cell>
          <cell r="Q2116">
            <v>1.92</v>
          </cell>
        </row>
        <row r="2117">
          <cell r="D2117" t="str">
            <v>620-67-7</v>
          </cell>
          <cell r="E2117">
            <v>620677</v>
          </cell>
          <cell r="F2117">
            <v>3361</v>
          </cell>
          <cell r="G2117" t="str">
            <v>Reach_1441</v>
          </cell>
          <cell r="H2117">
            <v>2109</v>
          </cell>
          <cell r="J2117">
            <v>428.61</v>
          </cell>
          <cell r="K2117">
            <v>81</v>
          </cell>
          <cell r="L2117">
            <v>4.3589100000000006E-5</v>
          </cell>
          <cell r="M2117">
            <v>2.5746000000000002E-2</v>
          </cell>
          <cell r="N2117">
            <v>53703179.637025505</v>
          </cell>
          <cell r="Q2117">
            <v>14</v>
          </cell>
        </row>
        <row r="2118">
          <cell r="D2118" t="str">
            <v>81-33-4</v>
          </cell>
          <cell r="E2118">
            <v>81334</v>
          </cell>
          <cell r="F2118">
            <v>3804</v>
          </cell>
          <cell r="G2118" t="str">
            <v>Reach_275</v>
          </cell>
          <cell r="H2118">
            <v>2110</v>
          </cell>
          <cell r="J2118">
            <v>390.36</v>
          </cell>
          <cell r="K2118">
            <v>349.84</v>
          </cell>
          <cell r="L2118">
            <v>4.3989000000000004E-21</v>
          </cell>
          <cell r="M2118">
            <v>1.8134999999999998E-2</v>
          </cell>
          <cell r="N2118">
            <v>5754.399373371567</v>
          </cell>
          <cell r="O2118">
            <v>9.3000000000000007</v>
          </cell>
          <cell r="P2118">
            <v>12.8</v>
          </cell>
          <cell r="Q2118">
            <v>1.1999999999999993</v>
          </cell>
        </row>
        <row r="2119">
          <cell r="D2119" t="str">
            <v>68516-73-4</v>
          </cell>
          <cell r="E2119">
            <v>68516734</v>
          </cell>
          <cell r="F2119">
            <v>3518</v>
          </cell>
          <cell r="G2119" t="str">
            <v>Reach_2907</v>
          </cell>
          <cell r="H2119">
            <v>2111</v>
          </cell>
          <cell r="J2119">
            <v>716.67</v>
          </cell>
          <cell r="K2119">
            <v>349.84</v>
          </cell>
          <cell r="L2119">
            <v>6.6916599999999999E-21</v>
          </cell>
          <cell r="M2119">
            <v>1.5233999999999999E-2</v>
          </cell>
          <cell r="N2119">
            <v>2187.7616239495528</v>
          </cell>
          <cell r="O2119">
            <v>8.26</v>
          </cell>
          <cell r="P2119">
            <v>13.45</v>
          </cell>
          <cell r="Q2119">
            <v>0.55000000000000071</v>
          </cell>
        </row>
        <row r="2120">
          <cell r="D2120" t="str">
            <v>110-33-8</v>
          </cell>
          <cell r="E2120">
            <v>110338</v>
          </cell>
          <cell r="F2120">
            <v>1518</v>
          </cell>
          <cell r="G2120" t="str">
            <v>Reach_811</v>
          </cell>
          <cell r="H2120">
            <v>2112</v>
          </cell>
          <cell r="J2120">
            <v>314.47000000000003</v>
          </cell>
          <cell r="K2120">
            <v>-6.76</v>
          </cell>
          <cell r="L2120">
            <v>2.3727399999999999E-2</v>
          </cell>
          <cell r="M2120">
            <v>0.85543999999999998</v>
          </cell>
          <cell r="N2120">
            <v>1995262.31496888</v>
          </cell>
          <cell r="Q2120">
            <v>14</v>
          </cell>
        </row>
        <row r="2121">
          <cell r="D2121" t="str">
            <v>97-59-6</v>
          </cell>
          <cell r="E2121">
            <v>97596</v>
          </cell>
          <cell r="F2121">
            <v>4166</v>
          </cell>
          <cell r="G2121" t="str">
            <v>Reach_481</v>
          </cell>
          <cell r="H2121">
            <v>2113</v>
          </cell>
          <cell r="J2121">
            <v>158.12</v>
          </cell>
          <cell r="K2121">
            <v>194.42</v>
          </cell>
          <cell r="L2121">
            <v>1.7329000000000001E-7</v>
          </cell>
          <cell r="M2121">
            <v>1328.9</v>
          </cell>
          <cell r="N2121">
            <v>7.2443596007498929E-4</v>
          </cell>
          <cell r="O2121">
            <v>9</v>
          </cell>
          <cell r="P2121">
            <v>14.82</v>
          </cell>
          <cell r="Q2121">
            <v>-0.82000000000000028</v>
          </cell>
        </row>
        <row r="2122">
          <cell r="D2122" t="str">
            <v>59447-55-1</v>
          </cell>
          <cell r="E2122">
            <v>59447551</v>
          </cell>
          <cell r="F2122">
            <v>3278</v>
          </cell>
          <cell r="G2122" t="str">
            <v>Reach_2836</v>
          </cell>
          <cell r="H2122">
            <v>2114</v>
          </cell>
          <cell r="J2122">
            <v>556.70000000000005</v>
          </cell>
          <cell r="K2122">
            <v>171.36</v>
          </cell>
          <cell r="L2122">
            <v>1.7595600000000001E-5</v>
          </cell>
          <cell r="M2122">
            <v>1.6427E-3</v>
          </cell>
          <cell r="N2122">
            <v>7762471.1662869165</v>
          </cell>
          <cell r="Q2122">
            <v>14</v>
          </cell>
        </row>
        <row r="2123">
          <cell r="D2123" t="str">
            <v>104-68-7</v>
          </cell>
          <cell r="E2123">
            <v>104687</v>
          </cell>
          <cell r="F2123">
            <v>1399</v>
          </cell>
          <cell r="G2123" t="str">
            <v>Reach_627</v>
          </cell>
          <cell r="H2123">
            <v>2115</v>
          </cell>
          <cell r="J2123">
            <v>182.22</v>
          </cell>
          <cell r="K2123">
            <v>59.44</v>
          </cell>
          <cell r="L2123">
            <v>1.2810130000000001E-2</v>
          </cell>
          <cell r="M2123">
            <v>16843</v>
          </cell>
          <cell r="N2123">
            <v>6.7608297539198183</v>
          </cell>
          <cell r="Q2123">
            <v>14</v>
          </cell>
        </row>
        <row r="2124">
          <cell r="D2124" t="str">
            <v>55-56-1</v>
          </cell>
          <cell r="E2124">
            <v>55561</v>
          </cell>
          <cell r="F2124">
            <v>3175</v>
          </cell>
          <cell r="G2124" t="str">
            <v>Reach_23</v>
          </cell>
          <cell r="H2124">
            <v>2116</v>
          </cell>
          <cell r="J2124">
            <v>505.47</v>
          </cell>
          <cell r="K2124">
            <v>303.07</v>
          </cell>
          <cell r="L2124">
            <v>1.5862700000000001E-12</v>
          </cell>
          <cell r="M2124">
            <v>1.4146000000000001E-2</v>
          </cell>
          <cell r="N2124">
            <v>70794.578438413781</v>
          </cell>
          <cell r="P2124">
            <v>2.71</v>
          </cell>
          <cell r="Q2124">
            <v>11.29</v>
          </cell>
        </row>
        <row r="2125">
          <cell r="D2125" t="str">
            <v>85-60-9</v>
          </cell>
          <cell r="E2125">
            <v>85609</v>
          </cell>
          <cell r="F2125">
            <v>3893</v>
          </cell>
          <cell r="G2125" t="str">
            <v>Reach_298</v>
          </cell>
          <cell r="H2125">
            <v>2117</v>
          </cell>
          <cell r="J2125">
            <v>382.59</v>
          </cell>
          <cell r="K2125">
            <v>199.79</v>
          </cell>
          <cell r="L2125">
            <v>7.0115800000000003E-9</v>
          </cell>
          <cell r="M2125">
            <v>9.3950000000000001E-4</v>
          </cell>
          <cell r="N2125">
            <v>1230268770.8123839</v>
          </cell>
          <cell r="O2125">
            <v>10.5</v>
          </cell>
          <cell r="Q2125">
            <v>10.5</v>
          </cell>
        </row>
        <row r="2126">
          <cell r="D2126" t="str">
            <v>34432-92-3</v>
          </cell>
          <cell r="E2126">
            <v>34432923</v>
          </cell>
          <cell r="F2126">
            <v>2704</v>
          </cell>
          <cell r="G2126" t="str">
            <v>Reach_2677</v>
          </cell>
          <cell r="H2126">
            <v>2118</v>
          </cell>
          <cell r="J2126">
            <v>369.51</v>
          </cell>
          <cell r="K2126">
            <v>159.47999999999999</v>
          </cell>
          <cell r="L2126">
            <v>5.3986500000000004E-6</v>
          </cell>
          <cell r="M2126">
            <v>1.9244000000000001E-2</v>
          </cell>
          <cell r="N2126">
            <v>1148153.6214968837</v>
          </cell>
          <cell r="Q2126">
            <v>14</v>
          </cell>
        </row>
        <row r="2127">
          <cell r="D2127" t="str">
            <v>96-09-3</v>
          </cell>
          <cell r="E2127">
            <v>96093</v>
          </cell>
          <cell r="F2127">
            <v>1044</v>
          </cell>
          <cell r="G2127" t="str">
            <v>Reach_450</v>
          </cell>
          <cell r="H2127">
            <v>2119</v>
          </cell>
          <cell r="J2127">
            <v>120.15</v>
          </cell>
          <cell r="K2127">
            <v>-15.66</v>
          </cell>
          <cell r="L2127">
            <v>64.517200000000003</v>
          </cell>
          <cell r="M2127">
            <v>4001.1</v>
          </cell>
          <cell r="N2127">
            <v>38.904514499428075</v>
          </cell>
          <cell r="Q2127">
            <v>14</v>
          </cell>
        </row>
        <row r="2128">
          <cell r="D2128" t="str">
            <v>1798-60-3</v>
          </cell>
          <cell r="E2128">
            <v>1798603</v>
          </cell>
          <cell r="F2128">
            <v>2162</v>
          </cell>
          <cell r="G2128" t="str">
            <v>Reach_1721</v>
          </cell>
          <cell r="H2128">
            <v>2120</v>
          </cell>
          <cell r="J2128">
            <v>150.18</v>
          </cell>
          <cell r="K2128">
            <v>39.47</v>
          </cell>
          <cell r="L2128">
            <v>0.15729400000000002</v>
          </cell>
          <cell r="M2128">
            <v>36844</v>
          </cell>
          <cell r="N2128">
            <v>7.0794578438413795</v>
          </cell>
          <cell r="Q2128">
            <v>14</v>
          </cell>
        </row>
        <row r="2129">
          <cell r="D2129" t="str">
            <v>4402-30-6</v>
          </cell>
          <cell r="E2129">
            <v>4402306</v>
          </cell>
          <cell r="F2129">
            <v>2919</v>
          </cell>
          <cell r="G2129" t="str">
            <v>Reach_2032</v>
          </cell>
          <cell r="H2129">
            <v>2121</v>
          </cell>
          <cell r="J2129">
            <v>147.22</v>
          </cell>
          <cell r="K2129">
            <v>21.92</v>
          </cell>
          <cell r="L2129">
            <v>0.67049900000000007</v>
          </cell>
          <cell r="M2129">
            <v>1030000</v>
          </cell>
          <cell r="N2129">
            <v>0.21379620895022314</v>
          </cell>
          <cell r="O2129">
            <v>14.68</v>
          </cell>
          <cell r="P2129">
            <v>5</v>
          </cell>
          <cell r="Q2129">
            <v>9</v>
          </cell>
        </row>
        <row r="2130">
          <cell r="D2130" t="str">
            <v>144-19-4</v>
          </cell>
          <cell r="E2130">
            <v>144194</v>
          </cell>
          <cell r="F2130">
            <v>1974</v>
          </cell>
          <cell r="G2130" t="str">
            <v>Reach_1194</v>
          </cell>
          <cell r="H2130">
            <v>2122</v>
          </cell>
          <cell r="J2130">
            <v>146.22999999999999</v>
          </cell>
          <cell r="K2130">
            <v>9.0299999999999994</v>
          </cell>
          <cell r="L2130">
            <v>0.46921600000000008</v>
          </cell>
          <cell r="M2130">
            <v>20677</v>
          </cell>
          <cell r="N2130">
            <v>30.902954325135919</v>
          </cell>
          <cell r="O2130">
            <v>15.33</v>
          </cell>
          <cell r="Q2130">
            <v>14</v>
          </cell>
        </row>
        <row r="2131">
          <cell r="D2131" t="str">
            <v>92-74-0</v>
          </cell>
          <cell r="E2131">
            <v>92740</v>
          </cell>
          <cell r="F2131">
            <v>4048</v>
          </cell>
          <cell r="G2131" t="str">
            <v>Reach_391</v>
          </cell>
          <cell r="H2131">
            <v>2123</v>
          </cell>
          <cell r="J2131">
            <v>307.35000000000002</v>
          </cell>
          <cell r="K2131">
            <v>221.7</v>
          </cell>
          <cell r="L2131">
            <v>1.0890610000000001E-9</v>
          </cell>
          <cell r="M2131">
            <v>5.2354000000000003</v>
          </cell>
          <cell r="N2131">
            <v>30199.517204020212</v>
          </cell>
          <cell r="O2131">
            <v>10.199999999999999</v>
          </cell>
          <cell r="Q2131">
            <v>10.199999999999999</v>
          </cell>
        </row>
        <row r="2132">
          <cell r="D2132" t="str">
            <v>28768-32-3</v>
          </cell>
          <cell r="E2132">
            <v>28768323</v>
          </cell>
          <cell r="F2132">
            <v>2543</v>
          </cell>
          <cell r="G2132" t="str">
            <v>Reach_2623</v>
          </cell>
          <cell r="H2132">
            <v>2124</v>
          </cell>
          <cell r="J2132">
            <v>422.53</v>
          </cell>
          <cell r="K2132">
            <v>217.69</v>
          </cell>
          <cell r="L2132">
            <v>1.7062400000000003E-8</v>
          </cell>
          <cell r="M2132">
            <v>4.6912000000000003</v>
          </cell>
          <cell r="N2132">
            <v>338.84415613920248</v>
          </cell>
          <cell r="P2132">
            <v>10.07</v>
          </cell>
          <cell r="Q2132">
            <v>3.9299999999999997</v>
          </cell>
        </row>
        <row r="2133">
          <cell r="D2133" t="str">
            <v>22047-49-0</v>
          </cell>
          <cell r="E2133">
            <v>22047490</v>
          </cell>
          <cell r="F2133">
            <v>2316</v>
          </cell>
          <cell r="G2133" t="str">
            <v>Reach_2515</v>
          </cell>
          <cell r="H2133">
            <v>2125</v>
          </cell>
          <cell r="J2133">
            <v>396.7</v>
          </cell>
          <cell r="K2133">
            <v>135.19999999999999</v>
          </cell>
          <cell r="L2133">
            <v>2.3460800000000001E-5</v>
          </cell>
          <cell r="M2133">
            <v>3.27E-6</v>
          </cell>
          <cell r="N2133">
            <v>389045144994.28174</v>
          </cell>
          <cell r="Q2133">
            <v>14</v>
          </cell>
        </row>
        <row r="2134">
          <cell r="D2134" t="str">
            <v>26472-00-4</v>
          </cell>
          <cell r="E2134">
            <v>26472004</v>
          </cell>
          <cell r="F2134">
            <v>2470</v>
          </cell>
          <cell r="G2134" t="str">
            <v>Reach_2582</v>
          </cell>
          <cell r="H2134">
            <v>2126</v>
          </cell>
          <cell r="J2134">
            <v>160.26</v>
          </cell>
          <cell r="K2134">
            <v>17.75</v>
          </cell>
          <cell r="L2134">
            <v>35.991000000000007</v>
          </cell>
          <cell r="M2134">
            <v>14.494999999999999</v>
          </cell>
          <cell r="N2134">
            <v>18197.008586099837</v>
          </cell>
          <cell r="Q2134">
            <v>14</v>
          </cell>
        </row>
        <row r="2135">
          <cell r="D2135" t="str">
            <v>15894-70-9</v>
          </cell>
          <cell r="E2135">
            <v>15894709</v>
          </cell>
          <cell r="F2135">
            <v>2065</v>
          </cell>
          <cell r="G2135" t="str">
            <v>Reach_2404</v>
          </cell>
          <cell r="H2135">
            <v>2127</v>
          </cell>
          <cell r="J2135">
            <v>250.32</v>
          </cell>
          <cell r="K2135">
            <v>197.65</v>
          </cell>
          <cell r="L2135">
            <v>3.5457800000000004E-7</v>
          </cell>
          <cell r="M2135">
            <v>3581.2</v>
          </cell>
          <cell r="N2135">
            <v>0.75857757502918366</v>
          </cell>
          <cell r="O2135">
            <v>12.69</v>
          </cell>
          <cell r="P2135">
            <v>14.61</v>
          </cell>
          <cell r="Q2135">
            <v>-0.60999999999999943</v>
          </cell>
        </row>
        <row r="2136">
          <cell r="D2136" t="str">
            <v>16485-10-2</v>
          </cell>
          <cell r="E2136">
            <v>16485102</v>
          </cell>
          <cell r="F2136">
            <v>2094</v>
          </cell>
          <cell r="G2136" t="str">
            <v>Reach_2422</v>
          </cell>
          <cell r="H2136">
            <v>2128</v>
          </cell>
          <cell r="J2136">
            <v>205.26</v>
          </cell>
          <cell r="K2136">
            <v>161.4</v>
          </cell>
          <cell r="L2136">
            <v>1.9595099999999999E-6</v>
          </cell>
          <cell r="M2136">
            <v>134000</v>
          </cell>
          <cell r="N2136">
            <v>1.2022644346174125E-2</v>
          </cell>
          <cell r="O2136">
            <v>13.18</v>
          </cell>
          <cell r="P2136">
            <v>15.48</v>
          </cell>
          <cell r="Q2136">
            <v>-1.4800000000000004</v>
          </cell>
        </row>
        <row r="2137">
          <cell r="D2137" t="str">
            <v>112-13-0</v>
          </cell>
          <cell r="E2137">
            <v>112130</v>
          </cell>
          <cell r="F2137">
            <v>1576</v>
          </cell>
          <cell r="G2137" t="str">
            <v>Reach_889</v>
          </cell>
          <cell r="H2137">
            <v>2129</v>
          </cell>
          <cell r="J2137">
            <v>190.71</v>
          </cell>
          <cell r="K2137">
            <v>15.86</v>
          </cell>
          <cell r="L2137">
            <v>7051.5700000000006</v>
          </cell>
          <cell r="M2137">
            <v>2.1480000000000001</v>
          </cell>
          <cell r="N2137">
            <v>2884.0315031266077</v>
          </cell>
          <cell r="Q2137">
            <v>14</v>
          </cell>
        </row>
        <row r="2138">
          <cell r="D2138" t="str">
            <v>57499-57-7</v>
          </cell>
          <cell r="E2138">
            <v>57499577</v>
          </cell>
          <cell r="F2138">
            <v>3231</v>
          </cell>
          <cell r="G2138" t="str">
            <v>Reach_2825</v>
          </cell>
          <cell r="H2138">
            <v>2130</v>
          </cell>
          <cell r="J2138">
            <v>234.38</v>
          </cell>
          <cell r="K2138">
            <v>65.540000000000006</v>
          </cell>
          <cell r="L2138">
            <v>0.175956</v>
          </cell>
          <cell r="M2138">
            <v>4.1529999999999996</v>
          </cell>
          <cell r="N2138">
            <v>338844.15613920329</v>
          </cell>
          <cell r="Q2138">
            <v>14</v>
          </cell>
        </row>
        <row r="2139">
          <cell r="D2139" t="str">
            <v>54982-83-1</v>
          </cell>
          <cell r="E2139">
            <v>54982831</v>
          </cell>
          <cell r="F2139">
            <v>3157</v>
          </cell>
          <cell r="G2139" t="str">
            <v>Reach_2804</v>
          </cell>
          <cell r="H2139">
            <v>2131</v>
          </cell>
          <cell r="J2139">
            <v>256.33999999999997</v>
          </cell>
          <cell r="K2139">
            <v>63.39</v>
          </cell>
          <cell r="L2139">
            <v>3.25252E-4</v>
          </cell>
          <cell r="M2139">
            <v>1.3683000000000001E-2</v>
          </cell>
          <cell r="N2139">
            <v>16595.869074375616</v>
          </cell>
          <cell r="Q2139">
            <v>14</v>
          </cell>
        </row>
        <row r="2140">
          <cell r="D2140" t="str">
            <v>51410-72-1</v>
          </cell>
          <cell r="E2140">
            <v>51410721</v>
          </cell>
          <cell r="F2140">
            <v>5905</v>
          </cell>
          <cell r="G2140" t="str">
            <v>Reach_2773</v>
          </cell>
          <cell r="H2140">
            <v>2132</v>
          </cell>
          <cell r="J2140">
            <v>220.75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Q2140">
            <v>14</v>
          </cell>
        </row>
        <row r="2141">
          <cell r="D2141" t="str">
            <v>2461-15-6</v>
          </cell>
          <cell r="E2141">
            <v>2461156</v>
          </cell>
          <cell r="F2141">
            <v>561</v>
          </cell>
          <cell r="G2141" t="str">
            <v>Reach_1814</v>
          </cell>
          <cell r="H2141">
            <v>2133</v>
          </cell>
          <cell r="J2141">
            <v>186.29</v>
          </cell>
          <cell r="K2141">
            <v>4.3099999999999996</v>
          </cell>
          <cell r="L2141">
            <v>23.194200000000002</v>
          </cell>
          <cell r="M2141">
            <v>2.6675</v>
          </cell>
          <cell r="N2141">
            <v>933.25430079699197</v>
          </cell>
          <cell r="Q2141">
            <v>14</v>
          </cell>
        </row>
        <row r="2142">
          <cell r="D2142" t="str">
            <v>89-65-6</v>
          </cell>
          <cell r="E2142">
            <v>89656</v>
          </cell>
          <cell r="F2142">
            <v>3982</v>
          </cell>
          <cell r="G2142" t="str">
            <v>Reach_349</v>
          </cell>
          <cell r="H2142">
            <v>2134</v>
          </cell>
          <cell r="J2142">
            <v>176.12</v>
          </cell>
          <cell r="K2142">
            <v>155.71</v>
          </cell>
          <cell r="L2142">
            <v>2.3860700000000001E-8</v>
          </cell>
          <cell r="M2142">
            <v>198000</v>
          </cell>
          <cell r="N2142">
            <v>1.3182567385564075E-2</v>
          </cell>
          <cell r="O2142">
            <v>4.2</v>
          </cell>
          <cell r="Q2142">
            <v>4.2</v>
          </cell>
        </row>
        <row r="2143">
          <cell r="D2143" t="str">
            <v>3709-43-1</v>
          </cell>
          <cell r="E2143">
            <v>3709431</v>
          </cell>
          <cell r="F2143">
            <v>5862</v>
          </cell>
          <cell r="G2143" t="str">
            <v>Reach_1985</v>
          </cell>
          <cell r="H2143">
            <v>2135</v>
          </cell>
          <cell r="J2143">
            <v>474.33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Q2143">
            <v>14</v>
          </cell>
        </row>
        <row r="2144">
          <cell r="D2144" t="str">
            <v>1324-76-1</v>
          </cell>
          <cell r="E2144">
            <v>1324761</v>
          </cell>
          <cell r="F2144">
            <v>1858</v>
          </cell>
          <cell r="G2144" t="str">
            <v>Reach_1677</v>
          </cell>
          <cell r="H2144">
            <v>2136</v>
          </cell>
          <cell r="J2144">
            <v>595.72</v>
          </cell>
          <cell r="K2144">
            <v>349.84</v>
          </cell>
          <cell r="L2144">
            <v>7.9046900000000006E-22</v>
          </cell>
          <cell r="M2144">
            <v>3.9999999999999998E-7</v>
          </cell>
          <cell r="N2144">
            <v>3235936.5692962883</v>
          </cell>
          <cell r="O2144">
            <v>-1.37</v>
          </cell>
          <cell r="P2144">
            <v>10.56</v>
          </cell>
          <cell r="Q2144">
            <v>-1.37</v>
          </cell>
        </row>
        <row r="2145">
          <cell r="D2145" t="str">
            <v>2404-44-6</v>
          </cell>
          <cell r="E2145">
            <v>2404446</v>
          </cell>
          <cell r="F2145">
            <v>2370</v>
          </cell>
          <cell r="G2145" t="str">
            <v>Reach_1799</v>
          </cell>
          <cell r="H2145">
            <v>2137</v>
          </cell>
          <cell r="J2145">
            <v>156.27000000000001</v>
          </cell>
          <cell r="K2145">
            <v>-13.12</v>
          </cell>
          <cell r="L2145">
            <v>89.177700000000016</v>
          </cell>
          <cell r="M2145">
            <v>23.135999999999999</v>
          </cell>
          <cell r="N2145">
            <v>6456.5422903465615</v>
          </cell>
          <cell r="Q2145">
            <v>14</v>
          </cell>
        </row>
        <row r="2146">
          <cell r="D2146" t="str">
            <v>119-65-3</v>
          </cell>
          <cell r="E2146">
            <v>119653</v>
          </cell>
          <cell r="F2146">
            <v>356</v>
          </cell>
          <cell r="G2146" t="str">
            <v>Reach_984</v>
          </cell>
          <cell r="H2146">
            <v>2138</v>
          </cell>
          <cell r="J2146">
            <v>129.16</v>
          </cell>
          <cell r="K2146">
            <v>37.630000000000003</v>
          </cell>
          <cell r="L2146">
            <v>4.8787800000000008</v>
          </cell>
          <cell r="M2146">
            <v>2042.6</v>
          </cell>
          <cell r="N2146">
            <v>138.0384264602886</v>
          </cell>
          <cell r="P2146">
            <v>9</v>
          </cell>
          <cell r="Q2146">
            <v>5</v>
          </cell>
        </row>
        <row r="2147">
          <cell r="D2147" t="str">
            <v>120-93-4</v>
          </cell>
          <cell r="E2147">
            <v>120934</v>
          </cell>
          <cell r="F2147">
            <v>367</v>
          </cell>
          <cell r="G2147" t="str">
            <v>Reach_1006</v>
          </cell>
          <cell r="H2147">
            <v>2139</v>
          </cell>
          <cell r="J2147">
            <v>86.096000000000004</v>
          </cell>
          <cell r="K2147">
            <v>35.56</v>
          </cell>
          <cell r="L2147">
            <v>1.71957</v>
          </cell>
          <cell r="M2147">
            <v>36759</v>
          </cell>
          <cell r="N2147">
            <v>0.18197008586099833</v>
          </cell>
          <cell r="P2147">
            <v>14</v>
          </cell>
          <cell r="Q2147">
            <v>0</v>
          </cell>
        </row>
        <row r="2148">
          <cell r="D2148" t="str">
            <v>103-60-6</v>
          </cell>
          <cell r="E2148">
            <v>103606</v>
          </cell>
          <cell r="F2148">
            <v>1374</v>
          </cell>
          <cell r="G2148" t="str">
            <v>Reach_609</v>
          </cell>
          <cell r="H2148">
            <v>2140</v>
          </cell>
          <cell r="J2148">
            <v>208.26</v>
          </cell>
          <cell r="K2148">
            <v>37.71</v>
          </cell>
          <cell r="L2148">
            <v>0.70115800000000006</v>
          </cell>
          <cell r="M2148">
            <v>392.99</v>
          </cell>
          <cell r="N2148">
            <v>1023.2929922807547</v>
          </cell>
          <cell r="Q2148">
            <v>14</v>
          </cell>
        </row>
        <row r="2149">
          <cell r="D2149" t="str">
            <v>5261-99-4</v>
          </cell>
          <cell r="E2149">
            <v>5261994</v>
          </cell>
          <cell r="F2149">
            <v>5914</v>
          </cell>
          <cell r="G2149" t="str">
            <v>Reach_2088</v>
          </cell>
          <cell r="H2149">
            <v>2141</v>
          </cell>
          <cell r="J2149">
            <v>196.68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Q2149">
            <v>14</v>
          </cell>
        </row>
        <row r="2150">
          <cell r="D2150" t="str">
            <v>26116-57-4</v>
          </cell>
          <cell r="E2150">
            <v>26116574</v>
          </cell>
          <cell r="F2150">
            <v>5802</v>
          </cell>
          <cell r="G2150" t="str">
            <v>Reach_4250</v>
          </cell>
          <cell r="H2150">
            <v>2142</v>
          </cell>
          <cell r="J2150">
            <v>785.41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  <cell r="Q2150">
            <v>14</v>
          </cell>
        </row>
        <row r="2151">
          <cell r="D2151" t="str">
            <v>540-88-5</v>
          </cell>
          <cell r="E2151">
            <v>540885</v>
          </cell>
          <cell r="F2151">
            <v>684</v>
          </cell>
          <cell r="G2151" t="str">
            <v>Reach_1336</v>
          </cell>
          <cell r="H2151">
            <v>2143</v>
          </cell>
          <cell r="J2151">
            <v>116.16</v>
          </cell>
          <cell r="K2151">
            <v>-62.47</v>
          </cell>
          <cell r="L2151">
            <v>5678.5800000000008</v>
          </cell>
          <cell r="M2151">
            <v>4884.3</v>
          </cell>
          <cell r="N2151">
            <v>54.95408738576247</v>
          </cell>
          <cell r="Q2151">
            <v>14</v>
          </cell>
        </row>
        <row r="2152">
          <cell r="D2152" t="str">
            <v>4635-59-0</v>
          </cell>
          <cell r="E2152">
            <v>4635590</v>
          </cell>
          <cell r="F2152">
            <v>2951</v>
          </cell>
          <cell r="G2152" t="str">
            <v>Reach_2050</v>
          </cell>
          <cell r="H2152">
            <v>2144</v>
          </cell>
          <cell r="J2152">
            <v>141</v>
          </cell>
          <cell r="K2152">
            <v>-22.23</v>
          </cell>
          <cell r="L2152">
            <v>175.95600000000002</v>
          </cell>
          <cell r="M2152">
            <v>400.41</v>
          </cell>
          <cell r="N2152">
            <v>5.7543993733715713</v>
          </cell>
          <cell r="Q2152">
            <v>14</v>
          </cell>
        </row>
        <row r="2153">
          <cell r="D2153" t="str">
            <v>123-56-8</v>
          </cell>
          <cell r="E2153">
            <v>123568</v>
          </cell>
          <cell r="F2153">
            <v>1771</v>
          </cell>
          <cell r="G2153" t="str">
            <v>Reach_1053</v>
          </cell>
          <cell r="H2153">
            <v>2145</v>
          </cell>
          <cell r="J2153">
            <v>99.09</v>
          </cell>
          <cell r="K2153">
            <v>148.85</v>
          </cell>
          <cell r="L2153">
            <v>4.7721399999999997E-2</v>
          </cell>
          <cell r="M2153">
            <v>224000</v>
          </cell>
          <cell r="N2153">
            <v>0.14125375446227542</v>
          </cell>
          <cell r="O2153">
            <v>9.3000000000000007</v>
          </cell>
          <cell r="Q2153">
            <v>9.3000000000000007</v>
          </cell>
        </row>
        <row r="2154">
          <cell r="D2154" t="str">
            <v>128-13-2</v>
          </cell>
          <cell r="E2154">
            <v>128132</v>
          </cell>
          <cell r="F2154">
            <v>1816</v>
          </cell>
          <cell r="G2154" t="str">
            <v>Reach_1107</v>
          </cell>
          <cell r="H2154">
            <v>2146</v>
          </cell>
          <cell r="J2154">
            <v>392.58</v>
          </cell>
          <cell r="K2154">
            <v>216.44</v>
          </cell>
          <cell r="L2154">
            <v>5.1320499999999999E-10</v>
          </cell>
          <cell r="M2154">
            <v>42.786000000000001</v>
          </cell>
          <cell r="N2154">
            <v>114815.36214968823</v>
          </cell>
          <cell r="O2154">
            <v>4.9000000000000004</v>
          </cell>
          <cell r="Q2154">
            <v>4.9000000000000004</v>
          </cell>
        </row>
        <row r="2155">
          <cell r="D2155" t="str">
            <v>868-14-4</v>
          </cell>
          <cell r="E2155">
            <v>868144</v>
          </cell>
          <cell r="F2155">
            <v>6070</v>
          </cell>
          <cell r="G2155" t="str">
            <v>Reach_1573</v>
          </cell>
          <cell r="H2155">
            <v>2147</v>
          </cell>
          <cell r="J2155">
            <v>188.18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  <cell r="Q2155">
            <v>14</v>
          </cell>
        </row>
        <row r="2156">
          <cell r="D2156" t="str">
            <v>18755-43-6</v>
          </cell>
          <cell r="E2156">
            <v>18755436</v>
          </cell>
          <cell r="F2156">
            <v>2206</v>
          </cell>
          <cell r="G2156" t="str">
            <v>Reach_2468</v>
          </cell>
          <cell r="H2156">
            <v>2148</v>
          </cell>
          <cell r="J2156">
            <v>152.13</v>
          </cell>
          <cell r="K2156">
            <v>-24.67</v>
          </cell>
          <cell r="L2156">
            <v>64.783799999999999</v>
          </cell>
          <cell r="M2156">
            <v>15665</v>
          </cell>
          <cell r="N2156">
            <v>2.5118864315095806</v>
          </cell>
          <cell r="Q2156">
            <v>14</v>
          </cell>
        </row>
        <row r="2157">
          <cell r="D2157" t="str">
            <v>23128-74-7</v>
          </cell>
          <cell r="E2157">
            <v>23128747</v>
          </cell>
          <cell r="F2157">
            <v>2345</v>
          </cell>
          <cell r="G2157" t="str">
            <v>Reach_2527</v>
          </cell>
          <cell r="H2157">
            <v>2149</v>
          </cell>
          <cell r="J2157">
            <v>636.96</v>
          </cell>
          <cell r="K2157">
            <v>349.84</v>
          </cell>
          <cell r="L2157">
            <v>4.2122800000000004E-21</v>
          </cell>
          <cell r="M2157">
            <v>5.7000000000000005E-7</v>
          </cell>
          <cell r="N2157">
            <v>4073802778.0411296</v>
          </cell>
          <cell r="O2157">
            <v>11.67</v>
          </cell>
          <cell r="P2157">
            <v>13.94</v>
          </cell>
          <cell r="Q2157">
            <v>6.0000000000000497E-2</v>
          </cell>
        </row>
        <row r="2158">
          <cell r="D2158" t="str">
            <v>42019-78-3</v>
          </cell>
          <cell r="E2158">
            <v>42019783</v>
          </cell>
          <cell r="F2158">
            <v>2886</v>
          </cell>
          <cell r="G2158" t="str">
            <v>Reach_2748</v>
          </cell>
          <cell r="H2158">
            <v>2150</v>
          </cell>
          <cell r="J2158">
            <v>232.67</v>
          </cell>
          <cell r="K2158">
            <v>126.74</v>
          </cell>
          <cell r="L2158">
            <v>2.7459800000000003E-4</v>
          </cell>
          <cell r="M2158">
            <v>26.143000000000001</v>
          </cell>
          <cell r="N2158">
            <v>2041.7379446695318</v>
          </cell>
          <cell r="O2158">
            <v>8.08</v>
          </cell>
          <cell r="Q2158">
            <v>8.08</v>
          </cell>
        </row>
        <row r="2159">
          <cell r="D2159" t="str">
            <v>51-28-5</v>
          </cell>
          <cell r="E2159">
            <v>51285</v>
          </cell>
          <cell r="F2159">
            <v>57</v>
          </cell>
          <cell r="G2159" t="str">
            <v>Reach_14</v>
          </cell>
          <cell r="H2159">
            <v>2151</v>
          </cell>
          <cell r="J2159">
            <v>184.11</v>
          </cell>
          <cell r="K2159">
            <v>118.46</v>
          </cell>
          <cell r="L2159">
            <v>1.7195700000000001E-3</v>
          </cell>
          <cell r="M2159">
            <v>2140</v>
          </cell>
          <cell r="N2159">
            <v>53.703179637025293</v>
          </cell>
          <cell r="O2159">
            <v>4.2</v>
          </cell>
          <cell r="Q2159">
            <v>4.2</v>
          </cell>
        </row>
        <row r="2160">
          <cell r="D2160" t="str">
            <v>5333-84-6</v>
          </cell>
          <cell r="E2160">
            <v>5333846</v>
          </cell>
          <cell r="F2160">
            <v>3097</v>
          </cell>
          <cell r="G2160" t="str">
            <v>Reach_2099</v>
          </cell>
          <cell r="H2160">
            <v>2152</v>
          </cell>
          <cell r="J2160">
            <v>166.18</v>
          </cell>
          <cell r="K2160">
            <v>6.49</v>
          </cell>
          <cell r="L2160">
            <v>3.9190200000000002</v>
          </cell>
          <cell r="M2160">
            <v>4901</v>
          </cell>
          <cell r="N2160">
            <v>239.88329190194912</v>
          </cell>
          <cell r="Q2160">
            <v>14</v>
          </cell>
        </row>
        <row r="2161">
          <cell r="D2161" t="str">
            <v>105-99-7</v>
          </cell>
          <cell r="E2161">
            <v>105997</v>
          </cell>
          <cell r="F2161">
            <v>184</v>
          </cell>
          <cell r="G2161" t="str">
            <v>Reach_653</v>
          </cell>
          <cell r="H2161">
            <v>2153</v>
          </cell>
          <cell r="J2161">
            <v>258.36</v>
          </cell>
          <cell r="K2161">
            <v>-6.58</v>
          </cell>
          <cell r="L2161">
            <v>0.36390899999999998</v>
          </cell>
          <cell r="M2161">
            <v>32.057000000000002</v>
          </cell>
          <cell r="N2161">
            <v>21379.620895022348</v>
          </cell>
          <cell r="Q2161">
            <v>14</v>
          </cell>
        </row>
        <row r="2162">
          <cell r="D2162" t="str">
            <v>50-01-1</v>
          </cell>
          <cell r="E2162">
            <v>50011</v>
          </cell>
          <cell r="F2162">
            <v>2994</v>
          </cell>
          <cell r="G2162" t="str">
            <v>Reach_2</v>
          </cell>
          <cell r="H2162">
            <v>2154</v>
          </cell>
          <cell r="J2162">
            <v>59.075000000000003</v>
          </cell>
          <cell r="K2162">
            <v>18.41</v>
          </cell>
          <cell r="L2162">
            <v>294.59300000000002</v>
          </cell>
          <cell r="M2162">
            <v>310000</v>
          </cell>
          <cell r="N2162">
            <v>2.3442288153199219E-2</v>
          </cell>
          <cell r="O2162">
            <v>0</v>
          </cell>
          <cell r="Q2162">
            <v>0</v>
          </cell>
        </row>
        <row r="2163">
          <cell r="D2163" t="str">
            <v>121-47-1</v>
          </cell>
          <cell r="E2163">
            <v>121471</v>
          </cell>
          <cell r="F2163">
            <v>1728</v>
          </cell>
          <cell r="G2163" t="str">
            <v>Reach_1015</v>
          </cell>
          <cell r="H2163">
            <v>2155</v>
          </cell>
          <cell r="J2163">
            <v>173.19</v>
          </cell>
          <cell r="K2163">
            <v>128.13999999999999</v>
          </cell>
          <cell r="L2163">
            <v>2.6926600000000004E-5</v>
          </cell>
          <cell r="M2163">
            <v>39389</v>
          </cell>
          <cell r="N2163">
            <v>8.3176377110267055E-3</v>
          </cell>
          <cell r="O2163">
            <v>-0.39</v>
          </cell>
          <cell r="P2163">
            <v>10.3</v>
          </cell>
          <cell r="Q2163">
            <v>-0.39</v>
          </cell>
        </row>
        <row r="2164">
          <cell r="D2164" t="str">
            <v>622-58-2</v>
          </cell>
          <cell r="E2164">
            <v>622582</v>
          </cell>
          <cell r="F2164">
            <v>3365</v>
          </cell>
          <cell r="G2164" t="str">
            <v>Reach_1446</v>
          </cell>
          <cell r="H2164">
            <v>2156</v>
          </cell>
          <cell r="J2164">
            <v>133.15</v>
          </cell>
          <cell r="K2164">
            <v>-19.23</v>
          </cell>
          <cell r="L2164">
            <v>134.63300000000001</v>
          </cell>
          <cell r="M2164">
            <v>2240.5</v>
          </cell>
          <cell r="N2164">
            <v>1380.3842646028863</v>
          </cell>
          <cell r="Q2164">
            <v>14</v>
          </cell>
        </row>
        <row r="2165">
          <cell r="D2165" t="str">
            <v>115-70-8</v>
          </cell>
          <cell r="E2165">
            <v>115708</v>
          </cell>
          <cell r="F2165">
            <v>1638</v>
          </cell>
          <cell r="G2165" t="str">
            <v>Reach_943</v>
          </cell>
          <cell r="H2165">
            <v>2157</v>
          </cell>
          <cell r="J2165">
            <v>119.17</v>
          </cell>
          <cell r="K2165">
            <v>46.64</v>
          </cell>
          <cell r="L2165">
            <v>0.263934</v>
          </cell>
          <cell r="M2165">
            <v>1000000</v>
          </cell>
          <cell r="N2165">
            <v>0.25118864315095801</v>
          </cell>
          <cell r="O2165">
            <v>14.41</v>
          </cell>
          <cell r="P2165">
            <v>5.2</v>
          </cell>
          <cell r="Q2165">
            <v>8.8000000000000007</v>
          </cell>
        </row>
        <row r="2166">
          <cell r="D2166" t="str">
            <v>120-40-1</v>
          </cell>
          <cell r="E2166">
            <v>120401</v>
          </cell>
          <cell r="F2166">
            <v>13</v>
          </cell>
          <cell r="G2166" t="str">
            <v>Reach_993</v>
          </cell>
          <cell r="H2166">
            <v>2158</v>
          </cell>
          <cell r="J2166">
            <v>287.44</v>
          </cell>
          <cell r="K2166">
            <v>161.57</v>
          </cell>
          <cell r="L2166">
            <v>8.9710899999999999E-7</v>
          </cell>
          <cell r="M2166">
            <v>22.082000000000001</v>
          </cell>
          <cell r="N2166">
            <v>776.24711662869231</v>
          </cell>
          <cell r="O2166">
            <v>14.52</v>
          </cell>
          <cell r="P2166">
            <v>15.02</v>
          </cell>
          <cell r="Q2166">
            <v>-1.0199999999999996</v>
          </cell>
        </row>
        <row r="2167">
          <cell r="D2167" t="str">
            <v>56554-53-1</v>
          </cell>
          <cell r="E2167">
            <v>56554531</v>
          </cell>
          <cell r="F2167">
            <v>3202</v>
          </cell>
          <cell r="G2167" t="str">
            <v>Reach_2817</v>
          </cell>
          <cell r="H2167">
            <v>2159</v>
          </cell>
          <cell r="J2167">
            <v>512.77</v>
          </cell>
          <cell r="K2167">
            <v>111.4</v>
          </cell>
          <cell r="L2167">
            <v>9.5442800000000014E-6</v>
          </cell>
          <cell r="M2167">
            <v>5.5899999999999997E-5</v>
          </cell>
          <cell r="N2167">
            <v>13182567385.56406</v>
          </cell>
          <cell r="Q2167">
            <v>14</v>
          </cell>
        </row>
        <row r="2168">
          <cell r="D2168" t="str">
            <v>2526-62-7</v>
          </cell>
          <cell r="E2168">
            <v>2526627</v>
          </cell>
          <cell r="F2168">
            <v>2427</v>
          </cell>
          <cell r="G2168" t="str">
            <v>Reach_1830</v>
          </cell>
          <cell r="H2168">
            <v>2160</v>
          </cell>
          <cell r="J2168">
            <v>175.26</v>
          </cell>
          <cell r="K2168">
            <v>21.29</v>
          </cell>
          <cell r="L2168">
            <v>12.25027</v>
          </cell>
          <cell r="M2168">
            <v>6425.5</v>
          </cell>
          <cell r="N2168">
            <v>6.9183097091893644E-2</v>
          </cell>
          <cell r="P2168">
            <v>0</v>
          </cell>
          <cell r="Q2168">
            <v>14</v>
          </cell>
        </row>
        <row r="2169">
          <cell r="D2169" t="str">
            <v>3338-24-7</v>
          </cell>
          <cell r="E2169">
            <v>3338247</v>
          </cell>
          <cell r="F2169">
            <v>5847</v>
          </cell>
          <cell r="G2169" t="str">
            <v>Reach_1950</v>
          </cell>
          <cell r="H2169">
            <v>2161</v>
          </cell>
          <cell r="J2169">
            <v>208.22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Q2169">
            <v>14</v>
          </cell>
        </row>
        <row r="2170">
          <cell r="D2170" t="str">
            <v>474-25-9</v>
          </cell>
          <cell r="E2170">
            <v>474259</v>
          </cell>
          <cell r="F2170">
            <v>2966</v>
          </cell>
          <cell r="G2170" t="str">
            <v>Reach_1289</v>
          </cell>
          <cell r="H2170">
            <v>2162</v>
          </cell>
          <cell r="J2170">
            <v>392.58</v>
          </cell>
          <cell r="K2170">
            <v>216.44</v>
          </cell>
          <cell r="L2170">
            <v>5.1320499999999999E-10</v>
          </cell>
          <cell r="M2170">
            <v>42.786000000000001</v>
          </cell>
          <cell r="N2170">
            <v>114815.36214968823</v>
          </cell>
          <cell r="O2170">
            <v>4.9000000000000004</v>
          </cell>
          <cell r="Q2170">
            <v>4.9000000000000004</v>
          </cell>
        </row>
        <row r="2171">
          <cell r="D2171" t="str">
            <v>14858-73-2</v>
          </cell>
          <cell r="E2171">
            <v>14858732</v>
          </cell>
          <cell r="F2171">
            <v>2004</v>
          </cell>
          <cell r="G2171" t="str">
            <v>Reach_2372</v>
          </cell>
          <cell r="H2171">
            <v>2163</v>
          </cell>
          <cell r="J2171">
            <v>286.45999999999998</v>
          </cell>
          <cell r="K2171">
            <v>12.23</v>
          </cell>
          <cell r="L2171">
            <v>32.658500000000004</v>
          </cell>
          <cell r="M2171">
            <v>0.74467000000000005</v>
          </cell>
          <cell r="N2171">
            <v>9120108.3935591076</v>
          </cell>
          <cell r="Q2171">
            <v>14</v>
          </cell>
        </row>
        <row r="2172">
          <cell r="D2172" t="str">
            <v>32687-78-8</v>
          </cell>
          <cell r="E2172">
            <v>32687788</v>
          </cell>
          <cell r="F2172">
            <v>2659</v>
          </cell>
          <cell r="G2172" t="str">
            <v>Reach_2664</v>
          </cell>
          <cell r="H2172">
            <v>2164</v>
          </cell>
          <cell r="J2172">
            <v>552.79999999999995</v>
          </cell>
          <cell r="K2172">
            <v>325.49</v>
          </cell>
          <cell r="L2172">
            <v>1.3863200000000001E-18</v>
          </cell>
          <cell r="M2172">
            <v>3.6399999999999997E-5</v>
          </cell>
          <cell r="N2172">
            <v>61659500.186148226</v>
          </cell>
          <cell r="O2172">
            <v>11.67</v>
          </cell>
          <cell r="Q2172">
            <v>11.67</v>
          </cell>
        </row>
        <row r="2173">
          <cell r="D2173" t="str">
            <v>3296-90-0</v>
          </cell>
          <cell r="E2173">
            <v>3296900</v>
          </cell>
          <cell r="F2173">
            <v>2671</v>
          </cell>
          <cell r="G2173" t="str">
            <v>Reach_1943</v>
          </cell>
          <cell r="H2173">
            <v>2165</v>
          </cell>
          <cell r="J2173">
            <v>261.95</v>
          </cell>
          <cell r="K2173">
            <v>82.59</v>
          </cell>
          <cell r="L2173">
            <v>8.5578600000000009E-4</v>
          </cell>
          <cell r="M2173">
            <v>2923.2</v>
          </cell>
          <cell r="N2173">
            <v>7.0794578438413795</v>
          </cell>
          <cell r="O2173">
            <v>14.12</v>
          </cell>
          <cell r="Q2173">
            <v>14</v>
          </cell>
        </row>
        <row r="2174">
          <cell r="D2174" t="str">
            <v>7486-38-6</v>
          </cell>
          <cell r="E2174">
            <v>7486386</v>
          </cell>
          <cell r="F2174">
            <v>6022</v>
          </cell>
          <cell r="G2174" t="str">
            <v>Reach_2255</v>
          </cell>
          <cell r="H2174">
            <v>2166</v>
          </cell>
          <cell r="J2174">
            <v>190.11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Q2174">
            <v>0</v>
          </cell>
        </row>
        <row r="2175">
          <cell r="D2175" t="str">
            <v>127-52-6</v>
          </cell>
          <cell r="E2175">
            <v>127526</v>
          </cell>
          <cell r="F2175">
            <v>1186</v>
          </cell>
          <cell r="G2175" t="str">
            <v>Reach_1099</v>
          </cell>
          <cell r="H2175">
            <v>2167</v>
          </cell>
          <cell r="J2175">
            <v>213.62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Q2175">
            <v>14</v>
          </cell>
        </row>
        <row r="2176">
          <cell r="D2176" t="str">
            <v>13189-00-9</v>
          </cell>
          <cell r="E2176">
            <v>13189009</v>
          </cell>
          <cell r="F2176">
            <v>5665</v>
          </cell>
          <cell r="G2176" t="str">
            <v>Reach_2327</v>
          </cell>
          <cell r="H2176">
            <v>2168</v>
          </cell>
          <cell r="J2176">
            <v>235.54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Q2176">
            <v>14</v>
          </cell>
        </row>
        <row r="2177">
          <cell r="D2177" t="str">
            <v>118-56-9</v>
          </cell>
          <cell r="E2177">
            <v>118569</v>
          </cell>
          <cell r="F2177">
            <v>1673</v>
          </cell>
          <cell r="G2177" t="str">
            <v>Reach_965</v>
          </cell>
          <cell r="H2177">
            <v>2169</v>
          </cell>
          <cell r="J2177">
            <v>262.35000000000002</v>
          </cell>
          <cell r="K2177">
            <v>120.64</v>
          </cell>
          <cell r="L2177">
            <v>3.7190700000000004E-4</v>
          </cell>
          <cell r="M2177">
            <v>6.8507999999999996</v>
          </cell>
          <cell r="N2177">
            <v>1445439.7707459298</v>
          </cell>
          <cell r="O2177">
            <v>9.8000000000000007</v>
          </cell>
          <cell r="Q2177">
            <v>9.8000000000000007</v>
          </cell>
        </row>
        <row r="2178">
          <cell r="D2178" t="str">
            <v>2144-53-8</v>
          </cell>
          <cell r="E2178">
            <v>2144538</v>
          </cell>
          <cell r="F2178">
            <v>2294</v>
          </cell>
          <cell r="G2178" t="str">
            <v>Reach_1763</v>
          </cell>
          <cell r="H2178">
            <v>2170</v>
          </cell>
          <cell r="J2178">
            <v>432.18</v>
          </cell>
          <cell r="K2178">
            <v>-4.4400000000000004</v>
          </cell>
          <cell r="L2178">
            <v>138.63200000000001</v>
          </cell>
          <cell r="M2178">
            <v>0.15414</v>
          </cell>
          <cell r="N2178">
            <v>2089296.1308540432</v>
          </cell>
          <cell r="Q2178">
            <v>14</v>
          </cell>
        </row>
        <row r="2179">
          <cell r="D2179" t="str">
            <v>78521-39-8</v>
          </cell>
          <cell r="E2179">
            <v>78521398</v>
          </cell>
          <cell r="F2179">
            <v>3751</v>
          </cell>
          <cell r="G2179" t="str">
            <v>Reach_2954</v>
          </cell>
          <cell r="H2179">
            <v>2171</v>
          </cell>
          <cell r="J2179">
            <v>285.36</v>
          </cell>
          <cell r="K2179">
            <v>185.72</v>
          </cell>
          <cell r="L2179">
            <v>2.1061399999999999E-6</v>
          </cell>
          <cell r="M2179">
            <v>320.74</v>
          </cell>
          <cell r="N2179">
            <v>398.10717055349761</v>
          </cell>
          <cell r="O2179">
            <v>4.88</v>
          </cell>
          <cell r="Q2179">
            <v>4.88</v>
          </cell>
        </row>
        <row r="2180">
          <cell r="D2180" t="str">
            <v>1120-71-4</v>
          </cell>
          <cell r="E2180">
            <v>1120714</v>
          </cell>
          <cell r="F2180">
            <v>1572</v>
          </cell>
          <cell r="G2180" t="str">
            <v>Reach_1660</v>
          </cell>
          <cell r="H2180">
            <v>2172</v>
          </cell>
          <cell r="J2180">
            <v>122.14</v>
          </cell>
          <cell r="K2180">
            <v>25.5</v>
          </cell>
          <cell r="L2180">
            <v>31.858700000000002</v>
          </cell>
          <cell r="M2180">
            <v>135000</v>
          </cell>
          <cell r="N2180">
            <v>0.52480746024977254</v>
          </cell>
          <cell r="Q2180">
            <v>14</v>
          </cell>
        </row>
        <row r="2181">
          <cell r="D2181" t="str">
            <v>111-49-9</v>
          </cell>
          <cell r="E2181">
            <v>111499</v>
          </cell>
          <cell r="F2181">
            <v>304</v>
          </cell>
          <cell r="G2181" t="str">
            <v>Reach_860</v>
          </cell>
          <cell r="H2181">
            <v>2173</v>
          </cell>
          <cell r="J2181">
            <v>99.177999999999997</v>
          </cell>
          <cell r="K2181">
            <v>-13.66</v>
          </cell>
          <cell r="L2181">
            <v>927.76800000000003</v>
          </cell>
          <cell r="M2181">
            <v>65720</v>
          </cell>
          <cell r="N2181">
            <v>47.863009232263856</v>
          </cell>
          <cell r="P2181">
            <v>3</v>
          </cell>
          <cell r="Q2181">
            <v>11</v>
          </cell>
        </row>
        <row r="2182">
          <cell r="D2182" t="str">
            <v>5922-69-0</v>
          </cell>
          <cell r="E2182">
            <v>5922690</v>
          </cell>
          <cell r="F2182">
            <v>3269</v>
          </cell>
          <cell r="G2182" t="str">
            <v>Reach_2144</v>
          </cell>
          <cell r="H2182">
            <v>2174</v>
          </cell>
          <cell r="J2182">
            <v>130.19</v>
          </cell>
          <cell r="K2182">
            <v>68.2</v>
          </cell>
          <cell r="L2182">
            <v>0.59051900000000002</v>
          </cell>
          <cell r="M2182">
            <v>1000000</v>
          </cell>
          <cell r="N2182">
            <v>0.10964781961431849</v>
          </cell>
          <cell r="O2182">
            <v>14.77</v>
          </cell>
          <cell r="P2182">
            <v>4.5599999999999996</v>
          </cell>
          <cell r="Q2182">
            <v>9.4400000000000013</v>
          </cell>
        </row>
        <row r="2183">
          <cell r="D2183" t="str">
            <v>107-93-7</v>
          </cell>
          <cell r="E2183">
            <v>107937</v>
          </cell>
          <cell r="F2183">
            <v>225</v>
          </cell>
          <cell r="G2183" t="str">
            <v>Reach_720</v>
          </cell>
          <cell r="H2183">
            <v>2175</v>
          </cell>
          <cell r="J2183">
            <v>86.09</v>
          </cell>
          <cell r="K2183">
            <v>2.39</v>
          </cell>
          <cell r="L2183">
            <v>33.058400000000006</v>
          </cell>
          <cell r="M2183">
            <v>121000</v>
          </cell>
          <cell r="N2183">
            <v>7.0794578438413795</v>
          </cell>
          <cell r="P2183">
            <v>0</v>
          </cell>
          <cell r="Q2183">
            <v>14</v>
          </cell>
        </row>
        <row r="2184">
          <cell r="D2184" t="str">
            <v>34396-03-7</v>
          </cell>
          <cell r="E2184">
            <v>34396037</v>
          </cell>
          <cell r="F2184">
            <v>2702</v>
          </cell>
          <cell r="G2184" t="str">
            <v>Reach_2676</v>
          </cell>
          <cell r="H2184">
            <v>2176</v>
          </cell>
          <cell r="J2184">
            <v>234.41</v>
          </cell>
          <cell r="K2184">
            <v>7.29</v>
          </cell>
          <cell r="L2184">
            <v>22.261100000000003</v>
          </cell>
          <cell r="M2184">
            <v>105.44</v>
          </cell>
          <cell r="N2184">
            <v>380.18939632056163</v>
          </cell>
          <cell r="Q2184">
            <v>14</v>
          </cell>
        </row>
        <row r="2185">
          <cell r="D2185" t="str">
            <v>367-25-9</v>
          </cell>
          <cell r="E2185">
            <v>367259</v>
          </cell>
          <cell r="F2185">
            <v>2774</v>
          </cell>
          <cell r="G2185" t="str">
            <v>Reach_1253</v>
          </cell>
          <cell r="H2185">
            <v>2177</v>
          </cell>
          <cell r="J2185">
            <v>129.11000000000001</v>
          </cell>
          <cell r="K2185">
            <v>4.1399999999999997</v>
          </cell>
          <cell r="L2185">
            <v>207.94800000000004</v>
          </cell>
          <cell r="M2185">
            <v>2497.8000000000002</v>
          </cell>
          <cell r="N2185">
            <v>30.199517204020164</v>
          </cell>
          <cell r="O2185">
            <v>0</v>
          </cell>
          <cell r="Q2185">
            <v>0</v>
          </cell>
        </row>
        <row r="2186">
          <cell r="D2186" t="str">
            <v>90-82-4</v>
          </cell>
          <cell r="E2186">
            <v>90824</v>
          </cell>
          <cell r="F2186">
            <v>4008</v>
          </cell>
          <cell r="G2186" t="str">
            <v>Reach_368</v>
          </cell>
          <cell r="H2186">
            <v>2178</v>
          </cell>
          <cell r="J2186">
            <v>165.24</v>
          </cell>
          <cell r="K2186">
            <v>40.5</v>
          </cell>
          <cell r="L2186">
            <v>1.42631</v>
          </cell>
          <cell r="M2186">
            <v>14389</v>
          </cell>
          <cell r="N2186">
            <v>4.786300923226384</v>
          </cell>
          <cell r="O2186">
            <v>13.5</v>
          </cell>
          <cell r="P2186">
            <v>4.5999999999999996</v>
          </cell>
          <cell r="Q2186">
            <v>9.4</v>
          </cell>
        </row>
        <row r="2187">
          <cell r="D2187" t="str">
            <v>111-21-7</v>
          </cell>
          <cell r="E2187">
            <v>111217</v>
          </cell>
          <cell r="F2187">
            <v>1542</v>
          </cell>
          <cell r="G2187" t="str">
            <v>Reach_849</v>
          </cell>
          <cell r="H2187">
            <v>2179</v>
          </cell>
          <cell r="J2187">
            <v>234.25</v>
          </cell>
          <cell r="K2187">
            <v>-15.83</v>
          </cell>
          <cell r="L2187">
            <v>0.54519700000000004</v>
          </cell>
          <cell r="M2187">
            <v>50765</v>
          </cell>
          <cell r="N2187">
            <v>0.72443596007499</v>
          </cell>
          <cell r="Q2187">
            <v>14</v>
          </cell>
        </row>
        <row r="2188">
          <cell r="D2188" t="str">
            <v>1889-67-4</v>
          </cell>
          <cell r="E2188">
            <v>1889674</v>
          </cell>
          <cell r="F2188">
            <v>2214</v>
          </cell>
          <cell r="G2188" t="str">
            <v>Reach_1732</v>
          </cell>
          <cell r="H2188">
            <v>2180</v>
          </cell>
          <cell r="J2188">
            <v>238.37</v>
          </cell>
          <cell r="K2188">
            <v>73.540000000000006</v>
          </cell>
          <cell r="L2188">
            <v>4.1856200000000003E-2</v>
          </cell>
          <cell r="M2188">
            <v>6.0727000000000003E-2</v>
          </cell>
          <cell r="N2188">
            <v>3019951.7204020224</v>
          </cell>
          <cell r="Q2188">
            <v>14</v>
          </cell>
        </row>
        <row r="2189">
          <cell r="D2189" t="str">
            <v>3031-66-1</v>
          </cell>
          <cell r="E2189">
            <v>3031661</v>
          </cell>
          <cell r="F2189">
            <v>2591</v>
          </cell>
          <cell r="G2189" t="str">
            <v>Reach_1899</v>
          </cell>
          <cell r="H2189">
            <v>2181</v>
          </cell>
          <cell r="J2189">
            <v>114.14</v>
          </cell>
          <cell r="K2189">
            <v>34.36</v>
          </cell>
          <cell r="L2189">
            <v>2.2794300000000001</v>
          </cell>
          <cell r="M2189">
            <v>1.48E+17</v>
          </cell>
          <cell r="N2189">
            <v>0.79432823472428149</v>
          </cell>
          <cell r="Q2189">
            <v>14</v>
          </cell>
        </row>
        <row r="2190">
          <cell r="D2190" t="str">
            <v>28770-01-6</v>
          </cell>
          <cell r="E2190">
            <v>28770016</v>
          </cell>
          <cell r="F2190">
            <v>2544</v>
          </cell>
          <cell r="G2190" t="str">
            <v>Reach_4267</v>
          </cell>
          <cell r="H2190">
            <v>2182</v>
          </cell>
          <cell r="J2190">
            <v>159.22999999999999</v>
          </cell>
          <cell r="K2190">
            <v>44.93</v>
          </cell>
          <cell r="L2190">
            <v>0.45455300000000004</v>
          </cell>
          <cell r="M2190">
            <v>188000</v>
          </cell>
          <cell r="N2190">
            <v>1.1481536214968828</v>
          </cell>
          <cell r="O2190">
            <v>14.88</v>
          </cell>
          <cell r="P2190">
            <v>5.8</v>
          </cell>
          <cell r="Q2190">
            <v>8.1999999999999993</v>
          </cell>
        </row>
        <row r="2191">
          <cell r="D2191" t="str">
            <v>76918-62-2</v>
          </cell>
          <cell r="E2191">
            <v>76918622</v>
          </cell>
          <cell r="F2191">
            <v>6033</v>
          </cell>
          <cell r="G2191" t="str">
            <v>Reach_2948</v>
          </cell>
          <cell r="H2191">
            <v>2183</v>
          </cell>
          <cell r="J2191">
            <v>342.31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P2191">
            <v>0</v>
          </cell>
          <cell r="Q2191">
            <v>14</v>
          </cell>
        </row>
        <row r="2192">
          <cell r="D2192" t="str">
            <v>39072-70-3</v>
          </cell>
          <cell r="E2192">
            <v>39072703</v>
          </cell>
          <cell r="F2192">
            <v>2833</v>
          </cell>
          <cell r="G2192" t="str">
            <v>Reach_2722</v>
          </cell>
          <cell r="H2192">
            <v>2184</v>
          </cell>
          <cell r="J2192">
            <v>382.51</v>
          </cell>
          <cell r="K2192">
            <v>249.58</v>
          </cell>
          <cell r="L2192">
            <v>1.241023E-10</v>
          </cell>
          <cell r="M2192">
            <v>2.4716999999999998</v>
          </cell>
          <cell r="N2192">
            <v>6165.9500186148289</v>
          </cell>
          <cell r="O2192">
            <v>13.43</v>
          </cell>
          <cell r="P2192">
            <v>14.04</v>
          </cell>
          <cell r="Q2192">
            <v>-3.9999999999999147E-2</v>
          </cell>
        </row>
        <row r="2193">
          <cell r="D2193" t="str">
            <v>42355-78-2</v>
          </cell>
          <cell r="E2193">
            <v>42355782</v>
          </cell>
          <cell r="F2193">
            <v>1242</v>
          </cell>
          <cell r="G2193" t="str">
            <v>Reach_4551</v>
          </cell>
          <cell r="H2193">
            <v>2185</v>
          </cell>
          <cell r="J2193">
            <v>1101.0999999999999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Q2193">
            <v>14</v>
          </cell>
        </row>
        <row r="2194">
          <cell r="D2194" t="str">
            <v>123-75-1</v>
          </cell>
          <cell r="E2194">
            <v>123751</v>
          </cell>
          <cell r="F2194">
            <v>1774</v>
          </cell>
          <cell r="G2194" t="str">
            <v>Reach_1057</v>
          </cell>
          <cell r="H2194">
            <v>2186</v>
          </cell>
          <cell r="J2194">
            <v>71.123999999999995</v>
          </cell>
          <cell r="K2194">
            <v>-36.04</v>
          </cell>
          <cell r="L2194">
            <v>8864.4500000000007</v>
          </cell>
          <cell r="M2194">
            <v>628000</v>
          </cell>
          <cell r="N2194">
            <v>5.0118723362727229</v>
          </cell>
          <cell r="P2194">
            <v>3.1</v>
          </cell>
          <cell r="Q2194">
            <v>10.9</v>
          </cell>
        </row>
        <row r="2195">
          <cell r="D2195" t="str">
            <v>97-78-9</v>
          </cell>
          <cell r="E2195">
            <v>97789</v>
          </cell>
          <cell r="F2195">
            <v>4172</v>
          </cell>
          <cell r="G2195" t="str">
            <v>Reach_488</v>
          </cell>
          <cell r="H2195">
            <v>2187</v>
          </cell>
          <cell r="J2195">
            <v>271.39999999999998</v>
          </cell>
          <cell r="K2195">
            <v>149.41999999999999</v>
          </cell>
          <cell r="L2195">
            <v>5.0920600000000008E-5</v>
          </cell>
          <cell r="M2195">
            <v>8.9090000000000007</v>
          </cell>
          <cell r="N2195">
            <v>12589.254117941671</v>
          </cell>
          <cell r="O2195">
            <v>3.3</v>
          </cell>
          <cell r="Q2195">
            <v>3.3</v>
          </cell>
        </row>
        <row r="2196">
          <cell r="D2196" t="str">
            <v>93-04-9</v>
          </cell>
          <cell r="E2196">
            <v>93049</v>
          </cell>
          <cell r="F2196">
            <v>1017</v>
          </cell>
          <cell r="G2196" t="str">
            <v>Reach_397</v>
          </cell>
          <cell r="H2196">
            <v>2188</v>
          </cell>
          <cell r="J2196">
            <v>158.19999999999999</v>
          </cell>
          <cell r="K2196">
            <v>38.43</v>
          </cell>
          <cell r="L2196">
            <v>0.35591100000000003</v>
          </cell>
          <cell r="M2196">
            <v>78.668000000000006</v>
          </cell>
          <cell r="N2196">
            <v>1778.2794100389244</v>
          </cell>
          <cell r="Q2196">
            <v>14</v>
          </cell>
        </row>
        <row r="2197">
          <cell r="D2197" t="str">
            <v>17766-26-6</v>
          </cell>
          <cell r="E2197">
            <v>17766266</v>
          </cell>
          <cell r="F2197">
            <v>5742</v>
          </cell>
          <cell r="G2197" t="str">
            <v>Reach_2442</v>
          </cell>
          <cell r="H2197">
            <v>2189</v>
          </cell>
          <cell r="J2197">
            <v>243.22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Q2197">
            <v>14</v>
          </cell>
        </row>
        <row r="2198">
          <cell r="D2198" t="str">
            <v>33626-25-4</v>
          </cell>
          <cell r="E2198">
            <v>33626254</v>
          </cell>
          <cell r="F2198">
            <v>2683</v>
          </cell>
          <cell r="G2198" t="str">
            <v>Reach_5039</v>
          </cell>
          <cell r="H2198">
            <v>2190</v>
          </cell>
          <cell r="J2198">
            <v>138.25</v>
          </cell>
          <cell r="K2198">
            <v>-24.53</v>
          </cell>
          <cell r="L2198">
            <v>291.92700000000002</v>
          </cell>
          <cell r="M2198">
            <v>5.3951000000000002</v>
          </cell>
          <cell r="N2198">
            <v>22387.211385683382</v>
          </cell>
          <cell r="Q2198">
            <v>14</v>
          </cell>
        </row>
        <row r="2199">
          <cell r="D2199" t="str">
            <v>6362-80-7</v>
          </cell>
          <cell r="E2199">
            <v>6362807</v>
          </cell>
          <cell r="F2199">
            <v>3414</v>
          </cell>
          <cell r="G2199" t="str">
            <v>Reach_2174</v>
          </cell>
          <cell r="H2199">
            <v>2191</v>
          </cell>
          <cell r="J2199">
            <v>236.36</v>
          </cell>
          <cell r="K2199">
            <v>67.03</v>
          </cell>
          <cell r="L2199">
            <v>3.0392400000000003E-2</v>
          </cell>
          <cell r="M2199">
            <v>0.1794</v>
          </cell>
          <cell r="N2199">
            <v>3235936.5692962883</v>
          </cell>
          <cell r="Q2199">
            <v>14</v>
          </cell>
        </row>
        <row r="2200">
          <cell r="D2200" t="str">
            <v>108-16-7</v>
          </cell>
          <cell r="E2200">
            <v>108167</v>
          </cell>
          <cell r="F2200">
            <v>1477</v>
          </cell>
          <cell r="G2200" t="str">
            <v>Reach_731</v>
          </cell>
          <cell r="H2200">
            <v>2192</v>
          </cell>
          <cell r="J2200">
            <v>103.17</v>
          </cell>
          <cell r="K2200">
            <v>-40.93</v>
          </cell>
          <cell r="L2200">
            <v>674.49800000000005</v>
          </cell>
          <cell r="M2200">
            <v>820000</v>
          </cell>
          <cell r="N2200">
            <v>0.30199517204020154</v>
          </cell>
          <cell r="O2200">
            <v>15.03</v>
          </cell>
          <cell r="P2200">
            <v>5.2</v>
          </cell>
          <cell r="Q2200">
            <v>8.8000000000000007</v>
          </cell>
        </row>
        <row r="2201">
          <cell r="D2201" t="str">
            <v>104-38-1</v>
          </cell>
          <cell r="E2201">
            <v>104381</v>
          </cell>
          <cell r="F2201">
            <v>1393</v>
          </cell>
          <cell r="G2201" t="str">
            <v>Reach_621</v>
          </cell>
          <cell r="H2201">
            <v>2193</v>
          </cell>
          <cell r="J2201">
            <v>198.22</v>
          </cell>
          <cell r="K2201">
            <v>102.86</v>
          </cell>
          <cell r="L2201">
            <v>8.837790000000002E-5</v>
          </cell>
          <cell r="M2201">
            <v>105000</v>
          </cell>
          <cell r="N2201">
            <v>4.0738027780411281</v>
          </cell>
          <cell r="O2201">
            <v>14.51</v>
          </cell>
          <cell r="Q2201">
            <v>14</v>
          </cell>
        </row>
        <row r="2202">
          <cell r="D2202" t="str">
            <v>2212-11-5</v>
          </cell>
          <cell r="E2202">
            <v>2212115</v>
          </cell>
          <cell r="F2202">
            <v>1244</v>
          </cell>
          <cell r="G2202" t="str">
            <v>Reach_4226</v>
          </cell>
          <cell r="H2202">
            <v>2194</v>
          </cell>
          <cell r="J2202">
            <v>154.66999999999999</v>
          </cell>
          <cell r="K2202">
            <v>-44.96</v>
          </cell>
          <cell r="L2202">
            <v>985.08699999999999</v>
          </cell>
          <cell r="M2202">
            <v>0</v>
          </cell>
          <cell r="N2202">
            <v>6.9183097091893666</v>
          </cell>
          <cell r="Q2202">
            <v>14</v>
          </cell>
        </row>
        <row r="2203">
          <cell r="D2203" t="str">
            <v>930-02-9</v>
          </cell>
          <cell r="E2203">
            <v>930029</v>
          </cell>
          <cell r="F2203">
            <v>4054</v>
          </cell>
          <cell r="G2203" t="str">
            <v>Reach_1604</v>
          </cell>
          <cell r="H2203">
            <v>2195</v>
          </cell>
          <cell r="J2203">
            <v>296.54000000000002</v>
          </cell>
          <cell r="K2203">
            <v>75.3</v>
          </cell>
          <cell r="L2203">
            <v>4.1589600000000004E-2</v>
          </cell>
          <cell r="M2203">
            <v>1.9120000000000001E-4</v>
          </cell>
          <cell r="N2203">
            <v>588843655.35558987</v>
          </cell>
          <cell r="Q2203">
            <v>14</v>
          </cell>
        </row>
        <row r="2204">
          <cell r="D2204" t="str">
            <v>86-73-7</v>
          </cell>
          <cell r="E2204">
            <v>86737</v>
          </cell>
          <cell r="F2204">
            <v>973</v>
          </cell>
          <cell r="G2204" t="str">
            <v>Reach_302</v>
          </cell>
          <cell r="H2204">
            <v>2196</v>
          </cell>
          <cell r="J2204">
            <v>166.22</v>
          </cell>
          <cell r="K2204">
            <v>63.69</v>
          </cell>
          <cell r="L2204">
            <v>4.3989E-2</v>
          </cell>
          <cell r="M2204">
            <v>4.0804999999999998</v>
          </cell>
          <cell r="N2204">
            <v>10471.285480509003</v>
          </cell>
          <cell r="Q2204">
            <v>14</v>
          </cell>
        </row>
        <row r="2205">
          <cell r="D2205" t="str">
            <v>88-18-6</v>
          </cell>
          <cell r="E2205">
            <v>88186</v>
          </cell>
          <cell r="F2205">
            <v>983</v>
          </cell>
          <cell r="G2205" t="str">
            <v>Reach_318</v>
          </cell>
          <cell r="H2205">
            <v>2197</v>
          </cell>
          <cell r="J2205">
            <v>150.22</v>
          </cell>
          <cell r="K2205">
            <v>36.909999999999997</v>
          </cell>
          <cell r="L2205">
            <v>7.0782300000000005</v>
          </cell>
          <cell r="M2205">
            <v>1271.9000000000001</v>
          </cell>
          <cell r="N2205">
            <v>2630.2679918953822</v>
          </cell>
          <cell r="O2205">
            <v>10.8</v>
          </cell>
          <cell r="Q2205">
            <v>10.8</v>
          </cell>
        </row>
        <row r="2206">
          <cell r="D2206" t="str">
            <v>20749-68-2</v>
          </cell>
          <cell r="E2206">
            <v>20749682</v>
          </cell>
          <cell r="F2206">
            <v>2272</v>
          </cell>
          <cell r="G2206" t="str">
            <v>Reach_2497</v>
          </cell>
          <cell r="H2206">
            <v>2198</v>
          </cell>
          <cell r="J2206">
            <v>408.07</v>
          </cell>
          <cell r="K2206">
            <v>230.9</v>
          </cell>
          <cell r="L2206">
            <v>2.2527700000000003E-9</v>
          </cell>
          <cell r="M2206">
            <v>3.7419999999999999E-4</v>
          </cell>
          <cell r="N2206">
            <v>616595.00186148309</v>
          </cell>
          <cell r="P2206">
            <v>6.8</v>
          </cell>
          <cell r="Q2206">
            <v>7.2</v>
          </cell>
        </row>
        <row r="2207">
          <cell r="D2207" t="str">
            <v>462-94-2</v>
          </cell>
          <cell r="E2207">
            <v>462942</v>
          </cell>
          <cell r="F2207">
            <v>2950</v>
          </cell>
          <cell r="G2207" t="str">
            <v>Reach_1286</v>
          </cell>
          <cell r="H2207">
            <v>2199</v>
          </cell>
          <cell r="J2207">
            <v>102.18</v>
          </cell>
          <cell r="K2207">
            <v>12.85</v>
          </cell>
          <cell r="L2207">
            <v>134.63300000000001</v>
          </cell>
          <cell r="M2207">
            <v>1000000</v>
          </cell>
          <cell r="N2207">
            <v>0.70794578438413791</v>
          </cell>
          <cell r="P2207">
            <v>3.28</v>
          </cell>
          <cell r="Q2207">
            <v>10.72</v>
          </cell>
        </row>
        <row r="2208">
          <cell r="D2208" t="str">
            <v>1746-23-2</v>
          </cell>
          <cell r="E2208">
            <v>1746232</v>
          </cell>
          <cell r="F2208">
            <v>2139</v>
          </cell>
          <cell r="G2208" t="str">
            <v>Reach_1716</v>
          </cell>
          <cell r="H2208">
            <v>2200</v>
          </cell>
          <cell r="J2208">
            <v>160.26</v>
          </cell>
          <cell r="K2208">
            <v>-0.04</v>
          </cell>
          <cell r="L2208">
            <v>30.259100000000004</v>
          </cell>
          <cell r="M2208">
            <v>5.8769</v>
          </cell>
          <cell r="N2208">
            <v>63095.734448019342</v>
          </cell>
          <cell r="Q2208">
            <v>14</v>
          </cell>
        </row>
        <row r="2209">
          <cell r="D2209" t="str">
            <v>78-16-0</v>
          </cell>
          <cell r="E2209">
            <v>78160</v>
          </cell>
          <cell r="F2209">
            <v>3748</v>
          </cell>
          <cell r="G2209" t="str">
            <v>Reach_195</v>
          </cell>
          <cell r="H2209">
            <v>2201</v>
          </cell>
          <cell r="J2209">
            <v>470.69</v>
          </cell>
          <cell r="K2209">
            <v>129.80000000000001</v>
          </cell>
          <cell r="L2209">
            <v>2.3727400000000004E-6</v>
          </cell>
          <cell r="M2209">
            <v>3.0244999999999998E-3</v>
          </cell>
          <cell r="N2209">
            <v>1479108388.1682093</v>
          </cell>
          <cell r="O2209">
            <v>0</v>
          </cell>
          <cell r="P2209">
            <v>0</v>
          </cell>
          <cell r="Q2209">
            <v>0</v>
          </cell>
        </row>
        <row r="2210">
          <cell r="D2210" t="str">
            <v>54112-23-1</v>
          </cell>
          <cell r="E2210">
            <v>54112231</v>
          </cell>
          <cell r="F2210">
            <v>3127</v>
          </cell>
          <cell r="G2210" t="str">
            <v>Reach_2797</v>
          </cell>
          <cell r="H2210">
            <v>2202</v>
          </cell>
          <cell r="J2210">
            <v>476.58</v>
          </cell>
          <cell r="K2210">
            <v>349.84</v>
          </cell>
          <cell r="L2210">
            <v>8.8111300000000016E-18</v>
          </cell>
          <cell r="M2210">
            <v>1.0643</v>
          </cell>
          <cell r="N2210">
            <v>29512.092266663854</v>
          </cell>
          <cell r="O2210">
            <v>13.99</v>
          </cell>
          <cell r="P2210">
            <v>13.61</v>
          </cell>
          <cell r="Q2210">
            <v>0.39000000000000057</v>
          </cell>
        </row>
        <row r="2211">
          <cell r="D2211" t="str">
            <v>57-88-5</v>
          </cell>
          <cell r="E2211">
            <v>57885</v>
          </cell>
          <cell r="F2211">
            <v>3240</v>
          </cell>
          <cell r="G2211" t="str">
            <v>Reach_44</v>
          </cell>
          <cell r="H2211">
            <v>2203</v>
          </cell>
          <cell r="J2211">
            <v>386.66</v>
          </cell>
          <cell r="K2211">
            <v>162.07</v>
          </cell>
          <cell r="L2211">
            <v>2.3860700000000003E-5</v>
          </cell>
          <cell r="M2211">
            <v>1.3527000000000001E-3</v>
          </cell>
          <cell r="N2211">
            <v>549540873.85762548</v>
          </cell>
          <cell r="O2211">
            <v>16</v>
          </cell>
          <cell r="Q2211">
            <v>14</v>
          </cell>
        </row>
        <row r="2212">
          <cell r="D2212" t="str">
            <v>2123-24-2</v>
          </cell>
          <cell r="E2212">
            <v>2123242</v>
          </cell>
          <cell r="F2212">
            <v>5772</v>
          </cell>
          <cell r="G2212" t="str">
            <v>Reach_1759</v>
          </cell>
          <cell r="H2212">
            <v>2204</v>
          </cell>
          <cell r="J2212">
            <v>135.13999999999999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  <cell r="Q2212">
            <v>14</v>
          </cell>
        </row>
        <row r="2213">
          <cell r="D2213" t="str">
            <v>760-93-0</v>
          </cell>
          <cell r="E2213">
            <v>760930</v>
          </cell>
          <cell r="F2213">
            <v>3698</v>
          </cell>
          <cell r="G2213" t="str">
            <v>Reach_1532</v>
          </cell>
          <cell r="H2213">
            <v>2205</v>
          </cell>
          <cell r="J2213">
            <v>154.16</v>
          </cell>
          <cell r="K2213">
            <v>-64.88</v>
          </cell>
          <cell r="L2213">
            <v>1177.0390000000002</v>
          </cell>
          <cell r="M2213">
            <v>4029.6</v>
          </cell>
          <cell r="N2213">
            <v>16.982436524617448</v>
          </cell>
          <cell r="Q2213">
            <v>14</v>
          </cell>
        </row>
        <row r="2214">
          <cell r="D2214" t="str">
            <v>470-82-6</v>
          </cell>
          <cell r="E2214">
            <v>470826</v>
          </cell>
          <cell r="F2214">
            <v>645</v>
          </cell>
          <cell r="G2214" t="str">
            <v>Reach_1287</v>
          </cell>
          <cell r="H2214">
            <v>2206</v>
          </cell>
          <cell r="J2214">
            <v>154.25</v>
          </cell>
          <cell r="K2214">
            <v>8.14</v>
          </cell>
          <cell r="L2214">
            <v>207.94800000000004</v>
          </cell>
          <cell r="M2214">
            <v>7.1618000000000004</v>
          </cell>
          <cell r="N2214">
            <v>1348.9628825916541</v>
          </cell>
          <cell r="Q2214">
            <v>14</v>
          </cell>
        </row>
        <row r="2215">
          <cell r="D2215" t="str">
            <v>75-57-0</v>
          </cell>
          <cell r="E2215">
            <v>75570</v>
          </cell>
          <cell r="F2215">
            <v>1235</v>
          </cell>
          <cell r="G2215" t="str">
            <v>Reach_152</v>
          </cell>
          <cell r="H2215">
            <v>2207</v>
          </cell>
          <cell r="J2215">
            <v>109.6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  <cell r="Q2215">
            <v>14</v>
          </cell>
        </row>
        <row r="2216">
          <cell r="D2216" t="str">
            <v>13472-08-7</v>
          </cell>
          <cell r="E2216">
            <v>13472087</v>
          </cell>
          <cell r="F2216">
            <v>1882</v>
          </cell>
          <cell r="G2216" t="str">
            <v>Reach_2338</v>
          </cell>
          <cell r="H2216">
            <v>2208</v>
          </cell>
          <cell r="J2216">
            <v>192.27</v>
          </cell>
          <cell r="K2216">
            <v>64.069999999999993</v>
          </cell>
          <cell r="L2216">
            <v>0.12210280000000001</v>
          </cell>
          <cell r="M2216">
            <v>143.04</v>
          </cell>
          <cell r="N2216">
            <v>7244.3596007499036</v>
          </cell>
          <cell r="Q2216">
            <v>14</v>
          </cell>
        </row>
        <row r="2217">
          <cell r="D2217" t="str">
            <v>104-66-5</v>
          </cell>
          <cell r="E2217">
            <v>104665</v>
          </cell>
          <cell r="F2217">
            <v>1397</v>
          </cell>
          <cell r="G2217" t="str">
            <v>Reach_625</v>
          </cell>
          <cell r="H2217">
            <v>2209</v>
          </cell>
          <cell r="J2217">
            <v>214.26</v>
          </cell>
          <cell r="K2217">
            <v>71.11</v>
          </cell>
          <cell r="L2217">
            <v>2.2261100000000002E-2</v>
          </cell>
          <cell r="M2217">
            <v>28.373000000000001</v>
          </cell>
          <cell r="N2217">
            <v>6456.5422903465615</v>
          </cell>
          <cell r="Q2217">
            <v>14</v>
          </cell>
        </row>
        <row r="2218">
          <cell r="D2218" t="str">
            <v>132900-75-5</v>
          </cell>
          <cell r="E2218">
            <v>132900755</v>
          </cell>
          <cell r="F2218">
            <v>1861</v>
          </cell>
          <cell r="G2218" t="str">
            <v>Reach_4815</v>
          </cell>
          <cell r="H2218">
            <v>2210</v>
          </cell>
          <cell r="J2218">
            <v>616.66</v>
          </cell>
          <cell r="K2218">
            <v>288.43</v>
          </cell>
          <cell r="L2218">
            <v>2.6793300000000002E-13</v>
          </cell>
          <cell r="M2218">
            <v>1.003E-4</v>
          </cell>
          <cell r="N2218">
            <v>165958690.74375659</v>
          </cell>
          <cell r="Q2218">
            <v>14</v>
          </cell>
        </row>
        <row r="2219">
          <cell r="D2219" t="str">
            <v>2031-67-6</v>
          </cell>
          <cell r="E2219">
            <v>2031676</v>
          </cell>
          <cell r="F2219">
            <v>2259</v>
          </cell>
          <cell r="G2219" t="str">
            <v>Reach_1746</v>
          </cell>
          <cell r="H2219">
            <v>2211</v>
          </cell>
          <cell r="J2219">
            <v>178.3</v>
          </cell>
          <cell r="K2219">
            <v>-23.17</v>
          </cell>
          <cell r="L2219">
            <v>773.14</v>
          </cell>
          <cell r="M2219">
            <v>1671.2</v>
          </cell>
          <cell r="N2219">
            <v>6.3095734448019343</v>
          </cell>
          <cell r="Q2219">
            <v>14</v>
          </cell>
        </row>
        <row r="2220">
          <cell r="D2220" t="str">
            <v>133-66-4</v>
          </cell>
          <cell r="E2220">
            <v>133664</v>
          </cell>
          <cell r="F2220">
            <v>5669</v>
          </cell>
          <cell r="G2220" t="str">
            <v>Reach_1124</v>
          </cell>
          <cell r="H2220">
            <v>2212</v>
          </cell>
          <cell r="J2220">
            <v>936.96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  <cell r="Q2220">
            <v>14</v>
          </cell>
        </row>
        <row r="2221">
          <cell r="D2221" t="str">
            <v>4246-51-9</v>
          </cell>
          <cell r="E2221">
            <v>4246519</v>
          </cell>
          <cell r="F2221">
            <v>2893</v>
          </cell>
          <cell r="G2221" t="str">
            <v>Reach_2022</v>
          </cell>
          <cell r="H2221">
            <v>2213</v>
          </cell>
          <cell r="J2221">
            <v>220.32</v>
          </cell>
          <cell r="K2221">
            <v>92.55</v>
          </cell>
          <cell r="L2221">
            <v>2.8659500000000001E-2</v>
          </cell>
          <cell r="M2221">
            <v>1000000</v>
          </cell>
          <cell r="N2221">
            <v>3.4673685045253158E-2</v>
          </cell>
          <cell r="Q2221">
            <v>14</v>
          </cell>
        </row>
        <row r="2222">
          <cell r="D2222" t="str">
            <v>107-11-9</v>
          </cell>
          <cell r="E2222">
            <v>107119</v>
          </cell>
          <cell r="F2222">
            <v>209</v>
          </cell>
          <cell r="G2222" t="str">
            <v>Reach_694</v>
          </cell>
          <cell r="H2222">
            <v>2214</v>
          </cell>
          <cell r="J2222">
            <v>57.097000000000001</v>
          </cell>
          <cell r="K2222">
            <v>-73.11</v>
          </cell>
          <cell r="L2222">
            <v>34258.100000000006</v>
          </cell>
          <cell r="M2222">
            <v>1000000</v>
          </cell>
          <cell r="N2222">
            <v>1.62181009735893</v>
          </cell>
          <cell r="P2222">
            <v>4</v>
          </cell>
          <cell r="Q2222">
            <v>10</v>
          </cell>
        </row>
        <row r="2223">
          <cell r="D2223" t="str">
            <v>2691-41-0</v>
          </cell>
          <cell r="E2223">
            <v>2691410</v>
          </cell>
          <cell r="F2223">
            <v>575</v>
          </cell>
          <cell r="G2223" t="str">
            <v>Reach_1855</v>
          </cell>
          <cell r="H2223">
            <v>2215</v>
          </cell>
          <cell r="J2223">
            <v>296.16000000000003</v>
          </cell>
          <cell r="K2223">
            <v>182.89</v>
          </cell>
          <cell r="L2223">
            <v>3.2125300000000006E-6</v>
          </cell>
          <cell r="M2223">
            <v>1000000</v>
          </cell>
          <cell r="N2223">
            <v>6.6069344800759611</v>
          </cell>
          <cell r="Q2223">
            <v>14</v>
          </cell>
        </row>
        <row r="2224">
          <cell r="D2224" t="str">
            <v>54914-37-3</v>
          </cell>
          <cell r="E2224">
            <v>54914373</v>
          </cell>
          <cell r="F2224">
            <v>3156</v>
          </cell>
          <cell r="G2224" t="str">
            <v>Reach_2803</v>
          </cell>
          <cell r="H2224">
            <v>2216</v>
          </cell>
          <cell r="J2224">
            <v>278.49</v>
          </cell>
          <cell r="K2224">
            <v>40.78</v>
          </cell>
          <cell r="L2224">
            <v>8.7178199999999997E-2</v>
          </cell>
          <cell r="M2224">
            <v>1.71</v>
          </cell>
          <cell r="N2224">
            <v>14454397.707459314</v>
          </cell>
          <cell r="Q2224">
            <v>14</v>
          </cell>
        </row>
        <row r="2225">
          <cell r="D2225" t="str">
            <v>84-51-5</v>
          </cell>
          <cell r="E2225">
            <v>84515</v>
          </cell>
          <cell r="F2225">
            <v>3867</v>
          </cell>
          <cell r="G2225" t="str">
            <v>Reach_285</v>
          </cell>
          <cell r="H2225">
            <v>2217</v>
          </cell>
          <cell r="J2225">
            <v>236.27</v>
          </cell>
          <cell r="K2225">
            <v>146.5</v>
          </cell>
          <cell r="L2225">
            <v>3.5591099999999999E-4</v>
          </cell>
          <cell r="M2225">
            <v>0.1163</v>
          </cell>
          <cell r="N2225">
            <v>23988.329190194923</v>
          </cell>
          <cell r="Q2225">
            <v>14</v>
          </cell>
        </row>
        <row r="2226">
          <cell r="D2226" t="str">
            <v>5726-19-2</v>
          </cell>
          <cell r="E2226">
            <v>5726192</v>
          </cell>
          <cell r="F2226">
            <v>3228</v>
          </cell>
          <cell r="G2226" t="str">
            <v>Reach_2133</v>
          </cell>
          <cell r="H2226">
            <v>2218</v>
          </cell>
          <cell r="J2226">
            <v>156.22</v>
          </cell>
          <cell r="K2226">
            <v>-18.45</v>
          </cell>
          <cell r="L2226">
            <v>64.917100000000005</v>
          </cell>
          <cell r="M2226">
            <v>1822.2</v>
          </cell>
          <cell r="N2226">
            <v>1148.1536214968839</v>
          </cell>
          <cell r="Q2226">
            <v>14</v>
          </cell>
        </row>
        <row r="2227">
          <cell r="D2227" t="str">
            <v>6022-22-6</v>
          </cell>
          <cell r="E2227">
            <v>6022226</v>
          </cell>
          <cell r="F2227">
            <v>5946</v>
          </cell>
          <cell r="G2227" t="str">
            <v>Reach_2150</v>
          </cell>
          <cell r="H2227">
            <v>2219</v>
          </cell>
          <cell r="J2227">
            <v>648.54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Q2227">
            <v>14</v>
          </cell>
        </row>
        <row r="2228">
          <cell r="D2228" t="str">
            <v>455-14-1</v>
          </cell>
          <cell r="E2228">
            <v>455141</v>
          </cell>
          <cell r="F2228">
            <v>2941</v>
          </cell>
          <cell r="G2228" t="str">
            <v>Reach_1279</v>
          </cell>
          <cell r="H2228">
            <v>2220</v>
          </cell>
          <cell r="J2228">
            <v>161.13</v>
          </cell>
          <cell r="K2228">
            <v>9.58</v>
          </cell>
          <cell r="L2228">
            <v>54.786300000000004</v>
          </cell>
          <cell r="M2228">
            <v>4367.3999999999996</v>
          </cell>
          <cell r="N2228">
            <v>109.64781961431861</v>
          </cell>
          <cell r="P2228">
            <v>11.4</v>
          </cell>
          <cell r="Q2228">
            <v>2.5999999999999996</v>
          </cell>
        </row>
        <row r="2229">
          <cell r="D2229" t="str">
            <v>104-23-4</v>
          </cell>
          <cell r="E2229">
            <v>104234</v>
          </cell>
          <cell r="F2229">
            <v>1388</v>
          </cell>
          <cell r="G2229" t="str">
            <v>Reach_620</v>
          </cell>
          <cell r="H2229">
            <v>2221</v>
          </cell>
          <cell r="J2229">
            <v>277.31</v>
          </cell>
          <cell r="K2229">
            <v>196.84</v>
          </cell>
          <cell r="L2229">
            <v>1.87953E-9</v>
          </cell>
          <cell r="M2229">
            <v>521.14</v>
          </cell>
          <cell r="N2229">
            <v>1.0964781961431851</v>
          </cell>
          <cell r="O2229">
            <v>0.4</v>
          </cell>
          <cell r="P2229">
            <v>11.07</v>
          </cell>
          <cell r="Q2229">
            <v>0.4</v>
          </cell>
        </row>
        <row r="2230">
          <cell r="D2230" t="str">
            <v>5578-42-7</v>
          </cell>
          <cell r="E2230">
            <v>5578427</v>
          </cell>
          <cell r="F2230">
            <v>3177</v>
          </cell>
          <cell r="G2230" t="str">
            <v>Reach_2125</v>
          </cell>
          <cell r="H2230">
            <v>2222</v>
          </cell>
          <cell r="J2230">
            <v>197.18</v>
          </cell>
          <cell r="K2230">
            <v>-20.87</v>
          </cell>
          <cell r="L2230">
            <v>175.95600000000002</v>
          </cell>
          <cell r="M2230">
            <v>0</v>
          </cell>
          <cell r="N2230">
            <v>32359.365692962871</v>
          </cell>
          <cell r="Q2230">
            <v>14</v>
          </cell>
        </row>
        <row r="2231">
          <cell r="D2231" t="str">
            <v>27503-81-7</v>
          </cell>
          <cell r="E2231">
            <v>27503817</v>
          </cell>
          <cell r="F2231">
            <v>42</v>
          </cell>
          <cell r="G2231" t="str">
            <v>Reach_2608</v>
          </cell>
          <cell r="H2231">
            <v>2223</v>
          </cell>
          <cell r="J2231">
            <v>274.3</v>
          </cell>
          <cell r="K2231">
            <v>243.46</v>
          </cell>
          <cell r="L2231">
            <v>9.7575600000000019E-13</v>
          </cell>
          <cell r="M2231">
            <v>1160</v>
          </cell>
          <cell r="N2231">
            <v>0.69183097091893653</v>
          </cell>
          <cell r="O2231">
            <v>-0.41</v>
          </cell>
          <cell r="P2231">
            <v>9.0299999999999994</v>
          </cell>
          <cell r="Q2231">
            <v>-0.41</v>
          </cell>
        </row>
        <row r="2232">
          <cell r="D2232" t="str">
            <v>27076-30-8</v>
          </cell>
          <cell r="E2232">
            <v>27076308</v>
          </cell>
          <cell r="F2232">
            <v>2494</v>
          </cell>
          <cell r="G2232" t="str">
            <v>Reach_2597</v>
          </cell>
          <cell r="H2232">
            <v>2224</v>
          </cell>
          <cell r="J2232">
            <v>132.16</v>
          </cell>
          <cell r="K2232">
            <v>112.03</v>
          </cell>
          <cell r="L2232">
            <v>5.3053400000000004E-4</v>
          </cell>
          <cell r="M2232">
            <v>101000</v>
          </cell>
          <cell r="N2232">
            <v>2.2387211385683386E-3</v>
          </cell>
          <cell r="O2232">
            <v>14.18</v>
          </cell>
          <cell r="P2232">
            <v>5.22</v>
          </cell>
          <cell r="Q2232">
            <v>8.7800000000000011</v>
          </cell>
        </row>
        <row r="2233">
          <cell r="D2233" t="str">
            <v>7787-93-1</v>
          </cell>
          <cell r="E2233">
            <v>7787931</v>
          </cell>
          <cell r="F2233">
            <v>3741</v>
          </cell>
          <cell r="G2233" t="str">
            <v>Reach_2276</v>
          </cell>
          <cell r="H2233">
            <v>2225</v>
          </cell>
          <cell r="J2233">
            <v>191.56</v>
          </cell>
          <cell r="K2233">
            <v>-31.3</v>
          </cell>
          <cell r="L2233">
            <v>382.57100000000003</v>
          </cell>
          <cell r="M2233">
            <v>814.41</v>
          </cell>
          <cell r="N2233">
            <v>3019.9517204020176</v>
          </cell>
          <cell r="Q2233">
            <v>14</v>
          </cell>
        </row>
        <row r="2234">
          <cell r="D2234" t="str">
            <v>93-70-9</v>
          </cell>
          <cell r="E2234">
            <v>93709</v>
          </cell>
          <cell r="F2234">
            <v>4080</v>
          </cell>
          <cell r="G2234" t="str">
            <v>Reach_407</v>
          </cell>
          <cell r="H2234">
            <v>2226</v>
          </cell>
          <cell r="J2234">
            <v>211.65</v>
          </cell>
          <cell r="K2234">
            <v>134.51</v>
          </cell>
          <cell r="L2234">
            <v>9.4109800000000013E-4</v>
          </cell>
          <cell r="M2234">
            <v>3878.8</v>
          </cell>
          <cell r="N2234">
            <v>12.302687708123818</v>
          </cell>
          <cell r="O2234">
            <v>10.7</v>
          </cell>
          <cell r="Q2234">
            <v>10.7</v>
          </cell>
        </row>
        <row r="2235">
          <cell r="D2235" t="str">
            <v>59719-67-4</v>
          </cell>
          <cell r="E2235">
            <v>59719674</v>
          </cell>
          <cell r="F2235">
            <v>3284</v>
          </cell>
          <cell r="G2235" t="str">
            <v>Reach_2841</v>
          </cell>
          <cell r="H2235">
            <v>2227</v>
          </cell>
          <cell r="J2235">
            <v>486.66</v>
          </cell>
          <cell r="K2235">
            <v>214.85</v>
          </cell>
          <cell r="L2235">
            <v>1.8795300000000004E-8</v>
          </cell>
          <cell r="M2235">
            <v>34.124000000000002</v>
          </cell>
          <cell r="N2235">
            <v>831.7637711026714</v>
          </cell>
          <cell r="O2235">
            <v>11.21</v>
          </cell>
          <cell r="P2235">
            <v>7.75</v>
          </cell>
          <cell r="Q2235">
            <v>6.25</v>
          </cell>
        </row>
        <row r="2236">
          <cell r="D2236" t="str">
            <v>23386-52-9</v>
          </cell>
          <cell r="E2236">
            <v>23386529</v>
          </cell>
          <cell r="F2236">
            <v>5785</v>
          </cell>
          <cell r="G2236" t="str">
            <v>Reach_2530</v>
          </cell>
          <cell r="H2236">
            <v>2228</v>
          </cell>
          <cell r="J2236">
            <v>384.42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Q2236">
            <v>14</v>
          </cell>
        </row>
        <row r="2237">
          <cell r="D2237" t="str">
            <v>144-15-0</v>
          </cell>
          <cell r="E2237">
            <v>144150</v>
          </cell>
          <cell r="F2237">
            <v>1971</v>
          </cell>
          <cell r="G2237" t="str">
            <v>Reach_1193</v>
          </cell>
          <cell r="H2237">
            <v>2229</v>
          </cell>
          <cell r="J2237">
            <v>570.80999999999995</v>
          </cell>
          <cell r="K2237">
            <v>184.6</v>
          </cell>
          <cell r="L2237">
            <v>1.4396400000000002E-8</v>
          </cell>
          <cell r="M2237">
            <v>3.2100000000000001E-5</v>
          </cell>
          <cell r="N2237">
            <v>9120108393.5591373</v>
          </cell>
          <cell r="Q2237">
            <v>14</v>
          </cell>
        </row>
        <row r="2238">
          <cell r="D2238" t="str">
            <v>26741-53-7</v>
          </cell>
          <cell r="E2238">
            <v>26741537</v>
          </cell>
          <cell r="F2238">
            <v>2485</v>
          </cell>
          <cell r="G2238" t="str">
            <v>Reach_2591</v>
          </cell>
          <cell r="H2238">
            <v>2230</v>
          </cell>
          <cell r="J2238">
            <v>604.71</v>
          </cell>
          <cell r="K2238">
            <v>257.04000000000002</v>
          </cell>
          <cell r="L2238">
            <v>3.8523700000000003E-11</v>
          </cell>
          <cell r="M2238">
            <v>1.59E-6</v>
          </cell>
          <cell r="N2238">
            <v>79432823472.428345</v>
          </cell>
          <cell r="Q2238">
            <v>14</v>
          </cell>
        </row>
        <row r="2239">
          <cell r="D2239" t="str">
            <v>762-12-9</v>
          </cell>
          <cell r="E2239">
            <v>762129</v>
          </cell>
          <cell r="F2239">
            <v>3706</v>
          </cell>
          <cell r="G2239" t="str">
            <v>Reach_1535</v>
          </cell>
          <cell r="H2239">
            <v>2231</v>
          </cell>
          <cell r="J2239">
            <v>342.52</v>
          </cell>
          <cell r="K2239">
            <v>14.28</v>
          </cell>
          <cell r="L2239">
            <v>5.8652000000000001E-3</v>
          </cell>
          <cell r="M2239">
            <v>1.3481999999999999E-2</v>
          </cell>
          <cell r="N2239">
            <v>239883291.9019503</v>
          </cell>
          <cell r="Q2239">
            <v>14</v>
          </cell>
        </row>
        <row r="2240">
          <cell r="D2240" t="str">
            <v>141-17-3</v>
          </cell>
          <cell r="E2240">
            <v>141173</v>
          </cell>
          <cell r="F2240">
            <v>1933</v>
          </cell>
          <cell r="G2240" t="str">
            <v>Reach_1158</v>
          </cell>
          <cell r="H2240">
            <v>2232</v>
          </cell>
          <cell r="J2240">
            <v>434.57</v>
          </cell>
          <cell r="K2240">
            <v>117.11</v>
          </cell>
          <cell r="L2240">
            <v>1.0690660000000001E-4</v>
          </cell>
          <cell r="M2240">
            <v>1.9750000000000001</v>
          </cell>
          <cell r="N2240">
            <v>1737.8008287493772</v>
          </cell>
          <cell r="Q2240">
            <v>14</v>
          </cell>
        </row>
        <row r="2241">
          <cell r="D2241" t="str">
            <v>112-82-3</v>
          </cell>
          <cell r="E2241">
            <v>112823</v>
          </cell>
          <cell r="F2241">
            <v>1606</v>
          </cell>
          <cell r="G2241" t="str">
            <v>Reach_925</v>
          </cell>
          <cell r="H2241">
            <v>2233</v>
          </cell>
          <cell r="J2241">
            <v>305.35000000000002</v>
          </cell>
          <cell r="K2241">
            <v>66.209999999999994</v>
          </cell>
          <cell r="L2241">
            <v>7.5714400000000015E-2</v>
          </cell>
          <cell r="M2241">
            <v>3.9889999999999999E-4</v>
          </cell>
          <cell r="N2241">
            <v>346736850.4525317</v>
          </cell>
          <cell r="Q2241">
            <v>14</v>
          </cell>
        </row>
        <row r="2242">
          <cell r="D2242" t="str">
            <v>586-62-9</v>
          </cell>
          <cell r="E2242">
            <v>586629</v>
          </cell>
          <cell r="F2242">
            <v>731</v>
          </cell>
          <cell r="G2242" t="str">
            <v>Reach_1386</v>
          </cell>
          <cell r="H2242">
            <v>2234</v>
          </cell>
          <cell r="J2242">
            <v>136.24</v>
          </cell>
          <cell r="K2242">
            <v>-29.51</v>
          </cell>
          <cell r="L2242">
            <v>133.30000000000001</v>
          </cell>
          <cell r="M2242">
            <v>17.893000000000001</v>
          </cell>
          <cell r="N2242">
            <v>75857.757502918481</v>
          </cell>
          <cell r="Q2242">
            <v>14</v>
          </cell>
        </row>
        <row r="2243">
          <cell r="D2243" t="str">
            <v>6258-06-6</v>
          </cell>
          <cell r="E2243">
            <v>6258066</v>
          </cell>
          <cell r="F2243">
            <v>5584</v>
          </cell>
          <cell r="G2243" t="str">
            <v>Reach_2158</v>
          </cell>
          <cell r="H2243">
            <v>2235</v>
          </cell>
          <cell r="J2243">
            <v>404.18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Q2243">
            <v>14</v>
          </cell>
        </row>
        <row r="2244">
          <cell r="D2244" t="str">
            <v>104-92-7</v>
          </cell>
          <cell r="E2244">
            <v>104927</v>
          </cell>
          <cell r="F2244">
            <v>1402</v>
          </cell>
          <cell r="G2244" t="str">
            <v>Reach_633</v>
          </cell>
          <cell r="H2244">
            <v>2236</v>
          </cell>
          <cell r="J2244">
            <v>187.04</v>
          </cell>
          <cell r="K2244">
            <v>11.09</v>
          </cell>
          <cell r="L2244">
            <v>22.527700000000003</v>
          </cell>
          <cell r="M2244">
            <v>315.39999999999998</v>
          </cell>
          <cell r="N2244">
            <v>912.01083935590987</v>
          </cell>
          <cell r="Q2244">
            <v>14</v>
          </cell>
        </row>
        <row r="2245">
          <cell r="D2245" t="str">
            <v>16029-98-4</v>
          </cell>
          <cell r="E2245">
            <v>16029984</v>
          </cell>
          <cell r="F2245">
            <v>2073</v>
          </cell>
          <cell r="G2245" t="str">
            <v>Reach_2408</v>
          </cell>
          <cell r="H2245">
            <v>2237</v>
          </cell>
          <cell r="J2245">
            <v>200.09</v>
          </cell>
          <cell r="K2245">
            <v>-65.849999999999994</v>
          </cell>
          <cell r="L2245">
            <v>2919.27</v>
          </cell>
          <cell r="M2245">
            <v>693.73</v>
          </cell>
          <cell r="N2245">
            <v>977.23722095581138</v>
          </cell>
          <cell r="Q2245">
            <v>14</v>
          </cell>
        </row>
        <row r="2246">
          <cell r="D2246" t="str">
            <v>3121-61-7</v>
          </cell>
          <cell r="E2246">
            <v>3121617</v>
          </cell>
          <cell r="F2246">
            <v>2621</v>
          </cell>
          <cell r="G2246" t="str">
            <v>Reach_1919</v>
          </cell>
          <cell r="H2246">
            <v>2238</v>
          </cell>
          <cell r="J2246">
            <v>130.13999999999999</v>
          </cell>
          <cell r="K2246">
            <v>-40.24</v>
          </cell>
          <cell r="L2246">
            <v>598.51700000000005</v>
          </cell>
          <cell r="M2246">
            <v>45009</v>
          </cell>
          <cell r="N2246">
            <v>2.8183829312644542</v>
          </cell>
          <cell r="Q2246">
            <v>14</v>
          </cell>
        </row>
        <row r="2247">
          <cell r="D2247" t="str">
            <v>2372-45-4</v>
          </cell>
          <cell r="E2247">
            <v>2372454</v>
          </cell>
          <cell r="F2247">
            <v>5787</v>
          </cell>
          <cell r="G2247" t="str">
            <v>Reach_1787</v>
          </cell>
          <cell r="H2247">
            <v>2239</v>
          </cell>
          <cell r="J2247">
            <v>96.105999999999995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Q2247">
            <v>14</v>
          </cell>
        </row>
        <row r="2248">
          <cell r="D2248" t="str">
            <v>124-12-9</v>
          </cell>
          <cell r="E2248">
            <v>124129</v>
          </cell>
          <cell r="F2248">
            <v>1785</v>
          </cell>
          <cell r="G2248" t="str">
            <v>Reach_1069</v>
          </cell>
          <cell r="H2248">
            <v>2240</v>
          </cell>
          <cell r="J2248">
            <v>125.22</v>
          </cell>
          <cell r="K2248">
            <v>-10.83</v>
          </cell>
          <cell r="L2248">
            <v>37.057400000000008</v>
          </cell>
          <cell r="M2248">
            <v>93.113</v>
          </cell>
          <cell r="N2248">
            <v>630.95734448019323</v>
          </cell>
          <cell r="Q2248">
            <v>14</v>
          </cell>
        </row>
        <row r="2249">
          <cell r="D2249" t="str">
            <v>109-65-9</v>
          </cell>
          <cell r="E2249">
            <v>109659</v>
          </cell>
          <cell r="F2249">
            <v>259</v>
          </cell>
          <cell r="G2249" t="str">
            <v>Reach_782</v>
          </cell>
          <cell r="H2249">
            <v>2241</v>
          </cell>
          <cell r="J2249">
            <v>137.03</v>
          </cell>
          <cell r="K2249">
            <v>-66.319999999999993</v>
          </cell>
          <cell r="L2249">
            <v>5451.97</v>
          </cell>
          <cell r="M2249">
            <v>655.23</v>
          </cell>
          <cell r="N2249">
            <v>446.68359215096331</v>
          </cell>
          <cell r="Q2249">
            <v>14</v>
          </cell>
        </row>
        <row r="2250">
          <cell r="D2250" t="str">
            <v>24461-61-8</v>
          </cell>
          <cell r="E2250">
            <v>24461618</v>
          </cell>
          <cell r="F2250">
            <v>2394</v>
          </cell>
          <cell r="G2250" t="str">
            <v>Reach_2546</v>
          </cell>
          <cell r="H2250">
            <v>2242</v>
          </cell>
          <cell r="J2250">
            <v>165.19</v>
          </cell>
          <cell r="K2250">
            <v>44.55</v>
          </cell>
          <cell r="L2250">
            <v>2.0128300000000001</v>
          </cell>
          <cell r="M2250">
            <v>117000</v>
          </cell>
          <cell r="N2250">
            <v>3.4673685045253171</v>
          </cell>
          <cell r="Q2250">
            <v>14</v>
          </cell>
        </row>
        <row r="2251">
          <cell r="D2251" t="str">
            <v>2923-16-2</v>
          </cell>
          <cell r="E2251">
            <v>2923162</v>
          </cell>
          <cell r="F2251">
            <v>5822</v>
          </cell>
          <cell r="G2251" t="str">
            <v>Reach_1887</v>
          </cell>
          <cell r="H2251">
            <v>2243</v>
          </cell>
          <cell r="J2251">
            <v>152.11000000000001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  <cell r="Q2251">
            <v>14</v>
          </cell>
        </row>
        <row r="2252">
          <cell r="D2252" t="str">
            <v>67-51-6</v>
          </cell>
          <cell r="E2252">
            <v>67516</v>
          </cell>
          <cell r="F2252">
            <v>3494</v>
          </cell>
          <cell r="G2252" t="str">
            <v>Reach_82</v>
          </cell>
          <cell r="H2252">
            <v>2244</v>
          </cell>
          <cell r="J2252">
            <v>96.135000000000005</v>
          </cell>
          <cell r="K2252">
            <v>27.61</v>
          </cell>
          <cell r="L2252">
            <v>2.7859699999999998</v>
          </cell>
          <cell r="M2252">
            <v>7877.7</v>
          </cell>
          <cell r="N2252">
            <v>14.125375446227544</v>
          </cell>
          <cell r="P2252">
            <v>9.8000000000000007</v>
          </cell>
          <cell r="Q2252">
            <v>4.1999999999999993</v>
          </cell>
        </row>
        <row r="2253">
          <cell r="D2253" t="str">
            <v>26479-35-6</v>
          </cell>
          <cell r="E2253">
            <v>26479356</v>
          </cell>
          <cell r="F2253">
            <v>5805</v>
          </cell>
          <cell r="G2253" t="str">
            <v>Reach_2583</v>
          </cell>
          <cell r="H2253">
            <v>2245</v>
          </cell>
          <cell r="J2253">
            <v>142.16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  <cell r="Q2253">
            <v>14</v>
          </cell>
        </row>
        <row r="2254">
          <cell r="D2254" t="str">
            <v>122731-58-2</v>
          </cell>
          <cell r="E2254">
            <v>122731582</v>
          </cell>
          <cell r="F2254">
            <v>1757</v>
          </cell>
          <cell r="G2254" t="str">
            <v>Reach_4106</v>
          </cell>
          <cell r="H2254">
            <v>2246</v>
          </cell>
          <cell r="J2254">
            <v>284.23</v>
          </cell>
          <cell r="K2254">
            <v>232.88</v>
          </cell>
          <cell r="L2254">
            <v>1.8928600000000001E-12</v>
          </cell>
          <cell r="M2254">
            <v>14821</v>
          </cell>
          <cell r="N2254">
            <v>0.19498445997580449</v>
          </cell>
          <cell r="O2254">
            <v>3.11</v>
          </cell>
          <cell r="Q2254">
            <v>3.11</v>
          </cell>
        </row>
        <row r="2255">
          <cell r="D2255" t="str">
            <v>5026-74-4</v>
          </cell>
          <cell r="E2255">
            <v>5026744</v>
          </cell>
          <cell r="F2255">
            <v>3000</v>
          </cell>
          <cell r="G2255" t="str">
            <v>Reach_2071</v>
          </cell>
          <cell r="H2255">
            <v>2247</v>
          </cell>
          <cell r="J2255">
            <v>277.32</v>
          </cell>
          <cell r="K2255">
            <v>127.53</v>
          </cell>
          <cell r="L2255">
            <v>7.5714400000000007E-4</v>
          </cell>
          <cell r="M2255">
            <v>1552.8</v>
          </cell>
          <cell r="N2255">
            <v>7.4131024130091765</v>
          </cell>
          <cell r="P2255">
            <v>10.06</v>
          </cell>
          <cell r="Q2255">
            <v>3.9399999999999995</v>
          </cell>
        </row>
        <row r="2256">
          <cell r="D2256" t="str">
            <v>3445-11-2</v>
          </cell>
          <cell r="E2256">
            <v>3445112</v>
          </cell>
          <cell r="F2256">
            <v>1260</v>
          </cell>
          <cell r="G2256" t="str">
            <v>Reach_1962</v>
          </cell>
          <cell r="H2256">
            <v>2248</v>
          </cell>
          <cell r="J2256">
            <v>129.16</v>
          </cell>
          <cell r="K2256">
            <v>75.34</v>
          </cell>
          <cell r="L2256">
            <v>2.4793800000000001E-2</v>
          </cell>
          <cell r="M2256">
            <v>242000</v>
          </cell>
          <cell r="N2256">
            <v>8.3176377110267083E-2</v>
          </cell>
          <cell r="O2256">
            <v>14.87</v>
          </cell>
          <cell r="P2256">
            <v>14.66</v>
          </cell>
          <cell r="Q2256">
            <v>-0.66000000000000014</v>
          </cell>
        </row>
        <row r="2257">
          <cell r="D2257" t="str">
            <v>16039-53-5</v>
          </cell>
          <cell r="E2257">
            <v>16039535</v>
          </cell>
          <cell r="F2257">
            <v>5730</v>
          </cell>
          <cell r="G2257" t="str">
            <v>Reach_2409</v>
          </cell>
          <cell r="H2257">
            <v>2249</v>
          </cell>
          <cell r="J2257">
            <v>243.52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  <cell r="Q2257">
            <v>14</v>
          </cell>
        </row>
        <row r="2258">
          <cell r="D2258" t="str">
            <v>94-71-3</v>
          </cell>
          <cell r="E2258">
            <v>94713</v>
          </cell>
          <cell r="F2258">
            <v>4111</v>
          </cell>
          <cell r="G2258" t="str">
            <v>Reach_418</v>
          </cell>
          <cell r="H2258">
            <v>2250</v>
          </cell>
          <cell r="J2258">
            <v>138.16999999999999</v>
          </cell>
          <cell r="K2258">
            <v>36.270000000000003</v>
          </cell>
          <cell r="L2258">
            <v>8.3978999999999999</v>
          </cell>
          <cell r="M2258">
            <v>15041</v>
          </cell>
          <cell r="N2258">
            <v>67.60829753919819</v>
          </cell>
          <cell r="O2258">
            <v>10</v>
          </cell>
          <cell r="Q2258">
            <v>10</v>
          </cell>
        </row>
        <row r="2259">
          <cell r="D2259" t="str">
            <v>2705-87-5</v>
          </cell>
          <cell r="E2259">
            <v>2705875</v>
          </cell>
          <cell r="F2259">
            <v>2493</v>
          </cell>
          <cell r="G2259" t="str">
            <v>Reach_1857</v>
          </cell>
          <cell r="H2259">
            <v>2251</v>
          </cell>
          <cell r="J2259">
            <v>196.29</v>
          </cell>
          <cell r="K2259">
            <v>17.28</v>
          </cell>
          <cell r="L2259">
            <v>2.9059400000000002</v>
          </cell>
          <cell r="M2259">
            <v>94.001999999999995</v>
          </cell>
          <cell r="N2259">
            <v>29512.092266663854</v>
          </cell>
          <cell r="Q2259">
            <v>14</v>
          </cell>
        </row>
        <row r="2260">
          <cell r="D2260" t="str">
            <v>3069-29-2</v>
          </cell>
          <cell r="E2260">
            <v>3069292</v>
          </cell>
          <cell r="F2260">
            <v>2608</v>
          </cell>
          <cell r="G2260" t="str">
            <v>Reach_1909</v>
          </cell>
          <cell r="H2260">
            <v>2252</v>
          </cell>
          <cell r="J2260">
            <v>206.36</v>
          </cell>
          <cell r="K2260">
            <v>54.5</v>
          </cell>
          <cell r="L2260">
            <v>1.5996000000000001</v>
          </cell>
          <cell r="M2260">
            <v>74557</v>
          </cell>
          <cell r="N2260">
            <v>0.38018939632056115</v>
          </cell>
          <cell r="P2260">
            <v>4.28</v>
          </cell>
          <cell r="Q2260">
            <v>9.7199999999999989</v>
          </cell>
        </row>
        <row r="2261">
          <cell r="D2261" t="str">
            <v>2226-96-2</v>
          </cell>
          <cell r="E2261">
            <v>2226962</v>
          </cell>
          <cell r="F2261">
            <v>2327</v>
          </cell>
          <cell r="G2261" t="str">
            <v>Reach_1775</v>
          </cell>
          <cell r="H2261">
            <v>2253</v>
          </cell>
          <cell r="J2261">
            <v>173.26</v>
          </cell>
          <cell r="K2261">
            <v>102.37</v>
          </cell>
          <cell r="L2261">
            <v>1.9728400000000002E-4</v>
          </cell>
          <cell r="M2261">
            <v>1780000</v>
          </cell>
          <cell r="N2261">
            <v>3.630780547701014</v>
          </cell>
          <cell r="O2261">
            <v>16</v>
          </cell>
          <cell r="Q2261">
            <v>14</v>
          </cell>
        </row>
        <row r="2262">
          <cell r="D2262" t="str">
            <v>1003-03-8</v>
          </cell>
          <cell r="E2262">
            <v>1003038</v>
          </cell>
          <cell r="F2262">
            <v>1298</v>
          </cell>
          <cell r="G2262" t="str">
            <v>Reach_1632</v>
          </cell>
          <cell r="H2262">
            <v>2254</v>
          </cell>
          <cell r="J2262">
            <v>85.150999999999996</v>
          </cell>
          <cell r="K2262">
            <v>-38.24</v>
          </cell>
          <cell r="L2262">
            <v>3532.4500000000003</v>
          </cell>
          <cell r="M2262">
            <v>40817</v>
          </cell>
          <cell r="N2262">
            <v>13.803842646028851</v>
          </cell>
          <cell r="P2262">
            <v>3.5</v>
          </cell>
          <cell r="Q2262">
            <v>10.5</v>
          </cell>
        </row>
        <row r="2263">
          <cell r="D2263" t="str">
            <v>106-25-2</v>
          </cell>
          <cell r="E2263">
            <v>106252</v>
          </cell>
          <cell r="F2263">
            <v>187</v>
          </cell>
          <cell r="G2263" t="str">
            <v>Reach_662</v>
          </cell>
          <cell r="H2263">
            <v>2255</v>
          </cell>
          <cell r="J2263">
            <v>154.25</v>
          </cell>
          <cell r="K2263">
            <v>-10.78</v>
          </cell>
          <cell r="L2263">
            <v>2.1194700000000002</v>
          </cell>
          <cell r="M2263">
            <v>336.26</v>
          </cell>
          <cell r="N2263">
            <v>2951.2092266663899</v>
          </cell>
          <cell r="O2263">
            <v>15.5</v>
          </cell>
          <cell r="Q2263">
            <v>14</v>
          </cell>
        </row>
        <row r="2264">
          <cell r="D2264" t="str">
            <v>7195-44-0</v>
          </cell>
          <cell r="E2264">
            <v>7195440</v>
          </cell>
          <cell r="F2264">
            <v>3595</v>
          </cell>
          <cell r="G2264" t="str">
            <v>Reach_2230</v>
          </cell>
          <cell r="H2264">
            <v>2256</v>
          </cell>
          <cell r="J2264">
            <v>278.26</v>
          </cell>
          <cell r="K2264">
            <v>65.180000000000007</v>
          </cell>
          <cell r="L2264">
            <v>8.1046400000000015E-3</v>
          </cell>
          <cell r="M2264">
            <v>2307.6</v>
          </cell>
          <cell r="N2264">
            <v>5.4954087385762458</v>
          </cell>
          <cell r="Q2264">
            <v>14</v>
          </cell>
        </row>
        <row r="2265">
          <cell r="D2265" t="str">
            <v>352-93-2</v>
          </cell>
          <cell r="E2265">
            <v>352932</v>
          </cell>
          <cell r="F2265">
            <v>2728</v>
          </cell>
          <cell r="G2265" t="str">
            <v>Reach_1244</v>
          </cell>
          <cell r="H2265">
            <v>2257</v>
          </cell>
          <cell r="J2265">
            <v>90.188000000000002</v>
          </cell>
          <cell r="K2265">
            <v>-81.66</v>
          </cell>
          <cell r="L2265">
            <v>6998.2500000000009</v>
          </cell>
          <cell r="M2265">
            <v>3520.6</v>
          </cell>
          <cell r="N2265">
            <v>79.432823472428197</v>
          </cell>
          <cell r="Q2265">
            <v>14</v>
          </cell>
        </row>
        <row r="2266">
          <cell r="D2266" t="str">
            <v>96-47-9</v>
          </cell>
          <cell r="E2266">
            <v>96479</v>
          </cell>
          <cell r="F2266">
            <v>4147</v>
          </cell>
          <cell r="G2266" t="str">
            <v>Reach_465</v>
          </cell>
          <cell r="H2266">
            <v>2258</v>
          </cell>
          <cell r="J2266">
            <v>86.134</v>
          </cell>
          <cell r="K2266">
            <v>-76.22</v>
          </cell>
          <cell r="L2266">
            <v>13863.2</v>
          </cell>
          <cell r="M2266">
            <v>20760</v>
          </cell>
          <cell r="N2266">
            <v>22.387211385683404</v>
          </cell>
          <cell r="Q2266">
            <v>14</v>
          </cell>
        </row>
        <row r="2267">
          <cell r="D2267" t="str">
            <v>75-02-5</v>
          </cell>
          <cell r="E2267">
            <v>75025</v>
          </cell>
          <cell r="F2267">
            <v>3655</v>
          </cell>
          <cell r="G2267" t="str">
            <v>Reach_124</v>
          </cell>
          <cell r="H2267">
            <v>2259</v>
          </cell>
          <cell r="J2267">
            <v>46.043999999999997</v>
          </cell>
          <cell r="K2267">
            <v>-148.16</v>
          </cell>
          <cell r="L2267">
            <v>1706240.0000000002</v>
          </cell>
          <cell r="M2267">
            <v>28404</v>
          </cell>
          <cell r="N2267">
            <v>15.488166189124817</v>
          </cell>
          <cell r="P2267">
            <v>0</v>
          </cell>
          <cell r="Q2267">
            <v>14</v>
          </cell>
        </row>
        <row r="2268">
          <cell r="D2268" t="str">
            <v>52605-52-4</v>
          </cell>
          <cell r="E2268">
            <v>52605524</v>
          </cell>
          <cell r="F2268">
            <v>5913</v>
          </cell>
          <cell r="G2268" t="str">
            <v>Reach_2785</v>
          </cell>
          <cell r="H2268">
            <v>2260</v>
          </cell>
          <cell r="J2268">
            <v>309.67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Q2268">
            <v>14</v>
          </cell>
        </row>
        <row r="2269">
          <cell r="D2269" t="str">
            <v>75-55-8</v>
          </cell>
          <cell r="E2269">
            <v>75558</v>
          </cell>
          <cell r="F2269">
            <v>3676</v>
          </cell>
          <cell r="G2269" t="str">
            <v>Reach_150</v>
          </cell>
          <cell r="H2269">
            <v>2261</v>
          </cell>
          <cell r="J2269">
            <v>57.097000000000001</v>
          </cell>
          <cell r="K2269">
            <v>-50.85</v>
          </cell>
          <cell r="L2269">
            <v>19861.7</v>
          </cell>
          <cell r="M2269">
            <v>781000</v>
          </cell>
          <cell r="N2269">
            <v>1.3489628825916538</v>
          </cell>
          <cell r="P2269">
            <v>5.5</v>
          </cell>
          <cell r="Q2269">
            <v>8.5</v>
          </cell>
        </row>
        <row r="2270">
          <cell r="D2270" t="str">
            <v>56539-66-3</v>
          </cell>
          <cell r="E2270">
            <v>56539663</v>
          </cell>
          <cell r="F2270">
            <v>3201</v>
          </cell>
          <cell r="G2270" t="str">
            <v>Reach_2816</v>
          </cell>
          <cell r="H2270">
            <v>2262</v>
          </cell>
          <cell r="J2270">
            <v>118.18</v>
          </cell>
          <cell r="K2270">
            <v>-25.29</v>
          </cell>
          <cell r="L2270">
            <v>102.64100000000001</v>
          </cell>
          <cell r="M2270">
            <v>146000</v>
          </cell>
          <cell r="N2270">
            <v>2.8840315031266059</v>
          </cell>
          <cell r="Q2270">
            <v>14</v>
          </cell>
        </row>
        <row r="2271">
          <cell r="D2271" t="str">
            <v>84434-23-1</v>
          </cell>
          <cell r="E2271">
            <v>84434231</v>
          </cell>
          <cell r="F2271">
            <v>3865</v>
          </cell>
          <cell r="G2271" t="str">
            <v>Reach_2975</v>
          </cell>
          <cell r="H2271">
            <v>2263</v>
          </cell>
          <cell r="J2271">
            <v>188.27</v>
          </cell>
          <cell r="K2271">
            <v>45.2</v>
          </cell>
          <cell r="L2271">
            <v>0.52653500000000009</v>
          </cell>
          <cell r="M2271">
            <v>11.407</v>
          </cell>
          <cell r="N2271">
            <v>5370.3179637025269</v>
          </cell>
          <cell r="Q2271">
            <v>14</v>
          </cell>
        </row>
        <row r="2272">
          <cell r="D2272" t="str">
            <v>5280-68-2</v>
          </cell>
          <cell r="E2272">
            <v>5280682</v>
          </cell>
          <cell r="F2272">
            <v>3074</v>
          </cell>
          <cell r="G2272" t="str">
            <v>Reach_2090</v>
          </cell>
          <cell r="H2272">
            <v>2264</v>
          </cell>
          <cell r="J2272">
            <v>611.05999999999995</v>
          </cell>
          <cell r="K2272">
            <v>349.84</v>
          </cell>
          <cell r="L2272">
            <v>9.4509700000000009E-22</v>
          </cell>
          <cell r="M2272">
            <v>1.884E-4</v>
          </cell>
          <cell r="N2272">
            <v>208929613.08540443</v>
          </cell>
          <cell r="O2272">
            <v>9.41</v>
          </cell>
          <cell r="P2272">
            <v>12.76</v>
          </cell>
          <cell r="Q2272">
            <v>1.2400000000000002</v>
          </cell>
        </row>
        <row r="2273">
          <cell r="D2273" t="str">
            <v>6938-94-9</v>
          </cell>
          <cell r="E2273">
            <v>6938949</v>
          </cell>
          <cell r="F2273">
            <v>3541</v>
          </cell>
          <cell r="G2273" t="str">
            <v>Reach_2213</v>
          </cell>
          <cell r="H2273">
            <v>2265</v>
          </cell>
          <cell r="J2273">
            <v>230.3</v>
          </cell>
          <cell r="K2273">
            <v>-48.31</v>
          </cell>
          <cell r="L2273">
            <v>5.9451800000000006</v>
          </cell>
          <cell r="M2273">
            <v>492.79</v>
          </cell>
          <cell r="N2273">
            <v>1584.8931924611156</v>
          </cell>
          <cell r="Q2273">
            <v>14</v>
          </cell>
        </row>
        <row r="2274">
          <cell r="D2274" t="str">
            <v>765-43-5</v>
          </cell>
          <cell r="E2274">
            <v>765435</v>
          </cell>
          <cell r="F2274">
            <v>3717</v>
          </cell>
          <cell r="G2274" t="str">
            <v>Reach_1540</v>
          </cell>
          <cell r="H2274">
            <v>2266</v>
          </cell>
          <cell r="J2274">
            <v>84.117999999999995</v>
          </cell>
          <cell r="K2274">
            <v>-57.48</v>
          </cell>
          <cell r="L2274">
            <v>3612.4300000000003</v>
          </cell>
          <cell r="M2274">
            <v>31252</v>
          </cell>
          <cell r="N2274">
            <v>3.630780547701014</v>
          </cell>
          <cell r="Q2274">
            <v>14</v>
          </cell>
        </row>
        <row r="2275">
          <cell r="D2275" t="str">
            <v>31837-42-0</v>
          </cell>
          <cell r="E2275">
            <v>31837420</v>
          </cell>
          <cell r="F2275">
            <v>2639</v>
          </cell>
          <cell r="G2275" t="str">
            <v>Reach_2658</v>
          </cell>
          <cell r="H2275">
            <v>2267</v>
          </cell>
          <cell r="J2275">
            <v>381.35</v>
          </cell>
          <cell r="K2275">
            <v>288.02999999999997</v>
          </cell>
          <cell r="L2275">
            <v>2.8526200000000003E-13</v>
          </cell>
          <cell r="M2275">
            <v>193.03</v>
          </cell>
          <cell r="N2275">
            <v>56.234132519034915</v>
          </cell>
          <cell r="O2275">
            <v>3.99</v>
          </cell>
          <cell r="P2275">
            <v>11.79</v>
          </cell>
          <cell r="Q2275">
            <v>2.2100000000000009</v>
          </cell>
        </row>
        <row r="2276">
          <cell r="D2276" t="str">
            <v>111-84-2</v>
          </cell>
          <cell r="E2276">
            <v>111842</v>
          </cell>
          <cell r="F2276">
            <v>1560</v>
          </cell>
          <cell r="G2276" t="str">
            <v>Reach_875</v>
          </cell>
          <cell r="H2276">
            <v>2268</v>
          </cell>
          <cell r="J2276">
            <v>128.26</v>
          </cell>
          <cell r="K2276">
            <v>-56.16</v>
          </cell>
          <cell r="L2276">
            <v>661.16800000000001</v>
          </cell>
          <cell r="M2276">
            <v>1.5107999999999999</v>
          </cell>
          <cell r="N2276">
            <v>57543.993733715732</v>
          </cell>
          <cell r="P2276">
            <v>0</v>
          </cell>
          <cell r="Q2276">
            <v>14</v>
          </cell>
        </row>
        <row r="2277">
          <cell r="D2277" t="str">
            <v>61847-48-1</v>
          </cell>
          <cell r="E2277">
            <v>61847481</v>
          </cell>
          <cell r="F2277">
            <v>3356</v>
          </cell>
          <cell r="G2277" t="str">
            <v>Reach_2852</v>
          </cell>
          <cell r="H2277">
            <v>2269</v>
          </cell>
          <cell r="J2277">
            <v>643.49</v>
          </cell>
          <cell r="K2277">
            <v>349.84</v>
          </cell>
          <cell r="L2277">
            <v>2.2261100000000002E-22</v>
          </cell>
          <cell r="M2277">
            <v>3.1600000000000002E-5</v>
          </cell>
          <cell r="N2277">
            <v>120226443.4617414</v>
          </cell>
          <cell r="O2277">
            <v>9.4</v>
          </cell>
          <cell r="Q2277">
            <v>9.4</v>
          </cell>
        </row>
        <row r="2278">
          <cell r="D2278" t="str">
            <v>3081-01-4</v>
          </cell>
          <cell r="E2278">
            <v>3081014</v>
          </cell>
          <cell r="F2278">
            <v>1257</v>
          </cell>
          <cell r="G2278" t="str">
            <v>Reach_1912</v>
          </cell>
          <cell r="H2278">
            <v>2270</v>
          </cell>
          <cell r="J2278">
            <v>282.43</v>
          </cell>
          <cell r="K2278">
            <v>129.78</v>
          </cell>
          <cell r="L2278">
            <v>2.8126300000000002E-4</v>
          </cell>
          <cell r="M2278">
            <v>0.32433000000000001</v>
          </cell>
          <cell r="N2278">
            <v>147910.83881682079</v>
          </cell>
          <cell r="P2278">
            <v>9.4</v>
          </cell>
          <cell r="Q2278">
            <v>4.5999999999999996</v>
          </cell>
        </row>
        <row r="2279">
          <cell r="D2279" t="str">
            <v>10341-03-4</v>
          </cell>
          <cell r="E2279">
            <v>10341034</v>
          </cell>
          <cell r="F2279">
            <v>1364</v>
          </cell>
          <cell r="G2279" t="str">
            <v>Reach_2289</v>
          </cell>
          <cell r="H2279">
            <v>2271</v>
          </cell>
          <cell r="J2279">
            <v>508.83</v>
          </cell>
          <cell r="K2279">
            <v>136.65</v>
          </cell>
          <cell r="L2279">
            <v>1.3023410000000002E-7</v>
          </cell>
          <cell r="M2279">
            <v>6.5200000000000001E-8</v>
          </cell>
          <cell r="N2279">
            <v>95499258602143.734</v>
          </cell>
          <cell r="Q2279">
            <v>14</v>
          </cell>
        </row>
        <row r="2280">
          <cell r="D2280" t="str">
            <v>5521-31-3</v>
          </cell>
          <cell r="E2280">
            <v>5521313</v>
          </cell>
          <cell r="F2280">
            <v>3163</v>
          </cell>
          <cell r="G2280" t="str">
            <v>Reach_2121</v>
          </cell>
          <cell r="H2280">
            <v>2272</v>
          </cell>
          <cell r="J2280">
            <v>418.41</v>
          </cell>
          <cell r="K2280">
            <v>349.84</v>
          </cell>
          <cell r="L2280">
            <v>3.6390899999999996E-18</v>
          </cell>
          <cell r="M2280">
            <v>6.3328000000000004E-3</v>
          </cell>
          <cell r="N2280">
            <v>15135.612484362096</v>
          </cell>
          <cell r="P2280">
            <v>12.8</v>
          </cell>
          <cell r="Q2280">
            <v>1.1999999999999993</v>
          </cell>
        </row>
        <row r="2281">
          <cell r="D2281" t="str">
            <v>18299-85-9</v>
          </cell>
          <cell r="E2281">
            <v>18299859</v>
          </cell>
          <cell r="F2281">
            <v>2177</v>
          </cell>
          <cell r="G2281" t="str">
            <v>Reach_2458</v>
          </cell>
          <cell r="H2281">
            <v>2273</v>
          </cell>
          <cell r="J2281">
            <v>380.66</v>
          </cell>
          <cell r="K2281">
            <v>134.59</v>
          </cell>
          <cell r="L2281">
            <v>3.2391900000000004E-5</v>
          </cell>
          <cell r="M2281">
            <v>1.3799999999999999E-6</v>
          </cell>
          <cell r="N2281">
            <v>109647819614.31862</v>
          </cell>
          <cell r="Q2281">
            <v>14</v>
          </cell>
        </row>
        <row r="2282">
          <cell r="D2282" t="str">
            <v>16397-70-9</v>
          </cell>
          <cell r="E2282">
            <v>16397709</v>
          </cell>
          <cell r="F2282">
            <v>2091</v>
          </cell>
          <cell r="G2282" t="str">
            <v>Reach_4172</v>
          </cell>
          <cell r="H2282">
            <v>2274</v>
          </cell>
          <cell r="J2282">
            <v>279.33999999999997</v>
          </cell>
          <cell r="K2282">
            <v>123.82</v>
          </cell>
          <cell r="L2282">
            <v>7.6914099999999999E-4</v>
          </cell>
          <cell r="M2282">
            <v>2.1545999999999998</v>
          </cell>
          <cell r="N2282">
            <v>102329.29922807543</v>
          </cell>
          <cell r="Q2282">
            <v>14</v>
          </cell>
        </row>
        <row r="2283">
          <cell r="D2283" t="str">
            <v>1079-66-9</v>
          </cell>
          <cell r="E2283">
            <v>1079669</v>
          </cell>
          <cell r="F2283">
            <v>1474</v>
          </cell>
          <cell r="G2283" t="str">
            <v>Reach_1644</v>
          </cell>
          <cell r="H2283">
            <v>2275</v>
          </cell>
          <cell r="J2283">
            <v>220.64</v>
          </cell>
          <cell r="K2283">
            <v>55.83</v>
          </cell>
          <cell r="L2283">
            <v>0.11317170000000001</v>
          </cell>
          <cell r="M2283">
            <v>1.4754</v>
          </cell>
          <cell r="N2283">
            <v>10471.285480509003</v>
          </cell>
          <cell r="Q2283">
            <v>14</v>
          </cell>
        </row>
        <row r="2284">
          <cell r="D2284" t="str">
            <v>66546-92-7</v>
          </cell>
          <cell r="E2284">
            <v>66546927</v>
          </cell>
          <cell r="F2284">
            <v>3476</v>
          </cell>
          <cell r="G2284" t="str">
            <v>Reach_4391</v>
          </cell>
          <cell r="H2284">
            <v>2276</v>
          </cell>
          <cell r="J2284">
            <v>183.25</v>
          </cell>
          <cell r="K2284">
            <v>40.090000000000003</v>
          </cell>
          <cell r="L2284">
            <v>1.1863700000000001</v>
          </cell>
          <cell r="M2284">
            <v>169.6</v>
          </cell>
          <cell r="N2284">
            <v>229.08676527677744</v>
          </cell>
          <cell r="Q2284">
            <v>14</v>
          </cell>
        </row>
        <row r="2285">
          <cell r="D2285" t="str">
            <v>7491-09-0</v>
          </cell>
          <cell r="E2285">
            <v>7491090</v>
          </cell>
          <cell r="F2285">
            <v>6023</v>
          </cell>
          <cell r="G2285" t="str">
            <v>Reach_2256</v>
          </cell>
          <cell r="H2285">
            <v>2277</v>
          </cell>
          <cell r="J2285">
            <v>460.67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Q2285">
            <v>14</v>
          </cell>
        </row>
        <row r="2286">
          <cell r="D2286" t="str">
            <v>2372-82-9</v>
          </cell>
          <cell r="E2286">
            <v>2372829</v>
          </cell>
          <cell r="F2286">
            <v>554</v>
          </cell>
          <cell r="G2286" t="str">
            <v>Reach_1788</v>
          </cell>
          <cell r="H2286">
            <v>2278</v>
          </cell>
          <cell r="J2286">
            <v>299.55</v>
          </cell>
          <cell r="K2286">
            <v>137.54</v>
          </cell>
          <cell r="L2286">
            <v>1.98617E-4</v>
          </cell>
          <cell r="M2286">
            <v>240.89</v>
          </cell>
          <cell r="N2286">
            <v>28840.315031266062</v>
          </cell>
          <cell r="P2286">
            <v>3</v>
          </cell>
          <cell r="Q2286">
            <v>11</v>
          </cell>
        </row>
        <row r="2287">
          <cell r="D2287" t="str">
            <v>4500-29-2</v>
          </cell>
          <cell r="E2287">
            <v>4500292</v>
          </cell>
          <cell r="F2287">
            <v>2936</v>
          </cell>
          <cell r="G2287" t="str">
            <v>Reach_2043</v>
          </cell>
          <cell r="H2287">
            <v>2279</v>
          </cell>
          <cell r="J2287">
            <v>187.28</v>
          </cell>
          <cell r="K2287">
            <v>81.95</v>
          </cell>
          <cell r="L2287">
            <v>7.3981500000000011E-4</v>
          </cell>
          <cell r="M2287">
            <v>168000</v>
          </cell>
          <cell r="N2287">
            <v>5.8884365535558905</v>
          </cell>
          <cell r="O2287">
            <v>14.68</v>
          </cell>
          <cell r="P2287">
            <v>4.5999999999999996</v>
          </cell>
          <cell r="Q2287">
            <v>9.4</v>
          </cell>
        </row>
        <row r="2288">
          <cell r="D2288" t="str">
            <v>928-96-1</v>
          </cell>
          <cell r="E2288">
            <v>928961</v>
          </cell>
          <cell r="F2288">
            <v>1016</v>
          </cell>
          <cell r="G2288" t="str">
            <v>Reach_1602</v>
          </cell>
          <cell r="H2288">
            <v>2280</v>
          </cell>
          <cell r="J2288">
            <v>100.16</v>
          </cell>
          <cell r="K2288">
            <v>-38.47</v>
          </cell>
          <cell r="L2288">
            <v>124.90210000000002</v>
          </cell>
          <cell r="M2288">
            <v>26927</v>
          </cell>
          <cell r="N2288">
            <v>40.738027780411301</v>
          </cell>
          <cell r="O2288">
            <v>15.9</v>
          </cell>
          <cell r="Q2288">
            <v>14</v>
          </cell>
        </row>
        <row r="2289">
          <cell r="D2289" t="str">
            <v>868-84-8</v>
          </cell>
          <cell r="E2289">
            <v>868848</v>
          </cell>
          <cell r="F2289">
            <v>3912</v>
          </cell>
          <cell r="G2289" t="str">
            <v>Reach_4480</v>
          </cell>
          <cell r="H2289">
            <v>2281</v>
          </cell>
          <cell r="J2289">
            <v>122.21</v>
          </cell>
          <cell r="K2289">
            <v>-19.97</v>
          </cell>
          <cell r="L2289">
            <v>134.63300000000001</v>
          </cell>
          <cell r="M2289">
            <v>4373.7</v>
          </cell>
          <cell r="N2289">
            <v>10.471285480509</v>
          </cell>
          <cell r="Q2289">
            <v>14</v>
          </cell>
        </row>
        <row r="2290">
          <cell r="D2290" t="str">
            <v>3965-55-7</v>
          </cell>
          <cell r="E2290">
            <v>3965557</v>
          </cell>
          <cell r="F2290">
            <v>5872</v>
          </cell>
          <cell r="G2290" t="str">
            <v>Reach_2004</v>
          </cell>
          <cell r="H2290">
            <v>2282</v>
          </cell>
          <cell r="J2290">
            <v>296.23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Q2290">
            <v>14</v>
          </cell>
        </row>
        <row r="2291">
          <cell r="D2291" t="str">
            <v>129909-90-6</v>
          </cell>
          <cell r="E2291">
            <v>129909906</v>
          </cell>
          <cell r="F2291">
            <v>415</v>
          </cell>
          <cell r="G2291" t="str">
            <v>Reach_4117</v>
          </cell>
          <cell r="H2291">
            <v>2283</v>
          </cell>
          <cell r="J2291">
            <v>241.3</v>
          </cell>
          <cell r="K2291">
            <v>176.73</v>
          </cell>
          <cell r="L2291">
            <v>7.9846700000000013E-6</v>
          </cell>
          <cell r="M2291">
            <v>5354.7</v>
          </cell>
          <cell r="N2291">
            <v>17.378008287493756</v>
          </cell>
          <cell r="O2291">
            <v>0</v>
          </cell>
          <cell r="P2291">
            <v>12</v>
          </cell>
          <cell r="Q2291">
            <v>0</v>
          </cell>
        </row>
        <row r="2292">
          <cell r="D2292" t="str">
            <v>1450-14-2</v>
          </cell>
          <cell r="E2292">
            <v>1450142</v>
          </cell>
          <cell r="F2292">
            <v>1983</v>
          </cell>
          <cell r="G2292" t="str">
            <v>Reach_1682</v>
          </cell>
          <cell r="H2292">
            <v>2284</v>
          </cell>
          <cell r="J2292">
            <v>146.38</v>
          </cell>
          <cell r="K2292">
            <v>-97.82</v>
          </cell>
          <cell r="L2292">
            <v>2772.6400000000003</v>
          </cell>
          <cell r="M2292">
            <v>14.076000000000001</v>
          </cell>
          <cell r="N2292">
            <v>12882.49551693136</v>
          </cell>
          <cell r="Q2292">
            <v>14</v>
          </cell>
        </row>
        <row r="2293">
          <cell r="D2293" t="str">
            <v>112-59-4</v>
          </cell>
          <cell r="E2293">
            <v>112594</v>
          </cell>
          <cell r="F2293">
            <v>1593</v>
          </cell>
          <cell r="G2293" t="str">
            <v>Reach_914</v>
          </cell>
          <cell r="H2293">
            <v>2285</v>
          </cell>
          <cell r="J2293">
            <v>190.28</v>
          </cell>
          <cell r="K2293">
            <v>40.520000000000003</v>
          </cell>
          <cell r="L2293">
            <v>0.22661000000000001</v>
          </cell>
          <cell r="M2293">
            <v>121000</v>
          </cell>
          <cell r="N2293">
            <v>18.62087136662868</v>
          </cell>
          <cell r="O2293">
            <v>14.89</v>
          </cell>
          <cell r="Q2293">
            <v>14</v>
          </cell>
        </row>
        <row r="2294">
          <cell r="D2294" t="str">
            <v>13927-71-4</v>
          </cell>
          <cell r="E2294">
            <v>13927714</v>
          </cell>
          <cell r="F2294">
            <v>5685</v>
          </cell>
          <cell r="G2294" t="str">
            <v>Reach_2351</v>
          </cell>
          <cell r="H2294">
            <v>2286</v>
          </cell>
          <cell r="J2294">
            <v>472.3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Q2294">
            <v>14</v>
          </cell>
        </row>
        <row r="2295">
          <cell r="D2295" t="str">
            <v>1000777-61-6</v>
          </cell>
          <cell r="E2295">
            <v>1000777616</v>
          </cell>
          <cell r="F2295">
            <v>5589</v>
          </cell>
          <cell r="G2295" t="str">
            <v>Reach_4054</v>
          </cell>
          <cell r="H2295">
            <v>2287</v>
          </cell>
          <cell r="J2295">
            <v>484.75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P2295">
            <v>0</v>
          </cell>
          <cell r="Q2295">
            <v>14</v>
          </cell>
        </row>
        <row r="2296">
          <cell r="D2296" t="str">
            <v>62-54-4</v>
          </cell>
          <cell r="E2296">
            <v>62544</v>
          </cell>
          <cell r="F2296">
            <v>6274</v>
          </cell>
          <cell r="G2296" t="str">
            <v>PharmaBeta_363</v>
          </cell>
          <cell r="H2296">
            <v>2288</v>
          </cell>
          <cell r="J2296">
            <v>158.16999999999999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P2296">
            <v>0</v>
          </cell>
          <cell r="Q2296">
            <v>14</v>
          </cell>
        </row>
        <row r="2297">
          <cell r="D2297" t="str">
            <v>21049-70-7</v>
          </cell>
          <cell r="E2297">
            <v>21049707</v>
          </cell>
          <cell r="F2297">
            <v>5771</v>
          </cell>
          <cell r="G2297" t="str">
            <v>Reach_2502</v>
          </cell>
          <cell r="H2297">
            <v>2289</v>
          </cell>
          <cell r="J2297">
            <v>139.16999999999999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Q2297">
            <v>14</v>
          </cell>
        </row>
        <row r="2298">
          <cell r="D2298" t="str">
            <v>665-66-7</v>
          </cell>
          <cell r="E2298">
            <v>665667</v>
          </cell>
          <cell r="F2298">
            <v>5981</v>
          </cell>
          <cell r="G2298" t="str">
            <v>Reach_1493</v>
          </cell>
          <cell r="H2298">
            <v>2290</v>
          </cell>
          <cell r="J2298">
            <v>187.72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Q2298">
            <v>0</v>
          </cell>
        </row>
        <row r="2299">
          <cell r="D2299" t="str">
            <v>73833-37-1</v>
          </cell>
          <cell r="E2299">
            <v>73833371</v>
          </cell>
          <cell r="F2299">
            <v>6018</v>
          </cell>
          <cell r="G2299" t="str">
            <v>Reach_2941</v>
          </cell>
          <cell r="H2299">
            <v>2291</v>
          </cell>
          <cell r="J2299">
            <v>401.04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Q2299">
            <v>14</v>
          </cell>
        </row>
        <row r="2300">
          <cell r="D2300" t="str">
            <v>53075-09-5</v>
          </cell>
          <cell r="E2300">
            <v>53075095</v>
          </cell>
          <cell r="F2300">
            <v>5919</v>
          </cell>
          <cell r="G2300" t="str">
            <v>Reach_4341</v>
          </cell>
          <cell r="H2300">
            <v>2292</v>
          </cell>
          <cell r="J2300">
            <v>211.35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P2300">
            <v>0</v>
          </cell>
          <cell r="Q2300">
            <v>14</v>
          </cell>
        </row>
        <row r="2301">
          <cell r="D2301" t="str">
            <v>6994-25-8</v>
          </cell>
          <cell r="E2301">
            <v>6994258</v>
          </cell>
          <cell r="F2301">
            <v>3553</v>
          </cell>
          <cell r="G2301" t="str">
            <v>Reach_2218</v>
          </cell>
          <cell r="H2301">
            <v>2293</v>
          </cell>
          <cell r="J2301">
            <v>155.16</v>
          </cell>
          <cell r="K2301">
            <v>106.68</v>
          </cell>
          <cell r="L2301">
            <v>9.7309000000000007E-3</v>
          </cell>
          <cell r="M2301">
            <v>35705</v>
          </cell>
          <cell r="N2301">
            <v>0.29512092266663847</v>
          </cell>
          <cell r="P2301">
            <v>12.7</v>
          </cell>
          <cell r="Q2301">
            <v>1.3000000000000007</v>
          </cell>
        </row>
        <row r="2302">
          <cell r="D2302" t="str">
            <v>66492-51-1</v>
          </cell>
          <cell r="E2302">
            <v>66492511</v>
          </cell>
          <cell r="F2302">
            <v>3475</v>
          </cell>
          <cell r="G2302" t="str">
            <v>Reach_2882</v>
          </cell>
          <cell r="H2302">
            <v>2294</v>
          </cell>
          <cell r="J2302">
            <v>200.23</v>
          </cell>
          <cell r="K2302">
            <v>44.59</v>
          </cell>
          <cell r="L2302">
            <v>1.8795300000000001</v>
          </cell>
          <cell r="M2302">
            <v>2904.9</v>
          </cell>
          <cell r="N2302">
            <v>27.542287033381665</v>
          </cell>
          <cell r="Q2302">
            <v>14</v>
          </cell>
        </row>
        <row r="2303">
          <cell r="D2303" t="str">
            <v>1530-32-1</v>
          </cell>
          <cell r="E2303">
            <v>1530321</v>
          </cell>
          <cell r="F2303">
            <v>2028</v>
          </cell>
          <cell r="G2303" t="str">
            <v>Reach_1689</v>
          </cell>
          <cell r="H2303">
            <v>2295</v>
          </cell>
          <cell r="J2303">
            <v>371.26</v>
          </cell>
          <cell r="K2303">
            <v>150.66999999999999</v>
          </cell>
          <cell r="L2303">
            <v>8.8777800000000002E-6</v>
          </cell>
          <cell r="M2303">
            <v>5.2843999999999999E-3</v>
          </cell>
          <cell r="N2303">
            <v>0.81283051616409918</v>
          </cell>
          <cell r="O2303">
            <v>0</v>
          </cell>
          <cell r="P2303">
            <v>0</v>
          </cell>
          <cell r="Q2303">
            <v>0</v>
          </cell>
        </row>
        <row r="2304">
          <cell r="D2304" t="str">
            <v>2752-17-2</v>
          </cell>
          <cell r="E2304">
            <v>2752172</v>
          </cell>
          <cell r="F2304">
            <v>2511</v>
          </cell>
          <cell r="G2304" t="str">
            <v>Reach_1863</v>
          </cell>
          <cell r="H2304">
            <v>2296</v>
          </cell>
          <cell r="J2304">
            <v>104.16</v>
          </cell>
          <cell r="K2304">
            <v>18.57</v>
          </cell>
          <cell r="L2304">
            <v>190.619</v>
          </cell>
          <cell r="M2304">
            <v>3720000</v>
          </cell>
          <cell r="N2304">
            <v>1.2882495516931332E-2</v>
          </cell>
          <cell r="P2304">
            <v>4.28</v>
          </cell>
          <cell r="Q2304">
            <v>9.7199999999999989</v>
          </cell>
        </row>
        <row r="2305">
          <cell r="D2305" t="str">
            <v>2500-88-1</v>
          </cell>
          <cell r="E2305">
            <v>2500881</v>
          </cell>
          <cell r="F2305">
            <v>2411</v>
          </cell>
          <cell r="G2305" t="str">
            <v>Reach_1824</v>
          </cell>
          <cell r="H2305">
            <v>2297</v>
          </cell>
          <cell r="J2305">
            <v>571.12</v>
          </cell>
          <cell r="K2305">
            <v>241.31</v>
          </cell>
          <cell r="L2305">
            <v>1.0037490000000001E-10</v>
          </cell>
          <cell r="M2305">
            <v>4.16E-12</v>
          </cell>
          <cell r="N2305">
            <v>3.7153522909717524E+18</v>
          </cell>
          <cell r="Q2305">
            <v>14</v>
          </cell>
        </row>
        <row r="2306">
          <cell r="D2306" t="str">
            <v>4531-49-1</v>
          </cell>
          <cell r="E2306">
            <v>4531491</v>
          </cell>
          <cell r="F2306">
            <v>2939</v>
          </cell>
          <cell r="G2306" t="str">
            <v>Reach_2046</v>
          </cell>
          <cell r="H2306">
            <v>2298</v>
          </cell>
          <cell r="J2306">
            <v>689.56</v>
          </cell>
          <cell r="K2306">
            <v>349.84</v>
          </cell>
          <cell r="L2306">
            <v>5.8118800000000009E-21</v>
          </cell>
          <cell r="M2306">
            <v>8.6100000000000006E-5</v>
          </cell>
          <cell r="N2306">
            <v>1230268.770812382</v>
          </cell>
          <cell r="O2306">
            <v>8.4499999999999993</v>
          </cell>
          <cell r="P2306">
            <v>13.7</v>
          </cell>
          <cell r="Q2306">
            <v>0.30000000000000071</v>
          </cell>
        </row>
        <row r="2307">
          <cell r="D2307" t="str">
            <v>93-20-9</v>
          </cell>
          <cell r="E2307">
            <v>93209</v>
          </cell>
          <cell r="F2307">
            <v>4065</v>
          </cell>
          <cell r="G2307" t="str">
            <v>Reach_401</v>
          </cell>
          <cell r="H2307">
            <v>2299</v>
          </cell>
          <cell r="J2307">
            <v>188.23</v>
          </cell>
          <cell r="K2307">
            <v>94.47</v>
          </cell>
          <cell r="L2307">
            <v>5.7185699999999994E-4</v>
          </cell>
          <cell r="M2307">
            <v>1546.9</v>
          </cell>
          <cell r="N2307">
            <v>190.54607179632481</v>
          </cell>
          <cell r="O2307">
            <v>14.77</v>
          </cell>
          <cell r="Q2307">
            <v>14</v>
          </cell>
        </row>
        <row r="2308">
          <cell r="D2308" t="str">
            <v>90-12-0</v>
          </cell>
          <cell r="E2308">
            <v>90120</v>
          </cell>
          <cell r="F2308">
            <v>1000</v>
          </cell>
          <cell r="G2308" t="str">
            <v>Reach_359</v>
          </cell>
          <cell r="H2308">
            <v>2300</v>
          </cell>
          <cell r="J2308">
            <v>142.19999999999999</v>
          </cell>
          <cell r="K2308">
            <v>22.15</v>
          </cell>
          <cell r="L2308">
            <v>4.9054400000000005</v>
          </cell>
          <cell r="M2308">
            <v>39.933</v>
          </cell>
          <cell r="N2308">
            <v>5248.0746024977352</v>
          </cell>
          <cell r="Q2308">
            <v>14</v>
          </cell>
        </row>
        <row r="2309">
          <cell r="D2309" t="str">
            <v>103-95-7</v>
          </cell>
          <cell r="E2309">
            <v>103957</v>
          </cell>
          <cell r="F2309">
            <v>1382</v>
          </cell>
          <cell r="G2309" t="str">
            <v>Reach_617</v>
          </cell>
          <cell r="H2309">
            <v>2301</v>
          </cell>
          <cell r="J2309">
            <v>190.29</v>
          </cell>
          <cell r="K2309">
            <v>29.1</v>
          </cell>
          <cell r="L2309">
            <v>3025.9100000000003</v>
          </cell>
          <cell r="M2309">
            <v>16.652999999999999</v>
          </cell>
          <cell r="N2309">
            <v>8128.3051616410066</v>
          </cell>
          <cell r="Q2309">
            <v>14</v>
          </cell>
        </row>
        <row r="2310">
          <cell r="D2310" t="str">
            <v>94-13-3</v>
          </cell>
          <cell r="E2310">
            <v>94133</v>
          </cell>
          <cell r="F2310">
            <v>109</v>
          </cell>
          <cell r="G2310" t="str">
            <v>Reach_412</v>
          </cell>
          <cell r="H2310">
            <v>2302</v>
          </cell>
          <cell r="J2310">
            <v>180.2</v>
          </cell>
          <cell r="K2310">
            <v>71.81</v>
          </cell>
          <cell r="L2310">
            <v>4.0923100000000004E-2</v>
          </cell>
          <cell r="M2310">
            <v>474.52</v>
          </cell>
          <cell r="N2310">
            <v>954.99258602143675</v>
          </cell>
          <cell r="O2310">
            <v>8.5</v>
          </cell>
          <cell r="Q2310">
            <v>8.5</v>
          </cell>
        </row>
        <row r="2311">
          <cell r="D2311" t="str">
            <v>35836-73-8</v>
          </cell>
          <cell r="E2311">
            <v>35836738</v>
          </cell>
          <cell r="F2311">
            <v>2751</v>
          </cell>
          <cell r="G2311" t="str">
            <v>Reach_2694</v>
          </cell>
          <cell r="H2311">
            <v>2303</v>
          </cell>
          <cell r="J2311">
            <v>166.26</v>
          </cell>
          <cell r="K2311">
            <v>49.6</v>
          </cell>
          <cell r="L2311">
            <v>0.63184200000000013</v>
          </cell>
          <cell r="M2311">
            <v>1404.4</v>
          </cell>
          <cell r="N2311">
            <v>1949.8445997580463</v>
          </cell>
          <cell r="O2311">
            <v>15.9</v>
          </cell>
          <cell r="Q2311">
            <v>14</v>
          </cell>
        </row>
        <row r="2312">
          <cell r="D2312" t="str">
            <v>298-07-7</v>
          </cell>
          <cell r="E2312">
            <v>298077</v>
          </cell>
          <cell r="F2312">
            <v>592</v>
          </cell>
          <cell r="G2312" t="str">
            <v>Reach_1227</v>
          </cell>
          <cell r="H2312">
            <v>2304</v>
          </cell>
          <cell r="J2312">
            <v>322.43</v>
          </cell>
          <cell r="K2312">
            <v>86.28</v>
          </cell>
          <cell r="L2312">
            <v>2.3994000000000001E-5</v>
          </cell>
          <cell r="M2312">
            <v>0.60382999999999998</v>
          </cell>
          <cell r="N2312">
            <v>1174897.5549395324</v>
          </cell>
          <cell r="O2312">
            <v>1.5</v>
          </cell>
          <cell r="Q2312">
            <v>1.5</v>
          </cell>
        </row>
        <row r="2313">
          <cell r="D2313" t="str">
            <v>78-98-8</v>
          </cell>
          <cell r="E2313">
            <v>78988</v>
          </cell>
          <cell r="F2313">
            <v>3763</v>
          </cell>
          <cell r="G2313" t="str">
            <v>Reach_221</v>
          </cell>
          <cell r="H2313">
            <v>2305</v>
          </cell>
          <cell r="J2313">
            <v>72.063000000000002</v>
          </cell>
          <cell r="K2313">
            <v>-54.17</v>
          </cell>
          <cell r="L2313">
            <v>16129.300000000001</v>
          </cell>
          <cell r="M2313">
            <v>7430000</v>
          </cell>
          <cell r="N2313">
            <v>3.1622776601683784E-2</v>
          </cell>
          <cell r="Q2313">
            <v>14</v>
          </cell>
        </row>
        <row r="2314">
          <cell r="D2314" t="str">
            <v>73612-29-0</v>
          </cell>
          <cell r="E2314">
            <v>73612290</v>
          </cell>
          <cell r="F2314">
            <v>6016</v>
          </cell>
          <cell r="G2314" t="str">
            <v>Reach_2939</v>
          </cell>
          <cell r="H2314">
            <v>2306</v>
          </cell>
          <cell r="J2314">
            <v>472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Q2314">
            <v>14</v>
          </cell>
        </row>
        <row r="2315">
          <cell r="D2315" t="str">
            <v>541-85-5</v>
          </cell>
          <cell r="E2315">
            <v>541855</v>
          </cell>
          <cell r="F2315">
            <v>686</v>
          </cell>
          <cell r="G2315" t="str">
            <v>Reach_1342</v>
          </cell>
          <cell r="H2315">
            <v>2307</v>
          </cell>
          <cell r="J2315">
            <v>128.22</v>
          </cell>
          <cell r="K2315">
            <v>-42.06</v>
          </cell>
          <cell r="L2315">
            <v>458.55200000000002</v>
          </cell>
          <cell r="M2315">
            <v>571.03</v>
          </cell>
          <cell r="N2315">
            <v>141.25375446227542</v>
          </cell>
          <cell r="O2315">
            <v>0</v>
          </cell>
          <cell r="P2315">
            <v>0</v>
          </cell>
          <cell r="Q2315">
            <v>0</v>
          </cell>
        </row>
        <row r="2316">
          <cell r="D2316" t="str">
            <v>95-38-5</v>
          </cell>
          <cell r="E2316">
            <v>95385</v>
          </cell>
          <cell r="F2316">
            <v>4126</v>
          </cell>
          <cell r="G2316" t="str">
            <v>Reach_427</v>
          </cell>
          <cell r="H2316">
            <v>2308</v>
          </cell>
          <cell r="J2316">
            <v>350.59</v>
          </cell>
          <cell r="K2316">
            <v>175.53</v>
          </cell>
          <cell r="L2316">
            <v>3.09256E-8</v>
          </cell>
          <cell r="M2316">
            <v>8.5627999999999996E-2</v>
          </cell>
          <cell r="N2316">
            <v>32359365.692962918</v>
          </cell>
          <cell r="O2316">
            <v>15.9</v>
          </cell>
          <cell r="P2316">
            <v>3.04</v>
          </cell>
          <cell r="Q2316">
            <v>10.96</v>
          </cell>
        </row>
        <row r="2317">
          <cell r="D2317" t="str">
            <v>70-55-3</v>
          </cell>
          <cell r="E2317">
            <v>70553</v>
          </cell>
          <cell r="F2317">
            <v>85</v>
          </cell>
          <cell r="G2317" t="str">
            <v>Reach_98</v>
          </cell>
          <cell r="H2317">
            <v>2309</v>
          </cell>
          <cell r="J2317">
            <v>171.22</v>
          </cell>
          <cell r="K2317">
            <v>91.19</v>
          </cell>
          <cell r="L2317">
            <v>1.2743480000000001E-2</v>
          </cell>
          <cell r="M2317">
            <v>1950</v>
          </cell>
          <cell r="N2317">
            <v>8.3176377110267108</v>
          </cell>
          <cell r="O2317">
            <v>10.1</v>
          </cell>
          <cell r="Q2317">
            <v>10.1</v>
          </cell>
        </row>
        <row r="2318">
          <cell r="D2318" t="str">
            <v>10254-57-6</v>
          </cell>
          <cell r="E2318">
            <v>10254576</v>
          </cell>
          <cell r="F2318">
            <v>1344</v>
          </cell>
          <cell r="G2318" t="str">
            <v>Reach_2285</v>
          </cell>
          <cell r="H2318">
            <v>2310</v>
          </cell>
          <cell r="J2318">
            <v>422.79</v>
          </cell>
          <cell r="K2318">
            <v>202.55</v>
          </cell>
          <cell r="L2318">
            <v>8.4912100000000005E-8</v>
          </cell>
          <cell r="M2318">
            <v>3.9125999999999996E-3</v>
          </cell>
          <cell r="N2318">
            <v>5370317.9637025446</v>
          </cell>
          <cell r="P2318">
            <v>15.36</v>
          </cell>
          <cell r="Q2318">
            <v>-1.3599999999999994</v>
          </cell>
        </row>
        <row r="2319">
          <cell r="D2319" t="str">
            <v>2554-06-5</v>
          </cell>
          <cell r="E2319">
            <v>2554065</v>
          </cell>
          <cell r="F2319">
            <v>1252</v>
          </cell>
          <cell r="G2319" t="str">
            <v>Reach_1839</v>
          </cell>
          <cell r="H2319">
            <v>2311</v>
          </cell>
          <cell r="J2319">
            <v>344.66</v>
          </cell>
          <cell r="K2319">
            <v>42.41</v>
          </cell>
          <cell r="L2319">
            <v>14.263100000000001</v>
          </cell>
          <cell r="M2319">
            <v>0</v>
          </cell>
          <cell r="N2319">
            <v>162181009.73589352</v>
          </cell>
          <cell r="Q2319">
            <v>14</v>
          </cell>
        </row>
        <row r="2320">
          <cell r="D2320" t="str">
            <v>105-75-9</v>
          </cell>
          <cell r="E2320">
            <v>105759</v>
          </cell>
          <cell r="F2320">
            <v>182</v>
          </cell>
          <cell r="G2320" t="str">
            <v>Reach_649</v>
          </cell>
          <cell r="H2320">
            <v>2312</v>
          </cell>
          <cell r="J2320">
            <v>228.29</v>
          </cell>
          <cell r="K2320">
            <v>-28.21</v>
          </cell>
          <cell r="L2320">
            <v>0.70915600000000012</v>
          </cell>
          <cell r="M2320">
            <v>134.07</v>
          </cell>
          <cell r="N2320">
            <v>14454.397707459291</v>
          </cell>
          <cell r="Q2320">
            <v>14</v>
          </cell>
        </row>
        <row r="2321">
          <cell r="D2321" t="str">
            <v>90-30-2</v>
          </cell>
          <cell r="E2321">
            <v>90302</v>
          </cell>
          <cell r="F2321">
            <v>1002</v>
          </cell>
          <cell r="G2321" t="str">
            <v>Reach_362</v>
          </cell>
          <cell r="H2321">
            <v>2313</v>
          </cell>
          <cell r="J2321">
            <v>219.29</v>
          </cell>
          <cell r="K2321">
            <v>114.84</v>
          </cell>
          <cell r="L2321">
            <v>3.8523700000000004E-3</v>
          </cell>
          <cell r="M2321">
            <v>17.965</v>
          </cell>
          <cell r="N2321">
            <v>29512.092266663854</v>
          </cell>
          <cell r="P2321">
            <v>13</v>
          </cell>
          <cell r="Q2321">
            <v>1</v>
          </cell>
        </row>
        <row r="2322">
          <cell r="D2322" t="str">
            <v>70321-86-7</v>
          </cell>
          <cell r="E2322">
            <v>70321867</v>
          </cell>
          <cell r="F2322">
            <v>3559</v>
          </cell>
          <cell r="G2322" t="str">
            <v>Reach_2916</v>
          </cell>
          <cell r="H2322">
            <v>2314</v>
          </cell>
          <cell r="J2322">
            <v>447.58</v>
          </cell>
          <cell r="K2322">
            <v>259.19</v>
          </cell>
          <cell r="L2322">
            <v>2.1727900000000001E-12</v>
          </cell>
          <cell r="M2322">
            <v>1.3165E-3</v>
          </cell>
          <cell r="N2322">
            <v>46773514.128719881</v>
          </cell>
          <cell r="O2322">
            <v>10.32</v>
          </cell>
          <cell r="P2322">
            <v>15.23</v>
          </cell>
          <cell r="Q2322">
            <v>-1.2300000000000004</v>
          </cell>
        </row>
        <row r="2323">
          <cell r="D2323" t="str">
            <v>616-02-4</v>
          </cell>
          <cell r="E2323">
            <v>616024</v>
          </cell>
          <cell r="F2323">
            <v>3341</v>
          </cell>
          <cell r="G2323" t="str">
            <v>Reach_1429</v>
          </cell>
          <cell r="H2323">
            <v>2315</v>
          </cell>
          <cell r="J2323">
            <v>112.08</v>
          </cell>
          <cell r="K2323">
            <v>-33.96</v>
          </cell>
          <cell r="L2323">
            <v>24.393900000000002</v>
          </cell>
          <cell r="M2323">
            <v>54270</v>
          </cell>
          <cell r="N2323">
            <v>147.91083881682084</v>
          </cell>
          <cell r="Q2323">
            <v>14</v>
          </cell>
        </row>
        <row r="2324">
          <cell r="D2324" t="str">
            <v>3468-63-1</v>
          </cell>
          <cell r="E2324">
            <v>3468631</v>
          </cell>
          <cell r="F2324">
            <v>2713</v>
          </cell>
          <cell r="G2324" t="str">
            <v>Reach_1967</v>
          </cell>
          <cell r="H2324">
            <v>2316</v>
          </cell>
          <cell r="J2324">
            <v>338.28</v>
          </cell>
          <cell r="K2324">
            <v>220.89</v>
          </cell>
          <cell r="L2324">
            <v>1.242356E-9</v>
          </cell>
          <cell r="M2324">
            <v>0.19485</v>
          </cell>
          <cell r="N2324">
            <v>524807.46024977288</v>
          </cell>
          <cell r="O2324">
            <v>8.5</v>
          </cell>
          <cell r="Q2324">
            <v>8.5</v>
          </cell>
        </row>
        <row r="2325">
          <cell r="D2325" t="str">
            <v>19708-81-7</v>
          </cell>
          <cell r="E2325">
            <v>19708817</v>
          </cell>
          <cell r="F2325">
            <v>2237</v>
          </cell>
          <cell r="G2325" t="str">
            <v>Reach_4205</v>
          </cell>
          <cell r="H2325">
            <v>2317</v>
          </cell>
          <cell r="J2325">
            <v>122.21</v>
          </cell>
          <cell r="K2325">
            <v>-14.09</v>
          </cell>
          <cell r="L2325">
            <v>201.28300000000002</v>
          </cell>
          <cell r="M2325">
            <v>4154.1000000000004</v>
          </cell>
          <cell r="N2325">
            <v>3.3113112148259116</v>
          </cell>
          <cell r="P2325">
            <v>0</v>
          </cell>
          <cell r="Q2325">
            <v>14</v>
          </cell>
        </row>
        <row r="2326">
          <cell r="D2326" t="str">
            <v>696-29-7</v>
          </cell>
          <cell r="E2326">
            <v>696297</v>
          </cell>
          <cell r="F2326">
            <v>809</v>
          </cell>
          <cell r="G2326" t="str">
            <v>Reach_1512</v>
          </cell>
          <cell r="H2326">
            <v>2318</v>
          </cell>
          <cell r="J2326">
            <v>126.24</v>
          </cell>
          <cell r="K2326">
            <v>-61</v>
          </cell>
          <cell r="L2326">
            <v>553.19500000000005</v>
          </cell>
          <cell r="M2326">
            <v>7.6157000000000004</v>
          </cell>
          <cell r="N2326">
            <v>31622.77660168384</v>
          </cell>
          <cell r="Q2326">
            <v>14</v>
          </cell>
        </row>
        <row r="2327">
          <cell r="D2327" t="str">
            <v>3717-40-6</v>
          </cell>
          <cell r="E2327">
            <v>3717406</v>
          </cell>
          <cell r="F2327">
            <v>2792</v>
          </cell>
          <cell r="G2327" t="str">
            <v>Reach_4297</v>
          </cell>
          <cell r="H2327">
            <v>2319</v>
          </cell>
          <cell r="J2327">
            <v>179.31</v>
          </cell>
          <cell r="K2327">
            <v>34.619999999999997</v>
          </cell>
          <cell r="L2327">
            <v>13.130050000000002</v>
          </cell>
          <cell r="M2327">
            <v>435.24</v>
          </cell>
          <cell r="N2327">
            <v>1288.2495516931347</v>
          </cell>
          <cell r="Q2327">
            <v>14</v>
          </cell>
        </row>
        <row r="2328">
          <cell r="D2328" t="str">
            <v>767340-03-4</v>
          </cell>
          <cell r="E2328">
            <v>767340034</v>
          </cell>
          <cell r="F2328">
            <v>3723</v>
          </cell>
          <cell r="G2328" t="str">
            <v>Reach_4436</v>
          </cell>
          <cell r="H2328">
            <v>2320</v>
          </cell>
          <cell r="J2328">
            <v>405.31</v>
          </cell>
          <cell r="K2328">
            <v>185.07</v>
          </cell>
          <cell r="L2328">
            <v>2.3194200000000003E-6</v>
          </cell>
          <cell r="M2328">
            <v>1.5981000000000001</v>
          </cell>
          <cell r="N2328">
            <v>33.884415613920268</v>
          </cell>
          <cell r="Q2328">
            <v>14</v>
          </cell>
        </row>
        <row r="2329">
          <cell r="D2329" t="str">
            <v>68015-77-0</v>
          </cell>
          <cell r="E2329">
            <v>68015770</v>
          </cell>
          <cell r="F2329">
            <v>5992</v>
          </cell>
          <cell r="G2329" t="str">
            <v>Reach_2896</v>
          </cell>
          <cell r="H2329">
            <v>2321</v>
          </cell>
          <cell r="J2329">
            <v>421.35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Q2329">
            <v>14</v>
          </cell>
        </row>
        <row r="2330">
          <cell r="D2330" t="str">
            <v>20824-56-0</v>
          </cell>
          <cell r="E2330">
            <v>20824560</v>
          </cell>
          <cell r="F2330">
            <v>1204</v>
          </cell>
          <cell r="G2330" t="str">
            <v>Reach_2499</v>
          </cell>
          <cell r="H2330">
            <v>2322</v>
          </cell>
          <cell r="J2330">
            <v>326.31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Q2330">
            <v>14</v>
          </cell>
        </row>
        <row r="2331">
          <cell r="D2331" t="str">
            <v>627-83-8</v>
          </cell>
          <cell r="E2331">
            <v>627838</v>
          </cell>
          <cell r="F2331">
            <v>3377</v>
          </cell>
          <cell r="G2331" t="str">
            <v>Reach_1459</v>
          </cell>
          <cell r="H2331">
            <v>2323</v>
          </cell>
          <cell r="J2331">
            <v>595.01</v>
          </cell>
          <cell r="K2331">
            <v>211.93</v>
          </cell>
          <cell r="L2331">
            <v>1.0677330000000001E-8</v>
          </cell>
          <cell r="M2331">
            <v>1.5999999999999999E-10</v>
          </cell>
          <cell r="N2331">
            <v>1.3182567385564102E+16</v>
          </cell>
          <cell r="Q2331">
            <v>14</v>
          </cell>
        </row>
        <row r="2332">
          <cell r="D2332" t="str">
            <v>77-71-4</v>
          </cell>
          <cell r="E2332">
            <v>77714</v>
          </cell>
          <cell r="F2332">
            <v>883</v>
          </cell>
          <cell r="G2332" t="str">
            <v>Reach_181</v>
          </cell>
          <cell r="H2332">
            <v>2324</v>
          </cell>
          <cell r="J2332">
            <v>128.13</v>
          </cell>
          <cell r="K2332">
            <v>150.34</v>
          </cell>
          <cell r="L2332">
            <v>1.8128799999999999E-4</v>
          </cell>
          <cell r="M2332">
            <v>17086</v>
          </cell>
          <cell r="N2332">
            <v>0.53703179637025267</v>
          </cell>
          <cell r="O2332">
            <v>9.1</v>
          </cell>
          <cell r="P2332">
            <v>14</v>
          </cell>
          <cell r="Q2332">
            <v>0</v>
          </cell>
        </row>
        <row r="2333">
          <cell r="D2333" t="str">
            <v>90268-24-9</v>
          </cell>
          <cell r="E2333">
            <v>90268249</v>
          </cell>
          <cell r="F2333">
            <v>3996</v>
          </cell>
          <cell r="G2333" t="str">
            <v>Reach_2992</v>
          </cell>
          <cell r="H2333">
            <v>2325</v>
          </cell>
          <cell r="J2333">
            <v>752.06</v>
          </cell>
          <cell r="K2333">
            <v>349.84</v>
          </cell>
          <cell r="L2333">
            <v>3.8790300000000002E-22</v>
          </cell>
          <cell r="M2333">
            <v>1.68E-6</v>
          </cell>
          <cell r="N2333">
            <v>67608297.539198399</v>
          </cell>
          <cell r="O2333">
            <v>8.4499999999999993</v>
          </cell>
          <cell r="P2333">
            <v>13.66</v>
          </cell>
          <cell r="Q2333">
            <v>0.33999999999999986</v>
          </cell>
        </row>
        <row r="2334">
          <cell r="D2334" t="str">
            <v>66108-95-0</v>
          </cell>
          <cell r="E2334">
            <v>66108950</v>
          </cell>
          <cell r="F2334">
            <v>80</v>
          </cell>
          <cell r="G2334" t="str">
            <v>Reach_2877</v>
          </cell>
          <cell r="H2334">
            <v>2326</v>
          </cell>
          <cell r="J2334">
            <v>821.13</v>
          </cell>
          <cell r="K2334">
            <v>349.84</v>
          </cell>
          <cell r="L2334">
            <v>5.4119799999999999E-27</v>
          </cell>
          <cell r="M2334">
            <v>0.64073000000000002</v>
          </cell>
          <cell r="N2334">
            <v>1.5488166189124802E-3</v>
          </cell>
          <cell r="O2334">
            <v>11.81</v>
          </cell>
          <cell r="Q2334">
            <v>11.81</v>
          </cell>
        </row>
        <row r="2335">
          <cell r="D2335" t="str">
            <v>7585-41-3</v>
          </cell>
          <cell r="E2335">
            <v>7585413</v>
          </cell>
          <cell r="F2335">
            <v>6029</v>
          </cell>
          <cell r="G2335" t="str">
            <v>Reach_2264</v>
          </cell>
          <cell r="H2335">
            <v>2327</v>
          </cell>
          <cell r="J2335">
            <v>556.16999999999996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  <cell r="Q2335">
            <v>14</v>
          </cell>
        </row>
        <row r="2336">
          <cell r="D2336" t="str">
            <v>3061-75-4</v>
          </cell>
          <cell r="E2336">
            <v>3061754</v>
          </cell>
          <cell r="F2336">
            <v>2604</v>
          </cell>
          <cell r="G2336" t="str">
            <v>Reach_1908</v>
          </cell>
          <cell r="H2336">
            <v>2328</v>
          </cell>
          <cell r="J2336">
            <v>339.61</v>
          </cell>
          <cell r="K2336">
            <v>182.69</v>
          </cell>
          <cell r="L2336">
            <v>9.6909100000000014E-7</v>
          </cell>
          <cell r="M2336">
            <v>2.41E-5</v>
          </cell>
          <cell r="N2336">
            <v>457088189.61487621</v>
          </cell>
          <cell r="O2336">
            <v>15.1</v>
          </cell>
          <cell r="P2336">
            <v>14.3</v>
          </cell>
          <cell r="Q2336">
            <v>-0.30000000000000071</v>
          </cell>
        </row>
        <row r="2337">
          <cell r="D2337" t="str">
            <v>23727-15-3</v>
          </cell>
          <cell r="E2337">
            <v>23727153</v>
          </cell>
          <cell r="F2337">
            <v>2356</v>
          </cell>
          <cell r="G2337" t="str">
            <v>Reach_2533</v>
          </cell>
          <cell r="H2337">
            <v>2329</v>
          </cell>
          <cell r="J2337">
            <v>152.24</v>
          </cell>
          <cell r="K2337">
            <v>11.46</v>
          </cell>
          <cell r="L2337">
            <v>32.258600000000001</v>
          </cell>
          <cell r="M2337">
            <v>521.08000000000004</v>
          </cell>
          <cell r="N2337">
            <v>2041.7379446695318</v>
          </cell>
          <cell r="Q2337">
            <v>14</v>
          </cell>
        </row>
        <row r="2338">
          <cell r="D2338" t="str">
            <v>3234-28-4</v>
          </cell>
          <cell r="E2338">
            <v>3234284</v>
          </cell>
          <cell r="F2338">
            <v>2647</v>
          </cell>
          <cell r="G2338" t="str">
            <v>Reach_1935</v>
          </cell>
          <cell r="H2338">
            <v>2330</v>
          </cell>
          <cell r="J2338">
            <v>212.38</v>
          </cell>
          <cell r="K2338">
            <v>30.84</v>
          </cell>
          <cell r="L2338">
            <v>2.1061400000000003</v>
          </cell>
          <cell r="M2338">
            <v>8.5036999999999995E-3</v>
          </cell>
          <cell r="N2338">
            <v>588843.65535558888</v>
          </cell>
          <cell r="Q2338">
            <v>14</v>
          </cell>
        </row>
        <row r="2339">
          <cell r="D2339" t="str">
            <v>13007-85-7</v>
          </cell>
          <cell r="E2339">
            <v>13007857</v>
          </cell>
          <cell r="F2339">
            <v>5656</v>
          </cell>
          <cell r="G2339" t="str">
            <v>Reach_2317</v>
          </cell>
          <cell r="H2339">
            <v>2331</v>
          </cell>
          <cell r="J2339">
            <v>248.16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  <cell r="Q2339">
            <v>14</v>
          </cell>
        </row>
        <row r="2340">
          <cell r="D2340" t="str">
            <v>68610-86-6</v>
          </cell>
          <cell r="E2340">
            <v>68610866</v>
          </cell>
          <cell r="F2340">
            <v>3522</v>
          </cell>
          <cell r="G2340" t="str">
            <v>Reach_2909</v>
          </cell>
          <cell r="H2340">
            <v>2332</v>
          </cell>
          <cell r="J2340">
            <v>687.59</v>
          </cell>
          <cell r="K2340">
            <v>349.84</v>
          </cell>
          <cell r="L2340">
            <v>5.9851700000000008E-21</v>
          </cell>
          <cell r="M2340">
            <v>1.1399999999999999E-5</v>
          </cell>
          <cell r="N2340">
            <v>12589254.117941668</v>
          </cell>
          <cell r="O2340">
            <v>8.4499999999999993</v>
          </cell>
          <cell r="P2340">
            <v>13.51</v>
          </cell>
          <cell r="Q2340">
            <v>0.49000000000000021</v>
          </cell>
        </row>
        <row r="2341">
          <cell r="D2341" t="str">
            <v>3748-13-8</v>
          </cell>
          <cell r="E2341">
            <v>3748138</v>
          </cell>
          <cell r="F2341">
            <v>2798</v>
          </cell>
          <cell r="G2341" t="str">
            <v>Reach_1988</v>
          </cell>
          <cell r="H2341">
            <v>2333</v>
          </cell>
          <cell r="J2341">
            <v>158.24</v>
          </cell>
          <cell r="K2341">
            <v>-13.95</v>
          </cell>
          <cell r="L2341">
            <v>9.8908600000000018</v>
          </cell>
          <cell r="M2341">
            <v>5.4798</v>
          </cell>
          <cell r="N2341">
            <v>77624.711662869129</v>
          </cell>
          <cell r="Q2341">
            <v>14</v>
          </cell>
        </row>
        <row r="2342">
          <cell r="D2342" t="str">
            <v>3896-11-5</v>
          </cell>
          <cell r="E2342">
            <v>3896115</v>
          </cell>
          <cell r="F2342">
            <v>1262</v>
          </cell>
          <cell r="G2342" t="str">
            <v>Reach_1998</v>
          </cell>
          <cell r="H2342">
            <v>2334</v>
          </cell>
          <cell r="J2342">
            <v>315.81</v>
          </cell>
          <cell r="K2342">
            <v>189.29</v>
          </cell>
          <cell r="L2342">
            <v>2.0528200000000002E-7</v>
          </cell>
          <cell r="M2342">
            <v>1.0842000000000001</v>
          </cell>
          <cell r="N2342">
            <v>354813.38923357555</v>
          </cell>
          <cell r="O2342">
            <v>10.199999999999999</v>
          </cell>
          <cell r="P2342">
            <v>15.46</v>
          </cell>
          <cell r="Q2342">
            <v>-1.4600000000000009</v>
          </cell>
        </row>
        <row r="2343">
          <cell r="D2343" t="str">
            <v>382-26-3</v>
          </cell>
          <cell r="E2343">
            <v>382263</v>
          </cell>
          <cell r="F2343">
            <v>2819</v>
          </cell>
          <cell r="G2343" t="str">
            <v>Reach_4305</v>
          </cell>
          <cell r="H2343">
            <v>2335</v>
          </cell>
          <cell r="J2343">
            <v>232.07</v>
          </cell>
          <cell r="K2343">
            <v>-105.48</v>
          </cell>
          <cell r="L2343">
            <v>129034.40000000001</v>
          </cell>
          <cell r="M2343">
            <v>1.1265000000000001</v>
          </cell>
          <cell r="N2343">
            <v>2089.2961308540398</v>
          </cell>
          <cell r="Q2343">
            <v>14</v>
          </cell>
        </row>
        <row r="2344">
          <cell r="D2344" t="str">
            <v>34316-64-8</v>
          </cell>
          <cell r="E2344">
            <v>34316648</v>
          </cell>
          <cell r="F2344">
            <v>2700</v>
          </cell>
          <cell r="G2344" t="str">
            <v>Reach_2675</v>
          </cell>
          <cell r="H2344">
            <v>2336</v>
          </cell>
          <cell r="J2344">
            <v>284.48</v>
          </cell>
          <cell r="K2344">
            <v>72.489999999999995</v>
          </cell>
          <cell r="L2344">
            <v>1.2623510000000001E-2</v>
          </cell>
          <cell r="M2344">
            <v>3.3818000000000001E-2</v>
          </cell>
          <cell r="N2344">
            <v>54954087.38576249</v>
          </cell>
          <cell r="Q2344">
            <v>14</v>
          </cell>
        </row>
        <row r="2345">
          <cell r="D2345" t="str">
            <v>622-40-2</v>
          </cell>
          <cell r="E2345">
            <v>622402</v>
          </cell>
          <cell r="F2345">
            <v>762</v>
          </cell>
          <cell r="G2345" t="str">
            <v>Reach_1445</v>
          </cell>
          <cell r="H2345">
            <v>2337</v>
          </cell>
          <cell r="J2345">
            <v>131.18</v>
          </cell>
          <cell r="K2345">
            <v>36.07</v>
          </cell>
          <cell r="L2345">
            <v>1.8662000000000003</v>
          </cell>
          <cell r="M2345">
            <v>1000000</v>
          </cell>
          <cell r="N2345">
            <v>4.7863009232263824E-2</v>
          </cell>
          <cell r="Q2345">
            <v>14</v>
          </cell>
        </row>
        <row r="2346">
          <cell r="D2346" t="str">
            <v>2402-58-6</v>
          </cell>
          <cell r="E2346">
            <v>2402586</v>
          </cell>
          <cell r="F2346">
            <v>2365</v>
          </cell>
          <cell r="G2346" t="str">
            <v>Reach_1794</v>
          </cell>
          <cell r="H2346">
            <v>2338</v>
          </cell>
          <cell r="J2346">
            <v>452.72</v>
          </cell>
          <cell r="K2346">
            <v>94.56</v>
          </cell>
          <cell r="L2346">
            <v>5.4253100000000002E-6</v>
          </cell>
          <cell r="M2346">
            <v>2.6900000000000001E-6</v>
          </cell>
          <cell r="N2346">
            <v>1047128548050.9021</v>
          </cell>
          <cell r="Q2346">
            <v>14</v>
          </cell>
        </row>
        <row r="2347">
          <cell r="D2347" t="str">
            <v>112-45-8</v>
          </cell>
          <cell r="E2347">
            <v>112458</v>
          </cell>
          <cell r="F2347">
            <v>1590</v>
          </cell>
          <cell r="G2347" t="str">
            <v>Reach_908</v>
          </cell>
          <cell r="H2347">
            <v>2339</v>
          </cell>
          <cell r="J2347">
            <v>168.28</v>
          </cell>
          <cell r="K2347">
            <v>1.73</v>
          </cell>
          <cell r="L2347">
            <v>8.7044899999999998</v>
          </cell>
          <cell r="M2347">
            <v>21.01</v>
          </cell>
          <cell r="N2347">
            <v>13182.567385564091</v>
          </cell>
          <cell r="Q2347">
            <v>14</v>
          </cell>
        </row>
        <row r="2348">
          <cell r="D2348" t="str">
            <v>38668-48-3</v>
          </cell>
          <cell r="E2348">
            <v>38668483</v>
          </cell>
          <cell r="F2348">
            <v>2825</v>
          </cell>
          <cell r="G2348" t="str">
            <v>Reach_2717</v>
          </cell>
          <cell r="H2348">
            <v>2340</v>
          </cell>
          <cell r="J2348">
            <v>223.32</v>
          </cell>
          <cell r="K2348">
            <v>106.78</v>
          </cell>
          <cell r="L2348">
            <v>7.7713900000000001E-5</v>
          </cell>
          <cell r="M2348">
            <v>381.52</v>
          </cell>
          <cell r="N2348">
            <v>102.32929922807544</v>
          </cell>
          <cell r="O2348">
            <v>14.58</v>
          </cell>
          <cell r="P2348">
            <v>10.32</v>
          </cell>
          <cell r="Q2348">
            <v>3.6799999999999997</v>
          </cell>
        </row>
        <row r="2349">
          <cell r="D2349" t="str">
            <v>616-47-7</v>
          </cell>
          <cell r="E2349">
            <v>616477</v>
          </cell>
          <cell r="F2349">
            <v>3346</v>
          </cell>
          <cell r="G2349" t="str">
            <v>Reach_1433</v>
          </cell>
          <cell r="H2349">
            <v>2341</v>
          </cell>
          <cell r="J2349">
            <v>82.108000000000004</v>
          </cell>
          <cell r="K2349">
            <v>2.62</v>
          </cell>
          <cell r="L2349">
            <v>60.118300000000005</v>
          </cell>
          <cell r="M2349">
            <v>92226</v>
          </cell>
          <cell r="N2349">
            <v>4.0738027780411281</v>
          </cell>
          <cell r="Q2349">
            <v>14</v>
          </cell>
        </row>
        <row r="2350">
          <cell r="D2350" t="str">
            <v>102-08-9</v>
          </cell>
          <cell r="E2350">
            <v>102089</v>
          </cell>
          <cell r="F2350">
            <v>151</v>
          </cell>
          <cell r="G2350" t="str">
            <v>Reach_589</v>
          </cell>
          <cell r="H2350">
            <v>2342</v>
          </cell>
          <cell r="J2350">
            <v>228.32</v>
          </cell>
          <cell r="K2350">
            <v>124.56</v>
          </cell>
          <cell r="L2350">
            <v>3.6924100000000008E-4</v>
          </cell>
          <cell r="M2350">
            <v>29.814</v>
          </cell>
          <cell r="N2350">
            <v>1621.8100973589308</v>
          </cell>
          <cell r="O2350">
            <v>11.4</v>
          </cell>
          <cell r="P2350">
            <v>13</v>
          </cell>
          <cell r="Q2350">
            <v>1</v>
          </cell>
        </row>
        <row r="2351">
          <cell r="D2351" t="str">
            <v>10508-09-5</v>
          </cell>
          <cell r="E2351">
            <v>10508095</v>
          </cell>
          <cell r="F2351">
            <v>1406</v>
          </cell>
          <cell r="G2351" t="str">
            <v>Reach_2293</v>
          </cell>
          <cell r="H2351">
            <v>2343</v>
          </cell>
          <cell r="J2351">
            <v>174.28</v>
          </cell>
          <cell r="K2351">
            <v>-18.98</v>
          </cell>
          <cell r="L2351">
            <v>329.25100000000003</v>
          </cell>
          <cell r="M2351">
            <v>27.849</v>
          </cell>
          <cell r="N2351">
            <v>26915.348039269167</v>
          </cell>
          <cell r="Q2351">
            <v>14</v>
          </cell>
        </row>
        <row r="2352">
          <cell r="D2352" t="str">
            <v>35836-72-7</v>
          </cell>
          <cell r="E2352">
            <v>35836727</v>
          </cell>
          <cell r="F2352">
            <v>2750</v>
          </cell>
          <cell r="G2352" t="str">
            <v>Reach_5049</v>
          </cell>
          <cell r="H2352">
            <v>2344</v>
          </cell>
          <cell r="J2352">
            <v>208.3</v>
          </cell>
          <cell r="K2352">
            <v>54.2</v>
          </cell>
          <cell r="L2352">
            <v>1.1890360000000002</v>
          </cell>
          <cell r="M2352">
            <v>1434.8</v>
          </cell>
          <cell r="N2352">
            <v>19952.623149688792</v>
          </cell>
          <cell r="Q2352">
            <v>14</v>
          </cell>
        </row>
        <row r="2353">
          <cell r="D2353" t="str">
            <v>139-13-9</v>
          </cell>
          <cell r="E2353">
            <v>139139</v>
          </cell>
          <cell r="F2353">
            <v>27</v>
          </cell>
          <cell r="G2353" t="str">
            <v>Reach_1142</v>
          </cell>
          <cell r="H2353">
            <v>2345</v>
          </cell>
          <cell r="J2353">
            <v>191.14</v>
          </cell>
          <cell r="K2353">
            <v>296.63</v>
          </cell>
          <cell r="L2353">
            <v>9.5442800000000005E-7</v>
          </cell>
          <cell r="M2353">
            <v>27800</v>
          </cell>
          <cell r="N2353">
            <v>1.5488166189124797E-4</v>
          </cell>
          <cell r="O2353">
            <v>1.2</v>
          </cell>
          <cell r="P2353">
            <v>4.8600000000000003</v>
          </cell>
          <cell r="Q2353">
            <v>1.2</v>
          </cell>
        </row>
        <row r="2354">
          <cell r="D2354" t="str">
            <v>3520-72-7</v>
          </cell>
          <cell r="E2354">
            <v>3520727</v>
          </cell>
          <cell r="F2354">
            <v>2725</v>
          </cell>
          <cell r="G2354" t="str">
            <v>Reach_1969</v>
          </cell>
          <cell r="H2354">
            <v>2346</v>
          </cell>
          <cell r="J2354">
            <v>623.51</v>
          </cell>
          <cell r="K2354">
            <v>349.84</v>
          </cell>
          <cell r="L2354">
            <v>2.5860200000000003E-21</v>
          </cell>
          <cell r="M2354">
            <v>1.35E-7</v>
          </cell>
          <cell r="N2354">
            <v>38018939632.05619</v>
          </cell>
          <cell r="O2354">
            <v>5.72</v>
          </cell>
          <cell r="P2354">
            <v>12.62</v>
          </cell>
          <cell r="Q2354">
            <v>1.3800000000000008</v>
          </cell>
        </row>
        <row r="2355">
          <cell r="D2355" t="str">
            <v>762-04-9</v>
          </cell>
          <cell r="E2355">
            <v>762049</v>
          </cell>
          <cell r="F2355">
            <v>3705</v>
          </cell>
          <cell r="G2355" t="str">
            <v>Reach_1534</v>
          </cell>
          <cell r="H2355">
            <v>2347</v>
          </cell>
          <cell r="J2355">
            <v>138.1</v>
          </cell>
          <cell r="K2355">
            <v>-27.58</v>
          </cell>
          <cell r="L2355">
            <v>927.76800000000003</v>
          </cell>
          <cell r="M2355">
            <v>198000</v>
          </cell>
          <cell r="N2355">
            <v>0.70794578438413791</v>
          </cell>
          <cell r="Q2355">
            <v>14</v>
          </cell>
        </row>
        <row r="2356">
          <cell r="D2356" t="str">
            <v>71048-82-3</v>
          </cell>
          <cell r="E2356">
            <v>71048823</v>
          </cell>
          <cell r="F2356">
            <v>3577</v>
          </cell>
          <cell r="G2356" t="str">
            <v>Reach_2925</v>
          </cell>
          <cell r="H2356">
            <v>2348</v>
          </cell>
          <cell r="J2356">
            <v>192.3</v>
          </cell>
          <cell r="K2356">
            <v>33.67</v>
          </cell>
          <cell r="L2356">
            <v>3.5857700000000001</v>
          </cell>
          <cell r="M2356">
            <v>69.343999999999994</v>
          </cell>
          <cell r="N2356">
            <v>14454.397707459291</v>
          </cell>
          <cell r="Q2356">
            <v>14</v>
          </cell>
        </row>
        <row r="2357">
          <cell r="D2357" t="str">
            <v>72576-80-8</v>
          </cell>
          <cell r="E2357">
            <v>72576808</v>
          </cell>
          <cell r="F2357">
            <v>3607</v>
          </cell>
          <cell r="G2357" t="str">
            <v>Reach_2937</v>
          </cell>
          <cell r="H2357">
            <v>2349</v>
          </cell>
          <cell r="J2357">
            <v>508.92</v>
          </cell>
          <cell r="K2357">
            <v>208.53</v>
          </cell>
          <cell r="L2357">
            <v>4.8121300000000009E-7</v>
          </cell>
          <cell r="M2357">
            <v>1.37E-9</v>
          </cell>
          <cell r="N2357">
            <v>3981071705534973.5</v>
          </cell>
          <cell r="Q2357">
            <v>14</v>
          </cell>
        </row>
        <row r="2358">
          <cell r="D2358" t="str">
            <v>5349-60-0</v>
          </cell>
          <cell r="E2358">
            <v>5349600</v>
          </cell>
          <cell r="F2358">
            <v>3104</v>
          </cell>
          <cell r="G2358" t="str">
            <v>Reach_2101</v>
          </cell>
          <cell r="H2358">
            <v>2350</v>
          </cell>
          <cell r="J2358">
            <v>166.22</v>
          </cell>
          <cell r="K2358">
            <v>37.93</v>
          </cell>
          <cell r="L2358">
            <v>0.14796300000000001</v>
          </cell>
          <cell r="M2358">
            <v>4394.7</v>
          </cell>
          <cell r="N2358">
            <v>117.48975549395293</v>
          </cell>
          <cell r="O2358">
            <v>15.18</v>
          </cell>
          <cell r="Q2358">
            <v>14</v>
          </cell>
        </row>
        <row r="2359">
          <cell r="D2359" t="str">
            <v>2182-55-0</v>
          </cell>
          <cell r="E2359">
            <v>2182550</v>
          </cell>
          <cell r="F2359">
            <v>2306</v>
          </cell>
          <cell r="G2359" t="str">
            <v>Reach_1769</v>
          </cell>
          <cell r="H2359">
            <v>2351</v>
          </cell>
          <cell r="J2359">
            <v>126.2</v>
          </cell>
          <cell r="K2359">
            <v>-45.22</v>
          </cell>
          <cell r="L2359">
            <v>633.17500000000007</v>
          </cell>
          <cell r="M2359">
            <v>1234.4000000000001</v>
          </cell>
          <cell r="N2359">
            <v>489.77881936844625</v>
          </cell>
          <cell r="O2359">
            <v>0</v>
          </cell>
          <cell r="Q2359">
            <v>0</v>
          </cell>
        </row>
        <row r="2360">
          <cell r="D2360" t="str">
            <v>15471-17-7</v>
          </cell>
          <cell r="E2360">
            <v>15471177</v>
          </cell>
          <cell r="F2360">
            <v>2039</v>
          </cell>
          <cell r="G2360" t="str">
            <v>Reach_2389</v>
          </cell>
          <cell r="H2360">
            <v>2352</v>
          </cell>
          <cell r="J2360">
            <v>201.25</v>
          </cell>
          <cell r="K2360">
            <v>119.01</v>
          </cell>
          <cell r="L2360">
            <v>4.2389400000000004E-5</v>
          </cell>
          <cell r="M2360">
            <v>4917.3999999999996</v>
          </cell>
          <cell r="N2360">
            <v>3.9810717055349708E-4</v>
          </cell>
          <cell r="O2360">
            <v>0.23</v>
          </cell>
          <cell r="Q2360">
            <v>0.23</v>
          </cell>
        </row>
        <row r="2361">
          <cell r="D2361" t="str">
            <v>4948-15-6</v>
          </cell>
          <cell r="E2361">
            <v>4948156</v>
          </cell>
          <cell r="F2361">
            <v>2983</v>
          </cell>
          <cell r="G2361" t="str">
            <v>Reach_2068</v>
          </cell>
          <cell r="H2361">
            <v>2353</v>
          </cell>
          <cell r="J2361">
            <v>598.66</v>
          </cell>
          <cell r="K2361">
            <v>349.84</v>
          </cell>
          <cell r="L2361">
            <v>1.63959E-23</v>
          </cell>
          <cell r="M2361">
            <v>7.7499999999999999E-8</v>
          </cell>
          <cell r="N2361">
            <v>22908676.527677748</v>
          </cell>
          <cell r="P2361">
            <v>12.81</v>
          </cell>
          <cell r="Q2361">
            <v>1.1899999999999995</v>
          </cell>
        </row>
        <row r="2362">
          <cell r="D2362" t="str">
            <v>123-15-9</v>
          </cell>
          <cell r="E2362">
            <v>123159</v>
          </cell>
          <cell r="F2362">
            <v>385</v>
          </cell>
          <cell r="G2362" t="str">
            <v>Reach_1040</v>
          </cell>
          <cell r="H2362">
            <v>2354</v>
          </cell>
          <cell r="J2362">
            <v>100.16</v>
          </cell>
          <cell r="K2362">
            <v>-66.680000000000007</v>
          </cell>
          <cell r="L2362">
            <v>2386.0700000000002</v>
          </cell>
          <cell r="M2362">
            <v>6325.1</v>
          </cell>
          <cell r="N2362">
            <v>53.703179637025293</v>
          </cell>
          <cell r="Q2362">
            <v>14</v>
          </cell>
        </row>
        <row r="2363">
          <cell r="D2363" t="str">
            <v>1067-25-0</v>
          </cell>
          <cell r="E2363">
            <v>1067250</v>
          </cell>
          <cell r="F2363">
            <v>1445</v>
          </cell>
          <cell r="G2363" t="str">
            <v>Reach_1638</v>
          </cell>
          <cell r="H2363">
            <v>2355</v>
          </cell>
          <cell r="J2363">
            <v>164.28</v>
          </cell>
          <cell r="K2363">
            <v>-35.18</v>
          </cell>
          <cell r="L2363">
            <v>681.16300000000012</v>
          </cell>
          <cell r="M2363">
            <v>5064.8999999999996</v>
          </cell>
          <cell r="N2363">
            <v>2.0417379446695296</v>
          </cell>
          <cell r="Q2363">
            <v>14</v>
          </cell>
        </row>
        <row r="2364">
          <cell r="D2364" t="str">
            <v>114-07-8</v>
          </cell>
          <cell r="E2364">
            <v>114078</v>
          </cell>
          <cell r="F2364">
            <v>336</v>
          </cell>
          <cell r="G2364" t="str">
            <v>Reach_933</v>
          </cell>
          <cell r="H2364">
            <v>2356</v>
          </cell>
          <cell r="J2364">
            <v>733.94</v>
          </cell>
          <cell r="K2364">
            <v>349.84</v>
          </cell>
          <cell r="L2364">
            <v>2.8259600000000004E-23</v>
          </cell>
          <cell r="M2364">
            <v>2.1518999999999999</v>
          </cell>
          <cell r="N2364">
            <v>301.99517204020168</v>
          </cell>
          <cell r="O2364">
            <v>12.69</v>
          </cell>
          <cell r="P2364">
            <v>5</v>
          </cell>
          <cell r="Q2364">
            <v>9</v>
          </cell>
        </row>
        <row r="2365">
          <cell r="D2365" t="str">
            <v>4156-21-2</v>
          </cell>
          <cell r="E2365">
            <v>4156212</v>
          </cell>
          <cell r="F2365">
            <v>5880</v>
          </cell>
          <cell r="G2365" t="str">
            <v>Reach_2017</v>
          </cell>
          <cell r="H2365">
            <v>2357</v>
          </cell>
          <cell r="J2365">
            <v>343.13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  <cell r="Q2365">
            <v>14</v>
          </cell>
        </row>
        <row r="2366">
          <cell r="D2366" t="str">
            <v>118969-29-2</v>
          </cell>
          <cell r="E2366">
            <v>118969292</v>
          </cell>
          <cell r="F2366">
            <v>5619</v>
          </cell>
          <cell r="G2366" t="str">
            <v>Reach_4093</v>
          </cell>
          <cell r="H2366">
            <v>2358</v>
          </cell>
          <cell r="J2366">
            <v>342.31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  <cell r="P2366">
            <v>0</v>
          </cell>
          <cell r="Q2366">
            <v>14</v>
          </cell>
        </row>
        <row r="2367">
          <cell r="D2367" t="str">
            <v>91-16-7</v>
          </cell>
          <cell r="E2367">
            <v>91167</v>
          </cell>
          <cell r="F2367">
            <v>4013</v>
          </cell>
          <cell r="G2367" t="str">
            <v>Reach_370</v>
          </cell>
          <cell r="H2367">
            <v>2359</v>
          </cell>
          <cell r="J2367">
            <v>138.16999999999999</v>
          </cell>
          <cell r="K2367">
            <v>-5.6</v>
          </cell>
          <cell r="L2367">
            <v>35.591100000000004</v>
          </cell>
          <cell r="M2367">
            <v>2686.6</v>
          </cell>
          <cell r="N2367">
            <v>43.651583224016612</v>
          </cell>
          <cell r="Q2367">
            <v>14</v>
          </cell>
        </row>
        <row r="2368">
          <cell r="D2368" t="str">
            <v>2568-90-3</v>
          </cell>
          <cell r="E2368">
            <v>2568903</v>
          </cell>
          <cell r="F2368">
            <v>2443</v>
          </cell>
          <cell r="G2368" t="str">
            <v>Reach_1840</v>
          </cell>
          <cell r="H2368">
            <v>2360</v>
          </cell>
          <cell r="J2368">
            <v>160.26</v>
          </cell>
          <cell r="K2368">
            <v>-20.93</v>
          </cell>
          <cell r="L2368">
            <v>182.62100000000004</v>
          </cell>
          <cell r="M2368">
            <v>576.30999999999995</v>
          </cell>
          <cell r="N2368">
            <v>562.34132519034927</v>
          </cell>
          <cell r="Q2368">
            <v>14</v>
          </cell>
        </row>
        <row r="2369">
          <cell r="D2369" t="str">
            <v>629-40-3</v>
          </cell>
          <cell r="E2369">
            <v>629403</v>
          </cell>
          <cell r="F2369">
            <v>771</v>
          </cell>
          <cell r="G2369" t="str">
            <v>Reach_1466</v>
          </cell>
          <cell r="H2369">
            <v>2361</v>
          </cell>
          <cell r="J2369">
            <v>136.19999999999999</v>
          </cell>
          <cell r="K2369">
            <v>42.55</v>
          </cell>
          <cell r="L2369">
            <v>0.81579599999999997</v>
          </cell>
          <cell r="M2369">
            <v>1051.0999999999999</v>
          </cell>
          <cell r="N2369">
            <v>21.379620895022335</v>
          </cell>
          <cell r="O2369">
            <v>0</v>
          </cell>
          <cell r="Q2369">
            <v>0</v>
          </cell>
        </row>
        <row r="2370">
          <cell r="D2370" t="str">
            <v>698-90-8</v>
          </cell>
          <cell r="E2370">
            <v>698908</v>
          </cell>
          <cell r="F2370">
            <v>3551</v>
          </cell>
          <cell r="G2370" t="str">
            <v>Reach_1514</v>
          </cell>
          <cell r="H2370">
            <v>2362</v>
          </cell>
          <cell r="J2370">
            <v>142.19999999999999</v>
          </cell>
          <cell r="K2370">
            <v>70.94</v>
          </cell>
          <cell r="L2370">
            <v>0.307923</v>
          </cell>
          <cell r="M2370">
            <v>20263</v>
          </cell>
          <cell r="N2370">
            <v>15.135612484362087</v>
          </cell>
          <cell r="O2370">
            <v>14.3</v>
          </cell>
          <cell r="P2370">
            <v>13.9</v>
          </cell>
          <cell r="Q2370">
            <v>9.9999999999999645E-2</v>
          </cell>
        </row>
        <row r="2371">
          <cell r="D2371" t="str">
            <v>706-14-9</v>
          </cell>
          <cell r="E2371">
            <v>706149</v>
          </cell>
          <cell r="F2371">
            <v>813</v>
          </cell>
          <cell r="G2371" t="str">
            <v>Reach_1518</v>
          </cell>
          <cell r="H2371">
            <v>2363</v>
          </cell>
          <cell r="J2371">
            <v>170.25</v>
          </cell>
          <cell r="K2371">
            <v>20.2</v>
          </cell>
          <cell r="L2371">
            <v>0.6824960000000001</v>
          </cell>
          <cell r="M2371">
            <v>195.27</v>
          </cell>
          <cell r="N2371">
            <v>371.53522909717265</v>
          </cell>
          <cell r="Q2371">
            <v>14</v>
          </cell>
        </row>
        <row r="2372">
          <cell r="D2372" t="str">
            <v>13515-40-7</v>
          </cell>
          <cell r="E2372">
            <v>13515407</v>
          </cell>
          <cell r="F2372">
            <v>1887</v>
          </cell>
          <cell r="G2372" t="str">
            <v>Reach_2340</v>
          </cell>
          <cell r="H2372">
            <v>2364</v>
          </cell>
          <cell r="J2372">
            <v>390.79</v>
          </cell>
          <cell r="K2372">
            <v>239.23</v>
          </cell>
          <cell r="L2372">
            <v>6.1984500000000004E-10</v>
          </cell>
          <cell r="M2372">
            <v>1.8526</v>
          </cell>
          <cell r="N2372">
            <v>3548.1338923357539</v>
          </cell>
          <cell r="O2372">
            <v>8.58</v>
          </cell>
          <cell r="P2372">
            <v>14.08</v>
          </cell>
          <cell r="Q2372">
            <v>-8.0000000000000071E-2</v>
          </cell>
        </row>
        <row r="2373">
          <cell r="D2373" t="str">
            <v>75980-60-8</v>
          </cell>
          <cell r="E2373">
            <v>75980608</v>
          </cell>
          <cell r="F2373">
            <v>3692</v>
          </cell>
          <cell r="G2373" t="str">
            <v>Reach_2946</v>
          </cell>
          <cell r="H2373">
            <v>2365</v>
          </cell>
          <cell r="J2373">
            <v>348.38</v>
          </cell>
          <cell r="K2373">
            <v>89.7</v>
          </cell>
          <cell r="L2373">
            <v>3.8923599999999999E-6</v>
          </cell>
          <cell r="M2373">
            <v>0.26518999999999998</v>
          </cell>
          <cell r="N2373">
            <v>7413.1024130091773</v>
          </cell>
          <cell r="Q2373">
            <v>14</v>
          </cell>
        </row>
        <row r="2374">
          <cell r="D2374" t="str">
            <v>629-15-2</v>
          </cell>
          <cell r="E2374">
            <v>629152</v>
          </cell>
          <cell r="F2374">
            <v>3386</v>
          </cell>
          <cell r="G2374" t="str">
            <v>Reach_1465</v>
          </cell>
          <cell r="H2374">
            <v>2366</v>
          </cell>
          <cell r="J2374">
            <v>118.09</v>
          </cell>
          <cell r="K2374">
            <v>-102.45</v>
          </cell>
          <cell r="L2374">
            <v>171.95700000000002</v>
          </cell>
          <cell r="M2374">
            <v>261000</v>
          </cell>
          <cell r="N2374">
            <v>0.20417379446695291</v>
          </cell>
          <cell r="Q2374">
            <v>14</v>
          </cell>
        </row>
        <row r="2375">
          <cell r="D2375" t="str">
            <v>99-82-1</v>
          </cell>
          <cell r="E2375">
            <v>99821</v>
          </cell>
          <cell r="F2375">
            <v>4218</v>
          </cell>
          <cell r="G2375" t="str">
            <v>Reach_539</v>
          </cell>
          <cell r="H2375">
            <v>2367</v>
          </cell>
          <cell r="J2375">
            <v>140.27000000000001</v>
          </cell>
          <cell r="K2375">
            <v>-52.89</v>
          </cell>
          <cell r="L2375">
            <v>254.60300000000001</v>
          </cell>
          <cell r="M2375">
            <v>0.28894999999999998</v>
          </cell>
          <cell r="N2375">
            <v>83176.377110267174</v>
          </cell>
          <cell r="Q2375">
            <v>14</v>
          </cell>
        </row>
        <row r="2376">
          <cell r="D2376" t="str">
            <v>7526-26-3</v>
          </cell>
          <cell r="E2376">
            <v>7526263</v>
          </cell>
          <cell r="F2376">
            <v>3659</v>
          </cell>
          <cell r="G2376" t="str">
            <v>Reach_2257</v>
          </cell>
          <cell r="H2376">
            <v>2368</v>
          </cell>
          <cell r="J2376">
            <v>248.22</v>
          </cell>
          <cell r="K2376">
            <v>84.8</v>
          </cell>
          <cell r="L2376">
            <v>9.9441800000000004E-3</v>
          </cell>
          <cell r="M2376">
            <v>24.425999999999998</v>
          </cell>
          <cell r="N2376">
            <v>891.25093813374656</v>
          </cell>
          <cell r="Q2376">
            <v>14</v>
          </cell>
        </row>
        <row r="2377">
          <cell r="D2377" t="str">
            <v>105-05-5</v>
          </cell>
          <cell r="E2377">
            <v>105055</v>
          </cell>
          <cell r="F2377">
            <v>1405</v>
          </cell>
          <cell r="G2377" t="str">
            <v>Reach_635</v>
          </cell>
          <cell r="H2377">
            <v>2369</v>
          </cell>
          <cell r="J2377">
            <v>134.22</v>
          </cell>
          <cell r="K2377">
            <v>-17.02</v>
          </cell>
          <cell r="L2377">
            <v>122.63600000000001</v>
          </cell>
          <cell r="M2377">
            <v>36.243000000000002</v>
          </cell>
          <cell r="N2377">
            <v>11748.975549395318</v>
          </cell>
          <cell r="Q2377">
            <v>14</v>
          </cell>
        </row>
        <row r="2378">
          <cell r="D2378" t="str">
            <v>29923-31-7</v>
          </cell>
          <cell r="E2378">
            <v>29923317</v>
          </cell>
          <cell r="F2378">
            <v>5828</v>
          </cell>
          <cell r="G2378" t="str">
            <v>Reach_2639</v>
          </cell>
          <cell r="H2378">
            <v>2370</v>
          </cell>
          <cell r="J2378">
            <v>351.42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  <cell r="Q2378">
            <v>14</v>
          </cell>
        </row>
        <row r="2379">
          <cell r="D2379" t="str">
            <v>13393-93-6</v>
          </cell>
          <cell r="E2379">
            <v>13393936</v>
          </cell>
          <cell r="F2379">
            <v>1873</v>
          </cell>
          <cell r="G2379" t="str">
            <v>Reach_2333</v>
          </cell>
          <cell r="H2379">
            <v>2371</v>
          </cell>
          <cell r="J2379">
            <v>292.51</v>
          </cell>
          <cell r="K2379">
            <v>117.32</v>
          </cell>
          <cell r="L2379">
            <v>4.4522200000000005E-5</v>
          </cell>
          <cell r="M2379">
            <v>0.20779</v>
          </cell>
          <cell r="N2379">
            <v>2511886.431509587</v>
          </cell>
          <cell r="O2379">
            <v>15.9</v>
          </cell>
          <cell r="Q2379">
            <v>14</v>
          </cell>
        </row>
        <row r="2380">
          <cell r="D2380" t="str">
            <v>52-51-7</v>
          </cell>
          <cell r="E2380">
            <v>52517</v>
          </cell>
          <cell r="F2380">
            <v>674</v>
          </cell>
          <cell r="G2380" t="str">
            <v>Reach_16</v>
          </cell>
          <cell r="H2380">
            <v>2372</v>
          </cell>
          <cell r="J2380">
            <v>200</v>
          </cell>
          <cell r="K2380">
            <v>90.85</v>
          </cell>
          <cell r="L2380">
            <v>8.0779799999999998E-4</v>
          </cell>
          <cell r="M2380">
            <v>167000</v>
          </cell>
          <cell r="N2380">
            <v>0.22908676527677729</v>
          </cell>
          <cell r="P2380">
            <v>0</v>
          </cell>
          <cell r="Q2380">
            <v>14</v>
          </cell>
        </row>
        <row r="2381">
          <cell r="D2381" t="str">
            <v>624-89-5</v>
          </cell>
          <cell r="E2381">
            <v>624895</v>
          </cell>
          <cell r="F2381">
            <v>3373</v>
          </cell>
          <cell r="G2381" t="str">
            <v>Reach_1455</v>
          </cell>
          <cell r="H2381">
            <v>2373</v>
          </cell>
          <cell r="J2381">
            <v>76.161000000000001</v>
          </cell>
          <cell r="K2381">
            <v>-94.52</v>
          </cell>
          <cell r="L2381">
            <v>19995</v>
          </cell>
          <cell r="M2381">
            <v>8618.9</v>
          </cell>
          <cell r="N2381">
            <v>25.703957827688647</v>
          </cell>
          <cell r="Q2381">
            <v>14</v>
          </cell>
        </row>
        <row r="2382">
          <cell r="D2382" t="str">
            <v>81782-77-6</v>
          </cell>
          <cell r="E2382">
            <v>81782776</v>
          </cell>
          <cell r="F2382">
            <v>3814</v>
          </cell>
          <cell r="G2382" t="str">
            <v>Reach_2961</v>
          </cell>
          <cell r="H2382">
            <v>2374</v>
          </cell>
          <cell r="J2382">
            <v>170.3</v>
          </cell>
          <cell r="K2382">
            <v>-2.92</v>
          </cell>
          <cell r="L2382">
            <v>0.79313500000000015</v>
          </cell>
          <cell r="M2382">
            <v>212.18</v>
          </cell>
          <cell r="N2382">
            <v>11220.184543019639</v>
          </cell>
          <cell r="O2382">
            <v>15.5</v>
          </cell>
          <cell r="Q2382">
            <v>14</v>
          </cell>
        </row>
        <row r="2383">
          <cell r="D2383" t="str">
            <v>3779-63-3</v>
          </cell>
          <cell r="E2383">
            <v>3779633</v>
          </cell>
          <cell r="F2383">
            <v>2809</v>
          </cell>
          <cell r="G2383" t="str">
            <v>Reach_1991</v>
          </cell>
          <cell r="H2383">
            <v>2375</v>
          </cell>
          <cell r="J2383">
            <v>504.59</v>
          </cell>
          <cell r="K2383">
            <v>307.27</v>
          </cell>
          <cell r="L2383">
            <v>1.299675E-14</v>
          </cell>
          <cell r="M2383">
            <v>2.8180000000000002E-3</v>
          </cell>
          <cell r="N2383">
            <v>6456542290.3465691</v>
          </cell>
          <cell r="Q2383">
            <v>14</v>
          </cell>
        </row>
        <row r="2384">
          <cell r="D2384" t="str">
            <v>7320-37-8</v>
          </cell>
          <cell r="E2384">
            <v>7320378</v>
          </cell>
          <cell r="F2384">
            <v>3615</v>
          </cell>
          <cell r="G2384" t="str">
            <v>Reach_2236</v>
          </cell>
          <cell r="H2384">
            <v>2376</v>
          </cell>
          <cell r="J2384">
            <v>240.43</v>
          </cell>
          <cell r="K2384">
            <v>51.25</v>
          </cell>
          <cell r="L2384">
            <v>0.28526200000000002</v>
          </cell>
          <cell r="M2384">
            <v>1.4709E-2</v>
          </cell>
          <cell r="N2384">
            <v>5754399.373371576</v>
          </cell>
          <cell r="O2384">
            <v>0</v>
          </cell>
          <cell r="P2384">
            <v>0</v>
          </cell>
          <cell r="Q2384">
            <v>0</v>
          </cell>
        </row>
        <row r="2385">
          <cell r="D2385" t="str">
            <v>13501-76-3</v>
          </cell>
          <cell r="E2385">
            <v>13501763</v>
          </cell>
          <cell r="F2385">
            <v>1885</v>
          </cell>
          <cell r="G2385" t="str">
            <v>Reach_2339</v>
          </cell>
          <cell r="H2385">
            <v>2377</v>
          </cell>
          <cell r="J2385">
            <v>209.77</v>
          </cell>
          <cell r="K2385">
            <v>1.93</v>
          </cell>
          <cell r="L2385">
            <v>14.663000000000002</v>
          </cell>
          <cell r="M2385">
            <v>0</v>
          </cell>
          <cell r="N2385">
            <v>2238.7211385683418</v>
          </cell>
          <cell r="Q2385">
            <v>14</v>
          </cell>
        </row>
        <row r="2386">
          <cell r="D2386" t="str">
            <v>57843-53-5</v>
          </cell>
          <cell r="E2386">
            <v>57843535</v>
          </cell>
          <cell r="F2386">
            <v>3238</v>
          </cell>
          <cell r="G2386" t="str">
            <v>Reach_2827</v>
          </cell>
          <cell r="H2386">
            <v>2378</v>
          </cell>
          <cell r="J2386">
            <v>376.5</v>
          </cell>
          <cell r="K2386">
            <v>237.59</v>
          </cell>
          <cell r="L2386">
            <v>2.1861200000000003E-13</v>
          </cell>
          <cell r="M2386">
            <v>6412</v>
          </cell>
          <cell r="N2386">
            <v>7.0794578438413795E-3</v>
          </cell>
          <cell r="O2386">
            <v>13.95</v>
          </cell>
          <cell r="P2386">
            <v>14.79</v>
          </cell>
          <cell r="Q2386">
            <v>-0.78999999999999915</v>
          </cell>
        </row>
        <row r="2387">
          <cell r="D2387" t="str">
            <v>79-81-2</v>
          </cell>
          <cell r="E2387">
            <v>79812</v>
          </cell>
          <cell r="F2387">
            <v>3784</v>
          </cell>
          <cell r="G2387" t="str">
            <v>Reach_250</v>
          </cell>
          <cell r="H2387">
            <v>2379</v>
          </cell>
          <cell r="J2387">
            <v>524.87</v>
          </cell>
          <cell r="K2387">
            <v>221.99</v>
          </cell>
          <cell r="L2387">
            <v>1.53295E-7</v>
          </cell>
          <cell r="M2387">
            <v>1.0800000000000001E-8</v>
          </cell>
          <cell r="N2387">
            <v>3235936569296286</v>
          </cell>
          <cell r="Q2387">
            <v>14</v>
          </cell>
        </row>
        <row r="2388">
          <cell r="D2388" t="str">
            <v>507-20-0</v>
          </cell>
          <cell r="E2388">
            <v>507200</v>
          </cell>
          <cell r="F2388">
            <v>3017</v>
          </cell>
          <cell r="G2388" t="str">
            <v>Reach_1316</v>
          </cell>
          <cell r="H2388">
            <v>2380</v>
          </cell>
          <cell r="J2388">
            <v>92.569000000000003</v>
          </cell>
          <cell r="K2388">
            <v>-99.53</v>
          </cell>
          <cell r="L2388">
            <v>39056.9</v>
          </cell>
          <cell r="M2388">
            <v>1145.0999999999999</v>
          </cell>
          <cell r="N2388">
            <v>281.83829312644554</v>
          </cell>
          <cell r="O2388">
            <v>0</v>
          </cell>
          <cell r="Q2388">
            <v>0</v>
          </cell>
        </row>
        <row r="2389">
          <cell r="D2389" t="str">
            <v>2624-17-1</v>
          </cell>
          <cell r="E2389">
            <v>2624171</v>
          </cell>
          <cell r="F2389">
            <v>5804</v>
          </cell>
          <cell r="G2389" t="str">
            <v>Reach_4630</v>
          </cell>
          <cell r="H2389">
            <v>2381</v>
          </cell>
          <cell r="J2389">
            <v>151.06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  <cell r="Q2389">
            <v>14</v>
          </cell>
        </row>
        <row r="2390">
          <cell r="D2390" t="str">
            <v>26351-32-6</v>
          </cell>
          <cell r="E2390">
            <v>26351326</v>
          </cell>
          <cell r="F2390">
            <v>2466</v>
          </cell>
          <cell r="G2390" t="str">
            <v>Reach_2580</v>
          </cell>
          <cell r="H2390">
            <v>2382</v>
          </cell>
          <cell r="J2390">
            <v>320.57</v>
          </cell>
          <cell r="K2390">
            <v>148.08000000000001</v>
          </cell>
          <cell r="L2390">
            <v>2.2794300000000003E-5</v>
          </cell>
          <cell r="M2390">
            <v>1.4679999999999999E-4</v>
          </cell>
          <cell r="N2390">
            <v>29512092.266663849</v>
          </cell>
          <cell r="O2390">
            <v>0</v>
          </cell>
          <cell r="Q2390">
            <v>0</v>
          </cell>
        </row>
        <row r="2391">
          <cell r="D2391" t="str">
            <v>98-10-2</v>
          </cell>
          <cell r="E2391">
            <v>98102</v>
          </cell>
          <cell r="F2391">
            <v>4178</v>
          </cell>
          <cell r="G2391" t="str">
            <v>Reach_498</v>
          </cell>
          <cell r="H2391">
            <v>2383</v>
          </cell>
          <cell r="J2391">
            <v>157.19</v>
          </cell>
          <cell r="K2391">
            <v>78.81</v>
          </cell>
          <cell r="L2391">
            <v>2.0128300000000002E-2</v>
          </cell>
          <cell r="M2391">
            <v>5105.7</v>
          </cell>
          <cell r="N2391">
            <v>2.344228815319922</v>
          </cell>
          <cell r="O2391">
            <v>10.1</v>
          </cell>
          <cell r="Q2391">
            <v>10.1</v>
          </cell>
        </row>
        <row r="2392">
          <cell r="D2392" t="str">
            <v>100-18-5</v>
          </cell>
          <cell r="E2392">
            <v>100185</v>
          </cell>
          <cell r="F2392">
            <v>1296</v>
          </cell>
          <cell r="G2392" t="str">
            <v>Reach_550</v>
          </cell>
          <cell r="H2392">
            <v>2384</v>
          </cell>
          <cell r="J2392">
            <v>162.28</v>
          </cell>
          <cell r="K2392">
            <v>-16.12</v>
          </cell>
          <cell r="L2392">
            <v>28.659500000000001</v>
          </cell>
          <cell r="M2392">
            <v>1.2195</v>
          </cell>
          <cell r="N2392">
            <v>79432.823472428237</v>
          </cell>
          <cell r="Q2392">
            <v>14</v>
          </cell>
        </row>
        <row r="2393">
          <cell r="D2393" t="str">
            <v>2458-08-4</v>
          </cell>
          <cell r="E2393">
            <v>2458084</v>
          </cell>
          <cell r="F2393">
            <v>1246</v>
          </cell>
          <cell r="G2393" t="str">
            <v>Reach_1813</v>
          </cell>
          <cell r="H2393">
            <v>2385</v>
          </cell>
          <cell r="J2393">
            <v>406.56</v>
          </cell>
          <cell r="K2393">
            <v>231.73</v>
          </cell>
          <cell r="L2393">
            <v>2.34608E-12</v>
          </cell>
          <cell r="M2393">
            <v>30.311</v>
          </cell>
          <cell r="N2393">
            <v>5128.6138399136489</v>
          </cell>
          <cell r="Q2393">
            <v>14</v>
          </cell>
        </row>
        <row r="2394">
          <cell r="D2394" t="str">
            <v>4747-21-1</v>
          </cell>
          <cell r="E2394">
            <v>4747211</v>
          </cell>
          <cell r="F2394">
            <v>2967</v>
          </cell>
          <cell r="G2394" t="str">
            <v>Reach_2061</v>
          </cell>
          <cell r="H2394">
            <v>2386</v>
          </cell>
          <cell r="J2394">
            <v>73.14</v>
          </cell>
          <cell r="K2394">
            <v>-91.72</v>
          </cell>
          <cell r="L2394">
            <v>38390.400000000001</v>
          </cell>
          <cell r="M2394">
            <v>345000</v>
          </cell>
          <cell r="N2394">
            <v>5.4954087385762458</v>
          </cell>
          <cell r="P2394">
            <v>2.9</v>
          </cell>
          <cell r="Q2394">
            <v>11.1</v>
          </cell>
        </row>
        <row r="2395">
          <cell r="D2395" t="str">
            <v>7597-60-6</v>
          </cell>
          <cell r="E2395">
            <v>7597606</v>
          </cell>
          <cell r="F2395">
            <v>3691</v>
          </cell>
          <cell r="G2395" t="str">
            <v>Reach_2265</v>
          </cell>
          <cell r="H2395">
            <v>2387</v>
          </cell>
          <cell r="J2395">
            <v>198.19</v>
          </cell>
          <cell r="K2395">
            <v>195.21</v>
          </cell>
          <cell r="L2395">
            <v>5.1053900000000004E-7</v>
          </cell>
          <cell r="M2395">
            <v>74964</v>
          </cell>
          <cell r="N2395">
            <v>4.3651583224016584E-2</v>
          </cell>
          <cell r="Q2395">
            <v>14</v>
          </cell>
        </row>
        <row r="2396">
          <cell r="D2396" t="str">
            <v>2896-70-0</v>
          </cell>
          <cell r="E2396">
            <v>2896700</v>
          </cell>
          <cell r="F2396">
            <v>2550</v>
          </cell>
          <cell r="G2396" t="str">
            <v>Reach_1881</v>
          </cell>
          <cell r="H2396">
            <v>2388</v>
          </cell>
          <cell r="J2396">
            <v>171.24</v>
          </cell>
          <cell r="K2396">
            <v>103.55</v>
          </cell>
          <cell r="L2396">
            <v>4.9454300000000007E-4</v>
          </cell>
          <cell r="M2396">
            <v>53264</v>
          </cell>
          <cell r="N2396">
            <v>1.1220184543019636</v>
          </cell>
          <cell r="P2396">
            <v>10.06</v>
          </cell>
          <cell r="Q2396">
            <v>3.9399999999999995</v>
          </cell>
        </row>
        <row r="2397">
          <cell r="D2397" t="str">
            <v>930-28-9</v>
          </cell>
          <cell r="E2397">
            <v>930289</v>
          </cell>
          <cell r="F2397">
            <v>4056</v>
          </cell>
          <cell r="G2397" t="str">
            <v>Reach_1605</v>
          </cell>
          <cell r="H2397">
            <v>2389</v>
          </cell>
          <cell r="J2397">
            <v>104.58</v>
          </cell>
          <cell r="K2397">
            <v>-68.47</v>
          </cell>
          <cell r="L2397">
            <v>2719.32</v>
          </cell>
          <cell r="M2397">
            <v>373.98</v>
          </cell>
          <cell r="N2397">
            <v>741.31024130091828</v>
          </cell>
          <cell r="Q2397">
            <v>14</v>
          </cell>
        </row>
        <row r="2398">
          <cell r="D2398" t="str">
            <v>88-66-4</v>
          </cell>
          <cell r="E2398">
            <v>88664</v>
          </cell>
          <cell r="F2398">
            <v>3962</v>
          </cell>
          <cell r="G2398" t="str">
            <v>Reach_328</v>
          </cell>
          <cell r="H2398">
            <v>2390</v>
          </cell>
          <cell r="J2398">
            <v>195.48</v>
          </cell>
          <cell r="K2398">
            <v>16.27</v>
          </cell>
          <cell r="L2398">
            <v>8.1846200000000007</v>
          </cell>
          <cell r="M2398">
            <v>14.925000000000001</v>
          </cell>
          <cell r="N2398">
            <v>4168.6938347033583</v>
          </cell>
          <cell r="P2398">
            <v>0</v>
          </cell>
          <cell r="Q2398">
            <v>14</v>
          </cell>
        </row>
        <row r="2399">
          <cell r="D2399" t="str">
            <v>14073-97-3</v>
          </cell>
          <cell r="E2399">
            <v>14073973</v>
          </cell>
          <cell r="F2399">
            <v>1929</v>
          </cell>
          <cell r="G2399" t="str">
            <v>Reach_2357</v>
          </cell>
          <cell r="H2399">
            <v>2391</v>
          </cell>
          <cell r="J2399">
            <v>154.25</v>
          </cell>
          <cell r="K2399">
            <v>-1.82</v>
          </cell>
          <cell r="L2399">
            <v>49.321000000000005</v>
          </cell>
          <cell r="M2399">
            <v>742.34</v>
          </cell>
          <cell r="N2399">
            <v>741.31024130091828</v>
          </cell>
          <cell r="Q2399">
            <v>14</v>
          </cell>
        </row>
        <row r="2400">
          <cell r="D2400" t="str">
            <v>112-96-9</v>
          </cell>
          <cell r="E2400">
            <v>112969</v>
          </cell>
          <cell r="F2400">
            <v>1614</v>
          </cell>
          <cell r="G2400" t="str">
            <v>Reach_932</v>
          </cell>
          <cell r="H2400">
            <v>2392</v>
          </cell>
          <cell r="J2400">
            <v>295.51</v>
          </cell>
          <cell r="K2400">
            <v>109.86</v>
          </cell>
          <cell r="L2400">
            <v>0.25993500000000003</v>
          </cell>
          <cell r="M2400">
            <v>5.777E-4</v>
          </cell>
          <cell r="N2400">
            <v>1380384264.6028919</v>
          </cell>
          <cell r="Q2400">
            <v>14</v>
          </cell>
        </row>
        <row r="2401">
          <cell r="D2401" t="str">
            <v>169115-74-6</v>
          </cell>
          <cell r="E2401">
            <v>169115746</v>
          </cell>
          <cell r="F2401">
            <v>5737</v>
          </cell>
          <cell r="G2401" t="str">
            <v>Reach_4178</v>
          </cell>
          <cell r="H2401">
            <v>2393</v>
          </cell>
          <cell r="J2401">
            <v>194.23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</row>
        <row r="2402">
          <cell r="D2402" t="str">
            <v>2814-77-9</v>
          </cell>
          <cell r="E2402">
            <v>2814779</v>
          </cell>
          <cell r="F2402">
            <v>2523</v>
          </cell>
          <cell r="G2402" t="str">
            <v>Reach_1872</v>
          </cell>
          <cell r="H2402">
            <v>2394</v>
          </cell>
          <cell r="J2402">
            <v>327.73</v>
          </cell>
          <cell r="K2402">
            <v>203.61</v>
          </cell>
          <cell r="L2402">
            <v>2.0661500000000003E-8</v>
          </cell>
          <cell r="M2402">
            <v>2.3408000000000002</v>
          </cell>
          <cell r="N2402">
            <v>3548133.8923357595</v>
          </cell>
          <cell r="O2402">
            <v>8.66</v>
          </cell>
          <cell r="Q2402">
            <v>8.66</v>
          </cell>
        </row>
        <row r="2403">
          <cell r="D2403" t="str">
            <v>13560-89-9</v>
          </cell>
          <cell r="E2403">
            <v>13560899</v>
          </cell>
          <cell r="F2403">
            <v>1892</v>
          </cell>
          <cell r="G2403" t="str">
            <v>Reach_2341</v>
          </cell>
          <cell r="H2403">
            <v>2395</v>
          </cell>
          <cell r="J2403">
            <v>653.73</v>
          </cell>
          <cell r="K2403">
            <v>206.45</v>
          </cell>
          <cell r="L2403">
            <v>9.4109800000000016E-8</v>
          </cell>
          <cell r="M2403">
            <v>4.7500000000000003E-6</v>
          </cell>
          <cell r="N2403">
            <v>186208713666.2872</v>
          </cell>
          <cell r="Q2403">
            <v>14</v>
          </cell>
        </row>
        <row r="2404">
          <cell r="D2404" t="str">
            <v>2978-58-7</v>
          </cell>
          <cell r="E2404">
            <v>2978587</v>
          </cell>
          <cell r="F2404">
            <v>2571</v>
          </cell>
          <cell r="G2404" t="str">
            <v>Reach_1893</v>
          </cell>
          <cell r="H2404">
            <v>2396</v>
          </cell>
          <cell r="J2404">
            <v>83.135000000000005</v>
          </cell>
          <cell r="K2404">
            <v>-25.93</v>
          </cell>
          <cell r="L2404">
            <v>11863.7</v>
          </cell>
          <cell r="M2404">
            <v>599000</v>
          </cell>
          <cell r="N2404">
            <v>2.7542287033381663</v>
          </cell>
          <cell r="P2404">
            <v>6</v>
          </cell>
          <cell r="Q2404">
            <v>8</v>
          </cell>
        </row>
        <row r="2405">
          <cell r="D2405" t="str">
            <v>72361-35-4</v>
          </cell>
          <cell r="E2405">
            <v>72361354</v>
          </cell>
          <cell r="F2405">
            <v>3603</v>
          </cell>
          <cell r="G2405" t="str">
            <v>Reach_2936</v>
          </cell>
          <cell r="H2405">
            <v>2397</v>
          </cell>
          <cell r="J2405">
            <v>757.19</v>
          </cell>
          <cell r="K2405">
            <v>312.85000000000002</v>
          </cell>
          <cell r="L2405">
            <v>5.27868E-15</v>
          </cell>
          <cell r="M2405">
            <v>9.2299999999999995E-14</v>
          </cell>
          <cell r="N2405">
            <v>9.1201083935591301E+18</v>
          </cell>
          <cell r="Q2405">
            <v>14</v>
          </cell>
        </row>
        <row r="2406">
          <cell r="D2406" t="str">
            <v>2602-34-8</v>
          </cell>
          <cell r="E2406">
            <v>2602348</v>
          </cell>
          <cell r="F2406">
            <v>2449</v>
          </cell>
          <cell r="G2406" t="str">
            <v>Reach_1843</v>
          </cell>
          <cell r="H2406">
            <v>2398</v>
          </cell>
          <cell r="J2406">
            <v>278.42</v>
          </cell>
          <cell r="K2406">
            <v>77.66</v>
          </cell>
          <cell r="L2406">
            <v>7.7180700000000005E-2</v>
          </cell>
          <cell r="M2406">
            <v>676.59</v>
          </cell>
          <cell r="N2406">
            <v>3.630780547701014</v>
          </cell>
          <cell r="Q2406">
            <v>14</v>
          </cell>
        </row>
        <row r="2407">
          <cell r="D2407" t="str">
            <v>127-39-9</v>
          </cell>
          <cell r="E2407">
            <v>127399</v>
          </cell>
          <cell r="F2407">
            <v>5649</v>
          </cell>
          <cell r="G2407" t="str">
            <v>Reach_1097</v>
          </cell>
          <cell r="H2407">
            <v>2399</v>
          </cell>
          <cell r="J2407">
            <v>332.35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  <cell r="Q2407">
            <v>14</v>
          </cell>
        </row>
        <row r="2408">
          <cell r="D2408" t="str">
            <v>84170-74-1</v>
          </cell>
          <cell r="E2408">
            <v>84170741</v>
          </cell>
          <cell r="F2408">
            <v>3857</v>
          </cell>
          <cell r="G2408" t="str">
            <v>Reach_4466</v>
          </cell>
          <cell r="H2408">
            <v>2400</v>
          </cell>
          <cell r="J2408">
            <v>328.4</v>
          </cell>
          <cell r="K2408">
            <v>19.899999999999999</v>
          </cell>
          <cell r="L2408">
            <v>2.19945E-2</v>
          </cell>
          <cell r="M2408">
            <v>27.914000000000001</v>
          </cell>
          <cell r="N2408">
            <v>812.83051616409978</v>
          </cell>
          <cell r="Q2408">
            <v>14</v>
          </cell>
        </row>
        <row r="2409">
          <cell r="D2409" t="str">
            <v>16088-62-3</v>
          </cell>
          <cell r="E2409">
            <v>16088623</v>
          </cell>
          <cell r="F2409">
            <v>498</v>
          </cell>
          <cell r="G2409" t="str">
            <v>Reach_2411</v>
          </cell>
          <cell r="H2409">
            <v>2401</v>
          </cell>
          <cell r="J2409">
            <v>58.08</v>
          </cell>
          <cell r="K2409">
            <v>-100.23</v>
          </cell>
          <cell r="L2409">
            <v>70915.600000000006</v>
          </cell>
          <cell r="M2409">
            <v>57869</v>
          </cell>
          <cell r="N2409">
            <v>2.344228815319922</v>
          </cell>
          <cell r="Q2409">
            <v>14</v>
          </cell>
        </row>
        <row r="2410">
          <cell r="D2410" t="str">
            <v>58567-11-6</v>
          </cell>
          <cell r="E2410">
            <v>58567116</v>
          </cell>
          <cell r="F2410">
            <v>3249</v>
          </cell>
          <cell r="G2410" t="str">
            <v>Reach_2830</v>
          </cell>
          <cell r="H2410">
            <v>2402</v>
          </cell>
          <cell r="J2410">
            <v>242.4</v>
          </cell>
          <cell r="K2410">
            <v>24.71</v>
          </cell>
          <cell r="L2410">
            <v>0.31192200000000003</v>
          </cell>
          <cell r="M2410">
            <v>2.3184</v>
          </cell>
          <cell r="N2410">
            <v>323593.65692962846</v>
          </cell>
          <cell r="Q2410">
            <v>14</v>
          </cell>
        </row>
        <row r="2411">
          <cell r="D2411" t="str">
            <v>68134-22-5</v>
          </cell>
          <cell r="E2411">
            <v>68134225</v>
          </cell>
          <cell r="F2411">
            <v>3507</v>
          </cell>
          <cell r="G2411" t="str">
            <v>Reach_2898</v>
          </cell>
          <cell r="H2411">
            <v>2403</v>
          </cell>
          <cell r="J2411">
            <v>405.34</v>
          </cell>
          <cell r="K2411">
            <v>251.11</v>
          </cell>
          <cell r="L2411">
            <v>9.7575600000000007E-11</v>
          </cell>
          <cell r="M2411">
            <v>7.6496000000000004</v>
          </cell>
          <cell r="N2411">
            <v>1479.1083881682086</v>
          </cell>
          <cell r="O2411">
            <v>8.65</v>
          </cell>
          <cell r="P2411">
            <v>12.18</v>
          </cell>
          <cell r="Q2411">
            <v>1.8200000000000003</v>
          </cell>
        </row>
        <row r="2412">
          <cell r="D2412" t="str">
            <v>52636-67-6</v>
          </cell>
          <cell r="E2412">
            <v>52636676</v>
          </cell>
          <cell r="F2412">
            <v>5915</v>
          </cell>
          <cell r="G2412" t="str">
            <v>Reach_2786</v>
          </cell>
          <cell r="H2412">
            <v>2404</v>
          </cell>
          <cell r="J2412">
            <v>184.22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  <cell r="Q2412">
            <v>14</v>
          </cell>
        </row>
        <row r="2413">
          <cell r="D2413" t="str">
            <v>762240-92-6</v>
          </cell>
          <cell r="E2413">
            <v>762240926</v>
          </cell>
          <cell r="F2413">
            <v>6031</v>
          </cell>
          <cell r="G2413" t="str">
            <v>Reach_4432</v>
          </cell>
          <cell r="H2413">
            <v>2405</v>
          </cell>
          <cell r="J2413">
            <v>228.61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  <cell r="Q2413">
            <v>14</v>
          </cell>
        </row>
        <row r="2414">
          <cell r="D2414" t="str">
            <v>21282-97-3</v>
          </cell>
          <cell r="E2414">
            <v>21282973</v>
          </cell>
          <cell r="F2414">
            <v>2288</v>
          </cell>
          <cell r="G2414" t="str">
            <v>Reach_2504</v>
          </cell>
          <cell r="H2414">
            <v>2406</v>
          </cell>
          <cell r="J2414">
            <v>214.22</v>
          </cell>
          <cell r="K2414">
            <v>-23.3</v>
          </cell>
          <cell r="L2414">
            <v>2.77264</v>
          </cell>
          <cell r="M2414">
            <v>7074.7</v>
          </cell>
          <cell r="N2414">
            <v>1.7378008287493756</v>
          </cell>
          <cell r="Q2414">
            <v>14</v>
          </cell>
        </row>
        <row r="2415">
          <cell r="D2415" t="str">
            <v>3923-79-3</v>
          </cell>
          <cell r="E2415">
            <v>3923793</v>
          </cell>
          <cell r="F2415">
            <v>2836</v>
          </cell>
          <cell r="G2415" t="str">
            <v>Reach_2002</v>
          </cell>
          <cell r="H2415">
            <v>2407</v>
          </cell>
          <cell r="J2415">
            <v>146.15</v>
          </cell>
          <cell r="K2415">
            <v>85.59</v>
          </cell>
          <cell r="L2415">
            <v>1.7595600000000003E-3</v>
          </cell>
          <cell r="M2415">
            <v>986000</v>
          </cell>
          <cell r="N2415">
            <v>1.0471285480508988E-3</v>
          </cell>
          <cell r="O2415">
            <v>13.49</v>
          </cell>
          <cell r="P2415">
            <v>15.44</v>
          </cell>
          <cell r="Q2415">
            <v>-1.4399999999999995</v>
          </cell>
        </row>
        <row r="2416">
          <cell r="D2416" t="str">
            <v>41484-35-9</v>
          </cell>
          <cell r="E2416">
            <v>41484359</v>
          </cell>
          <cell r="F2416">
            <v>2878</v>
          </cell>
          <cell r="G2416" t="str">
            <v>Reach_2743</v>
          </cell>
          <cell r="H2416">
            <v>2408</v>
          </cell>
          <cell r="J2416">
            <v>642.94000000000005</v>
          </cell>
          <cell r="K2416">
            <v>289.42</v>
          </cell>
          <cell r="L2416">
            <v>9.9975000000000012E-16</v>
          </cell>
          <cell r="M2416">
            <v>3.8599999999999999E-7</v>
          </cell>
          <cell r="N2416">
            <v>22908676527.677742</v>
          </cell>
          <cell r="O2416">
            <v>11.64</v>
          </cell>
          <cell r="Q2416">
            <v>11.64</v>
          </cell>
        </row>
        <row r="2417">
          <cell r="D2417" t="str">
            <v>78-73-9</v>
          </cell>
          <cell r="E2417">
            <v>78739</v>
          </cell>
          <cell r="F2417">
            <v>6039</v>
          </cell>
          <cell r="G2417" t="str">
            <v>Reach_206</v>
          </cell>
          <cell r="H2417">
            <v>2409</v>
          </cell>
          <cell r="J2417">
            <v>165.19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  <cell r="Q2417">
            <v>14</v>
          </cell>
        </row>
        <row r="2418">
          <cell r="D2418" t="str">
            <v>428-59-1</v>
          </cell>
          <cell r="E2418">
            <v>428591</v>
          </cell>
          <cell r="F2418">
            <v>2900</v>
          </cell>
          <cell r="G2418" t="str">
            <v>Reach_1270</v>
          </cell>
          <cell r="H2418">
            <v>2410</v>
          </cell>
          <cell r="J2418">
            <v>166.02</v>
          </cell>
          <cell r="K2418">
            <v>-89.46</v>
          </cell>
          <cell r="L2418">
            <v>551862</v>
          </cell>
          <cell r="M2418">
            <v>75.334000000000003</v>
          </cell>
          <cell r="N2418">
            <v>52.480746024977286</v>
          </cell>
          <cell r="Q2418">
            <v>14</v>
          </cell>
        </row>
        <row r="2419">
          <cell r="D2419" t="str">
            <v>141-62-8</v>
          </cell>
          <cell r="E2419">
            <v>141628</v>
          </cell>
          <cell r="F2419">
            <v>1939</v>
          </cell>
          <cell r="G2419" t="str">
            <v>Reach_1165</v>
          </cell>
          <cell r="H2419">
            <v>2411</v>
          </cell>
          <cell r="J2419">
            <v>310.69</v>
          </cell>
          <cell r="K2419">
            <v>-36.270000000000003</v>
          </cell>
          <cell r="L2419">
            <v>64.783799999999999</v>
          </cell>
          <cell r="M2419">
            <v>2.3605999999999999E-2</v>
          </cell>
          <cell r="N2419">
            <v>144543977.07459331</v>
          </cell>
          <cell r="Q2419">
            <v>14</v>
          </cell>
        </row>
        <row r="2420">
          <cell r="D2420" t="str">
            <v>76199-85-4</v>
          </cell>
          <cell r="E2420">
            <v>76199854</v>
          </cell>
          <cell r="F2420">
            <v>3703</v>
          </cell>
          <cell r="G2420" t="str">
            <v>Reach_2947</v>
          </cell>
          <cell r="H2420">
            <v>2412</v>
          </cell>
          <cell r="J2420">
            <v>337.3</v>
          </cell>
          <cell r="K2420">
            <v>349.84</v>
          </cell>
          <cell r="L2420">
            <v>7.9446800000000011E-18</v>
          </cell>
          <cell r="M2420">
            <v>2644</v>
          </cell>
          <cell r="N2420">
            <v>7.9432823472428096E-2</v>
          </cell>
          <cell r="O2420">
            <v>1.78</v>
          </cell>
          <cell r="P2420">
            <v>5.29</v>
          </cell>
          <cell r="Q2420">
            <v>1.78</v>
          </cell>
        </row>
        <row r="2421">
          <cell r="D2421" t="str">
            <v>96-17-3</v>
          </cell>
          <cell r="E2421">
            <v>96173</v>
          </cell>
          <cell r="F2421">
            <v>1046</v>
          </cell>
          <cell r="G2421" t="str">
            <v>Reach_452</v>
          </cell>
          <cell r="H2421">
            <v>2413</v>
          </cell>
          <cell r="J2421">
            <v>86.134</v>
          </cell>
          <cell r="K2421">
            <v>-79.260000000000005</v>
          </cell>
          <cell r="L2421">
            <v>1386.3200000000002</v>
          </cell>
          <cell r="M2421">
            <v>19932</v>
          </cell>
          <cell r="N2421">
            <v>16.982436524617448</v>
          </cell>
          <cell r="O2421">
            <v>0</v>
          </cell>
          <cell r="P2421">
            <v>0</v>
          </cell>
          <cell r="Q2421">
            <v>0</v>
          </cell>
        </row>
        <row r="2422">
          <cell r="D2422" t="str">
            <v>6600-31-3</v>
          </cell>
          <cell r="E2422">
            <v>6600313</v>
          </cell>
          <cell r="F2422">
            <v>3458</v>
          </cell>
          <cell r="G2422" t="str">
            <v>Reach_2195</v>
          </cell>
          <cell r="H2422">
            <v>2414</v>
          </cell>
          <cell r="J2422">
            <v>320.43</v>
          </cell>
          <cell r="K2422">
            <v>141.69999999999999</v>
          </cell>
          <cell r="L2422">
            <v>2.2794300000000001E-4</v>
          </cell>
          <cell r="M2422">
            <v>32.250999999999998</v>
          </cell>
          <cell r="N2422">
            <v>23442.288153199243</v>
          </cell>
          <cell r="O2422">
            <v>0</v>
          </cell>
          <cell r="P2422">
            <v>0</v>
          </cell>
          <cell r="Q2422">
            <v>0</v>
          </cell>
        </row>
        <row r="2423">
          <cell r="D2423" t="str">
            <v>111-75-1</v>
          </cell>
          <cell r="E2423">
            <v>111751</v>
          </cell>
          <cell r="F2423">
            <v>1556</v>
          </cell>
          <cell r="G2423" t="str">
            <v>Reach_868</v>
          </cell>
          <cell r="H2423">
            <v>2415</v>
          </cell>
          <cell r="J2423">
            <v>117.19</v>
          </cell>
          <cell r="K2423">
            <v>-0.16</v>
          </cell>
          <cell r="L2423">
            <v>10.437390000000001</v>
          </cell>
          <cell r="M2423">
            <v>415000</v>
          </cell>
          <cell r="N2423">
            <v>2.1379620895022322</v>
          </cell>
          <cell r="Q2423">
            <v>14</v>
          </cell>
        </row>
        <row r="2424">
          <cell r="D2424" t="str">
            <v>56-18-8</v>
          </cell>
          <cell r="E2424">
            <v>56188</v>
          </cell>
          <cell r="F2424">
            <v>3188</v>
          </cell>
          <cell r="G2424" t="str">
            <v>Reach_25</v>
          </cell>
          <cell r="H2424">
            <v>2416</v>
          </cell>
          <cell r="J2424">
            <v>131.22999999999999</v>
          </cell>
          <cell r="K2424">
            <v>40.51</v>
          </cell>
          <cell r="L2424">
            <v>11.490460000000001</v>
          </cell>
          <cell r="M2424">
            <v>1000000</v>
          </cell>
          <cell r="N2424">
            <v>7.0794578438413788E-2</v>
          </cell>
          <cell r="Q2424">
            <v>14</v>
          </cell>
        </row>
        <row r="2425">
          <cell r="D2425" t="str">
            <v>855425-38-6</v>
          </cell>
          <cell r="E2425">
            <v>855425386</v>
          </cell>
          <cell r="F2425">
            <v>3892</v>
          </cell>
          <cell r="G2425" t="str">
            <v>Reach_4530</v>
          </cell>
          <cell r="H2425">
            <v>2417</v>
          </cell>
          <cell r="J2425">
            <v>193.34</v>
          </cell>
          <cell r="K2425">
            <v>47.77</v>
          </cell>
          <cell r="L2425">
            <v>0.41056400000000004</v>
          </cell>
          <cell r="M2425">
            <v>2.4357000000000002</v>
          </cell>
          <cell r="N2425">
            <v>91201.083935591028</v>
          </cell>
          <cell r="O2425">
            <v>0</v>
          </cell>
          <cell r="P2425">
            <v>0</v>
          </cell>
          <cell r="Q2425">
            <v>0</v>
          </cell>
        </row>
        <row r="2426">
          <cell r="D2426" t="str">
            <v>1129-42-6</v>
          </cell>
          <cell r="E2426">
            <v>1129426</v>
          </cell>
          <cell r="F2426">
            <v>1612</v>
          </cell>
          <cell r="G2426" t="str">
            <v>Reach_1663</v>
          </cell>
          <cell r="H2426">
            <v>2418</v>
          </cell>
          <cell r="J2426">
            <v>172.19</v>
          </cell>
          <cell r="K2426">
            <v>155.02000000000001</v>
          </cell>
          <cell r="L2426">
            <v>1.8928600000000002E-4</v>
          </cell>
          <cell r="M2426">
            <v>326000</v>
          </cell>
          <cell r="N2426">
            <v>1.5135612484362076E-2</v>
          </cell>
          <cell r="Q2426">
            <v>14</v>
          </cell>
        </row>
        <row r="2427">
          <cell r="D2427" t="str">
            <v>24863-70-5</v>
          </cell>
          <cell r="E2427">
            <v>24863705</v>
          </cell>
          <cell r="F2427">
            <v>2405</v>
          </cell>
          <cell r="G2427" t="str">
            <v>Reach_4241</v>
          </cell>
          <cell r="H2427">
            <v>2419</v>
          </cell>
          <cell r="J2427">
            <v>224.3</v>
          </cell>
          <cell r="K2427">
            <v>85.74</v>
          </cell>
          <cell r="L2427">
            <v>2.7726400000000002E-2</v>
          </cell>
          <cell r="M2427">
            <v>130.79</v>
          </cell>
          <cell r="N2427">
            <v>2041.7379446695318</v>
          </cell>
          <cell r="Q2427">
            <v>14</v>
          </cell>
        </row>
        <row r="2428">
          <cell r="D2428" t="str">
            <v>127-06-0</v>
          </cell>
          <cell r="E2428">
            <v>127060</v>
          </cell>
          <cell r="F2428">
            <v>410</v>
          </cell>
          <cell r="G2428" t="str">
            <v>Reach_1095</v>
          </cell>
          <cell r="H2428">
            <v>2420</v>
          </cell>
          <cell r="J2428">
            <v>73.096000000000004</v>
          </cell>
          <cell r="K2428">
            <v>-70.08</v>
          </cell>
          <cell r="L2428">
            <v>163.959</v>
          </cell>
          <cell r="M2428">
            <v>56415</v>
          </cell>
          <cell r="N2428">
            <v>15.848931924611136</v>
          </cell>
          <cell r="O2428">
            <v>12.5</v>
          </cell>
          <cell r="Q2428">
            <v>12.5</v>
          </cell>
        </row>
        <row r="2429">
          <cell r="D2429" t="str">
            <v>5810-11-7</v>
          </cell>
          <cell r="E2429">
            <v>5810117</v>
          </cell>
          <cell r="F2429">
            <v>1278</v>
          </cell>
          <cell r="G2429" t="str">
            <v>Reach_2137</v>
          </cell>
          <cell r="H2429">
            <v>2421</v>
          </cell>
          <cell r="J2429">
            <v>163.6</v>
          </cell>
          <cell r="K2429">
            <v>47.36</v>
          </cell>
          <cell r="L2429">
            <v>2.4260600000000001</v>
          </cell>
          <cell r="M2429">
            <v>2470000</v>
          </cell>
          <cell r="N2429">
            <v>0.85113803820237643</v>
          </cell>
          <cell r="O2429">
            <v>6.19</v>
          </cell>
          <cell r="Q2429">
            <v>6.19</v>
          </cell>
        </row>
        <row r="2430">
          <cell r="D2430" t="str">
            <v>14814-09-6</v>
          </cell>
          <cell r="E2430">
            <v>14814096</v>
          </cell>
          <cell r="F2430">
            <v>2001</v>
          </cell>
          <cell r="G2430" t="str">
            <v>Reach_2370</v>
          </cell>
          <cell r="H2430">
            <v>2422</v>
          </cell>
          <cell r="J2430">
            <v>238.42</v>
          </cell>
          <cell r="K2430">
            <v>36.5</v>
          </cell>
          <cell r="L2430">
            <v>0.99708400000000008</v>
          </cell>
          <cell r="M2430">
            <v>326.92</v>
          </cell>
          <cell r="N2430">
            <v>53.703179637025293</v>
          </cell>
          <cell r="O2430">
            <v>10.24</v>
          </cell>
          <cell r="Q2430">
            <v>10.24</v>
          </cell>
        </row>
        <row r="2431">
          <cell r="D2431" t="str">
            <v>66669-53-2</v>
          </cell>
          <cell r="E2431">
            <v>66669532</v>
          </cell>
          <cell r="F2431">
            <v>5983</v>
          </cell>
          <cell r="G2431" t="str">
            <v>Reach_2883</v>
          </cell>
          <cell r="H2431">
            <v>2423</v>
          </cell>
          <cell r="J2431">
            <v>358.06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  <cell r="Q2431">
            <v>14</v>
          </cell>
        </row>
        <row r="2432">
          <cell r="D2432" t="str">
            <v>993-13-5</v>
          </cell>
          <cell r="E2432">
            <v>993135</v>
          </cell>
          <cell r="F2432">
            <v>4203</v>
          </cell>
          <cell r="G2432" t="str">
            <v>Reach_1627</v>
          </cell>
          <cell r="H2432">
            <v>2424</v>
          </cell>
          <cell r="J2432">
            <v>96.022000000000006</v>
          </cell>
          <cell r="K2432">
            <v>7.27</v>
          </cell>
          <cell r="L2432">
            <v>4.3589099999999999E-2</v>
          </cell>
          <cell r="M2432">
            <v>461000</v>
          </cell>
          <cell r="N2432">
            <v>0.1</v>
          </cell>
          <cell r="O2432">
            <v>2.6</v>
          </cell>
          <cell r="Q2432">
            <v>2.6</v>
          </cell>
        </row>
        <row r="2433">
          <cell r="D2433" t="str">
            <v>764-99-8</v>
          </cell>
          <cell r="E2433">
            <v>764998</v>
          </cell>
          <cell r="F2433">
            <v>3714</v>
          </cell>
          <cell r="G2433" t="str">
            <v>Reach_1538</v>
          </cell>
          <cell r="H2433">
            <v>2425</v>
          </cell>
          <cell r="J2433">
            <v>158.19999999999999</v>
          </cell>
          <cell r="K2433">
            <v>-17.88</v>
          </cell>
          <cell r="L2433">
            <v>75.847700000000003</v>
          </cell>
          <cell r="M2433">
            <v>8272.4</v>
          </cell>
          <cell r="N2433">
            <v>1.6982436524617444</v>
          </cell>
          <cell r="Q2433">
            <v>14</v>
          </cell>
        </row>
        <row r="2434">
          <cell r="D2434" t="str">
            <v>29171-20-8</v>
          </cell>
          <cell r="E2434">
            <v>29171208</v>
          </cell>
          <cell r="F2434">
            <v>2560</v>
          </cell>
          <cell r="G2434" t="str">
            <v>Reach_2628</v>
          </cell>
          <cell r="H2434">
            <v>2426</v>
          </cell>
          <cell r="J2434">
            <v>152.24</v>
          </cell>
          <cell r="K2434">
            <v>15.4</v>
          </cell>
          <cell r="L2434">
            <v>4.6388400000000001</v>
          </cell>
          <cell r="M2434">
            <v>517.85</v>
          </cell>
          <cell r="N2434">
            <v>562.34132519034927</v>
          </cell>
          <cell r="O2434">
            <v>13.6</v>
          </cell>
          <cell r="Q2434">
            <v>13.6</v>
          </cell>
        </row>
        <row r="2435">
          <cell r="D2435" t="str">
            <v>9011-11-4</v>
          </cell>
          <cell r="E2435">
            <v>9011114</v>
          </cell>
          <cell r="F2435">
            <v>5587</v>
          </cell>
          <cell r="G2435" t="str">
            <v>Reach_4495</v>
          </cell>
          <cell r="H2435">
            <v>2427</v>
          </cell>
          <cell r="J2435">
            <v>222.33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  <cell r="Q2435">
            <v>14</v>
          </cell>
        </row>
        <row r="2436">
          <cell r="D2436" t="str">
            <v>79-16-3</v>
          </cell>
          <cell r="E2436">
            <v>79163</v>
          </cell>
          <cell r="F2436">
            <v>3767</v>
          </cell>
          <cell r="G2436" t="str">
            <v>Reach_233</v>
          </cell>
          <cell r="H2436">
            <v>2428</v>
          </cell>
          <cell r="J2436">
            <v>73.096000000000004</v>
          </cell>
          <cell r="K2436">
            <v>20.190000000000001</v>
          </cell>
          <cell r="L2436">
            <v>32.258600000000001</v>
          </cell>
          <cell r="M2436">
            <v>2260000</v>
          </cell>
          <cell r="N2436">
            <v>0.19952623149688795</v>
          </cell>
          <cell r="Q2436">
            <v>14</v>
          </cell>
        </row>
        <row r="2437">
          <cell r="D2437" t="str">
            <v>56-45-1</v>
          </cell>
          <cell r="E2437">
            <v>56451</v>
          </cell>
          <cell r="F2437">
            <v>3199</v>
          </cell>
          <cell r="G2437" t="str">
            <v>Reach_29</v>
          </cell>
          <cell r="H2437">
            <v>2429</v>
          </cell>
          <cell r="J2437">
            <v>105.09</v>
          </cell>
          <cell r="K2437">
            <v>218.02</v>
          </cell>
          <cell r="L2437">
            <v>3.9590100000000004E-6</v>
          </cell>
          <cell r="M2437">
            <v>192000</v>
          </cell>
          <cell r="N2437">
            <v>3.4673685045253142E-4</v>
          </cell>
          <cell r="O2437">
            <v>2.1</v>
          </cell>
          <cell r="P2437">
            <v>4.9000000000000004</v>
          </cell>
          <cell r="Q2437">
            <v>2.1</v>
          </cell>
        </row>
        <row r="2438">
          <cell r="D2438" t="str">
            <v>41026-17-9</v>
          </cell>
          <cell r="E2438">
            <v>41026179</v>
          </cell>
          <cell r="F2438">
            <v>2868</v>
          </cell>
          <cell r="G2438" t="str">
            <v>Reach_2733</v>
          </cell>
          <cell r="H2438">
            <v>2430</v>
          </cell>
          <cell r="J2438">
            <v>408.45</v>
          </cell>
          <cell r="K2438">
            <v>219.06</v>
          </cell>
          <cell r="L2438">
            <v>1.062401E-8</v>
          </cell>
          <cell r="M2438">
            <v>571.80999999999995</v>
          </cell>
          <cell r="N2438">
            <v>4466.8359215096343</v>
          </cell>
          <cell r="O2438">
            <v>4.09</v>
          </cell>
          <cell r="Q2438">
            <v>4.09</v>
          </cell>
        </row>
        <row r="2439">
          <cell r="D2439" t="str">
            <v>4051-63-2</v>
          </cell>
          <cell r="E2439">
            <v>4051632</v>
          </cell>
          <cell r="F2439">
            <v>2858</v>
          </cell>
          <cell r="G2439" t="str">
            <v>Reach_2007</v>
          </cell>
          <cell r="H2439">
            <v>2431</v>
          </cell>
          <cell r="J2439">
            <v>444.45</v>
          </cell>
          <cell r="K2439">
            <v>317.26</v>
          </cell>
          <cell r="L2439">
            <v>2.5860200000000002E-15</v>
          </cell>
          <cell r="M2439">
            <v>7.1640999999999996E-2</v>
          </cell>
          <cell r="N2439">
            <v>6760829.7539198333</v>
          </cell>
          <cell r="P2439">
            <v>13.48</v>
          </cell>
          <cell r="Q2439">
            <v>0.51999999999999957</v>
          </cell>
        </row>
        <row r="2440">
          <cell r="D2440" t="str">
            <v>3437-84-1</v>
          </cell>
          <cell r="E2440">
            <v>3437841</v>
          </cell>
          <cell r="F2440">
            <v>2701</v>
          </cell>
          <cell r="G2440" t="str">
            <v>Reach_1961</v>
          </cell>
          <cell r="H2440">
            <v>2432</v>
          </cell>
          <cell r="J2440">
            <v>174.2</v>
          </cell>
          <cell r="K2440">
            <v>-93.94</v>
          </cell>
          <cell r="L2440">
            <v>310.58900000000006</v>
          </cell>
          <cell r="M2440">
            <v>2843.7</v>
          </cell>
          <cell r="N2440">
            <v>218.77616239495524</v>
          </cell>
          <cell r="Q2440">
            <v>14</v>
          </cell>
        </row>
        <row r="2441">
          <cell r="D2441" t="str">
            <v>51181-50-1</v>
          </cell>
          <cell r="E2441">
            <v>51181501</v>
          </cell>
          <cell r="F2441">
            <v>5903</v>
          </cell>
          <cell r="G2441" t="str">
            <v>Reach_2770</v>
          </cell>
          <cell r="H2441">
            <v>2433</v>
          </cell>
          <cell r="J2441">
            <v>353.07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  <cell r="Q2441">
            <v>14</v>
          </cell>
        </row>
        <row r="2442">
          <cell r="D2442" t="str">
            <v>97-39-2</v>
          </cell>
          <cell r="E2442">
            <v>97392</v>
          </cell>
          <cell r="F2442">
            <v>4164</v>
          </cell>
          <cell r="G2442" t="str">
            <v>Reach_478</v>
          </cell>
          <cell r="H2442">
            <v>2434</v>
          </cell>
          <cell r="J2442">
            <v>239.32</v>
          </cell>
          <cell r="K2442">
            <v>142.19</v>
          </cell>
          <cell r="L2442">
            <v>6.8916100000000009E-5</v>
          </cell>
          <cell r="M2442">
            <v>5.4634999999999998</v>
          </cell>
          <cell r="N2442">
            <v>9772.3722095581161</v>
          </cell>
          <cell r="P2442">
            <v>3.9</v>
          </cell>
          <cell r="Q2442">
            <v>10.1</v>
          </cell>
        </row>
        <row r="2443">
          <cell r="D2443" t="str">
            <v>593-45-3</v>
          </cell>
          <cell r="E2443">
            <v>593453</v>
          </cell>
          <cell r="F2443">
            <v>3273</v>
          </cell>
          <cell r="G2443" t="str">
            <v>Reach_1393</v>
          </cell>
          <cell r="H2443">
            <v>2435</v>
          </cell>
          <cell r="J2443">
            <v>254.5</v>
          </cell>
          <cell r="K2443">
            <v>31.04</v>
          </cell>
          <cell r="L2443">
            <v>0.19461800000000001</v>
          </cell>
          <cell r="M2443">
            <v>2.8509999999999999E-4</v>
          </cell>
          <cell r="N2443">
            <v>1513561248.4362099</v>
          </cell>
          <cell r="Q2443">
            <v>14</v>
          </cell>
        </row>
        <row r="2444">
          <cell r="D2444" t="str">
            <v>2489-05-6</v>
          </cell>
          <cell r="E2444">
            <v>2489056</v>
          </cell>
          <cell r="F2444">
            <v>5579</v>
          </cell>
          <cell r="G2444" t="str">
            <v>Reach_1817</v>
          </cell>
          <cell r="H2444">
            <v>2436</v>
          </cell>
          <cell r="J2444">
            <v>447.46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  <cell r="Q2444">
            <v>14</v>
          </cell>
        </row>
        <row r="2445">
          <cell r="D2445" t="str">
            <v>74441-05-7</v>
          </cell>
          <cell r="E2445">
            <v>74441057</v>
          </cell>
          <cell r="F2445">
            <v>3635</v>
          </cell>
          <cell r="G2445" t="str">
            <v>Reach_2943</v>
          </cell>
          <cell r="H2445">
            <v>2437</v>
          </cell>
          <cell r="J2445">
            <v>499.49</v>
          </cell>
          <cell r="K2445">
            <v>349.84</v>
          </cell>
          <cell r="L2445">
            <v>4.5055400000000004E-20</v>
          </cell>
          <cell r="M2445">
            <v>19.318999999999999</v>
          </cell>
          <cell r="N2445">
            <v>45.708818961487509</v>
          </cell>
          <cell r="P2445">
            <v>11.99</v>
          </cell>
          <cell r="Q2445">
            <v>2.0099999999999998</v>
          </cell>
        </row>
        <row r="2446">
          <cell r="D2446" t="str">
            <v>7786-17-6</v>
          </cell>
          <cell r="E2446">
            <v>7786176</v>
          </cell>
          <cell r="F2446">
            <v>3740</v>
          </cell>
          <cell r="G2446" t="str">
            <v>Reach_2275</v>
          </cell>
          <cell r="H2446">
            <v>2438</v>
          </cell>
          <cell r="J2446">
            <v>480.78</v>
          </cell>
          <cell r="K2446">
            <v>251.83</v>
          </cell>
          <cell r="L2446">
            <v>8.3312500000000005E-13</v>
          </cell>
          <cell r="M2446">
            <v>3.6199999999999999E-7</v>
          </cell>
          <cell r="N2446">
            <v>12589254117941.707</v>
          </cell>
          <cell r="O2446">
            <v>9.67</v>
          </cell>
          <cell r="Q2446">
            <v>9.67</v>
          </cell>
        </row>
        <row r="2447">
          <cell r="D2447" t="str">
            <v>16881-77-9</v>
          </cell>
          <cell r="E2447">
            <v>16881779</v>
          </cell>
          <cell r="F2447">
            <v>2115</v>
          </cell>
          <cell r="G2447" t="str">
            <v>Reach_2429</v>
          </cell>
          <cell r="H2447">
            <v>2439</v>
          </cell>
          <cell r="J2447">
            <v>105.19</v>
          </cell>
          <cell r="K2447">
            <v>-99.99</v>
          </cell>
          <cell r="L2447">
            <v>14796.300000000001</v>
          </cell>
          <cell r="M2447">
            <v>32672</v>
          </cell>
          <cell r="N2447">
            <v>1.0964781961431851</v>
          </cell>
          <cell r="Q2447">
            <v>14</v>
          </cell>
        </row>
        <row r="2448">
          <cell r="D2448" t="str">
            <v>15308-01-7</v>
          </cell>
          <cell r="E2448">
            <v>15308017</v>
          </cell>
          <cell r="F2448">
            <v>2030</v>
          </cell>
          <cell r="G2448" t="str">
            <v>Reach_2384</v>
          </cell>
          <cell r="H2448">
            <v>2440</v>
          </cell>
          <cell r="J2448">
            <v>314.60000000000002</v>
          </cell>
          <cell r="K2448">
            <v>155.63</v>
          </cell>
          <cell r="L2448">
            <v>1.8528700000000001E-5</v>
          </cell>
          <cell r="M2448">
            <v>0.73577999999999999</v>
          </cell>
          <cell r="N2448">
            <v>5495.4087385762541</v>
          </cell>
          <cell r="O2448">
            <v>0</v>
          </cell>
          <cell r="Q2448">
            <v>0</v>
          </cell>
        </row>
        <row r="2449">
          <cell r="D2449" t="str">
            <v>28706-25-4</v>
          </cell>
          <cell r="E2449">
            <v>28706254</v>
          </cell>
          <cell r="F2449">
            <v>5817</v>
          </cell>
          <cell r="G2449" t="str">
            <v>Reach_2622</v>
          </cell>
          <cell r="H2449">
            <v>2441</v>
          </cell>
          <cell r="J2449">
            <v>1060.9000000000001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  <cell r="Q2449">
            <v>14</v>
          </cell>
        </row>
        <row r="2450">
          <cell r="D2450" t="str">
            <v>5187-23-5</v>
          </cell>
          <cell r="E2450">
            <v>5187235</v>
          </cell>
          <cell r="F2450">
            <v>3048</v>
          </cell>
          <cell r="G2450" t="str">
            <v>Reach_2083</v>
          </cell>
          <cell r="H2450">
            <v>2442</v>
          </cell>
          <cell r="J2450">
            <v>146.19</v>
          </cell>
          <cell r="K2450">
            <v>30.3</v>
          </cell>
          <cell r="L2450">
            <v>1.3996500000000003</v>
          </cell>
          <cell r="M2450">
            <v>4263.5</v>
          </cell>
          <cell r="N2450">
            <v>1.2022644346174129</v>
          </cell>
          <cell r="O2450">
            <v>15.14</v>
          </cell>
          <cell r="Q2450">
            <v>14</v>
          </cell>
        </row>
        <row r="2451">
          <cell r="D2451" t="str">
            <v>71735-74-5</v>
          </cell>
          <cell r="E2451">
            <v>71735745</v>
          </cell>
          <cell r="F2451">
            <v>3588</v>
          </cell>
          <cell r="G2451" t="str">
            <v>Reach_2930</v>
          </cell>
          <cell r="H2451">
            <v>2443</v>
          </cell>
          <cell r="J2451">
            <v>314.39999999999998</v>
          </cell>
          <cell r="K2451">
            <v>16.989999999999998</v>
          </cell>
          <cell r="L2451">
            <v>2.1461300000000003E-2</v>
          </cell>
          <cell r="M2451">
            <v>6.9657999999999998</v>
          </cell>
          <cell r="N2451">
            <v>14125.375446227561</v>
          </cell>
          <cell r="Q2451">
            <v>14</v>
          </cell>
        </row>
        <row r="2452">
          <cell r="D2452" t="str">
            <v>5026-62-0</v>
          </cell>
          <cell r="E2452">
            <v>5026620</v>
          </cell>
          <cell r="F2452">
            <v>5897</v>
          </cell>
          <cell r="G2452" t="str">
            <v>Reach_2070</v>
          </cell>
          <cell r="H2452">
            <v>2444</v>
          </cell>
          <cell r="J2452">
            <v>174.13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  <cell r="Q2452">
            <v>14</v>
          </cell>
        </row>
        <row r="2453">
          <cell r="D2453" t="str">
            <v>34140-91-5</v>
          </cell>
          <cell r="E2453">
            <v>34140915</v>
          </cell>
          <cell r="F2453">
            <v>5850</v>
          </cell>
          <cell r="G2453" t="str">
            <v>Reach_2671</v>
          </cell>
          <cell r="H2453">
            <v>2445</v>
          </cell>
          <cell r="J2453">
            <v>889.53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Q2453">
            <v>0</v>
          </cell>
        </row>
        <row r="2454">
          <cell r="D2454" t="str">
            <v>54634-94-5</v>
          </cell>
          <cell r="E2454">
            <v>54634945</v>
          </cell>
          <cell r="F2454">
            <v>3149</v>
          </cell>
          <cell r="G2454" t="str">
            <v>Reach_2801</v>
          </cell>
          <cell r="H2454">
            <v>2446</v>
          </cell>
          <cell r="J2454">
            <v>304.39</v>
          </cell>
          <cell r="K2454">
            <v>140.15</v>
          </cell>
          <cell r="L2454">
            <v>1.4929600000000002E-4</v>
          </cell>
          <cell r="M2454">
            <v>2.6823000000000001</v>
          </cell>
          <cell r="N2454">
            <v>416869.38347033598</v>
          </cell>
          <cell r="P2454">
            <v>0</v>
          </cell>
          <cell r="Q2454">
            <v>14</v>
          </cell>
        </row>
        <row r="2455">
          <cell r="D2455" t="str">
            <v>119-60-8</v>
          </cell>
          <cell r="E2455">
            <v>119608</v>
          </cell>
          <cell r="F2455">
            <v>353</v>
          </cell>
          <cell r="G2455" t="str">
            <v>Reach_981</v>
          </cell>
          <cell r="H2455">
            <v>2447</v>
          </cell>
          <cell r="J2455">
            <v>194.32</v>
          </cell>
          <cell r="K2455">
            <v>37.229999999999997</v>
          </cell>
          <cell r="L2455">
            <v>1.3276680000000001</v>
          </cell>
          <cell r="M2455">
            <v>2.2183000000000002</v>
          </cell>
          <cell r="N2455">
            <v>19952.623149688792</v>
          </cell>
          <cell r="Q2455">
            <v>14</v>
          </cell>
        </row>
        <row r="2456">
          <cell r="D2456" t="str">
            <v>96-96-8</v>
          </cell>
          <cell r="E2456">
            <v>96968</v>
          </cell>
          <cell r="F2456">
            <v>4157</v>
          </cell>
          <cell r="G2456" t="str">
            <v>Reach_472</v>
          </cell>
          <cell r="H2456">
            <v>2448</v>
          </cell>
          <cell r="J2456">
            <v>168.15</v>
          </cell>
          <cell r="K2456">
            <v>96.84</v>
          </cell>
          <cell r="L2456">
            <v>2.1861200000000001E-2</v>
          </cell>
          <cell r="M2456">
            <v>1038.7</v>
          </cell>
          <cell r="N2456">
            <v>125.89254117941677</v>
          </cell>
          <cell r="P2456">
            <v>13</v>
          </cell>
          <cell r="Q2456">
            <v>1</v>
          </cell>
        </row>
        <row r="2457">
          <cell r="D2457" t="str">
            <v>93-55-0</v>
          </cell>
          <cell r="E2457">
            <v>93550</v>
          </cell>
          <cell r="F2457">
            <v>4072</v>
          </cell>
          <cell r="G2457" t="str">
            <v>Reach_402</v>
          </cell>
          <cell r="H2457">
            <v>2449</v>
          </cell>
          <cell r="J2457">
            <v>134.18</v>
          </cell>
          <cell r="K2457">
            <v>1.59</v>
          </cell>
          <cell r="L2457">
            <v>19.861700000000003</v>
          </cell>
          <cell r="M2457">
            <v>773.07</v>
          </cell>
          <cell r="N2457">
            <v>144.54397707459285</v>
          </cell>
          <cell r="Q2457">
            <v>14</v>
          </cell>
        </row>
        <row r="2458">
          <cell r="D2458" t="str">
            <v>41435-93-2</v>
          </cell>
          <cell r="E2458">
            <v>41435932</v>
          </cell>
          <cell r="F2458">
            <v>2876</v>
          </cell>
          <cell r="G2458" t="str">
            <v>Reach_5040</v>
          </cell>
          <cell r="H2458">
            <v>2450</v>
          </cell>
          <cell r="J2458">
            <v>166.26</v>
          </cell>
          <cell r="K2458">
            <v>12.66</v>
          </cell>
          <cell r="L2458">
            <v>35.324500000000008</v>
          </cell>
          <cell r="M2458">
            <v>80.668999999999997</v>
          </cell>
          <cell r="N2458">
            <v>1288.2495516931347</v>
          </cell>
          <cell r="Q2458">
            <v>14</v>
          </cell>
        </row>
        <row r="2459">
          <cell r="D2459" t="str">
            <v>85209-91-2</v>
          </cell>
          <cell r="E2459">
            <v>85209912</v>
          </cell>
          <cell r="F2459">
            <v>6058</v>
          </cell>
          <cell r="G2459" t="str">
            <v>Reach_2984</v>
          </cell>
          <cell r="H2459">
            <v>2451</v>
          </cell>
          <cell r="J2459">
            <v>509.62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  <cell r="Q2459">
            <v>14</v>
          </cell>
        </row>
        <row r="2460">
          <cell r="D2460" t="str">
            <v>21829-50-5</v>
          </cell>
          <cell r="E2460">
            <v>21829505</v>
          </cell>
          <cell r="F2460">
            <v>5774</v>
          </cell>
          <cell r="G2460" t="str">
            <v>Reach_2509</v>
          </cell>
          <cell r="H2460">
            <v>2452</v>
          </cell>
          <cell r="J2460">
            <v>375.38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  <cell r="Q2460">
            <v>14</v>
          </cell>
        </row>
        <row r="2461">
          <cell r="D2461" t="str">
            <v>86-92-0</v>
          </cell>
          <cell r="E2461">
            <v>86920</v>
          </cell>
          <cell r="F2461">
            <v>3913</v>
          </cell>
          <cell r="G2461" t="str">
            <v>Reach_305</v>
          </cell>
          <cell r="H2461">
            <v>2453</v>
          </cell>
          <cell r="J2461">
            <v>188.23</v>
          </cell>
          <cell r="K2461">
            <v>124.68</v>
          </cell>
          <cell r="L2461">
            <v>2.61268E-3</v>
          </cell>
          <cell r="M2461">
            <v>1128.2</v>
          </cell>
          <cell r="N2461">
            <v>1288.2495516931347</v>
          </cell>
          <cell r="Q2461">
            <v>14</v>
          </cell>
        </row>
        <row r="2462">
          <cell r="D2462" t="str">
            <v>895525-76-5</v>
          </cell>
          <cell r="E2462">
            <v>895525765</v>
          </cell>
          <cell r="F2462">
            <v>3979</v>
          </cell>
          <cell r="G2462" t="str">
            <v>Reach_5025</v>
          </cell>
          <cell r="H2462">
            <v>2454</v>
          </cell>
          <cell r="J2462">
            <v>512.79</v>
          </cell>
          <cell r="K2462">
            <v>211.26</v>
          </cell>
          <cell r="L2462">
            <v>4.5455300000000009E-8</v>
          </cell>
          <cell r="M2462">
            <v>0.36030000000000001</v>
          </cell>
          <cell r="N2462">
            <v>338844.15613920329</v>
          </cell>
          <cell r="Q2462">
            <v>14</v>
          </cell>
        </row>
        <row r="2463">
          <cell r="D2463" t="str">
            <v>3049-71-6</v>
          </cell>
          <cell r="E2463">
            <v>3049716</v>
          </cell>
          <cell r="F2463">
            <v>2600</v>
          </cell>
          <cell r="G2463" t="str">
            <v>Reach_1907</v>
          </cell>
          <cell r="H2463">
            <v>2455</v>
          </cell>
          <cell r="J2463">
            <v>750.78</v>
          </cell>
          <cell r="K2463">
            <v>349.84</v>
          </cell>
          <cell r="L2463">
            <v>9.8108800000000013E-29</v>
          </cell>
          <cell r="M2463">
            <v>4.6999999999999999E-11</v>
          </cell>
          <cell r="N2463">
            <v>2570395782.7688704</v>
          </cell>
          <cell r="P2463">
            <v>12.83</v>
          </cell>
          <cell r="Q2463">
            <v>1.17</v>
          </cell>
        </row>
        <row r="2464">
          <cell r="D2464" t="str">
            <v>105-83-9</v>
          </cell>
          <cell r="E2464">
            <v>105839</v>
          </cell>
          <cell r="F2464">
            <v>1420</v>
          </cell>
          <cell r="G2464" t="str">
            <v>Reach_651</v>
          </cell>
          <cell r="H2464">
            <v>2456</v>
          </cell>
          <cell r="J2464">
            <v>145.25</v>
          </cell>
          <cell r="K2464">
            <v>45.26</v>
          </cell>
          <cell r="L2464">
            <v>5.6652500000000012</v>
          </cell>
          <cell r="M2464">
            <v>383000</v>
          </cell>
          <cell r="N2464">
            <v>0.11481536214968829</v>
          </cell>
          <cell r="Q2464">
            <v>14</v>
          </cell>
        </row>
        <row r="2465">
          <cell r="D2465" t="str">
            <v>108-42-9</v>
          </cell>
          <cell r="E2465">
            <v>108429</v>
          </cell>
          <cell r="F2465">
            <v>238</v>
          </cell>
          <cell r="G2465" t="str">
            <v>Reach_744</v>
          </cell>
          <cell r="H2465">
            <v>2457</v>
          </cell>
          <cell r="J2465">
            <v>127.58</v>
          </cell>
          <cell r="K2465">
            <v>24.41</v>
          </cell>
          <cell r="L2465">
            <v>10.157460000000002</v>
          </cell>
          <cell r="M2465">
            <v>1728.6</v>
          </cell>
          <cell r="N2465">
            <v>52.480746024977286</v>
          </cell>
          <cell r="O2465">
            <v>0</v>
          </cell>
          <cell r="P2465">
            <v>10</v>
          </cell>
          <cell r="Q2465">
            <v>0</v>
          </cell>
        </row>
        <row r="2466">
          <cell r="D2466" t="str">
            <v>13360-78-6</v>
          </cell>
          <cell r="E2466">
            <v>13360786</v>
          </cell>
          <cell r="F2466">
            <v>5667</v>
          </cell>
          <cell r="G2466" t="str">
            <v>Reach_2331</v>
          </cell>
          <cell r="H2466">
            <v>2458</v>
          </cell>
          <cell r="J2466">
            <v>232.32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  <cell r="Q2466">
            <v>14</v>
          </cell>
        </row>
        <row r="2467">
          <cell r="D2467" t="str">
            <v>19794-93-5</v>
          </cell>
          <cell r="E2467">
            <v>19794935</v>
          </cell>
          <cell r="F2467">
            <v>2243</v>
          </cell>
          <cell r="G2467" t="str">
            <v>Reach_2485</v>
          </cell>
          <cell r="H2467">
            <v>2459</v>
          </cell>
          <cell r="J2467">
            <v>371.88</v>
          </cell>
          <cell r="K2467">
            <v>211.46</v>
          </cell>
          <cell r="L2467">
            <v>1.0703990000000001E-6</v>
          </cell>
          <cell r="M2467">
            <v>11.276999999999999</v>
          </cell>
          <cell r="N2467">
            <v>1621.8100973589308</v>
          </cell>
          <cell r="Q2467">
            <v>14</v>
          </cell>
        </row>
        <row r="2468">
          <cell r="D2468" t="str">
            <v>3425-61-4</v>
          </cell>
          <cell r="E2468">
            <v>3425614</v>
          </cell>
          <cell r="F2468">
            <v>2698</v>
          </cell>
          <cell r="G2468" t="str">
            <v>Reach_1959</v>
          </cell>
          <cell r="H2468">
            <v>2460</v>
          </cell>
          <cell r="J2468">
            <v>104.15</v>
          </cell>
          <cell r="K2468">
            <v>-28.88</v>
          </cell>
          <cell r="L2468">
            <v>1812.88</v>
          </cell>
          <cell r="M2468">
            <v>100000</v>
          </cell>
          <cell r="N2468">
            <v>26.915348039269158</v>
          </cell>
          <cell r="O2468">
            <v>12.7</v>
          </cell>
          <cell r="Q2468">
            <v>12.7</v>
          </cell>
        </row>
        <row r="2469">
          <cell r="D2469" t="str">
            <v>77804-81-0</v>
          </cell>
          <cell r="E2469">
            <v>77804810</v>
          </cell>
          <cell r="F2469">
            <v>3736</v>
          </cell>
          <cell r="G2469" t="str">
            <v>Reach_2951</v>
          </cell>
          <cell r="H2469">
            <v>2461</v>
          </cell>
          <cell r="J2469">
            <v>732.72</v>
          </cell>
          <cell r="K2469">
            <v>349.84</v>
          </cell>
          <cell r="L2469">
            <v>2.59935E-26</v>
          </cell>
          <cell r="M2469">
            <v>3.5008999999999999E-3</v>
          </cell>
          <cell r="N2469">
            <v>17378.008287493791</v>
          </cell>
          <cell r="O2469">
            <v>8.42</v>
          </cell>
          <cell r="P2469">
            <v>11.64</v>
          </cell>
          <cell r="Q2469">
            <v>2.3599999999999994</v>
          </cell>
        </row>
        <row r="2470">
          <cell r="D2470" t="str">
            <v>2997-92-4</v>
          </cell>
          <cell r="E2470">
            <v>2997924</v>
          </cell>
          <cell r="F2470">
            <v>5829</v>
          </cell>
          <cell r="G2470" t="str">
            <v>Reach_1895</v>
          </cell>
          <cell r="H2470">
            <v>2462</v>
          </cell>
          <cell r="J2470">
            <v>271.2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  <cell r="Q2470">
            <v>14</v>
          </cell>
        </row>
        <row r="2471">
          <cell r="D2471" t="str">
            <v>65212-77-3</v>
          </cell>
          <cell r="E2471">
            <v>65212773</v>
          </cell>
          <cell r="F2471">
            <v>5973</v>
          </cell>
          <cell r="G2471" t="str">
            <v>Reach_2871</v>
          </cell>
          <cell r="H2471">
            <v>2463</v>
          </cell>
          <cell r="J2471">
            <v>545.39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</row>
        <row r="2472">
          <cell r="D2472" t="str">
            <v>1112262-71-1</v>
          </cell>
          <cell r="E2472">
            <v>1112262711</v>
          </cell>
          <cell r="F2472">
            <v>1543</v>
          </cell>
          <cell r="G2472" t="str">
            <v>Reach_4818</v>
          </cell>
          <cell r="H2472">
            <v>2464</v>
          </cell>
          <cell r="J2472">
            <v>640.79999999999995</v>
          </cell>
          <cell r="K2472">
            <v>344.61</v>
          </cell>
          <cell r="L2472">
            <v>2.9725900000000003E-17</v>
          </cell>
          <cell r="M2472">
            <v>4.33E-6</v>
          </cell>
          <cell r="N2472">
            <v>10471285480.508997</v>
          </cell>
          <cell r="O2472">
            <v>14.32</v>
          </cell>
          <cell r="P2472">
            <v>15.94</v>
          </cell>
          <cell r="Q2472">
            <v>-1.9399999999999995</v>
          </cell>
        </row>
        <row r="2473">
          <cell r="D2473" t="str">
            <v>94-91-7</v>
          </cell>
          <cell r="E2473">
            <v>94917</v>
          </cell>
          <cell r="F2473">
            <v>4116</v>
          </cell>
          <cell r="G2473" t="str">
            <v>Reach_419</v>
          </cell>
          <cell r="H2473">
            <v>2465</v>
          </cell>
          <cell r="J2473">
            <v>282.35000000000002</v>
          </cell>
          <cell r="K2473">
            <v>160.44</v>
          </cell>
          <cell r="L2473">
            <v>4.6921600000000001E-7</v>
          </cell>
          <cell r="M2473">
            <v>89.501999999999995</v>
          </cell>
          <cell r="N2473">
            <v>331.13112148259137</v>
          </cell>
          <cell r="O2473">
            <v>12.1</v>
          </cell>
          <cell r="P2473">
            <v>8.73</v>
          </cell>
          <cell r="Q2473">
            <v>5.27</v>
          </cell>
        </row>
        <row r="2474">
          <cell r="D2474" t="str">
            <v>4651-67-6</v>
          </cell>
          <cell r="E2474">
            <v>4651676</v>
          </cell>
          <cell r="F2474">
            <v>2954</v>
          </cell>
          <cell r="G2474" t="str">
            <v>Reach_2053</v>
          </cell>
          <cell r="H2474">
            <v>2466</v>
          </cell>
          <cell r="J2474">
            <v>390.56</v>
          </cell>
          <cell r="K2474">
            <v>214.76</v>
          </cell>
          <cell r="L2474">
            <v>1.7195700000000002E-10</v>
          </cell>
          <cell r="M2474">
            <v>11.847</v>
          </cell>
          <cell r="N2474">
            <v>69183.097091893651</v>
          </cell>
          <cell r="Q2474">
            <v>14</v>
          </cell>
        </row>
        <row r="2475">
          <cell r="D2475" t="str">
            <v>81058-27-7</v>
          </cell>
          <cell r="E2475">
            <v>81058277</v>
          </cell>
          <cell r="F2475">
            <v>3800</v>
          </cell>
          <cell r="G2475" t="str">
            <v>Reach_4632</v>
          </cell>
          <cell r="H2475">
            <v>2467</v>
          </cell>
          <cell r="J2475">
            <v>579.53</v>
          </cell>
          <cell r="K2475">
            <v>193.3</v>
          </cell>
          <cell r="L2475">
            <v>1.1397150000000002E-7</v>
          </cell>
          <cell r="M2475">
            <v>3.1440999999999999E-3</v>
          </cell>
          <cell r="N2475">
            <v>323593.65692962846</v>
          </cell>
          <cell r="Q2475">
            <v>14</v>
          </cell>
        </row>
        <row r="2476">
          <cell r="D2476" t="str">
            <v>6842-62-2</v>
          </cell>
          <cell r="E2476">
            <v>6842622</v>
          </cell>
          <cell r="F2476">
            <v>3515</v>
          </cell>
          <cell r="G2476" t="str">
            <v>Reach_4398</v>
          </cell>
          <cell r="H2476">
            <v>2468</v>
          </cell>
          <cell r="J2476">
            <v>239.1</v>
          </cell>
          <cell r="K2476">
            <v>91.89</v>
          </cell>
          <cell r="L2476">
            <v>2.2527700000000001E-2</v>
          </cell>
          <cell r="M2476">
            <v>5.3571999999999997</v>
          </cell>
          <cell r="N2476">
            <v>218776.16239495538</v>
          </cell>
          <cell r="Q2476">
            <v>14</v>
          </cell>
        </row>
        <row r="2477">
          <cell r="D2477" t="str">
            <v>13040-19-2</v>
          </cell>
          <cell r="E2477">
            <v>13040192</v>
          </cell>
          <cell r="F2477">
            <v>5659</v>
          </cell>
          <cell r="G2477" t="str">
            <v>Reach_2319</v>
          </cell>
          <cell r="H2477">
            <v>2469</v>
          </cell>
          <cell r="J2477">
            <v>660.3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  <cell r="Q2477">
            <v>14</v>
          </cell>
        </row>
        <row r="2478">
          <cell r="D2478" t="str">
            <v>6486-23-3</v>
          </cell>
          <cell r="E2478">
            <v>6486233</v>
          </cell>
          <cell r="F2478">
            <v>3446</v>
          </cell>
          <cell r="G2478" t="str">
            <v>Reach_2191</v>
          </cell>
          <cell r="H2478">
            <v>2470</v>
          </cell>
          <cell r="J2478">
            <v>395.21</v>
          </cell>
          <cell r="K2478">
            <v>236.91</v>
          </cell>
          <cell r="L2478">
            <v>8.877780000000001E-10</v>
          </cell>
          <cell r="M2478">
            <v>6.1015E-2</v>
          </cell>
          <cell r="N2478">
            <v>13182.567385564091</v>
          </cell>
          <cell r="O2478">
            <v>8.58</v>
          </cell>
          <cell r="Q2478">
            <v>8.58</v>
          </cell>
        </row>
        <row r="2479">
          <cell r="D2479" t="str">
            <v>77501-63-4</v>
          </cell>
          <cell r="E2479">
            <v>77501634</v>
          </cell>
          <cell r="F2479">
            <v>882</v>
          </cell>
          <cell r="G2479" t="str">
            <v>Reach_4440</v>
          </cell>
          <cell r="H2479">
            <v>2471</v>
          </cell>
          <cell r="J2479">
            <v>461.78</v>
          </cell>
          <cell r="K2479">
            <v>177.99</v>
          </cell>
          <cell r="L2479">
            <v>2.6126800000000002E-5</v>
          </cell>
          <cell r="M2479">
            <v>7.8750000000000001E-2</v>
          </cell>
          <cell r="N2479">
            <v>83176.377110267174</v>
          </cell>
          <cell r="Q2479">
            <v>14</v>
          </cell>
        </row>
        <row r="2480">
          <cell r="D2480" t="str">
            <v>2306-88-9</v>
          </cell>
          <cell r="E2480">
            <v>2306889</v>
          </cell>
          <cell r="F2480">
            <v>2344</v>
          </cell>
          <cell r="G2480" t="str">
            <v>Reach_1782</v>
          </cell>
          <cell r="H2480">
            <v>2472</v>
          </cell>
          <cell r="J2480">
            <v>256.43</v>
          </cell>
          <cell r="K2480">
            <v>53.57</v>
          </cell>
          <cell r="L2480">
            <v>0.18128800000000003</v>
          </cell>
          <cell r="M2480">
            <v>0.26027</v>
          </cell>
          <cell r="N2480">
            <v>5754399.373371576</v>
          </cell>
          <cell r="Q2480">
            <v>14</v>
          </cell>
        </row>
        <row r="2481">
          <cell r="D2481" t="str">
            <v>82199-12-0</v>
          </cell>
          <cell r="E2481">
            <v>82199120</v>
          </cell>
          <cell r="F2481">
            <v>3820</v>
          </cell>
          <cell r="G2481" t="str">
            <v>Reach_2963</v>
          </cell>
          <cell r="H2481">
            <v>2473</v>
          </cell>
          <cell r="J2481">
            <v>367.37</v>
          </cell>
          <cell r="K2481">
            <v>260.57</v>
          </cell>
          <cell r="L2481">
            <v>2.2127800000000002E-11</v>
          </cell>
          <cell r="M2481">
            <v>95.099000000000004</v>
          </cell>
          <cell r="N2481">
            <v>194.98445997580458</v>
          </cell>
          <cell r="O2481">
            <v>8.73</v>
          </cell>
          <cell r="Q2481">
            <v>8.73</v>
          </cell>
        </row>
        <row r="2482">
          <cell r="D2482" t="str">
            <v>96-32-2</v>
          </cell>
          <cell r="E2482">
            <v>96322</v>
          </cell>
          <cell r="F2482">
            <v>4144</v>
          </cell>
          <cell r="G2482" t="str">
            <v>Reach_461</v>
          </cell>
          <cell r="H2482">
            <v>2474</v>
          </cell>
          <cell r="J2482">
            <v>152.97999999999999</v>
          </cell>
          <cell r="K2482">
            <v>-42.22</v>
          </cell>
          <cell r="L2482">
            <v>1218.3620000000001</v>
          </cell>
          <cell r="M2482">
            <v>380000</v>
          </cell>
          <cell r="N2482">
            <v>5.2480746024977263</v>
          </cell>
          <cell r="Q2482">
            <v>14</v>
          </cell>
        </row>
        <row r="2483">
          <cell r="D2483" t="str">
            <v>4121-12-4</v>
          </cell>
          <cell r="E2483">
            <v>4121124</v>
          </cell>
          <cell r="F2483">
            <v>1264</v>
          </cell>
          <cell r="G2483" t="str">
            <v>Reach_2014</v>
          </cell>
          <cell r="H2483">
            <v>2475</v>
          </cell>
          <cell r="J2483">
            <v>262.37</v>
          </cell>
          <cell r="K2483">
            <v>3.07</v>
          </cell>
          <cell r="L2483">
            <v>0.18528700000000001</v>
          </cell>
          <cell r="M2483">
            <v>176.01</v>
          </cell>
          <cell r="N2483">
            <v>891.25093813374656</v>
          </cell>
          <cell r="Q2483">
            <v>14</v>
          </cell>
        </row>
        <row r="2484">
          <cell r="D2484" t="str">
            <v>5372-81-6</v>
          </cell>
          <cell r="E2484">
            <v>5372816</v>
          </cell>
          <cell r="F2484">
            <v>683</v>
          </cell>
          <cell r="G2484" t="str">
            <v>Reach_2103</v>
          </cell>
          <cell r="H2484">
            <v>2476</v>
          </cell>
          <cell r="J2484">
            <v>209.2</v>
          </cell>
          <cell r="K2484">
            <v>30.43</v>
          </cell>
          <cell r="L2484">
            <v>0.15862700000000002</v>
          </cell>
          <cell r="M2484">
            <v>3763.3</v>
          </cell>
          <cell r="N2484">
            <v>125.89254117941677</v>
          </cell>
          <cell r="P2484">
            <v>12</v>
          </cell>
          <cell r="Q2484">
            <v>2</v>
          </cell>
        </row>
        <row r="2485">
          <cell r="D2485" t="str">
            <v>19234-20-9</v>
          </cell>
          <cell r="E2485">
            <v>19234209</v>
          </cell>
          <cell r="F2485">
            <v>2228</v>
          </cell>
          <cell r="G2485" t="str">
            <v>Reach_2476</v>
          </cell>
          <cell r="H2485">
            <v>2477</v>
          </cell>
          <cell r="J2485">
            <v>146.19</v>
          </cell>
          <cell r="K2485">
            <v>-38.200000000000003</v>
          </cell>
          <cell r="L2485">
            <v>369.24100000000004</v>
          </cell>
          <cell r="M2485">
            <v>16386</v>
          </cell>
          <cell r="N2485">
            <v>10.232929922807543</v>
          </cell>
          <cell r="Q2485">
            <v>14</v>
          </cell>
        </row>
        <row r="2486">
          <cell r="D2486" t="str">
            <v>768-94-5</v>
          </cell>
          <cell r="E2486">
            <v>768945</v>
          </cell>
          <cell r="F2486">
            <v>878</v>
          </cell>
          <cell r="G2486" t="str">
            <v>Reach_1543</v>
          </cell>
          <cell r="H2486">
            <v>2478</v>
          </cell>
          <cell r="J2486">
            <v>151.25</v>
          </cell>
          <cell r="K2486">
            <v>35.11</v>
          </cell>
          <cell r="L2486">
            <v>0.53053400000000006</v>
          </cell>
          <cell r="M2486">
            <v>682.53</v>
          </cell>
          <cell r="N2486">
            <v>269.15348039269179</v>
          </cell>
          <cell r="O2486">
            <v>0</v>
          </cell>
          <cell r="P2486">
            <v>4</v>
          </cell>
          <cell r="Q2486">
            <v>0</v>
          </cell>
        </row>
        <row r="2487">
          <cell r="D2487" t="str">
            <v>35869-64-8</v>
          </cell>
          <cell r="E2487">
            <v>35869648</v>
          </cell>
          <cell r="F2487">
            <v>2752</v>
          </cell>
          <cell r="G2487" t="str">
            <v>Reach_2695</v>
          </cell>
          <cell r="H2487">
            <v>2479</v>
          </cell>
          <cell r="J2487">
            <v>850.04</v>
          </cell>
          <cell r="K2487">
            <v>349.84</v>
          </cell>
          <cell r="L2487">
            <v>3.9856700000000008E-33</v>
          </cell>
          <cell r="M2487">
            <v>1.0300000000000001E-10</v>
          </cell>
          <cell r="N2487">
            <v>562341325190349.75</v>
          </cell>
          <cell r="P2487">
            <v>0</v>
          </cell>
          <cell r="Q2487">
            <v>14</v>
          </cell>
        </row>
        <row r="2488">
          <cell r="D2488" t="str">
            <v>26040-51-7</v>
          </cell>
          <cell r="E2488">
            <v>26040517</v>
          </cell>
          <cell r="F2488">
            <v>2450</v>
          </cell>
          <cell r="G2488" t="str">
            <v>Reach_2574</v>
          </cell>
          <cell r="H2488">
            <v>2480</v>
          </cell>
          <cell r="J2488">
            <v>706.17</v>
          </cell>
          <cell r="K2488">
            <v>229.19</v>
          </cell>
          <cell r="L2488">
            <v>2.2794300000000003E-9</v>
          </cell>
          <cell r="M2488">
            <v>4.7800000000000002E-7</v>
          </cell>
          <cell r="N2488">
            <v>891250938133.74512</v>
          </cell>
          <cell r="Q2488">
            <v>14</v>
          </cell>
        </row>
        <row r="2489">
          <cell r="D2489" t="str">
            <v>122-03-2</v>
          </cell>
          <cell r="E2489">
            <v>122032</v>
          </cell>
          <cell r="F2489">
            <v>377</v>
          </cell>
          <cell r="G2489" t="str">
            <v>Reach_1025</v>
          </cell>
          <cell r="H2489">
            <v>2481</v>
          </cell>
          <cell r="J2489">
            <v>148.21</v>
          </cell>
          <cell r="K2489">
            <v>7.45</v>
          </cell>
          <cell r="L2489">
            <v>7.8247100000000014</v>
          </cell>
          <cell r="M2489">
            <v>168.04</v>
          </cell>
          <cell r="N2489">
            <v>1479.1083881682086</v>
          </cell>
          <cell r="Q2489">
            <v>14</v>
          </cell>
        </row>
        <row r="2490">
          <cell r="D2490" t="str">
            <v>78-27-3</v>
          </cell>
          <cell r="E2490">
            <v>78273</v>
          </cell>
          <cell r="F2490">
            <v>893</v>
          </cell>
          <cell r="G2490" t="str">
            <v>Reach_197</v>
          </cell>
          <cell r="H2490">
            <v>2482</v>
          </cell>
          <cell r="J2490">
            <v>124.18</v>
          </cell>
          <cell r="K2490">
            <v>21.6</v>
          </cell>
          <cell r="L2490">
            <v>35.591100000000004</v>
          </cell>
          <cell r="M2490">
            <v>2553</v>
          </cell>
          <cell r="N2490">
            <v>64.565422903465588</v>
          </cell>
          <cell r="O2490">
            <v>13.6</v>
          </cell>
          <cell r="P2490">
            <v>0</v>
          </cell>
          <cell r="Q2490">
            <v>13.6</v>
          </cell>
        </row>
        <row r="2491">
          <cell r="D2491" t="str">
            <v>5444-75-7</v>
          </cell>
          <cell r="E2491">
            <v>5444757</v>
          </cell>
          <cell r="F2491">
            <v>3144</v>
          </cell>
          <cell r="G2491" t="str">
            <v>Reach_2113</v>
          </cell>
          <cell r="H2491">
            <v>2483</v>
          </cell>
          <cell r="J2491">
            <v>234.34</v>
          </cell>
          <cell r="K2491">
            <v>52.2</v>
          </cell>
          <cell r="L2491">
            <v>0.1062401</v>
          </cell>
          <cell r="M2491">
            <v>0.90275000000000005</v>
          </cell>
          <cell r="N2491">
            <v>154881.66189124843</v>
          </cell>
          <cell r="Q2491">
            <v>14</v>
          </cell>
        </row>
        <row r="2492">
          <cell r="D2492" t="str">
            <v>479-27-6</v>
          </cell>
          <cell r="E2492">
            <v>479276</v>
          </cell>
          <cell r="F2492">
            <v>646</v>
          </cell>
          <cell r="G2492" t="str">
            <v>Reach_1291</v>
          </cell>
          <cell r="H2492">
            <v>2484</v>
          </cell>
          <cell r="J2492">
            <v>158.21</v>
          </cell>
          <cell r="K2492">
            <v>109.72</v>
          </cell>
          <cell r="L2492">
            <v>4.9587600000000002E-4</v>
          </cell>
          <cell r="M2492">
            <v>1183.5</v>
          </cell>
          <cell r="N2492">
            <v>21.877616239495538</v>
          </cell>
          <cell r="P2492">
            <v>10</v>
          </cell>
          <cell r="Q2492">
            <v>4</v>
          </cell>
        </row>
        <row r="2493">
          <cell r="D2493" t="str">
            <v>59130-69-7</v>
          </cell>
          <cell r="E2493">
            <v>59130697</v>
          </cell>
          <cell r="F2493">
            <v>3268</v>
          </cell>
          <cell r="G2493" t="str">
            <v>Reach_2835</v>
          </cell>
          <cell r="H2493">
            <v>2485</v>
          </cell>
          <cell r="J2493">
            <v>368.65</v>
          </cell>
          <cell r="K2493">
            <v>117.16</v>
          </cell>
          <cell r="L2493">
            <v>1.3596600000000001E-4</v>
          </cell>
          <cell r="M2493">
            <v>3.1999999999999999E-5</v>
          </cell>
          <cell r="N2493">
            <v>40738027780.411339</v>
          </cell>
          <cell r="P2493">
            <v>0</v>
          </cell>
          <cell r="Q2493">
            <v>14</v>
          </cell>
        </row>
        <row r="2494">
          <cell r="D2494" t="str">
            <v>120-47-8</v>
          </cell>
          <cell r="E2494">
            <v>120478</v>
          </cell>
          <cell r="F2494">
            <v>14</v>
          </cell>
          <cell r="G2494" t="str">
            <v>Reach_995</v>
          </cell>
          <cell r="H2494">
            <v>2486</v>
          </cell>
          <cell r="J2494">
            <v>166.18</v>
          </cell>
          <cell r="K2494">
            <v>61.81</v>
          </cell>
          <cell r="L2494">
            <v>1.238357E-2</v>
          </cell>
          <cell r="M2494">
            <v>1600</v>
          </cell>
          <cell r="N2494">
            <v>309.02954325135937</v>
          </cell>
          <cell r="O2494">
            <v>8.5</v>
          </cell>
          <cell r="Q2494">
            <v>8.5</v>
          </cell>
        </row>
        <row r="2495">
          <cell r="D2495" t="str">
            <v>30113-45-2</v>
          </cell>
          <cell r="E2495">
            <v>30113452</v>
          </cell>
          <cell r="F2495">
            <v>2586</v>
          </cell>
          <cell r="G2495" t="str">
            <v>Reach_2642</v>
          </cell>
          <cell r="H2495">
            <v>2487</v>
          </cell>
          <cell r="J2495">
            <v>215.38</v>
          </cell>
          <cell r="K2495">
            <v>51.27</v>
          </cell>
          <cell r="L2495">
            <v>0.46388400000000002</v>
          </cell>
          <cell r="M2495">
            <v>473.93</v>
          </cell>
          <cell r="N2495">
            <v>8317.6377110267094</v>
          </cell>
          <cell r="P2495">
            <v>4.0999999999999996</v>
          </cell>
          <cell r="Q2495">
            <v>9.9</v>
          </cell>
        </row>
        <row r="2496">
          <cell r="D2496" t="str">
            <v>26787-78-0</v>
          </cell>
          <cell r="E2496">
            <v>26787780</v>
          </cell>
          <cell r="F2496">
            <v>574</v>
          </cell>
          <cell r="G2496" t="str">
            <v>Reach_2594</v>
          </cell>
          <cell r="H2496">
            <v>2488</v>
          </cell>
          <cell r="J2496">
            <v>365.41</v>
          </cell>
          <cell r="K2496">
            <v>329.94</v>
          </cell>
          <cell r="L2496">
            <v>6.251770000000001E-15</v>
          </cell>
          <cell r="M2496">
            <v>20913</v>
          </cell>
          <cell r="N2496">
            <v>9.3325430079699103</v>
          </cell>
          <cell r="Q2496">
            <v>14</v>
          </cell>
        </row>
        <row r="2497">
          <cell r="D2497" t="str">
            <v>135-37-5</v>
          </cell>
          <cell r="E2497">
            <v>135375</v>
          </cell>
          <cell r="F2497">
            <v>5673</v>
          </cell>
          <cell r="G2497" t="str">
            <v>Reach_1130</v>
          </cell>
          <cell r="H2497">
            <v>2489</v>
          </cell>
          <cell r="J2497">
            <v>221.12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</row>
        <row r="2498">
          <cell r="D2498" t="str">
            <v>821-38-5</v>
          </cell>
          <cell r="E2498">
            <v>821385</v>
          </cell>
          <cell r="F2498">
            <v>3819</v>
          </cell>
          <cell r="G2498" t="str">
            <v>Reach_1554</v>
          </cell>
          <cell r="H2498">
            <v>2490</v>
          </cell>
          <cell r="J2498">
            <v>258.36</v>
          </cell>
          <cell r="K2498">
            <v>158.05000000000001</v>
          </cell>
          <cell r="L2498">
            <v>7.3981500000000003E-5</v>
          </cell>
          <cell r="M2498">
            <v>47.031999999999996</v>
          </cell>
          <cell r="N2498">
            <v>14454.397707459291</v>
          </cell>
          <cell r="O2498">
            <v>4.5999999999999996</v>
          </cell>
          <cell r="Q2498">
            <v>4.5999999999999996</v>
          </cell>
        </row>
        <row r="2499">
          <cell r="D2499" t="str">
            <v>3855-32-1</v>
          </cell>
          <cell r="E2499">
            <v>3855321</v>
          </cell>
          <cell r="F2499">
            <v>2824</v>
          </cell>
          <cell r="G2499" t="str">
            <v>Reach_1996</v>
          </cell>
          <cell r="H2499">
            <v>2491</v>
          </cell>
          <cell r="J2499">
            <v>201.36</v>
          </cell>
          <cell r="K2499">
            <v>32.72</v>
          </cell>
          <cell r="L2499">
            <v>4.6255100000000002</v>
          </cell>
          <cell r="M2499">
            <v>46577</v>
          </cell>
          <cell r="N2499">
            <v>2.6302679918953822</v>
          </cell>
          <cell r="P2499">
            <v>4.17</v>
          </cell>
          <cell r="Q2499">
            <v>9.83</v>
          </cell>
        </row>
        <row r="2500">
          <cell r="D2500" t="str">
            <v>99607-70-2</v>
          </cell>
          <cell r="E2500">
            <v>99607702</v>
          </cell>
          <cell r="F2500">
            <v>1089</v>
          </cell>
          <cell r="G2500" t="str">
            <v>Reach_4521</v>
          </cell>
          <cell r="H2500">
            <v>2492</v>
          </cell>
          <cell r="J2500">
            <v>335.83</v>
          </cell>
          <cell r="K2500">
            <v>154.88</v>
          </cell>
          <cell r="L2500">
            <v>1.6129300000000002E-4</v>
          </cell>
          <cell r="M2500">
            <v>0.48331000000000002</v>
          </cell>
          <cell r="N2500">
            <v>190546.07179632492</v>
          </cell>
          <cell r="P2500">
            <v>11</v>
          </cell>
          <cell r="Q2500">
            <v>3</v>
          </cell>
        </row>
        <row r="2501">
          <cell r="D2501" t="str">
            <v>65520-46-9</v>
          </cell>
          <cell r="E2501">
            <v>65520469</v>
          </cell>
          <cell r="F2501">
            <v>3455</v>
          </cell>
          <cell r="G2501" t="str">
            <v>Reach_2874</v>
          </cell>
          <cell r="H2501">
            <v>2493</v>
          </cell>
          <cell r="J2501">
            <v>522.67999999999995</v>
          </cell>
          <cell r="K2501">
            <v>191.46</v>
          </cell>
          <cell r="L2501">
            <v>3.2658500000000001E-8</v>
          </cell>
          <cell r="M2501">
            <v>0.45457999999999998</v>
          </cell>
          <cell r="N2501">
            <v>489.77881936844625</v>
          </cell>
          <cell r="Q2501">
            <v>14</v>
          </cell>
        </row>
        <row r="2502">
          <cell r="D2502" t="str">
            <v>68187-32-6</v>
          </cell>
          <cell r="E2502">
            <v>68187326</v>
          </cell>
          <cell r="F2502">
            <v>5994</v>
          </cell>
          <cell r="G2502" t="str">
            <v>Reach_2900</v>
          </cell>
          <cell r="H2502">
            <v>2494</v>
          </cell>
          <cell r="J2502">
            <v>337.44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  <cell r="Q2502">
            <v>14</v>
          </cell>
        </row>
        <row r="2503">
          <cell r="D2503" t="str">
            <v>123-93-3</v>
          </cell>
          <cell r="E2503">
            <v>123933</v>
          </cell>
          <cell r="F2503">
            <v>1777</v>
          </cell>
          <cell r="G2503" t="str">
            <v>Reach_1062</v>
          </cell>
          <cell r="H2503">
            <v>2495</v>
          </cell>
          <cell r="J2503">
            <v>150.15</v>
          </cell>
          <cell r="K2503">
            <v>110.13</v>
          </cell>
          <cell r="L2503">
            <v>7.2781800000000004E-3</v>
          </cell>
          <cell r="M2503">
            <v>30349</v>
          </cell>
          <cell r="N2503">
            <v>6.9183097091893644E-2</v>
          </cell>
          <cell r="O2503">
            <v>3.3</v>
          </cell>
          <cell r="Q2503">
            <v>3.3</v>
          </cell>
        </row>
        <row r="2504">
          <cell r="D2504" t="str">
            <v>112-73-2</v>
          </cell>
          <cell r="E2504">
            <v>112732</v>
          </cell>
          <cell r="F2504">
            <v>1600</v>
          </cell>
          <cell r="G2504" t="str">
            <v>Reach_921</v>
          </cell>
          <cell r="H2504">
            <v>2496</v>
          </cell>
          <cell r="J2504">
            <v>218.34</v>
          </cell>
          <cell r="K2504">
            <v>29.09</v>
          </cell>
          <cell r="L2504">
            <v>4.3322500000000002</v>
          </cell>
          <cell r="M2504">
            <v>7905.8</v>
          </cell>
          <cell r="N2504">
            <v>288.40315031266073</v>
          </cell>
          <cell r="Q2504">
            <v>14</v>
          </cell>
        </row>
        <row r="2505">
          <cell r="D2505" t="str">
            <v>65140-91-2</v>
          </cell>
          <cell r="E2505">
            <v>65140912</v>
          </cell>
          <cell r="F2505">
            <v>5971</v>
          </cell>
          <cell r="G2505" t="str">
            <v>Reach_2869</v>
          </cell>
          <cell r="H2505">
            <v>2497</v>
          </cell>
          <cell r="J2505">
            <v>694.84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  <cell r="Q2505">
            <v>14</v>
          </cell>
        </row>
        <row r="2506">
          <cell r="D2506" t="str">
            <v>513-85-9</v>
          </cell>
          <cell r="E2506">
            <v>513859</v>
          </cell>
          <cell r="F2506">
            <v>3038</v>
          </cell>
          <cell r="G2506" t="str">
            <v>Reach_1318</v>
          </cell>
          <cell r="H2506">
            <v>2498</v>
          </cell>
          <cell r="J2506">
            <v>90.122</v>
          </cell>
          <cell r="K2506">
            <v>-34.4</v>
          </cell>
          <cell r="L2506">
            <v>22.927600000000002</v>
          </cell>
          <cell r="M2506">
            <v>1490000</v>
          </cell>
          <cell r="N2506">
            <v>0.43651583224016594</v>
          </cell>
          <cell r="O2506">
            <v>14.91</v>
          </cell>
          <cell r="Q2506">
            <v>14</v>
          </cell>
        </row>
        <row r="2507">
          <cell r="D2507" t="str">
            <v>121-69-7</v>
          </cell>
          <cell r="E2507">
            <v>121697</v>
          </cell>
          <cell r="F2507">
            <v>373</v>
          </cell>
          <cell r="G2507" t="str">
            <v>Reach_1018</v>
          </cell>
          <cell r="H2507">
            <v>2499</v>
          </cell>
          <cell r="J2507">
            <v>121.18</v>
          </cell>
          <cell r="K2507">
            <v>-24.55</v>
          </cell>
          <cell r="L2507">
            <v>66.650000000000006</v>
          </cell>
          <cell r="M2507">
            <v>14345</v>
          </cell>
          <cell r="N2507">
            <v>147.91083881682084</v>
          </cell>
          <cell r="Q2507">
            <v>14</v>
          </cell>
        </row>
        <row r="2508">
          <cell r="D2508" t="str">
            <v>92339-11-2</v>
          </cell>
          <cell r="E2508">
            <v>92339112</v>
          </cell>
          <cell r="F2508">
            <v>6408</v>
          </cell>
          <cell r="G2508" t="str">
            <v>Reach_4501</v>
          </cell>
          <cell r="H2508">
            <v>2500</v>
          </cell>
          <cell r="J2508">
            <v>1550.2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  <cell r="Q2508">
            <v>14</v>
          </cell>
        </row>
        <row r="2509">
          <cell r="D2509" t="str">
            <v>7452-79-1</v>
          </cell>
          <cell r="E2509">
            <v>7452791</v>
          </cell>
          <cell r="F2509">
            <v>3639</v>
          </cell>
          <cell r="G2509" t="str">
            <v>Reach_2252</v>
          </cell>
          <cell r="H2509">
            <v>2501</v>
          </cell>
          <cell r="J2509">
            <v>130.19</v>
          </cell>
          <cell r="K2509">
            <v>-56.05</v>
          </cell>
          <cell r="L2509">
            <v>1070.3990000000001</v>
          </cell>
          <cell r="M2509">
            <v>3314.9</v>
          </cell>
          <cell r="N2509">
            <v>181.9700858609983</v>
          </cell>
          <cell r="Q2509">
            <v>14</v>
          </cell>
        </row>
        <row r="2510">
          <cell r="D2510" t="str">
            <v>107-66-4</v>
          </cell>
          <cell r="E2510">
            <v>107664</v>
          </cell>
          <cell r="F2510">
            <v>1467</v>
          </cell>
          <cell r="G2510" t="str">
            <v>Reach_713</v>
          </cell>
          <cell r="H2510">
            <v>2502</v>
          </cell>
          <cell r="J2510">
            <v>210.21</v>
          </cell>
          <cell r="K2510">
            <v>59.33</v>
          </cell>
          <cell r="L2510">
            <v>5.0520700000000005E-3</v>
          </cell>
          <cell r="M2510">
            <v>1600000</v>
          </cell>
          <cell r="N2510">
            <v>194.98445997580458</v>
          </cell>
          <cell r="O2510">
            <v>1.5</v>
          </cell>
          <cell r="Q2510">
            <v>1.5</v>
          </cell>
        </row>
        <row r="2511">
          <cell r="D2511" t="str">
            <v>6674-22-2</v>
          </cell>
          <cell r="E2511">
            <v>6674222</v>
          </cell>
          <cell r="F2511">
            <v>3481</v>
          </cell>
          <cell r="G2511" t="str">
            <v>Reach_2201</v>
          </cell>
          <cell r="H2511">
            <v>2503</v>
          </cell>
          <cell r="J2511">
            <v>152.24</v>
          </cell>
          <cell r="K2511">
            <v>40.590000000000003</v>
          </cell>
          <cell r="L2511">
            <v>7.3714900000000005</v>
          </cell>
          <cell r="M2511">
            <v>5160.7</v>
          </cell>
          <cell r="N2511">
            <v>501.18723362727269</v>
          </cell>
          <cell r="P2511">
            <v>1.6</v>
          </cell>
          <cell r="Q2511">
            <v>12.4</v>
          </cell>
        </row>
        <row r="2512">
          <cell r="D2512" t="str">
            <v>84583-68-6</v>
          </cell>
          <cell r="E2512">
            <v>84583686</v>
          </cell>
          <cell r="F2512">
            <v>3868</v>
          </cell>
          <cell r="G2512" t="str">
            <v>Reach_2976</v>
          </cell>
          <cell r="H2512">
            <v>2504</v>
          </cell>
          <cell r="J2512">
            <v>297.44</v>
          </cell>
          <cell r="K2512">
            <v>198.7</v>
          </cell>
          <cell r="L2512">
            <v>3.0259099999999999E-7</v>
          </cell>
          <cell r="M2512">
            <v>2.7976999999999999</v>
          </cell>
          <cell r="N2512">
            <v>562341.32519035018</v>
          </cell>
          <cell r="O2512">
            <v>3.92</v>
          </cell>
          <cell r="P2512">
            <v>15.19</v>
          </cell>
          <cell r="Q2512">
            <v>-1.1899999999999995</v>
          </cell>
        </row>
        <row r="2513">
          <cell r="D2513" t="str">
            <v>931-36-2</v>
          </cell>
          <cell r="E2513">
            <v>931362</v>
          </cell>
          <cell r="F2513">
            <v>4059</v>
          </cell>
          <cell r="G2513" t="str">
            <v>Reach_1607</v>
          </cell>
          <cell r="H2513">
            <v>2505</v>
          </cell>
          <cell r="J2513">
            <v>110.16</v>
          </cell>
          <cell r="K2513">
            <v>62.52</v>
          </cell>
          <cell r="L2513">
            <v>0.25060399999999999</v>
          </cell>
          <cell r="M2513">
            <v>4303.2</v>
          </cell>
          <cell r="N2513">
            <v>43.651583224016612</v>
          </cell>
          <cell r="Q2513">
            <v>14</v>
          </cell>
        </row>
        <row r="2514">
          <cell r="D2514" t="str">
            <v>23847-08-7</v>
          </cell>
          <cell r="E2514">
            <v>23847087</v>
          </cell>
          <cell r="F2514">
            <v>2360</v>
          </cell>
          <cell r="G2514" t="str">
            <v>Reach_2536</v>
          </cell>
          <cell r="H2514">
            <v>2506</v>
          </cell>
          <cell r="J2514">
            <v>288.43</v>
          </cell>
          <cell r="K2514">
            <v>198.76</v>
          </cell>
          <cell r="L2514">
            <v>2.9992500000000003E-7</v>
          </cell>
          <cell r="M2514">
            <v>487.51</v>
          </cell>
          <cell r="N2514">
            <v>9.5499258602143584</v>
          </cell>
          <cell r="Q2514">
            <v>14</v>
          </cell>
        </row>
        <row r="2515">
          <cell r="D2515" t="str">
            <v>110-61-2</v>
          </cell>
          <cell r="E2515">
            <v>110612</v>
          </cell>
          <cell r="F2515">
            <v>1525</v>
          </cell>
          <cell r="G2515" t="str">
            <v>Reach_820</v>
          </cell>
          <cell r="H2515">
            <v>2507</v>
          </cell>
          <cell r="J2515">
            <v>80.091999999999999</v>
          </cell>
          <cell r="K2515">
            <v>-0.8</v>
          </cell>
          <cell r="L2515">
            <v>0.82912600000000003</v>
          </cell>
          <cell r="M2515">
            <v>47024</v>
          </cell>
          <cell r="N2515">
            <v>0.23442288153199217</v>
          </cell>
          <cell r="Q2515">
            <v>14</v>
          </cell>
        </row>
        <row r="2516">
          <cell r="D2516" t="str">
            <v>131-57-7</v>
          </cell>
          <cell r="E2516">
            <v>131577</v>
          </cell>
          <cell r="F2516">
            <v>22</v>
          </cell>
          <cell r="G2516" t="str">
            <v>Reach_1122</v>
          </cell>
          <cell r="H2516">
            <v>2508</v>
          </cell>
          <cell r="J2516">
            <v>228.25</v>
          </cell>
          <cell r="K2516">
            <v>129.80000000000001</v>
          </cell>
          <cell r="L2516">
            <v>8.8244600000000006E-4</v>
          </cell>
          <cell r="M2516">
            <v>139.19999999999999</v>
          </cell>
          <cell r="N2516">
            <v>3311.3112148259115</v>
          </cell>
          <cell r="O2516">
            <v>9.73</v>
          </cell>
          <cell r="Q2516">
            <v>9.73</v>
          </cell>
        </row>
        <row r="2517">
          <cell r="D2517" t="str">
            <v>51772-35-1</v>
          </cell>
          <cell r="E2517">
            <v>51772351</v>
          </cell>
          <cell r="F2517">
            <v>3046</v>
          </cell>
          <cell r="G2517" t="str">
            <v>Reach_2774</v>
          </cell>
          <cell r="H2517">
            <v>2509</v>
          </cell>
          <cell r="J2517">
            <v>331.5</v>
          </cell>
          <cell r="K2517">
            <v>155.37</v>
          </cell>
          <cell r="L2517">
            <v>1.4529700000000001E-5</v>
          </cell>
          <cell r="M2517">
            <v>5.5117999999999999E-3</v>
          </cell>
          <cell r="N2517">
            <v>169824365.24617496</v>
          </cell>
          <cell r="P2517">
            <v>13.2</v>
          </cell>
          <cell r="Q2517">
            <v>0.80000000000000071</v>
          </cell>
        </row>
        <row r="2518">
          <cell r="D2518" t="str">
            <v>2052-25-7</v>
          </cell>
          <cell r="E2518">
            <v>2052257</v>
          </cell>
          <cell r="F2518">
            <v>5769</v>
          </cell>
          <cell r="G2518" t="str">
            <v>Reach_1754</v>
          </cell>
          <cell r="H2518">
            <v>2510</v>
          </cell>
          <cell r="J2518">
            <v>382.33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  <cell r="Q2518">
            <v>14</v>
          </cell>
        </row>
        <row r="2519">
          <cell r="D2519" t="str">
            <v>14901-07-6</v>
          </cell>
          <cell r="E2519">
            <v>14901076</v>
          </cell>
          <cell r="F2519">
            <v>477</v>
          </cell>
          <cell r="G2519" t="str">
            <v>Reach_2373</v>
          </cell>
          <cell r="H2519">
            <v>2511</v>
          </cell>
          <cell r="J2519">
            <v>192.3</v>
          </cell>
          <cell r="K2519">
            <v>52.45</v>
          </cell>
          <cell r="L2519">
            <v>3.0259100000000005</v>
          </cell>
          <cell r="M2519">
            <v>322.63</v>
          </cell>
          <cell r="N2519">
            <v>26302.679918953829</v>
          </cell>
          <cell r="P2519">
            <v>0</v>
          </cell>
          <cell r="Q2519">
            <v>14</v>
          </cell>
        </row>
        <row r="2520">
          <cell r="D2520" t="str">
            <v>83905-01-5</v>
          </cell>
          <cell r="E2520">
            <v>83905015</v>
          </cell>
          <cell r="F2520">
            <v>957</v>
          </cell>
          <cell r="G2520" t="str">
            <v>Reach_4465</v>
          </cell>
          <cell r="H2520">
            <v>2512</v>
          </cell>
          <cell r="J2520">
            <v>749</v>
          </cell>
          <cell r="K2520">
            <v>349.84</v>
          </cell>
          <cell r="L2520">
            <v>3.5324500000000001E-22</v>
          </cell>
          <cell r="M2520">
            <v>0.74160999999999999</v>
          </cell>
          <cell r="N2520">
            <v>1737.8008287493772</v>
          </cell>
          <cell r="Q2520">
            <v>14</v>
          </cell>
        </row>
        <row r="2521">
          <cell r="D2521" t="str">
            <v>650-51-1</v>
          </cell>
          <cell r="E2521">
            <v>650511</v>
          </cell>
          <cell r="F2521">
            <v>1230</v>
          </cell>
          <cell r="G2521" t="str">
            <v>Reach_1486</v>
          </cell>
          <cell r="H2521">
            <v>2513</v>
          </cell>
          <cell r="J2521">
            <v>185.37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  <cell r="Q2521">
            <v>14</v>
          </cell>
        </row>
        <row r="2522">
          <cell r="D2522" t="str">
            <v>461-82-5</v>
          </cell>
          <cell r="E2522">
            <v>461825</v>
          </cell>
          <cell r="F2522">
            <v>2949</v>
          </cell>
          <cell r="G2522" t="str">
            <v>Reach_1284</v>
          </cell>
          <cell r="H2522">
            <v>2514</v>
          </cell>
          <cell r="J2522">
            <v>177.13</v>
          </cell>
          <cell r="K2522">
            <v>26.73</v>
          </cell>
          <cell r="L2522">
            <v>25.060400000000001</v>
          </cell>
          <cell r="M2522">
            <v>551.63</v>
          </cell>
          <cell r="N2522">
            <v>131.82567385564084</v>
          </cell>
          <cell r="P2522">
            <v>10.25</v>
          </cell>
          <cell r="Q2522">
            <v>3.75</v>
          </cell>
        </row>
        <row r="2523">
          <cell r="D2523" t="str">
            <v>110-87-2</v>
          </cell>
          <cell r="E2523">
            <v>110872</v>
          </cell>
          <cell r="F2523">
            <v>1532</v>
          </cell>
          <cell r="G2523" t="str">
            <v>Reach_834</v>
          </cell>
          <cell r="H2523">
            <v>2515</v>
          </cell>
          <cell r="J2523">
            <v>84.117999999999995</v>
          </cell>
          <cell r="K2523">
            <v>-71.849999999999994</v>
          </cell>
          <cell r="L2523">
            <v>10144.129999999999</v>
          </cell>
          <cell r="M2523">
            <v>13223</v>
          </cell>
          <cell r="N2523">
            <v>16.218100973589298</v>
          </cell>
          <cell r="P2523">
            <v>0</v>
          </cell>
          <cell r="Q2523">
            <v>14</v>
          </cell>
        </row>
        <row r="2524">
          <cell r="D2524" t="str">
            <v>5809-08-5</v>
          </cell>
          <cell r="E2524">
            <v>5809085</v>
          </cell>
          <cell r="F2524">
            <v>1277</v>
          </cell>
          <cell r="G2524" t="str">
            <v>Reach_2136</v>
          </cell>
          <cell r="H2524">
            <v>2516</v>
          </cell>
          <cell r="J2524">
            <v>146.22999999999999</v>
          </cell>
          <cell r="K2524">
            <v>2.2200000000000002</v>
          </cell>
          <cell r="L2524">
            <v>233.27500000000003</v>
          </cell>
          <cell r="M2524">
            <v>2360.8000000000002</v>
          </cell>
          <cell r="N2524">
            <v>616.59500186148273</v>
          </cell>
          <cell r="O2524">
            <v>12.7</v>
          </cell>
          <cell r="Q2524">
            <v>12.7</v>
          </cell>
        </row>
        <row r="2525">
          <cell r="D2525" t="str">
            <v>701-97-3</v>
          </cell>
          <cell r="E2525">
            <v>701973</v>
          </cell>
          <cell r="F2525">
            <v>3557</v>
          </cell>
          <cell r="G2525" t="str">
            <v>Reach_1516</v>
          </cell>
          <cell r="H2525">
            <v>2517</v>
          </cell>
          <cell r="J2525">
            <v>156.22</v>
          </cell>
          <cell r="K2525">
            <v>57.91</v>
          </cell>
          <cell r="L2525">
            <v>0.86111800000000005</v>
          </cell>
          <cell r="M2525">
            <v>507.62</v>
          </cell>
          <cell r="N2525">
            <v>2187.7616239495528</v>
          </cell>
          <cell r="O2525">
            <v>4.9000000000000004</v>
          </cell>
          <cell r="Q2525">
            <v>4.9000000000000004</v>
          </cell>
        </row>
        <row r="2526">
          <cell r="D2526" t="str">
            <v>19379-90-9</v>
          </cell>
          <cell r="E2526">
            <v>19379909</v>
          </cell>
          <cell r="F2526">
            <v>5758</v>
          </cell>
          <cell r="G2526" t="str">
            <v>Reach_2478</v>
          </cell>
          <cell r="H2526">
            <v>2518</v>
          </cell>
          <cell r="J2526">
            <v>400.05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  <cell r="Q2526">
            <v>14</v>
          </cell>
        </row>
        <row r="2527">
          <cell r="D2527" t="str">
            <v>13749-61-6</v>
          </cell>
          <cell r="E2527">
            <v>13749616</v>
          </cell>
          <cell r="F2527">
            <v>1909</v>
          </cell>
          <cell r="G2527" t="str">
            <v>Reach_2348</v>
          </cell>
          <cell r="H2527">
            <v>2519</v>
          </cell>
          <cell r="J2527">
            <v>127.19</v>
          </cell>
          <cell r="K2527">
            <v>47.42</v>
          </cell>
          <cell r="L2527">
            <v>2.2927600000000004</v>
          </cell>
          <cell r="M2527">
            <v>7549</v>
          </cell>
          <cell r="N2527">
            <v>12.882495516931346</v>
          </cell>
          <cell r="O2527">
            <v>15.1</v>
          </cell>
          <cell r="P2527">
            <v>14.4</v>
          </cell>
          <cell r="Q2527">
            <v>-0.40000000000000036</v>
          </cell>
        </row>
        <row r="2528">
          <cell r="D2528" t="str">
            <v>18626-98-7</v>
          </cell>
          <cell r="E2528">
            <v>18626987</v>
          </cell>
          <cell r="F2528">
            <v>2201</v>
          </cell>
          <cell r="G2528" t="str">
            <v>Reach_2466</v>
          </cell>
          <cell r="H2528">
            <v>2520</v>
          </cell>
          <cell r="J2528">
            <v>206.33</v>
          </cell>
          <cell r="K2528">
            <v>80.19</v>
          </cell>
          <cell r="L2528">
            <v>2.2661000000000004E-2</v>
          </cell>
          <cell r="M2528">
            <v>0.99765999999999999</v>
          </cell>
          <cell r="N2528">
            <v>263026.79918953858</v>
          </cell>
          <cell r="O2528">
            <v>10.8</v>
          </cell>
          <cell r="Q2528">
            <v>10.8</v>
          </cell>
        </row>
        <row r="2529">
          <cell r="D2529" t="str">
            <v>542-02-9</v>
          </cell>
          <cell r="E2529">
            <v>542029</v>
          </cell>
          <cell r="F2529">
            <v>3133</v>
          </cell>
          <cell r="G2529" t="str">
            <v>Reach_1343</v>
          </cell>
          <cell r="H2529">
            <v>2521</v>
          </cell>
          <cell r="J2529">
            <v>125.14</v>
          </cell>
          <cell r="K2529">
            <v>104.61</v>
          </cell>
          <cell r="L2529">
            <v>6.4117300000000002E-2</v>
          </cell>
          <cell r="M2529">
            <v>193000</v>
          </cell>
          <cell r="N2529">
            <v>1.6982436524617444</v>
          </cell>
          <cell r="Q2529">
            <v>14</v>
          </cell>
        </row>
        <row r="2530">
          <cell r="D2530" t="str">
            <v>66423-13-0</v>
          </cell>
          <cell r="E2530">
            <v>66423130</v>
          </cell>
          <cell r="F2530">
            <v>3473</v>
          </cell>
          <cell r="G2530" t="str">
            <v>Reach_2881</v>
          </cell>
          <cell r="H2530">
            <v>2522</v>
          </cell>
          <cell r="J2530">
            <v>326.86</v>
          </cell>
          <cell r="K2530">
            <v>120.59</v>
          </cell>
          <cell r="L2530">
            <v>4.8254600000000004E-4</v>
          </cell>
          <cell r="M2530">
            <v>8.3680000000000004E-2</v>
          </cell>
          <cell r="N2530">
            <v>4570881.8961487599</v>
          </cell>
          <cell r="Q2530">
            <v>14</v>
          </cell>
        </row>
        <row r="2531">
          <cell r="D2531" t="str">
            <v>34690-00-1</v>
          </cell>
          <cell r="E2531">
            <v>34690001</v>
          </cell>
          <cell r="F2531">
            <v>2714</v>
          </cell>
          <cell r="G2531" t="str">
            <v>Reach_2680</v>
          </cell>
          <cell r="H2531">
            <v>2523</v>
          </cell>
          <cell r="J2531">
            <v>685.42</v>
          </cell>
          <cell r="K2531">
            <v>90.27</v>
          </cell>
          <cell r="L2531">
            <v>2.7459800000000001E-9</v>
          </cell>
          <cell r="M2531">
            <v>285000</v>
          </cell>
          <cell r="N2531">
            <v>1.6218100973589276E-6</v>
          </cell>
          <cell r="O2531">
            <v>-0.35</v>
          </cell>
          <cell r="P2531">
            <v>1.64</v>
          </cell>
          <cell r="Q2531">
            <v>-0.35</v>
          </cell>
        </row>
        <row r="2532">
          <cell r="D2532" t="str">
            <v>6309-51-9</v>
          </cell>
          <cell r="E2532">
            <v>6309519</v>
          </cell>
          <cell r="F2532">
            <v>3394</v>
          </cell>
          <cell r="G2532" t="str">
            <v>Reach_2164</v>
          </cell>
          <cell r="H2532">
            <v>2524</v>
          </cell>
          <cell r="J2532">
            <v>270.45999999999998</v>
          </cell>
          <cell r="K2532">
            <v>44.42</v>
          </cell>
          <cell r="L2532">
            <v>7.1982000000000004E-2</v>
          </cell>
          <cell r="M2532">
            <v>0.13166</v>
          </cell>
          <cell r="N2532">
            <v>14791083.881682113</v>
          </cell>
          <cell r="Q2532">
            <v>14</v>
          </cell>
        </row>
        <row r="2533">
          <cell r="D2533" t="str">
            <v>383-63-1</v>
          </cell>
          <cell r="E2533">
            <v>383631</v>
          </cell>
          <cell r="F2533">
            <v>621</v>
          </cell>
          <cell r="G2533" t="str">
            <v>Reach_1263</v>
          </cell>
          <cell r="H2533">
            <v>2525</v>
          </cell>
          <cell r="J2533">
            <v>142.08000000000001</v>
          </cell>
          <cell r="K2533">
            <v>-85.17</v>
          </cell>
          <cell r="L2533">
            <v>25193.7</v>
          </cell>
          <cell r="M2533">
            <v>71141</v>
          </cell>
          <cell r="N2533">
            <v>19.054607179632477</v>
          </cell>
          <cell r="Q2533">
            <v>14</v>
          </cell>
        </row>
        <row r="2534">
          <cell r="D2534" t="str">
            <v>38820-59-6</v>
          </cell>
          <cell r="E2534">
            <v>38820596</v>
          </cell>
          <cell r="F2534">
            <v>5871</v>
          </cell>
          <cell r="G2534" t="str">
            <v>Reach_2718</v>
          </cell>
          <cell r="H2534">
            <v>2526</v>
          </cell>
          <cell r="J2534">
            <v>720.79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  <cell r="Q2534">
            <v>14</v>
          </cell>
        </row>
        <row r="2535">
          <cell r="D2535" t="str">
            <v>5280-80-8</v>
          </cell>
          <cell r="E2535">
            <v>5280808</v>
          </cell>
          <cell r="F2535">
            <v>3076</v>
          </cell>
          <cell r="G2535" t="str">
            <v>Reach_2092</v>
          </cell>
          <cell r="H2535">
            <v>2527</v>
          </cell>
          <cell r="J2535">
            <v>916.66</v>
          </cell>
          <cell r="K2535">
            <v>349.84</v>
          </cell>
          <cell r="L2535">
            <v>3.4924600000000002E-30</v>
          </cell>
          <cell r="M2535">
            <v>1.33E-9</v>
          </cell>
          <cell r="N2535">
            <v>85113803.820237845</v>
          </cell>
          <cell r="O2535">
            <v>8.41</v>
          </cell>
          <cell r="P2535">
            <v>13.34</v>
          </cell>
          <cell r="Q2535">
            <v>0.66000000000000014</v>
          </cell>
        </row>
        <row r="2536">
          <cell r="D2536" t="str">
            <v>538-75-0</v>
          </cell>
          <cell r="E2536">
            <v>538750</v>
          </cell>
          <cell r="F2536">
            <v>3114</v>
          </cell>
          <cell r="G2536" t="str">
            <v>Reach_1334</v>
          </cell>
          <cell r="H2536">
            <v>2528</v>
          </cell>
          <cell r="J2536">
            <v>206.34</v>
          </cell>
          <cell r="K2536">
            <v>18.809999999999999</v>
          </cell>
          <cell r="L2536">
            <v>0.45188699999999998</v>
          </cell>
          <cell r="M2536">
            <v>7.7428999999999998E-2</v>
          </cell>
          <cell r="N2536">
            <v>6760829.7539198333</v>
          </cell>
          <cell r="Q2536">
            <v>14</v>
          </cell>
        </row>
        <row r="2537">
          <cell r="D2537" t="str">
            <v>63843-89-0</v>
          </cell>
          <cell r="E2537">
            <v>63843890</v>
          </cell>
          <cell r="F2537">
            <v>3419</v>
          </cell>
          <cell r="G2537" t="str">
            <v>Reach_2863</v>
          </cell>
          <cell r="H2537">
            <v>2529</v>
          </cell>
          <cell r="J2537">
            <v>685.05</v>
          </cell>
          <cell r="K2537">
            <v>277.7</v>
          </cell>
          <cell r="L2537">
            <v>9.5042900000000012E-14</v>
          </cell>
          <cell r="M2537">
            <v>8.8699999999999998E-6</v>
          </cell>
          <cell r="N2537">
            <v>10715193052.376066</v>
          </cell>
          <cell r="O2537">
            <v>11.78</v>
          </cell>
          <cell r="P2537">
            <v>4.63</v>
          </cell>
          <cell r="Q2537">
            <v>9.370000000000001</v>
          </cell>
        </row>
        <row r="2538">
          <cell r="D2538" t="str">
            <v>123-17-1</v>
          </cell>
          <cell r="E2538">
            <v>123171</v>
          </cell>
          <cell r="F2538">
            <v>1764</v>
          </cell>
          <cell r="G2538" t="str">
            <v>Reach_1041</v>
          </cell>
          <cell r="H2538">
            <v>2530</v>
          </cell>
          <cell r="J2538">
            <v>186.34</v>
          </cell>
          <cell r="K2538">
            <v>-14.78</v>
          </cell>
          <cell r="L2538">
            <v>2.0661500000000004</v>
          </cell>
          <cell r="M2538">
            <v>9.3698999999999995</v>
          </cell>
          <cell r="N2538">
            <v>30199.517204020212</v>
          </cell>
          <cell r="Q2538">
            <v>14</v>
          </cell>
        </row>
        <row r="2539">
          <cell r="D2539" t="str">
            <v>2362-14-3</v>
          </cell>
          <cell r="E2539">
            <v>2362143</v>
          </cell>
          <cell r="F2539">
            <v>2353</v>
          </cell>
          <cell r="G2539" t="str">
            <v>Reach_1785</v>
          </cell>
          <cell r="H2539">
            <v>2531</v>
          </cell>
          <cell r="J2539">
            <v>296.41000000000003</v>
          </cell>
          <cell r="K2539">
            <v>180.92</v>
          </cell>
          <cell r="L2539">
            <v>1.7062400000000001E-7</v>
          </cell>
          <cell r="M2539">
            <v>1.2561</v>
          </cell>
          <cell r="N2539">
            <v>1258925.4117941677</v>
          </cell>
          <cell r="Q2539">
            <v>14</v>
          </cell>
        </row>
        <row r="2540">
          <cell r="D2540" t="str">
            <v>68909-32-0</v>
          </cell>
          <cell r="E2540">
            <v>68909320</v>
          </cell>
          <cell r="F2540">
            <v>3530</v>
          </cell>
          <cell r="G2540" t="str">
            <v>Reach_2912</v>
          </cell>
          <cell r="H2540">
            <v>2532</v>
          </cell>
          <cell r="J2540">
            <v>296.5</v>
          </cell>
          <cell r="K2540">
            <v>128.03</v>
          </cell>
          <cell r="L2540">
            <v>2.1861200000000003E-4</v>
          </cell>
          <cell r="M2540">
            <v>8.8277999999999995E-2</v>
          </cell>
          <cell r="N2540">
            <v>218776.16239495538</v>
          </cell>
          <cell r="P2540">
            <v>9.19</v>
          </cell>
          <cell r="Q2540">
            <v>4.8100000000000005</v>
          </cell>
        </row>
        <row r="2541">
          <cell r="D2541" t="str">
            <v>107-85-7</v>
          </cell>
          <cell r="E2541">
            <v>107857</v>
          </cell>
          <cell r="F2541">
            <v>222</v>
          </cell>
          <cell r="G2541" t="str">
            <v>Reach_715</v>
          </cell>
          <cell r="H2541">
            <v>2533</v>
          </cell>
          <cell r="J2541">
            <v>87.167000000000002</v>
          </cell>
          <cell r="K2541">
            <v>-57.81</v>
          </cell>
          <cell r="L2541">
            <v>5931.85</v>
          </cell>
          <cell r="M2541">
            <v>26631</v>
          </cell>
          <cell r="N2541">
            <v>17.782794100389236</v>
          </cell>
          <cell r="P2541">
            <v>4</v>
          </cell>
          <cell r="Q2541">
            <v>10</v>
          </cell>
        </row>
        <row r="2542">
          <cell r="D2542" t="str">
            <v>21890-10-8</v>
          </cell>
          <cell r="E2542">
            <v>21890108</v>
          </cell>
          <cell r="F2542">
            <v>2311</v>
          </cell>
          <cell r="G2542" t="str">
            <v>Reach_4221</v>
          </cell>
          <cell r="H2542">
            <v>2534</v>
          </cell>
          <cell r="J2542">
            <v>252.4</v>
          </cell>
          <cell r="K2542">
            <v>105.2</v>
          </cell>
          <cell r="L2542">
            <v>2.31942E-3</v>
          </cell>
          <cell r="M2542">
            <v>3.0589</v>
          </cell>
          <cell r="N2542">
            <v>8128.3051616410066</v>
          </cell>
          <cell r="Q2542">
            <v>14</v>
          </cell>
        </row>
        <row r="2543">
          <cell r="D2543" t="str">
            <v>24731-73-5</v>
          </cell>
          <cell r="E2543">
            <v>24731735</v>
          </cell>
          <cell r="F2543">
            <v>2402</v>
          </cell>
          <cell r="G2543" t="str">
            <v>Reach_2554</v>
          </cell>
          <cell r="H2543">
            <v>2535</v>
          </cell>
          <cell r="J2543">
            <v>276.29000000000002</v>
          </cell>
          <cell r="K2543">
            <v>220.6</v>
          </cell>
          <cell r="L2543">
            <v>1.09306E-8</v>
          </cell>
          <cell r="M2543">
            <v>10667</v>
          </cell>
          <cell r="N2543">
            <v>1.0471285480508996</v>
          </cell>
          <cell r="O2543">
            <v>10.4</v>
          </cell>
          <cell r="P2543">
            <v>13.1</v>
          </cell>
          <cell r="Q2543">
            <v>0.90000000000000036</v>
          </cell>
        </row>
        <row r="2544">
          <cell r="D2544" t="str">
            <v>501-53-1</v>
          </cell>
          <cell r="E2544">
            <v>501531</v>
          </cell>
          <cell r="F2544">
            <v>653</v>
          </cell>
          <cell r="G2544" t="str">
            <v>Reach_1299</v>
          </cell>
          <cell r="H2544">
            <v>2536</v>
          </cell>
          <cell r="J2544">
            <v>170.6</v>
          </cell>
          <cell r="K2544">
            <v>11.59</v>
          </cell>
          <cell r="L2544">
            <v>486.54500000000002</v>
          </cell>
          <cell r="M2544">
            <v>773.43</v>
          </cell>
          <cell r="N2544">
            <v>69.183097091893657</v>
          </cell>
          <cell r="Q2544">
            <v>14</v>
          </cell>
        </row>
        <row r="2545">
          <cell r="D2545" t="str">
            <v>75-33-2</v>
          </cell>
          <cell r="E2545">
            <v>75332</v>
          </cell>
          <cell r="F2545">
            <v>3667</v>
          </cell>
          <cell r="G2545" t="str">
            <v>Reach_139</v>
          </cell>
          <cell r="H2545">
            <v>2537</v>
          </cell>
          <cell r="J2545">
            <v>76.161000000000001</v>
          </cell>
          <cell r="K2545">
            <v>-101.01</v>
          </cell>
          <cell r="L2545">
            <v>35324.5</v>
          </cell>
          <cell r="M2545">
            <v>8996.4</v>
          </cell>
          <cell r="N2545">
            <v>47.863009232263856</v>
          </cell>
          <cell r="O2545">
            <v>10.7</v>
          </cell>
          <cell r="Q2545">
            <v>10.7</v>
          </cell>
        </row>
        <row r="2546">
          <cell r="D2546" t="str">
            <v>60111-54-8</v>
          </cell>
          <cell r="E2546">
            <v>60111548</v>
          </cell>
          <cell r="F2546">
            <v>3304</v>
          </cell>
          <cell r="G2546" t="str">
            <v>Reach_2843</v>
          </cell>
          <cell r="H2546">
            <v>2538</v>
          </cell>
          <cell r="J2546">
            <v>432.89</v>
          </cell>
          <cell r="K2546">
            <v>11.62</v>
          </cell>
          <cell r="L2546">
            <v>0.68116300000000007</v>
          </cell>
          <cell r="M2546">
            <v>0</v>
          </cell>
          <cell r="N2546">
            <v>107151930523.76077</v>
          </cell>
          <cell r="Q2546">
            <v>14</v>
          </cell>
        </row>
        <row r="2547">
          <cell r="D2547" t="str">
            <v>765-30-0</v>
          </cell>
          <cell r="E2547">
            <v>765300</v>
          </cell>
          <cell r="F2547">
            <v>3716</v>
          </cell>
          <cell r="G2547" t="str">
            <v>Reach_1539</v>
          </cell>
          <cell r="H2547">
            <v>2539</v>
          </cell>
          <cell r="J2547">
            <v>57.097000000000001</v>
          </cell>
          <cell r="K2547">
            <v>-61.45</v>
          </cell>
          <cell r="L2547">
            <v>38257.100000000006</v>
          </cell>
          <cell r="M2547">
            <v>1000000</v>
          </cell>
          <cell r="N2547">
            <v>1.4454397707459274</v>
          </cell>
          <cell r="P2547">
            <v>5</v>
          </cell>
          <cell r="Q2547">
            <v>9</v>
          </cell>
        </row>
        <row r="2548">
          <cell r="D2548" t="str">
            <v>5580-57-4</v>
          </cell>
          <cell r="E2548">
            <v>5580574</v>
          </cell>
          <cell r="F2548">
            <v>3178</v>
          </cell>
          <cell r="G2548" t="str">
            <v>Reach_2126</v>
          </cell>
          <cell r="H2548">
            <v>2540</v>
          </cell>
          <cell r="J2548">
            <v>937.08</v>
          </cell>
          <cell r="K2548">
            <v>349.84</v>
          </cell>
          <cell r="L2548">
            <v>1.7462300000000002E-28</v>
          </cell>
          <cell r="M2548">
            <v>6.7099999999999996E-10</v>
          </cell>
          <cell r="N2548">
            <v>44668359.215096377</v>
          </cell>
          <cell r="O2548">
            <v>8.41</v>
          </cell>
          <cell r="P2548">
            <v>9.1300000000000008</v>
          </cell>
          <cell r="Q2548">
            <v>4.8699999999999992</v>
          </cell>
        </row>
        <row r="2549">
          <cell r="D2549" t="str">
            <v>63469-23-8</v>
          </cell>
          <cell r="E2549">
            <v>63469238</v>
          </cell>
          <cell r="F2549">
            <v>3403</v>
          </cell>
          <cell r="G2549" t="str">
            <v>Reach_2859</v>
          </cell>
          <cell r="H2549">
            <v>2541</v>
          </cell>
          <cell r="J2549">
            <v>218.34</v>
          </cell>
          <cell r="K2549">
            <v>83.84</v>
          </cell>
          <cell r="L2549">
            <v>9.5176200000000009E-4</v>
          </cell>
          <cell r="M2549">
            <v>192000</v>
          </cell>
          <cell r="N2549">
            <v>0.33113112148259105</v>
          </cell>
          <cell r="Q2549">
            <v>14</v>
          </cell>
        </row>
        <row r="2550">
          <cell r="D2550" t="str">
            <v>67801-15-4</v>
          </cell>
          <cell r="E2550">
            <v>67801154</v>
          </cell>
          <cell r="F2550">
            <v>3500</v>
          </cell>
          <cell r="G2550" t="str">
            <v>Reach_2889</v>
          </cell>
          <cell r="H2550">
            <v>2542</v>
          </cell>
          <cell r="J2550">
            <v>206.33</v>
          </cell>
          <cell r="K2550">
            <v>44.46</v>
          </cell>
          <cell r="L2550">
            <v>1.8662000000000003</v>
          </cell>
          <cell r="M2550">
            <v>2.9973999999999998</v>
          </cell>
          <cell r="N2550">
            <v>26302.679918953829</v>
          </cell>
          <cell r="P2550">
            <v>0</v>
          </cell>
          <cell r="Q2550">
            <v>14</v>
          </cell>
        </row>
        <row r="2551">
          <cell r="D2551" t="str">
            <v>920-66-1</v>
          </cell>
          <cell r="E2551">
            <v>920661</v>
          </cell>
          <cell r="F2551">
            <v>1011</v>
          </cell>
          <cell r="G2551" t="str">
            <v>Reach_1590</v>
          </cell>
          <cell r="H2551">
            <v>2543</v>
          </cell>
          <cell r="J2551">
            <v>168.04</v>
          </cell>
          <cell r="K2551">
            <v>-95.63</v>
          </cell>
          <cell r="L2551">
            <v>20794.800000000003</v>
          </cell>
          <cell r="M2551">
            <v>7506</v>
          </cell>
          <cell r="N2551">
            <v>12.882495516931346</v>
          </cell>
          <cell r="O2551">
            <v>8.83</v>
          </cell>
          <cell r="P2551">
            <v>0</v>
          </cell>
          <cell r="Q2551">
            <v>8.83</v>
          </cell>
        </row>
        <row r="2552">
          <cell r="D2552" t="str">
            <v>3749-87-9</v>
          </cell>
          <cell r="E2552">
            <v>3749879</v>
          </cell>
          <cell r="F2552">
            <v>2800</v>
          </cell>
          <cell r="G2552" t="str">
            <v>Reach_1989</v>
          </cell>
          <cell r="H2552">
            <v>2544</v>
          </cell>
          <cell r="J2552">
            <v>506.68</v>
          </cell>
          <cell r="K2552">
            <v>201.77</v>
          </cell>
          <cell r="L2552">
            <v>1.2516869999999999E-10</v>
          </cell>
          <cell r="M2552">
            <v>0.56655</v>
          </cell>
          <cell r="N2552">
            <v>257039.57827688678</v>
          </cell>
          <cell r="O2552">
            <v>15.77</v>
          </cell>
          <cell r="Q2552">
            <v>14</v>
          </cell>
        </row>
        <row r="2553">
          <cell r="D2553" t="str">
            <v>898566-17-1</v>
          </cell>
          <cell r="E2553">
            <v>898566171</v>
          </cell>
          <cell r="F2553">
            <v>3987</v>
          </cell>
          <cell r="G2553" t="str">
            <v>Reach_4494</v>
          </cell>
          <cell r="H2553">
            <v>2545</v>
          </cell>
          <cell r="J2553">
            <v>408.27</v>
          </cell>
          <cell r="K2553">
            <v>174.04</v>
          </cell>
          <cell r="L2553">
            <v>2.6260100000000002E-6</v>
          </cell>
          <cell r="M2553">
            <v>9.4138999999999994E-3</v>
          </cell>
          <cell r="N2553">
            <v>56234132.519034937</v>
          </cell>
          <cell r="Q2553">
            <v>14</v>
          </cell>
        </row>
        <row r="2554">
          <cell r="D2554" t="str">
            <v>21890-09-5</v>
          </cell>
          <cell r="E2554">
            <v>21890095</v>
          </cell>
          <cell r="F2554">
            <v>2310</v>
          </cell>
          <cell r="G2554" t="str">
            <v>Reach_4220</v>
          </cell>
          <cell r="H2554">
            <v>2546</v>
          </cell>
          <cell r="J2554">
            <v>220.4</v>
          </cell>
          <cell r="K2554">
            <v>46</v>
          </cell>
          <cell r="L2554">
            <v>0.32525200000000004</v>
          </cell>
          <cell r="M2554">
            <v>1.1859E-2</v>
          </cell>
          <cell r="N2554">
            <v>12882495.516931379</v>
          </cell>
          <cell r="Q2554">
            <v>14</v>
          </cell>
        </row>
        <row r="2555">
          <cell r="D2555" t="str">
            <v>18127-01-0</v>
          </cell>
          <cell r="E2555">
            <v>18127010</v>
          </cell>
          <cell r="F2555">
            <v>2166</v>
          </cell>
          <cell r="G2555" t="str">
            <v>Reach_2452</v>
          </cell>
          <cell r="H2555">
            <v>2547</v>
          </cell>
          <cell r="J2555">
            <v>190.29</v>
          </cell>
          <cell r="K2555">
            <v>46.3</v>
          </cell>
          <cell r="L2555">
            <v>0.66516700000000006</v>
          </cell>
          <cell r="M2555">
            <v>138.35</v>
          </cell>
          <cell r="N2555">
            <v>8709.6358995608189</v>
          </cell>
          <cell r="Q2555">
            <v>14</v>
          </cell>
        </row>
        <row r="2556">
          <cell r="D2556" t="str">
            <v>109-76-2</v>
          </cell>
          <cell r="E2556">
            <v>109762</v>
          </cell>
          <cell r="F2556">
            <v>265</v>
          </cell>
          <cell r="G2556" t="str">
            <v>Reach_790</v>
          </cell>
          <cell r="H2556">
            <v>2548</v>
          </cell>
          <cell r="J2556">
            <v>74.129000000000005</v>
          </cell>
          <cell r="K2556">
            <v>-11.32</v>
          </cell>
          <cell r="L2556">
            <v>854.45300000000009</v>
          </cell>
          <cell r="M2556">
            <v>1000000</v>
          </cell>
          <cell r="N2556">
            <v>7.4131024130091761E-2</v>
          </cell>
          <cell r="O2556">
            <v>0</v>
          </cell>
          <cell r="P2556">
            <v>4</v>
          </cell>
          <cell r="Q2556">
            <v>0</v>
          </cell>
        </row>
        <row r="2557">
          <cell r="D2557" t="str">
            <v>38083-17-9</v>
          </cell>
          <cell r="E2557">
            <v>38083179</v>
          </cell>
          <cell r="F2557">
            <v>620</v>
          </cell>
          <cell r="G2557" t="str">
            <v>Reach_2715</v>
          </cell>
          <cell r="H2557">
            <v>2549</v>
          </cell>
          <cell r="J2557">
            <v>292.77</v>
          </cell>
          <cell r="K2557">
            <v>153.07</v>
          </cell>
          <cell r="L2557">
            <v>2.7993000000000001E-5</v>
          </cell>
          <cell r="M2557">
            <v>57.497999999999998</v>
          </cell>
          <cell r="N2557">
            <v>5754.399373371567</v>
          </cell>
          <cell r="P2557">
            <v>7</v>
          </cell>
          <cell r="Q2557">
            <v>7</v>
          </cell>
        </row>
        <row r="2558">
          <cell r="D2558" t="str">
            <v>27871-49-4</v>
          </cell>
          <cell r="E2558">
            <v>27871494</v>
          </cell>
          <cell r="F2558">
            <v>2521</v>
          </cell>
          <cell r="G2558" t="str">
            <v>Reach_2613</v>
          </cell>
          <cell r="H2558">
            <v>2550</v>
          </cell>
          <cell r="J2558">
            <v>104.11</v>
          </cell>
          <cell r="K2558">
            <v>-39.770000000000003</v>
          </cell>
          <cell r="L2558">
            <v>241.27300000000002</v>
          </cell>
          <cell r="M2558">
            <v>336000</v>
          </cell>
          <cell r="N2558">
            <v>0.21379620895022314</v>
          </cell>
          <cell r="Q2558">
            <v>14</v>
          </cell>
        </row>
        <row r="2559">
          <cell r="D2559" t="str">
            <v>18328-90-0</v>
          </cell>
          <cell r="E2559">
            <v>18328900</v>
          </cell>
          <cell r="F2559">
            <v>2182</v>
          </cell>
          <cell r="G2559" t="str">
            <v>Reach_2459</v>
          </cell>
          <cell r="H2559">
            <v>2551</v>
          </cell>
          <cell r="J2559">
            <v>99.177999999999997</v>
          </cell>
          <cell r="K2559">
            <v>-64.53</v>
          </cell>
          <cell r="L2559">
            <v>3439.1400000000003</v>
          </cell>
          <cell r="M2559">
            <v>71400</v>
          </cell>
          <cell r="N2559">
            <v>51.28613839913649</v>
          </cell>
          <cell r="P2559">
            <v>3.8</v>
          </cell>
          <cell r="Q2559">
            <v>10.199999999999999</v>
          </cell>
        </row>
        <row r="2560">
          <cell r="D2560" t="str">
            <v>16529-56-9</v>
          </cell>
          <cell r="E2560">
            <v>16529569</v>
          </cell>
          <cell r="F2560">
            <v>2098</v>
          </cell>
          <cell r="G2560" t="str">
            <v>Reach_2423</v>
          </cell>
          <cell r="H2560">
            <v>2552</v>
          </cell>
          <cell r="J2560">
            <v>81.119</v>
          </cell>
          <cell r="K2560">
            <v>-58.98</v>
          </cell>
          <cell r="L2560">
            <v>1479.63</v>
          </cell>
          <cell r="M2560">
            <v>8117.2</v>
          </cell>
          <cell r="N2560">
            <v>13.182567385564075</v>
          </cell>
          <cell r="Q2560">
            <v>14</v>
          </cell>
        </row>
        <row r="2561">
          <cell r="D2561" t="str">
            <v>14338-82-0</v>
          </cell>
          <cell r="E2561">
            <v>14338820</v>
          </cell>
          <cell r="F2561">
            <v>1965</v>
          </cell>
          <cell r="G2561" t="str">
            <v>Reach_2363</v>
          </cell>
          <cell r="H2561">
            <v>2553</v>
          </cell>
          <cell r="J2561">
            <v>308.45999999999998</v>
          </cell>
          <cell r="K2561">
            <v>4.4400000000000004</v>
          </cell>
          <cell r="L2561">
            <v>1.3183370000000002E-2</v>
          </cell>
          <cell r="M2561">
            <v>19.861999999999998</v>
          </cell>
          <cell r="N2561">
            <v>6760.8297539198229</v>
          </cell>
          <cell r="Q2561">
            <v>14</v>
          </cell>
        </row>
        <row r="2562">
          <cell r="D2562" t="str">
            <v>574-93-6</v>
          </cell>
          <cell r="E2562">
            <v>574936</v>
          </cell>
          <cell r="F2562">
            <v>3230</v>
          </cell>
          <cell r="G2562" t="str">
            <v>Reach_1378</v>
          </cell>
          <cell r="H2562">
            <v>2554</v>
          </cell>
          <cell r="J2562">
            <v>514.55999999999995</v>
          </cell>
          <cell r="K2562">
            <v>349.84</v>
          </cell>
          <cell r="L2562">
            <v>5.0387400000000005E-19</v>
          </cell>
          <cell r="M2562">
            <v>4.9200000000000003E-6</v>
          </cell>
          <cell r="N2562">
            <v>48977881.936844677</v>
          </cell>
          <cell r="O2562">
            <v>0</v>
          </cell>
          <cell r="Q2562">
            <v>0</v>
          </cell>
        </row>
        <row r="2563">
          <cell r="D2563" t="str">
            <v>71902-23-3</v>
          </cell>
          <cell r="E2563">
            <v>71902233</v>
          </cell>
          <cell r="F2563">
            <v>3594</v>
          </cell>
          <cell r="G2563" t="str">
            <v>Reach_2933</v>
          </cell>
          <cell r="H2563">
            <v>2555</v>
          </cell>
          <cell r="J2563">
            <v>271.39999999999998</v>
          </cell>
          <cell r="K2563">
            <v>181.95</v>
          </cell>
          <cell r="L2563">
            <v>3.2791800000000002E-6</v>
          </cell>
          <cell r="M2563">
            <v>55.542000000000002</v>
          </cell>
          <cell r="N2563">
            <v>7762.4711662869322</v>
          </cell>
          <cell r="Q2563">
            <v>14</v>
          </cell>
        </row>
        <row r="2564">
          <cell r="D2564" t="str">
            <v>98-55-5</v>
          </cell>
          <cell r="E2564">
            <v>98555</v>
          </cell>
          <cell r="F2564">
            <v>1074</v>
          </cell>
          <cell r="G2564" t="str">
            <v>Reach_512</v>
          </cell>
          <cell r="H2564">
            <v>2556</v>
          </cell>
          <cell r="J2564">
            <v>154.25</v>
          </cell>
          <cell r="K2564">
            <v>12.36</v>
          </cell>
          <cell r="L2564">
            <v>2.6126800000000001</v>
          </cell>
          <cell r="M2564">
            <v>3794.2</v>
          </cell>
          <cell r="N2564">
            <v>2137.9620895022344</v>
          </cell>
          <cell r="O2564">
            <v>16</v>
          </cell>
          <cell r="Q2564">
            <v>14</v>
          </cell>
        </row>
        <row r="2565">
          <cell r="D2565" t="str">
            <v>123-68-2</v>
          </cell>
          <cell r="E2565">
            <v>123682</v>
          </cell>
          <cell r="F2565">
            <v>1773</v>
          </cell>
          <cell r="G2565" t="str">
            <v>Reach_1055</v>
          </cell>
          <cell r="H2565">
            <v>2557</v>
          </cell>
          <cell r="J2565">
            <v>156.22</v>
          </cell>
          <cell r="K2565">
            <v>-22.26</v>
          </cell>
          <cell r="L2565">
            <v>96.109300000000005</v>
          </cell>
          <cell r="M2565">
            <v>496.32</v>
          </cell>
          <cell r="N2565">
            <v>1513.5612484362093</v>
          </cell>
          <cell r="P2565">
            <v>0</v>
          </cell>
          <cell r="Q2565">
            <v>14</v>
          </cell>
        </row>
        <row r="2566">
          <cell r="D2566" t="str">
            <v>79-07-2</v>
          </cell>
          <cell r="E2566">
            <v>79072</v>
          </cell>
          <cell r="F2566">
            <v>3765</v>
          </cell>
          <cell r="G2566" t="str">
            <v>Reach_227</v>
          </cell>
          <cell r="H2566">
            <v>2558</v>
          </cell>
          <cell r="J2566">
            <v>93.513999999999996</v>
          </cell>
          <cell r="K2566">
            <v>41.6</v>
          </cell>
          <cell r="L2566">
            <v>1.4129800000000001</v>
          </cell>
          <cell r="M2566">
            <v>92327</v>
          </cell>
          <cell r="N2566">
            <v>0.2630267991895382</v>
          </cell>
          <cell r="O2566">
            <v>12.95</v>
          </cell>
          <cell r="P2566">
            <v>15.96</v>
          </cell>
          <cell r="Q2566">
            <v>-1.9600000000000009</v>
          </cell>
        </row>
        <row r="2567">
          <cell r="D2567" t="str">
            <v>83-56-7</v>
          </cell>
          <cell r="E2567">
            <v>83567</v>
          </cell>
          <cell r="F2567">
            <v>3849</v>
          </cell>
          <cell r="G2567" t="str">
            <v>Reach_283</v>
          </cell>
          <cell r="H2567">
            <v>2559</v>
          </cell>
          <cell r="J2567">
            <v>160.16999999999999</v>
          </cell>
          <cell r="K2567">
            <v>110.46</v>
          </cell>
          <cell r="L2567">
            <v>1.6795799999999999E-5</v>
          </cell>
          <cell r="M2567">
            <v>3105.3</v>
          </cell>
          <cell r="N2567">
            <v>162.18100973589304</v>
          </cell>
          <cell r="Q2567">
            <v>14</v>
          </cell>
        </row>
        <row r="2568">
          <cell r="D2568" t="str">
            <v>13001-46-2</v>
          </cell>
          <cell r="E2568">
            <v>13001462</v>
          </cell>
          <cell r="F2568">
            <v>5654</v>
          </cell>
          <cell r="G2568" t="str">
            <v>Reach_2315</v>
          </cell>
          <cell r="H2568">
            <v>2560</v>
          </cell>
          <cell r="J2568">
            <v>188.35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Q2568">
            <v>0</v>
          </cell>
        </row>
        <row r="2569">
          <cell r="D2569" t="str">
            <v>2920-38-9</v>
          </cell>
          <cell r="E2569">
            <v>2920389</v>
          </cell>
          <cell r="F2569">
            <v>2561</v>
          </cell>
          <cell r="G2569" t="str">
            <v>Reach_1885</v>
          </cell>
          <cell r="H2569">
            <v>2561</v>
          </cell>
          <cell r="J2569">
            <v>179.22</v>
          </cell>
          <cell r="K2569">
            <v>86.49</v>
          </cell>
          <cell r="L2569">
            <v>1.2796800000000002E-2</v>
          </cell>
          <cell r="M2569">
            <v>19.312999999999999</v>
          </cell>
          <cell r="N2569">
            <v>1995.2623149688804</v>
          </cell>
          <cell r="Q2569">
            <v>14</v>
          </cell>
        </row>
        <row r="2570">
          <cell r="D2570" t="str">
            <v>70-54-2</v>
          </cell>
          <cell r="E2570">
            <v>70542</v>
          </cell>
          <cell r="F2570">
            <v>3565</v>
          </cell>
          <cell r="G2570" t="str">
            <v>Reach_97</v>
          </cell>
          <cell r="H2570">
            <v>2562</v>
          </cell>
          <cell r="J2570">
            <v>146.19</v>
          </cell>
          <cell r="K2570">
            <v>299.05</v>
          </cell>
          <cell r="L2570">
            <v>6.1317999999999999E-7</v>
          </cell>
          <cell r="M2570">
            <v>131000</v>
          </cell>
          <cell r="N2570">
            <v>1.0232929922807533E-3</v>
          </cell>
          <cell r="Q2570">
            <v>14</v>
          </cell>
        </row>
        <row r="2571">
          <cell r="D2571" t="str">
            <v>7691-02-3</v>
          </cell>
          <cell r="E2571">
            <v>7691023</v>
          </cell>
          <cell r="F2571">
            <v>1290</v>
          </cell>
          <cell r="G2571" t="str">
            <v>Reach_2269</v>
          </cell>
          <cell r="H2571">
            <v>2563</v>
          </cell>
          <cell r="J2571">
            <v>185.42</v>
          </cell>
          <cell r="K2571">
            <v>-36.19</v>
          </cell>
          <cell r="L2571">
            <v>534.53300000000002</v>
          </cell>
          <cell r="M2571">
            <v>0</v>
          </cell>
          <cell r="N2571">
            <v>2137.9620895022344</v>
          </cell>
          <cell r="P2571">
            <v>4.7</v>
          </cell>
          <cell r="Q2571">
            <v>9.3000000000000007</v>
          </cell>
        </row>
        <row r="2572">
          <cell r="D2572" t="str">
            <v>3089-17-6</v>
          </cell>
          <cell r="E2572">
            <v>3089176</v>
          </cell>
          <cell r="F2572">
            <v>2615</v>
          </cell>
          <cell r="G2572" t="str">
            <v>Reach_1916</v>
          </cell>
          <cell r="H2572">
            <v>2564</v>
          </cell>
          <cell r="J2572">
            <v>381.22</v>
          </cell>
          <cell r="K2572">
            <v>253.72</v>
          </cell>
          <cell r="L2572">
            <v>5.95851E-13</v>
          </cell>
          <cell r="M2572">
            <v>5.0885000000000001E-3</v>
          </cell>
          <cell r="N2572">
            <v>93325.430079699145</v>
          </cell>
          <cell r="O2572">
            <v>10.23</v>
          </cell>
          <cell r="P2572">
            <v>14.61</v>
          </cell>
          <cell r="Q2572">
            <v>-0.60999999999999943</v>
          </cell>
        </row>
        <row r="2573">
          <cell r="D2573" t="str">
            <v>2162-73-4</v>
          </cell>
          <cell r="E2573">
            <v>2162734</v>
          </cell>
          <cell r="F2573">
            <v>2299</v>
          </cell>
          <cell r="G2573" t="str">
            <v>Reach_1766</v>
          </cell>
          <cell r="H2573">
            <v>2565</v>
          </cell>
          <cell r="J2573">
            <v>286.38</v>
          </cell>
          <cell r="K2573">
            <v>82.9</v>
          </cell>
          <cell r="L2573">
            <v>1.8928600000000004E-2</v>
          </cell>
          <cell r="M2573">
            <v>0.64168000000000003</v>
          </cell>
          <cell r="N2573">
            <v>36307805.47701022</v>
          </cell>
          <cell r="Q2573">
            <v>14</v>
          </cell>
        </row>
        <row r="2574">
          <cell r="D2574" t="str">
            <v>4151-51-3</v>
          </cell>
          <cell r="E2574">
            <v>4151513</v>
          </cell>
          <cell r="F2574">
            <v>2880</v>
          </cell>
          <cell r="G2574" t="str">
            <v>Reach_2016</v>
          </cell>
          <cell r="H2574">
            <v>2566</v>
          </cell>
          <cell r="J2574">
            <v>465.38</v>
          </cell>
          <cell r="K2574">
            <v>90.27</v>
          </cell>
          <cell r="L2574">
            <v>2.7459799999999999E-6</v>
          </cell>
          <cell r="M2574">
            <v>2.6898999999999999E-2</v>
          </cell>
          <cell r="N2574">
            <v>186208713.66628659</v>
          </cell>
          <cell r="Q2574">
            <v>14</v>
          </cell>
        </row>
        <row r="2575">
          <cell r="D2575" t="str">
            <v>503-74-2</v>
          </cell>
          <cell r="E2575">
            <v>503742</v>
          </cell>
          <cell r="F2575">
            <v>657</v>
          </cell>
          <cell r="G2575" t="str">
            <v>Reach_1302</v>
          </cell>
          <cell r="H2575">
            <v>2567</v>
          </cell>
          <cell r="J2575">
            <v>102.13</v>
          </cell>
          <cell r="K2575">
            <v>3.61</v>
          </cell>
          <cell r="L2575">
            <v>151.96199999999999</v>
          </cell>
          <cell r="M2575">
            <v>45566</v>
          </cell>
          <cell r="N2575">
            <v>30.902954325135919</v>
          </cell>
          <cell r="O2575">
            <v>4.9000000000000004</v>
          </cell>
          <cell r="Q2575">
            <v>4.9000000000000004</v>
          </cell>
        </row>
        <row r="2576">
          <cell r="D2576" t="str">
            <v>2605-79-0</v>
          </cell>
          <cell r="E2576">
            <v>2605790</v>
          </cell>
          <cell r="F2576">
            <v>2452</v>
          </cell>
          <cell r="G2576" t="str">
            <v>Reach_1844</v>
          </cell>
          <cell r="H2576">
            <v>2568</v>
          </cell>
          <cell r="J2576">
            <v>201.35</v>
          </cell>
          <cell r="K2576">
            <v>152.6</v>
          </cell>
          <cell r="L2576">
            <v>4.57219E-5</v>
          </cell>
          <cell r="M2576">
            <v>10.295</v>
          </cell>
          <cell r="N2576">
            <v>4897.7881936844633</v>
          </cell>
          <cell r="P2576">
            <v>9.1999999999999993</v>
          </cell>
          <cell r="Q2576">
            <v>4.8000000000000007</v>
          </cell>
        </row>
        <row r="2577">
          <cell r="D2577" t="str">
            <v>682-01-9</v>
          </cell>
          <cell r="E2577">
            <v>682019</v>
          </cell>
          <cell r="F2577">
            <v>3509</v>
          </cell>
          <cell r="G2577" t="str">
            <v>Reach_1498</v>
          </cell>
          <cell r="H2577">
            <v>2569</v>
          </cell>
          <cell r="J2577">
            <v>264.44</v>
          </cell>
          <cell r="K2577">
            <v>48.99</v>
          </cell>
          <cell r="L2577">
            <v>7.2515200000000002</v>
          </cell>
          <cell r="M2577">
            <v>16.655000000000001</v>
          </cell>
          <cell r="N2577">
            <v>100</v>
          </cell>
          <cell r="Q2577">
            <v>14</v>
          </cell>
        </row>
        <row r="2578">
          <cell r="D2578" t="str">
            <v>3266-23-7</v>
          </cell>
          <cell r="E2578">
            <v>3266237</v>
          </cell>
          <cell r="F2578">
            <v>2657</v>
          </cell>
          <cell r="G2578" t="str">
            <v>Reach_1938</v>
          </cell>
          <cell r="H2578">
            <v>2570</v>
          </cell>
          <cell r="J2578">
            <v>72.106999999999999</v>
          </cell>
          <cell r="K2578">
            <v>-91.29</v>
          </cell>
          <cell r="L2578">
            <v>31992.000000000004</v>
          </cell>
          <cell r="M2578">
            <v>88217</v>
          </cell>
          <cell r="N2578">
            <v>6.1659500186148231</v>
          </cell>
          <cell r="Q2578">
            <v>14</v>
          </cell>
        </row>
        <row r="2579">
          <cell r="D2579" t="str">
            <v>91-97-4</v>
          </cell>
          <cell r="E2579">
            <v>91974</v>
          </cell>
          <cell r="F2579">
            <v>4025</v>
          </cell>
          <cell r="G2579" t="str">
            <v>Reach_382</v>
          </cell>
          <cell r="H2579">
            <v>2571</v>
          </cell>
          <cell r="J2579">
            <v>264.29000000000002</v>
          </cell>
          <cell r="K2579">
            <v>115.98</v>
          </cell>
          <cell r="L2579">
            <v>2.9459300000000002E-3</v>
          </cell>
          <cell r="M2579">
            <v>7.1093999999999999</v>
          </cell>
          <cell r="N2579">
            <v>1122018.4543019643</v>
          </cell>
          <cell r="Q2579">
            <v>14</v>
          </cell>
        </row>
        <row r="2580">
          <cell r="D2580" t="str">
            <v>103-26-4</v>
          </cell>
          <cell r="E2580">
            <v>103264</v>
          </cell>
          <cell r="F2580">
            <v>1362</v>
          </cell>
          <cell r="G2580" t="str">
            <v>Reach_605</v>
          </cell>
          <cell r="H2580">
            <v>2572</v>
          </cell>
          <cell r="J2580">
            <v>162.19</v>
          </cell>
          <cell r="K2580">
            <v>9.69</v>
          </cell>
          <cell r="L2580">
            <v>1.6529200000000002</v>
          </cell>
          <cell r="M2580">
            <v>366.44</v>
          </cell>
          <cell r="N2580">
            <v>229.08676527677744</v>
          </cell>
          <cell r="Q2580">
            <v>14</v>
          </cell>
        </row>
        <row r="2581">
          <cell r="D2581" t="str">
            <v>544-76-3</v>
          </cell>
          <cell r="E2581">
            <v>544763</v>
          </cell>
          <cell r="F2581">
            <v>3146</v>
          </cell>
          <cell r="G2581" t="str">
            <v>Reach_1354</v>
          </cell>
          <cell r="H2581">
            <v>2573</v>
          </cell>
          <cell r="J2581">
            <v>226.45</v>
          </cell>
          <cell r="K2581">
            <v>22.52</v>
          </cell>
          <cell r="L2581">
            <v>0.92776800000000004</v>
          </cell>
          <cell r="M2581">
            <v>4.994E-4</v>
          </cell>
          <cell r="N2581">
            <v>158489319.24611133</v>
          </cell>
          <cell r="Q2581">
            <v>14</v>
          </cell>
        </row>
        <row r="2582">
          <cell r="D2582" t="str">
            <v>2033-24-1</v>
          </cell>
          <cell r="E2582">
            <v>2033241</v>
          </cell>
          <cell r="F2582">
            <v>2261</v>
          </cell>
          <cell r="G2582" t="str">
            <v>Reach_1747</v>
          </cell>
          <cell r="H2582">
            <v>2574</v>
          </cell>
          <cell r="J2582">
            <v>144.13</v>
          </cell>
          <cell r="K2582">
            <v>26.7</v>
          </cell>
          <cell r="L2582">
            <v>4.4255600000000006E-2</v>
          </cell>
          <cell r="M2582">
            <v>66814</v>
          </cell>
          <cell r="N2582">
            <v>61659.500186148245</v>
          </cell>
          <cell r="O2582">
            <v>5.0999999999999996</v>
          </cell>
          <cell r="Q2582">
            <v>5.0999999999999996</v>
          </cell>
        </row>
        <row r="2583">
          <cell r="D2583" t="str">
            <v>78181-99-4</v>
          </cell>
          <cell r="E2583">
            <v>78181994</v>
          </cell>
          <cell r="F2583">
            <v>6036</v>
          </cell>
          <cell r="G2583" t="str">
            <v>Reach_2953</v>
          </cell>
          <cell r="H2583">
            <v>2575</v>
          </cell>
          <cell r="J2583">
            <v>636.24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  <cell r="Q2583">
            <v>14</v>
          </cell>
        </row>
        <row r="2584">
          <cell r="D2584" t="str">
            <v>4065-45-6</v>
          </cell>
          <cell r="E2584">
            <v>4065456</v>
          </cell>
          <cell r="F2584">
            <v>52</v>
          </cell>
          <cell r="G2584" t="str">
            <v>Reach_2009</v>
          </cell>
          <cell r="H2584">
            <v>2576</v>
          </cell>
          <cell r="J2584">
            <v>308.31</v>
          </cell>
          <cell r="K2584">
            <v>211.47</v>
          </cell>
          <cell r="L2584">
            <v>1.7862200000000003E-9</v>
          </cell>
          <cell r="M2584">
            <v>315</v>
          </cell>
          <cell r="N2584">
            <v>2.344228815319922</v>
          </cell>
          <cell r="Q2584">
            <v>14</v>
          </cell>
        </row>
        <row r="2585">
          <cell r="D2585" t="str">
            <v>93-92-5</v>
          </cell>
          <cell r="E2585">
            <v>93925</v>
          </cell>
          <cell r="F2585">
            <v>4093</v>
          </cell>
          <cell r="G2585" t="str">
            <v>Reach_409</v>
          </cell>
          <cell r="H2585">
            <v>2577</v>
          </cell>
          <cell r="J2585">
            <v>164.2</v>
          </cell>
          <cell r="K2585">
            <v>-0.17</v>
          </cell>
          <cell r="L2585">
            <v>14.929600000000002</v>
          </cell>
          <cell r="M2585">
            <v>1147</v>
          </cell>
          <cell r="N2585">
            <v>316.22776601683825</v>
          </cell>
          <cell r="P2585">
            <v>0</v>
          </cell>
          <cell r="Q2585">
            <v>14</v>
          </cell>
        </row>
        <row r="2586">
          <cell r="D2586" t="str">
            <v>717-74-8</v>
          </cell>
          <cell r="E2586">
            <v>717748</v>
          </cell>
          <cell r="F2586">
            <v>3590</v>
          </cell>
          <cell r="G2586" t="str">
            <v>Reach_1522</v>
          </cell>
          <cell r="H2586">
            <v>2578</v>
          </cell>
          <cell r="J2586">
            <v>204.36</v>
          </cell>
          <cell r="K2586">
            <v>12.51</v>
          </cell>
          <cell r="L2586">
            <v>6.8516200000000005</v>
          </cell>
          <cell r="M2586">
            <v>0.68872999999999995</v>
          </cell>
          <cell r="N2586">
            <v>2290867.6527677765</v>
          </cell>
          <cell r="O2586">
            <v>0</v>
          </cell>
          <cell r="Q2586">
            <v>0</v>
          </cell>
        </row>
        <row r="2587">
          <cell r="D2587" t="str">
            <v>121-30-2</v>
          </cell>
          <cell r="E2587">
            <v>121302</v>
          </cell>
          <cell r="F2587">
            <v>1724</v>
          </cell>
          <cell r="G2587" t="str">
            <v>Reach_1009</v>
          </cell>
          <cell r="H2587">
            <v>2579</v>
          </cell>
          <cell r="J2587">
            <v>285.73</v>
          </cell>
          <cell r="K2587">
            <v>200.31</v>
          </cell>
          <cell r="L2587">
            <v>5.2920100000000005E-8</v>
          </cell>
          <cell r="M2587">
            <v>4743</v>
          </cell>
          <cell r="N2587">
            <v>0.30902954325135895</v>
          </cell>
          <cell r="O2587">
            <v>7.8</v>
          </cell>
          <cell r="Q2587">
            <v>7.8</v>
          </cell>
        </row>
        <row r="2588">
          <cell r="D2588" t="str">
            <v>7704-67-8</v>
          </cell>
          <cell r="E2588">
            <v>7704678</v>
          </cell>
          <cell r="F2588">
            <v>1236</v>
          </cell>
          <cell r="G2588" t="str">
            <v>Reach_2271</v>
          </cell>
          <cell r="H2588">
            <v>2580</v>
          </cell>
          <cell r="J2588">
            <v>793.03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  <cell r="Q2588">
            <v>14</v>
          </cell>
        </row>
        <row r="2589">
          <cell r="D2589" t="str">
            <v>120-57-0</v>
          </cell>
          <cell r="E2589">
            <v>120570</v>
          </cell>
          <cell r="F2589">
            <v>1715</v>
          </cell>
          <cell r="G2589" t="str">
            <v>Reach_998</v>
          </cell>
          <cell r="H2589">
            <v>2581</v>
          </cell>
          <cell r="J2589">
            <v>150.13</v>
          </cell>
          <cell r="K2589">
            <v>55.96</v>
          </cell>
          <cell r="L2589">
            <v>1.4129800000000001</v>
          </cell>
          <cell r="M2589">
            <v>6231.6</v>
          </cell>
          <cell r="N2589">
            <v>58.884365535558949</v>
          </cell>
          <cell r="Q2589">
            <v>14</v>
          </cell>
        </row>
        <row r="2590">
          <cell r="D2590" t="str">
            <v>56718-70-8</v>
          </cell>
          <cell r="E2590">
            <v>56718708</v>
          </cell>
          <cell r="F2590">
            <v>3210</v>
          </cell>
          <cell r="G2590" t="str">
            <v>Reach_2820</v>
          </cell>
          <cell r="H2590">
            <v>2582</v>
          </cell>
          <cell r="J2590">
            <v>208.26</v>
          </cell>
          <cell r="K2590">
            <v>67.459999999999994</v>
          </cell>
          <cell r="L2590">
            <v>0.18395400000000001</v>
          </cell>
          <cell r="M2590">
            <v>1272.8</v>
          </cell>
          <cell r="N2590">
            <v>77.624711662869217</v>
          </cell>
          <cell r="Q2590">
            <v>14</v>
          </cell>
        </row>
        <row r="2591">
          <cell r="D2591" t="str">
            <v>3576-88-3</v>
          </cell>
          <cell r="E2591">
            <v>3576883</v>
          </cell>
          <cell r="F2591">
            <v>2746</v>
          </cell>
          <cell r="G2591" t="str">
            <v>Reach_1973</v>
          </cell>
          <cell r="H2591">
            <v>2583</v>
          </cell>
          <cell r="J2591">
            <v>235.23</v>
          </cell>
          <cell r="K2591">
            <v>210.38</v>
          </cell>
          <cell r="L2591">
            <v>5.1853700000000006E-8</v>
          </cell>
          <cell r="M2591">
            <v>18720</v>
          </cell>
          <cell r="N2591">
            <v>2.3988329190194908</v>
          </cell>
          <cell r="P2591">
            <v>8.6999999999999993</v>
          </cell>
          <cell r="Q2591">
            <v>5.3000000000000007</v>
          </cell>
        </row>
        <row r="2592">
          <cell r="D2592" t="str">
            <v>76-16-4</v>
          </cell>
          <cell r="E2592">
            <v>76164</v>
          </cell>
          <cell r="F2592">
            <v>3701</v>
          </cell>
          <cell r="G2592" t="str">
            <v>Reach_173</v>
          </cell>
          <cell r="H2592">
            <v>2584</v>
          </cell>
          <cell r="J2592">
            <v>138.01</v>
          </cell>
          <cell r="K2592">
            <v>-155.66</v>
          </cell>
          <cell r="L2592">
            <v>2012830.0000000002</v>
          </cell>
          <cell r="M2592">
            <v>51.670999999999999</v>
          </cell>
          <cell r="N2592">
            <v>141.25375446227542</v>
          </cell>
          <cell r="P2592">
            <v>0</v>
          </cell>
          <cell r="Q2592">
            <v>14</v>
          </cell>
        </row>
        <row r="2593">
          <cell r="D2593" t="str">
            <v>126-97-6</v>
          </cell>
          <cell r="E2593">
            <v>126976</v>
          </cell>
          <cell r="F2593">
            <v>5647</v>
          </cell>
          <cell r="G2593" t="str">
            <v>Reach_1092</v>
          </cell>
          <cell r="H2593">
            <v>2585</v>
          </cell>
          <cell r="J2593">
            <v>153.19999999999999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  <cell r="Q2593">
            <v>14</v>
          </cell>
        </row>
        <row r="2594">
          <cell r="D2594" t="str">
            <v>36788-39-3</v>
          </cell>
          <cell r="E2594">
            <v>36788393</v>
          </cell>
          <cell r="F2594">
            <v>2777</v>
          </cell>
          <cell r="G2594" t="str">
            <v>Reach_2705</v>
          </cell>
          <cell r="H2594">
            <v>2586</v>
          </cell>
          <cell r="J2594">
            <v>430.48</v>
          </cell>
          <cell r="K2594">
            <v>207.78</v>
          </cell>
          <cell r="L2594">
            <v>4.5322000000000009E-11</v>
          </cell>
          <cell r="M2594">
            <v>614.80999999999995</v>
          </cell>
          <cell r="N2594">
            <v>3.801893963205611E-2</v>
          </cell>
          <cell r="O2594">
            <v>14.63</v>
          </cell>
          <cell r="Q2594">
            <v>14</v>
          </cell>
        </row>
        <row r="2595">
          <cell r="D2595" t="str">
            <v>1941-30-6</v>
          </cell>
          <cell r="E2595">
            <v>1941306</v>
          </cell>
          <cell r="F2595">
            <v>5759</v>
          </cell>
          <cell r="G2595" t="str">
            <v>Reach_1736</v>
          </cell>
          <cell r="H2595">
            <v>2587</v>
          </cell>
          <cell r="J2595">
            <v>266.27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  <cell r="Q2595">
            <v>14</v>
          </cell>
        </row>
        <row r="2596">
          <cell r="D2596" t="str">
            <v>65212-76-2</v>
          </cell>
          <cell r="E2596">
            <v>65212762</v>
          </cell>
          <cell r="F2596">
            <v>5972</v>
          </cell>
          <cell r="G2596" t="str">
            <v>Reach_2870</v>
          </cell>
          <cell r="H2596">
            <v>2588</v>
          </cell>
          <cell r="J2596">
            <v>551.29999999999995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</row>
        <row r="2597">
          <cell r="D2597" t="str">
            <v>287930-71-6</v>
          </cell>
          <cell r="E2597">
            <v>287930716</v>
          </cell>
          <cell r="F2597">
            <v>5819</v>
          </cell>
          <cell r="G2597" t="str">
            <v>Reach_4547</v>
          </cell>
          <cell r="H2597">
            <v>2589</v>
          </cell>
          <cell r="J2597">
            <v>531.04999999999995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  <cell r="Q2597">
            <v>14</v>
          </cell>
        </row>
        <row r="2598">
          <cell r="D2598" t="str">
            <v>554-68-7</v>
          </cell>
          <cell r="E2598">
            <v>554687</v>
          </cell>
          <cell r="F2598">
            <v>5931</v>
          </cell>
          <cell r="G2598" t="str">
            <v>Reach_1363</v>
          </cell>
          <cell r="H2598">
            <v>2590</v>
          </cell>
          <cell r="J2598">
            <v>137.66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  <cell r="Q2598">
            <v>14</v>
          </cell>
        </row>
        <row r="2599">
          <cell r="D2599" t="str">
            <v>33704-61-9</v>
          </cell>
          <cell r="E2599">
            <v>33704619</v>
          </cell>
          <cell r="F2599">
            <v>2684</v>
          </cell>
          <cell r="G2599" t="str">
            <v>Reach_2669</v>
          </cell>
          <cell r="H2599">
            <v>2591</v>
          </cell>
          <cell r="J2599">
            <v>206.33</v>
          </cell>
          <cell r="K2599">
            <v>70.77</v>
          </cell>
          <cell r="L2599">
            <v>0.53719899999999998</v>
          </cell>
          <cell r="M2599">
            <v>62.04</v>
          </cell>
          <cell r="N2599">
            <v>30902.954325135954</v>
          </cell>
          <cell r="Q2599">
            <v>14</v>
          </cell>
        </row>
        <row r="2600">
          <cell r="D2600" t="str">
            <v>79-37-8</v>
          </cell>
          <cell r="E2600">
            <v>79378</v>
          </cell>
          <cell r="F2600">
            <v>3773</v>
          </cell>
          <cell r="G2600" t="str">
            <v>Reach_242</v>
          </cell>
          <cell r="H2600">
            <v>2592</v>
          </cell>
          <cell r="J2600">
            <v>126.93</v>
          </cell>
          <cell r="K2600">
            <v>-16.37</v>
          </cell>
          <cell r="L2600">
            <v>24527.200000000001</v>
          </cell>
          <cell r="M2600">
            <v>17008</v>
          </cell>
          <cell r="N2600">
            <v>1.5488166189124804E-2</v>
          </cell>
          <cell r="Q2600">
            <v>14</v>
          </cell>
        </row>
        <row r="2601">
          <cell r="D2601" t="str">
            <v>74-88-4</v>
          </cell>
          <cell r="E2601">
            <v>74884</v>
          </cell>
          <cell r="F2601">
            <v>839</v>
          </cell>
          <cell r="G2601" t="str">
            <v>Reach_114</v>
          </cell>
          <cell r="H2601">
            <v>2593</v>
          </cell>
          <cell r="J2601">
            <v>141.94</v>
          </cell>
          <cell r="K2601">
            <v>-95.17</v>
          </cell>
          <cell r="L2601">
            <v>53853.200000000004</v>
          </cell>
          <cell r="M2601">
            <v>12549</v>
          </cell>
          <cell r="N2601">
            <v>38.904514499428075</v>
          </cell>
          <cell r="O2601">
            <v>0</v>
          </cell>
          <cell r="Q2601">
            <v>0</v>
          </cell>
        </row>
        <row r="2602">
          <cell r="D2602" t="str">
            <v>1999-85-5</v>
          </cell>
          <cell r="E2602">
            <v>1999855</v>
          </cell>
          <cell r="F2602">
            <v>2247</v>
          </cell>
          <cell r="G2602" t="str">
            <v>Reach_1742</v>
          </cell>
          <cell r="H2602">
            <v>2594</v>
          </cell>
          <cell r="J2602">
            <v>194.27</v>
          </cell>
          <cell r="K2602">
            <v>78.19</v>
          </cell>
          <cell r="L2602">
            <v>4.2389400000000001E-3</v>
          </cell>
          <cell r="M2602">
            <v>884.43</v>
          </cell>
          <cell r="N2602">
            <v>204.17379446695315</v>
          </cell>
          <cell r="O2602">
            <v>14.46</v>
          </cell>
          <cell r="Q2602">
            <v>14</v>
          </cell>
        </row>
        <row r="2603">
          <cell r="D2603" t="str">
            <v>61597-98-6</v>
          </cell>
          <cell r="E2603">
            <v>61597986</v>
          </cell>
          <cell r="F2603">
            <v>3340</v>
          </cell>
          <cell r="G2603" t="str">
            <v>Reach_4372</v>
          </cell>
          <cell r="H2603">
            <v>2595</v>
          </cell>
          <cell r="J2603">
            <v>228.33</v>
          </cell>
          <cell r="K2603">
            <v>47.66</v>
          </cell>
          <cell r="L2603">
            <v>1.2916770000000001E-2</v>
          </cell>
          <cell r="M2603">
            <v>32.110999999999997</v>
          </cell>
          <cell r="N2603">
            <v>2187.7616239495528</v>
          </cell>
          <cell r="O2603">
            <v>12.62</v>
          </cell>
          <cell r="Q2603">
            <v>12.62</v>
          </cell>
        </row>
        <row r="2604">
          <cell r="D2604" t="str">
            <v>921-03-9</v>
          </cell>
          <cell r="E2604">
            <v>921039</v>
          </cell>
          <cell r="F2604">
            <v>4027</v>
          </cell>
          <cell r="G2604" t="str">
            <v>Reach_1591</v>
          </cell>
          <cell r="H2604">
            <v>2596</v>
          </cell>
          <cell r="J2604">
            <v>161.41</v>
          </cell>
          <cell r="K2604">
            <v>-13.34</v>
          </cell>
          <cell r="L2604">
            <v>189.286</v>
          </cell>
          <cell r="M2604">
            <v>1129.9000000000001</v>
          </cell>
          <cell r="N2604">
            <v>2.8183829312644542</v>
          </cell>
          <cell r="P2604">
            <v>0</v>
          </cell>
          <cell r="Q2604">
            <v>14</v>
          </cell>
        </row>
        <row r="2605">
          <cell r="D2605" t="str">
            <v>110-73-6</v>
          </cell>
          <cell r="E2605">
            <v>110736</v>
          </cell>
          <cell r="F2605">
            <v>282</v>
          </cell>
          <cell r="G2605" t="str">
            <v>Reach_826</v>
          </cell>
          <cell r="H2605">
            <v>2597</v>
          </cell>
          <cell r="J2605">
            <v>89.138999999999996</v>
          </cell>
          <cell r="K2605">
            <v>-23.63</v>
          </cell>
          <cell r="L2605">
            <v>59.451800000000006</v>
          </cell>
          <cell r="M2605">
            <v>1000000</v>
          </cell>
          <cell r="N2605">
            <v>0.21877616239495523</v>
          </cell>
          <cell r="O2605">
            <v>15.03</v>
          </cell>
          <cell r="P2605">
            <v>4</v>
          </cell>
          <cell r="Q2605">
            <v>10</v>
          </cell>
        </row>
        <row r="2606">
          <cell r="D2606" t="str">
            <v>94200-74-5</v>
          </cell>
          <cell r="E2606">
            <v>94200745</v>
          </cell>
          <cell r="F2606">
            <v>6090</v>
          </cell>
          <cell r="G2606" t="str">
            <v>Reach_3008</v>
          </cell>
          <cell r="H2606">
            <v>2598</v>
          </cell>
          <cell r="J2606">
            <v>288.38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  <cell r="Q2606">
            <v>14</v>
          </cell>
        </row>
        <row r="2607">
          <cell r="D2607" t="str">
            <v>79-24-3</v>
          </cell>
          <cell r="E2607">
            <v>79243</v>
          </cell>
          <cell r="F2607">
            <v>3769</v>
          </cell>
          <cell r="G2607" t="str">
            <v>Reach_237</v>
          </cell>
          <cell r="H2607">
            <v>2599</v>
          </cell>
          <cell r="J2607">
            <v>75.067999999999998</v>
          </cell>
          <cell r="K2607">
            <v>-38.81</v>
          </cell>
          <cell r="L2607">
            <v>2719.32</v>
          </cell>
          <cell r="M2607">
            <v>36504</v>
          </cell>
          <cell r="N2607">
            <v>2.8183829312644542</v>
          </cell>
          <cell r="O2607">
            <v>8.8000000000000007</v>
          </cell>
          <cell r="Q2607">
            <v>8.8000000000000007</v>
          </cell>
        </row>
        <row r="2608">
          <cell r="D2608" t="str">
            <v>2781-00-2</v>
          </cell>
          <cell r="E2608">
            <v>2781002</v>
          </cell>
          <cell r="F2608">
            <v>2518</v>
          </cell>
          <cell r="G2608" t="str">
            <v>Reach_1866</v>
          </cell>
          <cell r="H2608">
            <v>2600</v>
          </cell>
          <cell r="J2608">
            <v>338.49</v>
          </cell>
          <cell r="K2608">
            <v>113.26</v>
          </cell>
          <cell r="L2608">
            <v>2.2794300000000003E-3</v>
          </cell>
          <cell r="M2608">
            <v>5.4233000000000003E-2</v>
          </cell>
          <cell r="N2608">
            <v>21877616.239495546</v>
          </cell>
          <cell r="Q2608">
            <v>14</v>
          </cell>
        </row>
        <row r="2609">
          <cell r="D2609" t="str">
            <v>112-60-7</v>
          </cell>
          <cell r="E2609">
            <v>112607</v>
          </cell>
          <cell r="F2609">
            <v>1594</v>
          </cell>
          <cell r="G2609" t="str">
            <v>Reach_915</v>
          </cell>
          <cell r="H2609">
            <v>2601</v>
          </cell>
          <cell r="J2609">
            <v>194.23</v>
          </cell>
          <cell r="K2609">
            <v>82.91</v>
          </cell>
          <cell r="L2609">
            <v>1.49296E-3</v>
          </cell>
          <cell r="M2609">
            <v>16900000</v>
          </cell>
          <cell r="N2609">
            <v>9.5499258602143571E-3</v>
          </cell>
          <cell r="O2609">
            <v>14.58</v>
          </cell>
          <cell r="Q2609">
            <v>14</v>
          </cell>
        </row>
        <row r="2610">
          <cell r="D2610" t="str">
            <v>1493-13-6</v>
          </cell>
          <cell r="E2610">
            <v>1493136</v>
          </cell>
          <cell r="F2610">
            <v>2005</v>
          </cell>
          <cell r="G2610" t="str">
            <v>Reach_1687</v>
          </cell>
          <cell r="H2610">
            <v>2602</v>
          </cell>
          <cell r="J2610">
            <v>150.07</v>
          </cell>
          <cell r="K2610">
            <v>23.85</v>
          </cell>
          <cell r="L2610">
            <v>72.648500000000013</v>
          </cell>
          <cell r="M2610">
            <v>27059</v>
          </cell>
          <cell r="N2610">
            <v>0.32359365692962827</v>
          </cell>
          <cell r="O2610">
            <v>-2.76</v>
          </cell>
          <cell r="Q2610">
            <v>-2.76</v>
          </cell>
        </row>
        <row r="2611">
          <cell r="D2611" t="str">
            <v>840-65-3</v>
          </cell>
          <cell r="E2611">
            <v>840653</v>
          </cell>
          <cell r="F2611">
            <v>3856</v>
          </cell>
          <cell r="G2611" t="str">
            <v>Reach_1565</v>
          </cell>
          <cell r="H2611">
            <v>2603</v>
          </cell>
          <cell r="J2611">
            <v>244.25</v>
          </cell>
          <cell r="K2611">
            <v>25.07</v>
          </cell>
          <cell r="L2611">
            <v>3.1592099999999998E-2</v>
          </cell>
          <cell r="M2611">
            <v>31.968</v>
          </cell>
          <cell r="N2611">
            <v>691.83097091893671</v>
          </cell>
          <cell r="Q2611">
            <v>14</v>
          </cell>
        </row>
        <row r="2612">
          <cell r="D2612" t="str">
            <v>1897-52-5</v>
          </cell>
          <cell r="E2612">
            <v>1897525</v>
          </cell>
          <cell r="F2612">
            <v>2217</v>
          </cell>
          <cell r="G2612" t="str">
            <v>Reach_1733</v>
          </cell>
          <cell r="H2612">
            <v>2604</v>
          </cell>
          <cell r="J2612">
            <v>139.1</v>
          </cell>
          <cell r="K2612">
            <v>2.86</v>
          </cell>
          <cell r="L2612">
            <v>93.976500000000001</v>
          </cell>
          <cell r="M2612">
            <v>642.24</v>
          </cell>
          <cell r="N2612">
            <v>87.096358995608071</v>
          </cell>
          <cell r="O2612">
            <v>0</v>
          </cell>
          <cell r="Q2612">
            <v>0</v>
          </cell>
        </row>
        <row r="2613">
          <cell r="D2613" t="str">
            <v>109-63-7</v>
          </cell>
          <cell r="E2613">
            <v>109637</v>
          </cell>
          <cell r="F2613">
            <v>1505</v>
          </cell>
          <cell r="G2613" t="str">
            <v>Reach_781</v>
          </cell>
          <cell r="H2613">
            <v>2605</v>
          </cell>
          <cell r="J2613">
            <v>141.94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  <cell r="Q2613">
            <v>14</v>
          </cell>
        </row>
        <row r="2614">
          <cell r="D2614" t="str">
            <v>6607-34-7</v>
          </cell>
          <cell r="E2614">
            <v>6607347</v>
          </cell>
          <cell r="F2614">
            <v>3461</v>
          </cell>
          <cell r="G2614" t="str">
            <v>Reach_2196</v>
          </cell>
          <cell r="H2614">
            <v>2606</v>
          </cell>
          <cell r="J2614">
            <v>236.22</v>
          </cell>
          <cell r="K2614">
            <v>124.48</v>
          </cell>
          <cell r="L2614">
            <v>3.5991000000000002E-5</v>
          </cell>
          <cell r="M2614">
            <v>2174.6</v>
          </cell>
          <cell r="N2614">
            <v>19.054607179632477</v>
          </cell>
          <cell r="O2614">
            <v>0</v>
          </cell>
          <cell r="Q2614">
            <v>0</v>
          </cell>
        </row>
        <row r="2615">
          <cell r="D2615" t="str">
            <v>136890-12-5</v>
          </cell>
          <cell r="E2615">
            <v>136890125</v>
          </cell>
          <cell r="F2615">
            <v>1903</v>
          </cell>
          <cell r="G2615" t="str">
            <v>Reach_4135</v>
          </cell>
          <cell r="H2615">
            <v>2607</v>
          </cell>
          <cell r="J2615">
            <v>354.57</v>
          </cell>
          <cell r="K2615">
            <v>165.65</v>
          </cell>
          <cell r="L2615">
            <v>1.0464050000000001E-8</v>
          </cell>
          <cell r="M2615">
            <v>3.8365999999999997E-2</v>
          </cell>
          <cell r="N2615">
            <v>7079457.8438413814</v>
          </cell>
          <cell r="Q2615">
            <v>14</v>
          </cell>
        </row>
        <row r="2616">
          <cell r="D2616" t="str">
            <v>17636-10-1</v>
          </cell>
          <cell r="E2616">
            <v>17636101</v>
          </cell>
          <cell r="F2616">
            <v>5741</v>
          </cell>
          <cell r="G2616" t="str">
            <v>Reach_2438</v>
          </cell>
          <cell r="H2616">
            <v>2608</v>
          </cell>
          <cell r="J2616">
            <v>178.21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  <cell r="Q2616">
            <v>14</v>
          </cell>
        </row>
        <row r="2617">
          <cell r="D2617" t="str">
            <v>106-21-8</v>
          </cell>
          <cell r="E2617">
            <v>106218</v>
          </cell>
          <cell r="F2617">
            <v>1431</v>
          </cell>
          <cell r="G2617" t="str">
            <v>Reach_658</v>
          </cell>
          <cell r="H2617">
            <v>2609</v>
          </cell>
          <cell r="J2617">
            <v>158.29</v>
          </cell>
          <cell r="K2617">
            <v>-13.66</v>
          </cell>
          <cell r="L2617">
            <v>4.7454800000000006</v>
          </cell>
          <cell r="M2617">
            <v>46.213000000000001</v>
          </cell>
          <cell r="N2617">
            <v>4365.1583224016631</v>
          </cell>
          <cell r="O2617">
            <v>15.9</v>
          </cell>
          <cell r="Q2617">
            <v>14</v>
          </cell>
        </row>
        <row r="2618">
          <cell r="D2618" t="str">
            <v>80-10-4</v>
          </cell>
          <cell r="E2618">
            <v>80104</v>
          </cell>
          <cell r="F2618">
            <v>3788</v>
          </cell>
          <cell r="G2618" t="str">
            <v>Reach_258</v>
          </cell>
          <cell r="H2618">
            <v>2610</v>
          </cell>
          <cell r="J2618">
            <v>253.2</v>
          </cell>
          <cell r="K2618">
            <v>66.900000000000006</v>
          </cell>
          <cell r="L2618">
            <v>8.0646499999999996E-2</v>
          </cell>
          <cell r="M2618">
            <v>11.163</v>
          </cell>
          <cell r="N2618">
            <v>114815.36214968823</v>
          </cell>
          <cell r="Q2618">
            <v>14</v>
          </cell>
        </row>
        <row r="2619">
          <cell r="D2619" t="str">
            <v>24293-43-4</v>
          </cell>
          <cell r="E2619">
            <v>24293434</v>
          </cell>
          <cell r="F2619">
            <v>2384</v>
          </cell>
          <cell r="G2619" t="str">
            <v>Reach_2543</v>
          </cell>
          <cell r="H2619">
            <v>2611</v>
          </cell>
          <cell r="J2619">
            <v>374.58</v>
          </cell>
          <cell r="K2619">
            <v>19.82</v>
          </cell>
          <cell r="L2619">
            <v>2.0128300000000002E-3</v>
          </cell>
          <cell r="M2619">
            <v>0.12828000000000001</v>
          </cell>
          <cell r="N2619">
            <v>5370317.9637025446</v>
          </cell>
          <cell r="Q2619">
            <v>14</v>
          </cell>
        </row>
        <row r="2620">
          <cell r="D2620" t="str">
            <v>141-98-0</v>
          </cell>
          <cell r="E2620">
            <v>141980</v>
          </cell>
          <cell r="F2620">
            <v>460</v>
          </cell>
          <cell r="G2620" t="str">
            <v>Reach_1171</v>
          </cell>
          <cell r="H2620">
            <v>2612</v>
          </cell>
          <cell r="J2620">
            <v>147.24</v>
          </cell>
          <cell r="K2620">
            <v>12.86</v>
          </cell>
          <cell r="L2620">
            <v>49.054400000000001</v>
          </cell>
          <cell r="M2620">
            <v>1690.8</v>
          </cell>
          <cell r="N2620">
            <v>85.113803820237663</v>
          </cell>
          <cell r="O2620">
            <v>12</v>
          </cell>
          <cell r="Q2620">
            <v>12</v>
          </cell>
        </row>
        <row r="2621">
          <cell r="D2621" t="str">
            <v>82985-35-1</v>
          </cell>
          <cell r="E2621">
            <v>82985351</v>
          </cell>
          <cell r="F2621">
            <v>3839</v>
          </cell>
          <cell r="G2621" t="str">
            <v>Reach_2964</v>
          </cell>
          <cell r="H2621">
            <v>2613</v>
          </cell>
          <cell r="J2621">
            <v>341.55</v>
          </cell>
          <cell r="K2621">
            <v>98.05</v>
          </cell>
          <cell r="L2621">
            <v>9.9841700000000023E-3</v>
          </cell>
          <cell r="M2621">
            <v>4443.1000000000004</v>
          </cell>
          <cell r="N2621">
            <v>6.0255958607435746E-2</v>
          </cell>
          <cell r="P2621">
            <v>4.2300000000000004</v>
          </cell>
          <cell r="Q2621">
            <v>9.77</v>
          </cell>
        </row>
        <row r="2622">
          <cell r="D2622" t="str">
            <v>18297-63-7</v>
          </cell>
          <cell r="E2622">
            <v>18297637</v>
          </cell>
          <cell r="F2622">
            <v>2176</v>
          </cell>
          <cell r="G2622" t="str">
            <v>Reach_2457</v>
          </cell>
          <cell r="H2622">
            <v>2614</v>
          </cell>
          <cell r="J2622">
            <v>204.42</v>
          </cell>
          <cell r="K2622">
            <v>60.69</v>
          </cell>
          <cell r="L2622">
            <v>1.0410730000000001</v>
          </cell>
          <cell r="M2622">
            <v>41.436999999999998</v>
          </cell>
          <cell r="N2622">
            <v>147.91083881682084</v>
          </cell>
          <cell r="O2622">
            <v>14.3</v>
          </cell>
          <cell r="P2622">
            <v>13.9</v>
          </cell>
          <cell r="Q2622">
            <v>9.9999999999999645E-2</v>
          </cell>
        </row>
        <row r="2623">
          <cell r="D2623" t="str">
            <v>71832-85-4</v>
          </cell>
          <cell r="E2623">
            <v>71832854</v>
          </cell>
          <cell r="F2623">
            <v>6011</v>
          </cell>
          <cell r="G2623" t="str">
            <v>Reach_2932</v>
          </cell>
          <cell r="H2623">
            <v>2615</v>
          </cell>
          <cell r="J2623">
            <v>919.71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  <cell r="Q2623">
            <v>14</v>
          </cell>
        </row>
        <row r="2624">
          <cell r="D2624" t="str">
            <v>87-33-2</v>
          </cell>
          <cell r="E2624">
            <v>87332</v>
          </cell>
          <cell r="F2624">
            <v>3926</v>
          </cell>
          <cell r="G2624" t="str">
            <v>Reach_308</v>
          </cell>
          <cell r="H2624">
            <v>2616</v>
          </cell>
          <cell r="J2624">
            <v>236.14</v>
          </cell>
          <cell r="K2624">
            <v>82.09</v>
          </cell>
          <cell r="L2624">
            <v>8.0113299999999998E-2</v>
          </cell>
          <cell r="M2624">
            <v>44773</v>
          </cell>
          <cell r="N2624">
            <v>5.7543993733715713</v>
          </cell>
          <cell r="Q2624">
            <v>14</v>
          </cell>
        </row>
        <row r="2625">
          <cell r="D2625" t="str">
            <v>116-53-0</v>
          </cell>
          <cell r="E2625">
            <v>116530</v>
          </cell>
          <cell r="F2625">
            <v>1650</v>
          </cell>
          <cell r="G2625" t="str">
            <v>Reach_955</v>
          </cell>
          <cell r="H2625">
            <v>2617</v>
          </cell>
          <cell r="J2625">
            <v>102.13</v>
          </cell>
          <cell r="K2625">
            <v>3.61</v>
          </cell>
          <cell r="L2625">
            <v>149.29600000000002</v>
          </cell>
          <cell r="M2625">
            <v>36918</v>
          </cell>
          <cell r="N2625">
            <v>30.902954325135919</v>
          </cell>
          <cell r="O2625">
            <v>4.9000000000000004</v>
          </cell>
          <cell r="Q2625">
            <v>4.9000000000000004</v>
          </cell>
        </row>
        <row r="2626">
          <cell r="D2626" t="str">
            <v>7237-83-4</v>
          </cell>
          <cell r="E2626">
            <v>7237834</v>
          </cell>
          <cell r="F2626">
            <v>3604</v>
          </cell>
          <cell r="G2626" t="str">
            <v>Reach_2233</v>
          </cell>
          <cell r="H2626">
            <v>2618</v>
          </cell>
          <cell r="J2626">
            <v>378.33</v>
          </cell>
          <cell r="K2626">
            <v>161.72</v>
          </cell>
          <cell r="L2626">
            <v>5.2386900000000005E-6</v>
          </cell>
          <cell r="M2626">
            <v>1310</v>
          </cell>
          <cell r="N2626">
            <v>1.3182567385564072</v>
          </cell>
          <cell r="Q2626">
            <v>14</v>
          </cell>
        </row>
        <row r="2627">
          <cell r="D2627" t="str">
            <v>2374-14-3</v>
          </cell>
          <cell r="E2627">
            <v>2374143</v>
          </cell>
          <cell r="F2627">
            <v>2357</v>
          </cell>
          <cell r="G2627" t="str">
            <v>Reach_1790</v>
          </cell>
          <cell r="H2627">
            <v>2619</v>
          </cell>
          <cell r="J2627">
            <v>468.54</v>
          </cell>
          <cell r="K2627">
            <v>33.92</v>
          </cell>
          <cell r="L2627">
            <v>40.389900000000004</v>
          </cell>
          <cell r="M2627">
            <v>1.8435999999999999E-3</v>
          </cell>
          <cell r="N2627">
            <v>6918309709.1893778</v>
          </cell>
          <cell r="Q2627">
            <v>14</v>
          </cell>
        </row>
        <row r="2628">
          <cell r="D2628" t="str">
            <v>486460-32-6</v>
          </cell>
          <cell r="E2628">
            <v>486460326</v>
          </cell>
          <cell r="F2628">
            <v>2974</v>
          </cell>
          <cell r="G2628" t="str">
            <v>Reach_4660</v>
          </cell>
          <cell r="H2628">
            <v>2620</v>
          </cell>
          <cell r="J2628">
            <v>407.32</v>
          </cell>
          <cell r="K2628">
            <v>181.62</v>
          </cell>
          <cell r="L2628">
            <v>3.87903E-6</v>
          </cell>
          <cell r="M2628">
            <v>5.6166</v>
          </cell>
          <cell r="N2628">
            <v>24.547089156850305</v>
          </cell>
          <cell r="O2628">
            <v>0</v>
          </cell>
          <cell r="Q2628">
            <v>0</v>
          </cell>
        </row>
        <row r="2629">
          <cell r="D2629" t="str">
            <v>25371-54-4</v>
          </cell>
          <cell r="E2629">
            <v>25371544</v>
          </cell>
          <cell r="F2629">
            <v>2432</v>
          </cell>
          <cell r="G2629" t="str">
            <v>Reach_2567</v>
          </cell>
          <cell r="H2629">
            <v>2621</v>
          </cell>
          <cell r="J2629">
            <v>362.54</v>
          </cell>
          <cell r="K2629">
            <v>83.34</v>
          </cell>
          <cell r="L2629">
            <v>1.8662E-4</v>
          </cell>
          <cell r="M2629">
            <v>1.9743E-3</v>
          </cell>
          <cell r="N2629">
            <v>57543993.73371572</v>
          </cell>
          <cell r="Q2629">
            <v>14</v>
          </cell>
        </row>
        <row r="2630">
          <cell r="D2630" t="str">
            <v>111-18-2</v>
          </cell>
          <cell r="E2630">
            <v>111182</v>
          </cell>
          <cell r="F2630">
            <v>1540</v>
          </cell>
          <cell r="G2630" t="str">
            <v>Reach_847</v>
          </cell>
          <cell r="H2630">
            <v>2622</v>
          </cell>
          <cell r="J2630">
            <v>172.32</v>
          </cell>
          <cell r="K2630">
            <v>0.02</v>
          </cell>
          <cell r="L2630">
            <v>29.859200000000005</v>
          </cell>
          <cell r="M2630">
            <v>83891</v>
          </cell>
          <cell r="N2630">
            <v>50.118723362727238</v>
          </cell>
          <cell r="O2630">
            <v>0</v>
          </cell>
          <cell r="P2630">
            <v>3.63</v>
          </cell>
          <cell r="Q2630">
            <v>0</v>
          </cell>
        </row>
        <row r="2631">
          <cell r="D2631" t="str">
            <v>87305-03-1</v>
          </cell>
          <cell r="E2631">
            <v>87305031</v>
          </cell>
          <cell r="F2631">
            <v>3924</v>
          </cell>
          <cell r="G2631" t="str">
            <v>Reach_4539</v>
          </cell>
          <cell r="H2631">
            <v>2623</v>
          </cell>
          <cell r="J2631">
            <v>376.89</v>
          </cell>
          <cell r="K2631">
            <v>118.16</v>
          </cell>
          <cell r="L2631">
            <v>1.4796300000000002E-3</v>
          </cell>
          <cell r="M2631">
            <v>9.3831000000000007</v>
          </cell>
          <cell r="N2631">
            <v>691.83097091893671</v>
          </cell>
          <cell r="Q2631">
            <v>14</v>
          </cell>
        </row>
        <row r="2632">
          <cell r="D2632" t="str">
            <v>67151-63-7</v>
          </cell>
          <cell r="E2632">
            <v>67151637</v>
          </cell>
          <cell r="F2632">
            <v>3487</v>
          </cell>
          <cell r="G2632" t="str">
            <v>Reach_2885</v>
          </cell>
          <cell r="H2632">
            <v>2624</v>
          </cell>
          <cell r="J2632">
            <v>245.41</v>
          </cell>
          <cell r="K2632">
            <v>89.05</v>
          </cell>
          <cell r="L2632">
            <v>1.3996500000000001E-3</v>
          </cell>
          <cell r="M2632">
            <v>45350</v>
          </cell>
          <cell r="N2632">
            <v>0.72443596007499</v>
          </cell>
          <cell r="O2632">
            <v>14.96</v>
          </cell>
          <cell r="P2632">
            <v>4.1500000000000004</v>
          </cell>
          <cell r="Q2632">
            <v>9.85</v>
          </cell>
        </row>
        <row r="2633">
          <cell r="D2633" t="str">
            <v>41131-65-1</v>
          </cell>
          <cell r="E2633">
            <v>41131651</v>
          </cell>
          <cell r="F2633">
            <v>2870</v>
          </cell>
          <cell r="G2633" t="str">
            <v>Reach_2736</v>
          </cell>
          <cell r="H2633">
            <v>2625</v>
          </cell>
          <cell r="J2633">
            <v>324.77</v>
          </cell>
          <cell r="K2633">
            <v>234.75</v>
          </cell>
          <cell r="L2633">
            <v>1.241023E-9</v>
          </cell>
          <cell r="M2633">
            <v>609.26</v>
          </cell>
          <cell r="N2633">
            <v>1.2302687708123816</v>
          </cell>
          <cell r="P2633">
            <v>14.46</v>
          </cell>
          <cell r="Q2633">
            <v>-0.46000000000000085</v>
          </cell>
        </row>
        <row r="2634">
          <cell r="D2634" t="str">
            <v>6413-10-1</v>
          </cell>
          <cell r="E2634">
            <v>6413101</v>
          </cell>
          <cell r="F2634">
            <v>1284</v>
          </cell>
          <cell r="G2634" t="str">
            <v>Reach_2180</v>
          </cell>
          <cell r="H2634">
            <v>2626</v>
          </cell>
          <cell r="J2634">
            <v>174.2</v>
          </cell>
          <cell r="K2634">
            <v>25.25</v>
          </cell>
          <cell r="L2634">
            <v>18.128800000000002</v>
          </cell>
          <cell r="M2634">
            <v>51660</v>
          </cell>
          <cell r="N2634">
            <v>19.952623149688804</v>
          </cell>
          <cell r="Q2634">
            <v>14</v>
          </cell>
        </row>
        <row r="2635">
          <cell r="D2635" t="str">
            <v>119-80-2</v>
          </cell>
          <cell r="E2635">
            <v>119802</v>
          </cell>
          <cell r="F2635">
            <v>357</v>
          </cell>
          <cell r="G2635" t="str">
            <v>Reach_987</v>
          </cell>
          <cell r="H2635">
            <v>2627</v>
          </cell>
          <cell r="J2635">
            <v>306.36</v>
          </cell>
          <cell r="K2635">
            <v>213.55</v>
          </cell>
          <cell r="L2635">
            <v>4.0389900000000008E-9</v>
          </cell>
          <cell r="M2635">
            <v>16.571000000000002</v>
          </cell>
          <cell r="N2635">
            <v>2398.8329190194918</v>
          </cell>
          <cell r="Q2635">
            <v>14</v>
          </cell>
        </row>
        <row r="2636">
          <cell r="D2636" t="str">
            <v>763105-70-0</v>
          </cell>
          <cell r="E2636">
            <v>763105700</v>
          </cell>
          <cell r="F2636">
            <v>3708</v>
          </cell>
          <cell r="G2636" t="str">
            <v>Reach_4434</v>
          </cell>
          <cell r="H2636">
            <v>2628</v>
          </cell>
          <cell r="J2636">
            <v>210.16</v>
          </cell>
          <cell r="K2636">
            <v>137.05000000000001</v>
          </cell>
          <cell r="L2636">
            <v>1.82621E-3</v>
          </cell>
          <cell r="M2636">
            <v>1918.4</v>
          </cell>
          <cell r="N2636">
            <v>0.18197008586099833</v>
          </cell>
          <cell r="P2636">
            <v>4.03</v>
          </cell>
          <cell r="Q2636">
            <v>9.9699999999999989</v>
          </cell>
        </row>
        <row r="2637">
          <cell r="D2637" t="str">
            <v>4499-86-9</v>
          </cell>
          <cell r="E2637">
            <v>4499869</v>
          </cell>
          <cell r="F2637">
            <v>5889</v>
          </cell>
          <cell r="G2637" t="str">
            <v>Reach_2042</v>
          </cell>
          <cell r="H2637">
            <v>2629</v>
          </cell>
          <cell r="J2637">
            <v>203.37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  <cell r="Q2637">
            <v>14</v>
          </cell>
        </row>
        <row r="2638">
          <cell r="D2638" t="str">
            <v>676-83-5</v>
          </cell>
          <cell r="E2638">
            <v>676835</v>
          </cell>
          <cell r="F2638">
            <v>3499</v>
          </cell>
          <cell r="G2638" t="str">
            <v>Reach_1496</v>
          </cell>
          <cell r="H2638">
            <v>2630</v>
          </cell>
          <cell r="J2638">
            <v>116.92</v>
          </cell>
          <cell r="K2638">
            <v>-87.39</v>
          </cell>
          <cell r="L2638">
            <v>22127.800000000003</v>
          </cell>
          <cell r="M2638">
            <v>6215.2</v>
          </cell>
          <cell r="N2638">
            <v>63.095734448019364</v>
          </cell>
          <cell r="Q2638">
            <v>14</v>
          </cell>
        </row>
        <row r="2639">
          <cell r="D2639" t="str">
            <v>33329-35-0</v>
          </cell>
          <cell r="E2639">
            <v>33329350</v>
          </cell>
          <cell r="F2639">
            <v>2680</v>
          </cell>
          <cell r="G2639" t="str">
            <v>Reach_2668</v>
          </cell>
          <cell r="H2639">
            <v>2631</v>
          </cell>
          <cell r="J2639">
            <v>272.49</v>
          </cell>
          <cell r="K2639">
            <v>87.15</v>
          </cell>
          <cell r="L2639">
            <v>2.3060900000000002E-2</v>
          </cell>
          <cell r="M2639">
            <v>10568</v>
          </cell>
          <cell r="N2639">
            <v>3.9810717055349727</v>
          </cell>
          <cell r="P2639">
            <v>3.98</v>
          </cell>
          <cell r="Q2639">
            <v>10.02</v>
          </cell>
        </row>
        <row r="2640">
          <cell r="D2640" t="str">
            <v>3115-49-9</v>
          </cell>
          <cell r="E2640">
            <v>3115499</v>
          </cell>
          <cell r="F2640">
            <v>2619</v>
          </cell>
          <cell r="G2640" t="str">
            <v>Reach_1917</v>
          </cell>
          <cell r="H2640">
            <v>2632</v>
          </cell>
          <cell r="J2640">
            <v>278.39</v>
          </cell>
          <cell r="K2640">
            <v>146.11000000000001</v>
          </cell>
          <cell r="L2640">
            <v>1.3090060000000001E-3</v>
          </cell>
          <cell r="M2640">
            <v>5.1706000000000002E-2</v>
          </cell>
          <cell r="N2640">
            <v>630957.34448019415</v>
          </cell>
          <cell r="O2640">
            <v>3.1</v>
          </cell>
          <cell r="Q2640">
            <v>3.1</v>
          </cell>
        </row>
        <row r="2641">
          <cell r="D2641" t="str">
            <v>354-64-3</v>
          </cell>
          <cell r="E2641">
            <v>354643</v>
          </cell>
          <cell r="F2641">
            <v>2738</v>
          </cell>
          <cell r="G2641" t="str">
            <v>Reach_1249</v>
          </cell>
          <cell r="H2641">
            <v>2633</v>
          </cell>
          <cell r="J2641">
            <v>245.91</v>
          </cell>
          <cell r="K2641">
            <v>-89.44</v>
          </cell>
          <cell r="L2641">
            <v>153295</v>
          </cell>
          <cell r="M2641">
            <v>3467.9</v>
          </cell>
          <cell r="N2641">
            <v>933.25430079699197</v>
          </cell>
          <cell r="Q2641">
            <v>14</v>
          </cell>
        </row>
        <row r="2642">
          <cell r="D2642" t="str">
            <v>18395-30-7</v>
          </cell>
          <cell r="E2642">
            <v>18395307</v>
          </cell>
          <cell r="F2642">
            <v>2188</v>
          </cell>
          <cell r="G2642" t="str">
            <v>Reach_2461</v>
          </cell>
          <cell r="H2642">
            <v>2634</v>
          </cell>
          <cell r="J2642">
            <v>178.3</v>
          </cell>
          <cell r="K2642">
            <v>-34.479999999999997</v>
          </cell>
          <cell r="L2642">
            <v>453.22</v>
          </cell>
          <cell r="M2642">
            <v>2743.1</v>
          </cell>
          <cell r="N2642">
            <v>5.3703179637025285</v>
          </cell>
          <cell r="P2642">
            <v>0</v>
          </cell>
          <cell r="Q2642">
            <v>14</v>
          </cell>
        </row>
        <row r="2643">
          <cell r="D2643" t="str">
            <v>63562-34-5</v>
          </cell>
          <cell r="E2643">
            <v>63562345</v>
          </cell>
          <cell r="F2643">
            <v>3405</v>
          </cell>
          <cell r="G2643" t="str">
            <v>Reach_2860</v>
          </cell>
          <cell r="H2643">
            <v>2635</v>
          </cell>
          <cell r="J2643">
            <v>434.38</v>
          </cell>
          <cell r="K2643">
            <v>90.27</v>
          </cell>
          <cell r="L2643">
            <v>8.0779800000000015E-9</v>
          </cell>
          <cell r="M2643">
            <v>126.96</v>
          </cell>
          <cell r="N2643">
            <v>2.1379620895022322</v>
          </cell>
          <cell r="O2643">
            <v>13.92</v>
          </cell>
          <cell r="Q2643">
            <v>13.92</v>
          </cell>
        </row>
        <row r="2644">
          <cell r="D2644" t="str">
            <v>71617-10-2</v>
          </cell>
          <cell r="E2644">
            <v>71617102</v>
          </cell>
          <cell r="F2644">
            <v>3587</v>
          </cell>
          <cell r="G2644" t="str">
            <v>Reach_2929</v>
          </cell>
          <cell r="H2644">
            <v>2636</v>
          </cell>
          <cell r="J2644">
            <v>248.32</v>
          </cell>
          <cell r="K2644">
            <v>72.42</v>
          </cell>
          <cell r="L2644">
            <v>2.50604E-2</v>
          </cell>
          <cell r="M2644">
            <v>5.8532000000000002</v>
          </cell>
          <cell r="N2644">
            <v>21379.620895022348</v>
          </cell>
          <cell r="Q2644">
            <v>14</v>
          </cell>
        </row>
        <row r="2645">
          <cell r="D2645" t="str">
            <v>2044-56-6</v>
          </cell>
          <cell r="E2645">
            <v>2044566</v>
          </cell>
          <cell r="F2645">
            <v>5768</v>
          </cell>
          <cell r="G2645" t="str">
            <v>Reach_1749</v>
          </cell>
          <cell r="H2645">
            <v>2637</v>
          </cell>
          <cell r="J2645">
            <v>272.33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  <cell r="Q2645">
            <v>14</v>
          </cell>
        </row>
        <row r="2646">
          <cell r="D2646" t="str">
            <v>121-86-8</v>
          </cell>
          <cell r="E2646">
            <v>121868</v>
          </cell>
          <cell r="F2646">
            <v>376</v>
          </cell>
          <cell r="G2646" t="str">
            <v>Reach_1020</v>
          </cell>
          <cell r="H2646">
            <v>2638</v>
          </cell>
          <cell r="J2646">
            <v>171.58</v>
          </cell>
          <cell r="K2646">
            <v>56.46</v>
          </cell>
          <cell r="L2646">
            <v>0.863784</v>
          </cell>
          <cell r="M2646">
            <v>76.22</v>
          </cell>
          <cell r="N2646">
            <v>1000</v>
          </cell>
          <cell r="O2646">
            <v>0</v>
          </cell>
          <cell r="P2646">
            <v>0</v>
          </cell>
          <cell r="Q2646">
            <v>0</v>
          </cell>
        </row>
        <row r="2647">
          <cell r="D2647" t="str">
            <v>94-60-0</v>
          </cell>
          <cell r="E2647">
            <v>94600</v>
          </cell>
          <cell r="F2647">
            <v>4106</v>
          </cell>
          <cell r="G2647" t="str">
            <v>Reach_416</v>
          </cell>
          <cell r="H2647">
            <v>2639</v>
          </cell>
          <cell r="J2647">
            <v>200.23</v>
          </cell>
          <cell r="K2647">
            <v>-46.41</v>
          </cell>
          <cell r="L2647">
            <v>10.95726</v>
          </cell>
          <cell r="M2647">
            <v>8857</v>
          </cell>
          <cell r="N2647">
            <v>128.82495516931343</v>
          </cell>
          <cell r="Q2647">
            <v>14</v>
          </cell>
        </row>
        <row r="2648">
          <cell r="D2648" t="str">
            <v>15267-95-5</v>
          </cell>
          <cell r="E2648">
            <v>15267955</v>
          </cell>
          <cell r="F2648">
            <v>2025</v>
          </cell>
          <cell r="G2648" t="str">
            <v>Reach_2380</v>
          </cell>
          <cell r="H2648">
            <v>2640</v>
          </cell>
          <cell r="J2648">
            <v>212.75</v>
          </cell>
          <cell r="K2648">
            <v>7.56</v>
          </cell>
          <cell r="L2648">
            <v>16.929100000000002</v>
          </cell>
          <cell r="M2648">
            <v>0</v>
          </cell>
          <cell r="N2648">
            <v>11.481536214968834</v>
          </cell>
          <cell r="Q2648">
            <v>14</v>
          </cell>
        </row>
        <row r="2649">
          <cell r="D2649" t="str">
            <v>85702-79-0</v>
          </cell>
          <cell r="E2649">
            <v>85702790</v>
          </cell>
          <cell r="F2649">
            <v>3896</v>
          </cell>
          <cell r="G2649" t="str">
            <v>Reach_2987</v>
          </cell>
          <cell r="H2649">
            <v>2641</v>
          </cell>
          <cell r="J2649">
            <v>271.39999999999998</v>
          </cell>
          <cell r="K2649">
            <v>181.95</v>
          </cell>
          <cell r="L2649">
            <v>3.2791800000000002E-6</v>
          </cell>
          <cell r="M2649">
            <v>55.542000000000002</v>
          </cell>
          <cell r="N2649">
            <v>7762.4711662869322</v>
          </cell>
          <cell r="O2649">
            <v>4.87</v>
          </cell>
          <cell r="Q2649">
            <v>4.87</v>
          </cell>
        </row>
        <row r="2650">
          <cell r="D2650" t="str">
            <v>6297-03-6</v>
          </cell>
          <cell r="E2650">
            <v>6297036</v>
          </cell>
          <cell r="F2650">
            <v>1281</v>
          </cell>
          <cell r="G2650" t="str">
            <v>Reach_2163</v>
          </cell>
          <cell r="H2650">
            <v>2642</v>
          </cell>
          <cell r="J2650">
            <v>522.99</v>
          </cell>
          <cell r="K2650">
            <v>212.88</v>
          </cell>
          <cell r="L2650">
            <v>1.90619E-8</v>
          </cell>
          <cell r="M2650">
            <v>7.9999999999999995E-11</v>
          </cell>
          <cell r="N2650">
            <v>5.7543993733716296E+16</v>
          </cell>
          <cell r="Q2650">
            <v>14</v>
          </cell>
        </row>
        <row r="2651">
          <cell r="D2651" t="str">
            <v>95-55-6</v>
          </cell>
          <cell r="E2651">
            <v>95556</v>
          </cell>
          <cell r="F2651">
            <v>4127</v>
          </cell>
          <cell r="G2651" t="str">
            <v>Reach_434</v>
          </cell>
          <cell r="H2651">
            <v>2643</v>
          </cell>
          <cell r="J2651">
            <v>109.13</v>
          </cell>
          <cell r="K2651">
            <v>53.57</v>
          </cell>
          <cell r="L2651">
            <v>6.6783300000000004E-2</v>
          </cell>
          <cell r="M2651">
            <v>55508</v>
          </cell>
          <cell r="N2651">
            <v>3.9810717055349727</v>
          </cell>
          <cell r="O2651">
            <v>10.3</v>
          </cell>
          <cell r="P2651">
            <v>9.4</v>
          </cell>
          <cell r="Q2651">
            <v>4.5999999999999996</v>
          </cell>
        </row>
        <row r="2652">
          <cell r="D2652" t="str">
            <v>2857-97-8</v>
          </cell>
          <cell r="E2652">
            <v>2857978</v>
          </cell>
          <cell r="F2652">
            <v>2538</v>
          </cell>
          <cell r="G2652" t="str">
            <v>Reach_1877</v>
          </cell>
          <cell r="H2652">
            <v>2644</v>
          </cell>
          <cell r="J2652">
            <v>153.1</v>
          </cell>
          <cell r="K2652">
            <v>-75.31</v>
          </cell>
          <cell r="L2652">
            <v>13156.710000000001</v>
          </cell>
          <cell r="M2652">
            <v>737.98</v>
          </cell>
          <cell r="N2652">
            <v>371.53522909717265</v>
          </cell>
          <cell r="O2652">
            <v>0</v>
          </cell>
          <cell r="Q2652">
            <v>0</v>
          </cell>
        </row>
        <row r="2653">
          <cell r="D2653" t="str">
            <v>791-28-6</v>
          </cell>
          <cell r="E2653">
            <v>791286</v>
          </cell>
          <cell r="F2653">
            <v>95</v>
          </cell>
          <cell r="G2653" t="str">
            <v>Reach_1547</v>
          </cell>
          <cell r="H2653">
            <v>2645</v>
          </cell>
          <cell r="J2653">
            <v>278.29000000000002</v>
          </cell>
          <cell r="K2653">
            <v>86.97</v>
          </cell>
          <cell r="L2653">
            <v>3.7590600000000006E-5</v>
          </cell>
          <cell r="M2653">
            <v>4.2319000000000004</v>
          </cell>
          <cell r="N2653">
            <v>741.31024130091828</v>
          </cell>
          <cell r="O2653">
            <v>0</v>
          </cell>
          <cell r="P2653">
            <v>0</v>
          </cell>
          <cell r="Q2653">
            <v>0</v>
          </cell>
        </row>
        <row r="2654">
          <cell r="D2654" t="str">
            <v>373-44-4</v>
          </cell>
          <cell r="E2654">
            <v>373444</v>
          </cell>
          <cell r="F2654">
            <v>2796</v>
          </cell>
          <cell r="G2654" t="str">
            <v>Reach_1259</v>
          </cell>
          <cell r="H2654">
            <v>2646</v>
          </cell>
          <cell r="J2654">
            <v>144.26</v>
          </cell>
          <cell r="K2654">
            <v>38.4</v>
          </cell>
          <cell r="L2654">
            <v>7.1315500000000007</v>
          </cell>
          <cell r="M2654">
            <v>3943.4</v>
          </cell>
          <cell r="N2654">
            <v>21.379620895022335</v>
          </cell>
          <cell r="P2654">
            <v>3.2</v>
          </cell>
          <cell r="Q2654">
            <v>10.8</v>
          </cell>
        </row>
        <row r="2655">
          <cell r="D2655" t="str">
            <v>101-20-2</v>
          </cell>
          <cell r="E2655">
            <v>101202</v>
          </cell>
          <cell r="F2655">
            <v>143</v>
          </cell>
          <cell r="G2655" t="str">
            <v>Reach_574</v>
          </cell>
          <cell r="H2655">
            <v>2647</v>
          </cell>
          <cell r="J2655">
            <v>315.58999999999997</v>
          </cell>
          <cell r="K2655">
            <v>182.04</v>
          </cell>
          <cell r="L2655">
            <v>4.8121300000000009E-7</v>
          </cell>
          <cell r="M2655">
            <v>0.61975000000000002</v>
          </cell>
          <cell r="N2655">
            <v>79432.823472428237</v>
          </cell>
          <cell r="O2655">
            <v>13.56</v>
          </cell>
          <cell r="Q2655">
            <v>13.56</v>
          </cell>
        </row>
        <row r="2656">
          <cell r="D2656" t="str">
            <v>14234-82-3</v>
          </cell>
          <cell r="E2656">
            <v>14234823</v>
          </cell>
          <cell r="F2656">
            <v>1954</v>
          </cell>
          <cell r="G2656" t="str">
            <v>Reach_2360</v>
          </cell>
          <cell r="H2656">
            <v>2648</v>
          </cell>
          <cell r="J2656">
            <v>228.29</v>
          </cell>
          <cell r="K2656">
            <v>-49.24</v>
          </cell>
          <cell r="L2656">
            <v>4.4522200000000005</v>
          </cell>
          <cell r="M2656">
            <v>57.844999999999999</v>
          </cell>
          <cell r="N2656">
            <v>10232.929922807549</v>
          </cell>
          <cell r="Q2656">
            <v>14</v>
          </cell>
        </row>
        <row r="2657">
          <cell r="D2657" t="str">
            <v>12237-63-7</v>
          </cell>
          <cell r="E2657">
            <v>12237637</v>
          </cell>
          <cell r="F2657">
            <v>5628</v>
          </cell>
          <cell r="G2657" t="str">
            <v>Reach_2309</v>
          </cell>
          <cell r="H2657">
            <v>2649</v>
          </cell>
          <cell r="J2657">
            <v>568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Q2657">
            <v>0</v>
          </cell>
        </row>
        <row r="2658">
          <cell r="D2658" t="str">
            <v>142-19-8</v>
          </cell>
          <cell r="E2658">
            <v>142198</v>
          </cell>
          <cell r="F2658">
            <v>1950</v>
          </cell>
          <cell r="G2658" t="str">
            <v>Reach_1174</v>
          </cell>
          <cell r="H2658">
            <v>2650</v>
          </cell>
          <cell r="J2658">
            <v>170.25</v>
          </cell>
          <cell r="K2658">
            <v>-10.81</v>
          </cell>
          <cell r="L2658">
            <v>30.259100000000004</v>
          </cell>
          <cell r="M2658">
            <v>100.38</v>
          </cell>
          <cell r="N2658">
            <v>4677.3514128719844</v>
          </cell>
          <cell r="Q2658">
            <v>14</v>
          </cell>
        </row>
        <row r="2659">
          <cell r="D2659" t="str">
            <v>80-26-2</v>
          </cell>
          <cell r="E2659">
            <v>80262</v>
          </cell>
          <cell r="F2659">
            <v>934</v>
          </cell>
          <cell r="G2659" t="str">
            <v>Reach_261</v>
          </cell>
          <cell r="H2659">
            <v>2651</v>
          </cell>
          <cell r="J2659">
            <v>196.29</v>
          </cell>
          <cell r="K2659">
            <v>21.47</v>
          </cell>
          <cell r="L2659">
            <v>6.6250100000000005</v>
          </cell>
          <cell r="M2659">
            <v>443.25</v>
          </cell>
          <cell r="N2659">
            <v>21877.61623949555</v>
          </cell>
          <cell r="Q2659">
            <v>14</v>
          </cell>
        </row>
        <row r="2660">
          <cell r="D2660" t="str">
            <v>26650-09-9</v>
          </cell>
          <cell r="E2660">
            <v>26650099</v>
          </cell>
          <cell r="F2660">
            <v>2481</v>
          </cell>
          <cell r="G2660" t="str">
            <v>Reach_4256</v>
          </cell>
          <cell r="H2660">
            <v>2652</v>
          </cell>
          <cell r="J2660">
            <v>405.18</v>
          </cell>
          <cell r="K2660">
            <v>18.09</v>
          </cell>
          <cell r="L2660">
            <v>83.712400000000002</v>
          </cell>
          <cell r="M2660">
            <v>0.29793999999999998</v>
          </cell>
          <cell r="N2660">
            <v>588843.65535558888</v>
          </cell>
          <cell r="O2660">
            <v>0</v>
          </cell>
          <cell r="Q2660">
            <v>0</v>
          </cell>
        </row>
        <row r="2661">
          <cell r="D2661" t="str">
            <v>59-50-7</v>
          </cell>
          <cell r="E2661">
            <v>59507</v>
          </cell>
          <cell r="F2661">
            <v>737</v>
          </cell>
          <cell r="G2661" t="str">
            <v>Reach_51</v>
          </cell>
          <cell r="H2661">
            <v>2653</v>
          </cell>
          <cell r="J2661">
            <v>142.59</v>
          </cell>
          <cell r="K2661">
            <v>36.15</v>
          </cell>
          <cell r="L2661">
            <v>1.3729900000000002</v>
          </cell>
          <cell r="M2661">
            <v>1055.7</v>
          </cell>
          <cell r="N2661">
            <v>501.18723362727269</v>
          </cell>
          <cell r="O2661">
            <v>9.6</v>
          </cell>
          <cell r="P2661">
            <v>0</v>
          </cell>
          <cell r="Q2661">
            <v>9.6</v>
          </cell>
        </row>
        <row r="2662">
          <cell r="D2662" t="str">
            <v>65113-55-5</v>
          </cell>
          <cell r="E2662">
            <v>65113555</v>
          </cell>
          <cell r="F2662">
            <v>5970</v>
          </cell>
          <cell r="G2662" t="str">
            <v>Reach_2868</v>
          </cell>
          <cell r="H2662">
            <v>2654</v>
          </cell>
          <cell r="J2662">
            <v>724.93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  <cell r="Q2662">
            <v>14</v>
          </cell>
        </row>
        <row r="2663">
          <cell r="D2663" t="str">
            <v>558-30-5</v>
          </cell>
          <cell r="E2663">
            <v>558305</v>
          </cell>
          <cell r="F2663">
            <v>3180</v>
          </cell>
          <cell r="G2663" t="str">
            <v>Reach_1372</v>
          </cell>
          <cell r="H2663">
            <v>2655</v>
          </cell>
          <cell r="J2663">
            <v>72.106999999999999</v>
          </cell>
          <cell r="K2663">
            <v>-79.02</v>
          </cell>
          <cell r="L2663">
            <v>37857.200000000004</v>
          </cell>
          <cell r="M2663">
            <v>62843</v>
          </cell>
          <cell r="N2663">
            <v>6.7608297539198183</v>
          </cell>
          <cell r="Q2663">
            <v>14</v>
          </cell>
        </row>
        <row r="2664">
          <cell r="D2664" t="str">
            <v>2896-99-3</v>
          </cell>
          <cell r="E2664">
            <v>2896993</v>
          </cell>
          <cell r="F2664">
            <v>2552</v>
          </cell>
          <cell r="G2664" t="str">
            <v>Reach_4270</v>
          </cell>
          <cell r="H2664">
            <v>2656</v>
          </cell>
          <cell r="J2664">
            <v>287.79000000000002</v>
          </cell>
          <cell r="K2664">
            <v>149.66</v>
          </cell>
          <cell r="L2664">
            <v>1.034408E-6</v>
          </cell>
          <cell r="M2664">
            <v>21.885000000000002</v>
          </cell>
          <cell r="N2664">
            <v>18620.871366628675</v>
          </cell>
          <cell r="O2664">
            <v>14.73</v>
          </cell>
          <cell r="P2664">
            <v>10.62</v>
          </cell>
          <cell r="Q2664">
            <v>3.3800000000000008</v>
          </cell>
        </row>
        <row r="2665">
          <cell r="D2665" t="str">
            <v>760-23-6</v>
          </cell>
          <cell r="E2665">
            <v>760236</v>
          </cell>
          <cell r="F2665">
            <v>870</v>
          </cell>
          <cell r="G2665" t="str">
            <v>Reach_1530</v>
          </cell>
          <cell r="H2665">
            <v>2657</v>
          </cell>
          <cell r="J2665">
            <v>125</v>
          </cell>
          <cell r="K2665">
            <v>-68.55</v>
          </cell>
          <cell r="L2665">
            <v>2492.71</v>
          </cell>
          <cell r="M2665">
            <v>4395.3999999999996</v>
          </cell>
          <cell r="N2665">
            <v>398.10717055349761</v>
          </cell>
          <cell r="O2665">
            <v>0</v>
          </cell>
          <cell r="Q2665">
            <v>0</v>
          </cell>
        </row>
        <row r="2666">
          <cell r="D2666" t="str">
            <v>5459-93-8</v>
          </cell>
          <cell r="E2666">
            <v>5459938</v>
          </cell>
          <cell r="F2666">
            <v>688</v>
          </cell>
          <cell r="G2666" t="str">
            <v>Reach_2115</v>
          </cell>
          <cell r="H2666">
            <v>2658</v>
          </cell>
          <cell r="J2666">
            <v>127.23</v>
          </cell>
          <cell r="K2666">
            <v>-23.42</v>
          </cell>
          <cell r="L2666">
            <v>277.26400000000001</v>
          </cell>
          <cell r="M2666">
            <v>285.04000000000002</v>
          </cell>
          <cell r="N2666">
            <v>389.04514499428063</v>
          </cell>
          <cell r="P2666">
            <v>3</v>
          </cell>
          <cell r="Q2666">
            <v>11</v>
          </cell>
        </row>
        <row r="2667">
          <cell r="D2667" t="str">
            <v>5977-14-0</v>
          </cell>
          <cell r="E2667">
            <v>5977140</v>
          </cell>
          <cell r="F2667">
            <v>3286</v>
          </cell>
          <cell r="G2667" t="str">
            <v>Reach_2146</v>
          </cell>
          <cell r="H2667">
            <v>2659</v>
          </cell>
          <cell r="J2667">
            <v>101.11</v>
          </cell>
          <cell r="K2667">
            <v>62.24</v>
          </cell>
          <cell r="L2667">
            <v>1.3596600000000003</v>
          </cell>
          <cell r="M2667">
            <v>312000</v>
          </cell>
          <cell r="N2667">
            <v>5.6234132519034884E-2</v>
          </cell>
          <cell r="O2667">
            <v>8.9</v>
          </cell>
          <cell r="P2667">
            <v>14.3</v>
          </cell>
          <cell r="Q2667">
            <v>-0.30000000000000071</v>
          </cell>
        </row>
        <row r="2668">
          <cell r="D2668" t="str">
            <v>10416-59-8</v>
          </cell>
          <cell r="E2668">
            <v>10416598</v>
          </cell>
          <cell r="F2668">
            <v>1386</v>
          </cell>
          <cell r="G2668" t="str">
            <v>Reach_2291</v>
          </cell>
          <cell r="H2668">
            <v>2660</v>
          </cell>
          <cell r="J2668">
            <v>203.44</v>
          </cell>
          <cell r="K2668">
            <v>-54.75</v>
          </cell>
          <cell r="L2668">
            <v>322.58600000000001</v>
          </cell>
          <cell r="M2668">
            <v>1.9583999999999999</v>
          </cell>
          <cell r="N2668">
            <v>57543.993733715732</v>
          </cell>
          <cell r="Q2668">
            <v>14</v>
          </cell>
        </row>
        <row r="2669">
          <cell r="D2669" t="str">
            <v>19894-99-6</v>
          </cell>
          <cell r="E2669">
            <v>19894996</v>
          </cell>
          <cell r="F2669">
            <v>2245</v>
          </cell>
          <cell r="G2669" t="str">
            <v>Reach_2486</v>
          </cell>
          <cell r="H2669">
            <v>2661</v>
          </cell>
          <cell r="J2669">
            <v>152.24</v>
          </cell>
          <cell r="K2669">
            <v>17.82</v>
          </cell>
          <cell r="L2669">
            <v>139.96500000000003</v>
          </cell>
          <cell r="M2669">
            <v>545.75</v>
          </cell>
          <cell r="N2669">
            <v>741.31024130091828</v>
          </cell>
          <cell r="Q2669">
            <v>14</v>
          </cell>
        </row>
        <row r="2670">
          <cell r="D2670" t="str">
            <v>10061-01-5</v>
          </cell>
          <cell r="E2670">
            <v>10061015</v>
          </cell>
          <cell r="F2670">
            <v>132</v>
          </cell>
          <cell r="G2670" t="str">
            <v>Reach_2279</v>
          </cell>
          <cell r="H2670">
            <v>2662</v>
          </cell>
          <cell r="J2670">
            <v>110.97</v>
          </cell>
          <cell r="K2670">
            <v>-72.77</v>
          </cell>
          <cell r="L2670">
            <v>2972.59</v>
          </cell>
          <cell r="M2670">
            <v>4879.8</v>
          </cell>
          <cell r="N2670">
            <v>194.98445997580458</v>
          </cell>
          <cell r="Q2670">
            <v>14</v>
          </cell>
        </row>
        <row r="2671">
          <cell r="D2671" t="str">
            <v>67859-51-2</v>
          </cell>
          <cell r="E2671">
            <v>67859512</v>
          </cell>
          <cell r="F2671">
            <v>5989</v>
          </cell>
          <cell r="G2671" t="str">
            <v>Reach_2892</v>
          </cell>
          <cell r="H2671">
            <v>2663</v>
          </cell>
          <cell r="J2671">
            <v>389.67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  <cell r="Q2671">
            <v>14</v>
          </cell>
        </row>
        <row r="2672">
          <cell r="D2672" t="str">
            <v>17958-73-5</v>
          </cell>
          <cell r="E2672">
            <v>17958735</v>
          </cell>
          <cell r="F2672">
            <v>5745</v>
          </cell>
          <cell r="G2672" t="str">
            <v>Reach_2449</v>
          </cell>
          <cell r="H2672">
            <v>2664</v>
          </cell>
          <cell r="J2672">
            <v>872.87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  <cell r="Q2672">
            <v>14</v>
          </cell>
        </row>
        <row r="2673">
          <cell r="D2673" t="str">
            <v>105-55-5</v>
          </cell>
          <cell r="E2673">
            <v>105555</v>
          </cell>
          <cell r="F2673">
            <v>178</v>
          </cell>
          <cell r="G2673" t="str">
            <v>Reach_642</v>
          </cell>
          <cell r="H2673">
            <v>2665</v>
          </cell>
          <cell r="J2673">
            <v>132.22999999999999</v>
          </cell>
          <cell r="K2673">
            <v>24.25</v>
          </cell>
          <cell r="L2673">
            <v>9.2243600000000008</v>
          </cell>
          <cell r="M2673">
            <v>86115</v>
          </cell>
          <cell r="N2673">
            <v>3.9810717055349727</v>
          </cell>
          <cell r="O2673">
            <v>13</v>
          </cell>
          <cell r="P2673">
            <v>12</v>
          </cell>
          <cell r="Q2673">
            <v>2</v>
          </cell>
        </row>
        <row r="2674">
          <cell r="D2674" t="str">
            <v>78-88-6</v>
          </cell>
          <cell r="E2674">
            <v>78886</v>
          </cell>
          <cell r="F2674">
            <v>903</v>
          </cell>
          <cell r="G2674" t="str">
            <v>Reach_214</v>
          </cell>
          <cell r="H2674">
            <v>2666</v>
          </cell>
          <cell r="J2674">
            <v>110.97</v>
          </cell>
          <cell r="K2674">
            <v>-82.69</v>
          </cell>
          <cell r="L2674">
            <v>6451.72</v>
          </cell>
          <cell r="M2674">
            <v>2271.6999999999998</v>
          </cell>
          <cell r="N2674">
            <v>263.02679918953817</v>
          </cell>
          <cell r="O2674">
            <v>0</v>
          </cell>
          <cell r="P2674">
            <v>0</v>
          </cell>
          <cell r="Q2674">
            <v>0</v>
          </cell>
        </row>
        <row r="2675">
          <cell r="D2675" t="str">
            <v>5888-87-9</v>
          </cell>
          <cell r="E2675">
            <v>5888879</v>
          </cell>
          <cell r="F2675">
            <v>3258</v>
          </cell>
          <cell r="G2675" t="str">
            <v>Reach_2141</v>
          </cell>
          <cell r="H2675">
            <v>2667</v>
          </cell>
          <cell r="J2675">
            <v>394.52</v>
          </cell>
          <cell r="K2675">
            <v>300.95999999999998</v>
          </cell>
          <cell r="L2675">
            <v>3.5991000000000003E-14</v>
          </cell>
          <cell r="M2675">
            <v>19.431000000000001</v>
          </cell>
          <cell r="N2675">
            <v>4897.7881936844633</v>
          </cell>
          <cell r="O2675">
            <v>13.99</v>
          </cell>
          <cell r="P2675">
            <v>13.61</v>
          </cell>
          <cell r="Q2675">
            <v>0.39000000000000057</v>
          </cell>
        </row>
        <row r="2676">
          <cell r="D2676" t="str">
            <v>88-27-7</v>
          </cell>
          <cell r="E2676">
            <v>88277</v>
          </cell>
          <cell r="F2676">
            <v>3954</v>
          </cell>
          <cell r="G2676" t="str">
            <v>Reach_322</v>
          </cell>
          <cell r="H2676">
            <v>2668</v>
          </cell>
          <cell r="J2676">
            <v>263.43</v>
          </cell>
          <cell r="K2676">
            <v>114.41</v>
          </cell>
          <cell r="L2676">
            <v>2.2527700000000003E-3</v>
          </cell>
          <cell r="M2676">
            <v>9.0479000000000003</v>
          </cell>
          <cell r="N2676">
            <v>17378.008287493791</v>
          </cell>
          <cell r="O2676">
            <v>11.55</v>
          </cell>
          <cell r="P2676">
            <v>5.0599999999999996</v>
          </cell>
          <cell r="Q2676">
            <v>8.9400000000000013</v>
          </cell>
        </row>
        <row r="2677">
          <cell r="D2677" t="str">
            <v>60-09-3</v>
          </cell>
          <cell r="E2677">
            <v>60093</v>
          </cell>
          <cell r="F2677">
            <v>746</v>
          </cell>
          <cell r="G2677" t="str">
            <v>Reach_54</v>
          </cell>
          <cell r="H2677">
            <v>2669</v>
          </cell>
          <cell r="J2677">
            <v>197.24</v>
          </cell>
          <cell r="K2677">
            <v>93.58</v>
          </cell>
          <cell r="L2677">
            <v>7.0115800000000001E-4</v>
          </cell>
          <cell r="M2677">
            <v>600.22</v>
          </cell>
          <cell r="N2677">
            <v>1548.8166189124822</v>
          </cell>
          <cell r="O2677">
            <v>0</v>
          </cell>
          <cell r="P2677">
            <v>11</v>
          </cell>
          <cell r="Q2677">
            <v>0</v>
          </cell>
        </row>
        <row r="2678">
          <cell r="D2678" t="str">
            <v>21700-31-2</v>
          </cell>
          <cell r="E2678">
            <v>21700312</v>
          </cell>
          <cell r="F2678">
            <v>2303</v>
          </cell>
          <cell r="G2678" t="str">
            <v>Reach_4645</v>
          </cell>
          <cell r="H2678">
            <v>2670</v>
          </cell>
          <cell r="J2678">
            <v>216.32</v>
          </cell>
          <cell r="K2678">
            <v>-9.08</v>
          </cell>
          <cell r="L2678">
            <v>131.83370000000002</v>
          </cell>
          <cell r="M2678">
            <v>73.055999999999997</v>
          </cell>
          <cell r="N2678">
            <v>3981.0717055349769</v>
          </cell>
          <cell r="Q2678">
            <v>14</v>
          </cell>
        </row>
        <row r="2679">
          <cell r="D2679" t="str">
            <v>108-98-5</v>
          </cell>
          <cell r="E2679">
            <v>108985</v>
          </cell>
          <cell r="F2679">
            <v>1491</v>
          </cell>
          <cell r="G2679" t="str">
            <v>Reach_766</v>
          </cell>
          <cell r="H2679">
            <v>2671</v>
          </cell>
          <cell r="J2679">
            <v>110.18</v>
          </cell>
          <cell r="K2679">
            <v>-31.86</v>
          </cell>
          <cell r="L2679">
            <v>217.279</v>
          </cell>
          <cell r="M2679">
            <v>373.96</v>
          </cell>
          <cell r="N2679">
            <v>489.77881936844625</v>
          </cell>
          <cell r="O2679">
            <v>6.8</v>
          </cell>
          <cell r="Q2679">
            <v>6.8</v>
          </cell>
        </row>
        <row r="2680">
          <cell r="D2680" t="str">
            <v>87-56-9</v>
          </cell>
          <cell r="E2680">
            <v>87569</v>
          </cell>
          <cell r="F2680">
            <v>3935</v>
          </cell>
          <cell r="G2680" t="str">
            <v>Reach_310</v>
          </cell>
          <cell r="H2680">
            <v>2672</v>
          </cell>
          <cell r="J2680">
            <v>168.96</v>
          </cell>
          <cell r="K2680">
            <v>58.65</v>
          </cell>
          <cell r="L2680">
            <v>0.13863200000000001</v>
          </cell>
          <cell r="M2680">
            <v>64333</v>
          </cell>
          <cell r="N2680">
            <v>23.442288153199236</v>
          </cell>
          <cell r="O2680">
            <v>0.69</v>
          </cell>
          <cell r="Q2680">
            <v>0.69</v>
          </cell>
        </row>
        <row r="2681">
          <cell r="D2681" t="str">
            <v>629-62-9</v>
          </cell>
          <cell r="E2681">
            <v>629629</v>
          </cell>
          <cell r="F2681">
            <v>772</v>
          </cell>
          <cell r="G2681" t="str">
            <v>Reach_1469</v>
          </cell>
          <cell r="H2681">
            <v>2673</v>
          </cell>
          <cell r="J2681">
            <v>212.42</v>
          </cell>
          <cell r="K2681">
            <v>12.07</v>
          </cell>
          <cell r="L2681">
            <v>2.0394900000000002</v>
          </cell>
          <cell r="M2681">
            <v>1.7164000000000001E-3</v>
          </cell>
          <cell r="N2681">
            <v>51286138.399136536</v>
          </cell>
          <cell r="Q2681">
            <v>14</v>
          </cell>
        </row>
        <row r="2682">
          <cell r="D2682" t="str">
            <v>2512-29-0</v>
          </cell>
          <cell r="E2682">
            <v>2512290</v>
          </cell>
          <cell r="F2682">
            <v>2416</v>
          </cell>
          <cell r="G2682" t="str">
            <v>Reach_1825</v>
          </cell>
          <cell r="H2682">
            <v>2674</v>
          </cell>
          <cell r="J2682">
            <v>340.34</v>
          </cell>
          <cell r="K2682">
            <v>224.87</v>
          </cell>
          <cell r="L2682">
            <v>5.6785800000000009E-9</v>
          </cell>
          <cell r="M2682">
            <v>5.2908999999999997</v>
          </cell>
          <cell r="N2682">
            <v>8709.6358995608189</v>
          </cell>
          <cell r="O2682">
            <v>8.6199999999999992</v>
          </cell>
          <cell r="P2682">
            <v>13.72</v>
          </cell>
          <cell r="Q2682">
            <v>0.27999999999999936</v>
          </cell>
        </row>
        <row r="2683">
          <cell r="D2683" t="str">
            <v>56375-79-2</v>
          </cell>
          <cell r="E2683">
            <v>56375792</v>
          </cell>
          <cell r="F2683">
            <v>5935</v>
          </cell>
          <cell r="G2683" t="str">
            <v>Reach_2815</v>
          </cell>
          <cell r="H2683">
            <v>2675</v>
          </cell>
          <cell r="J2683">
            <v>235.84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  <cell r="Q2683">
            <v>14</v>
          </cell>
        </row>
        <row r="2684">
          <cell r="D2684" t="str">
            <v>298-06-6</v>
          </cell>
          <cell r="E2684">
            <v>298066</v>
          </cell>
          <cell r="F2684">
            <v>591</v>
          </cell>
          <cell r="G2684" t="str">
            <v>Reach_1226</v>
          </cell>
          <cell r="H2684">
            <v>2676</v>
          </cell>
          <cell r="J2684">
            <v>186.23</v>
          </cell>
          <cell r="K2684">
            <v>-59.92</v>
          </cell>
          <cell r="L2684">
            <v>7.7713900000000002</v>
          </cell>
          <cell r="M2684">
            <v>476.47</v>
          </cell>
          <cell r="N2684">
            <v>173.78008287493768</v>
          </cell>
          <cell r="P2684">
            <v>0</v>
          </cell>
          <cell r="Q2684">
            <v>14</v>
          </cell>
        </row>
        <row r="2685">
          <cell r="D2685" t="str">
            <v>24338-09-8</v>
          </cell>
          <cell r="E2685">
            <v>24338098</v>
          </cell>
          <cell r="F2685">
            <v>2388</v>
          </cell>
          <cell r="G2685" t="str">
            <v>Reach_4239</v>
          </cell>
          <cell r="H2685">
            <v>2677</v>
          </cell>
          <cell r="J2685">
            <v>256.45999999999998</v>
          </cell>
          <cell r="K2685">
            <v>36.21</v>
          </cell>
          <cell r="L2685">
            <v>0.605182</v>
          </cell>
          <cell r="M2685">
            <v>0.67300000000000004</v>
          </cell>
          <cell r="N2685">
            <v>2691534.8039269177</v>
          </cell>
          <cell r="Q2685">
            <v>14</v>
          </cell>
        </row>
        <row r="2686">
          <cell r="D2686" t="str">
            <v>103-90-2</v>
          </cell>
          <cell r="E2686">
            <v>103902</v>
          </cell>
          <cell r="F2686">
            <v>165</v>
          </cell>
          <cell r="G2686" t="str">
            <v>Reach_616</v>
          </cell>
          <cell r="H2686">
            <v>2678</v>
          </cell>
          <cell r="J2686">
            <v>151.16999999999999</v>
          </cell>
          <cell r="K2686">
            <v>119.92</v>
          </cell>
          <cell r="L2686">
            <v>2.5860200000000003E-4</v>
          </cell>
          <cell r="M2686">
            <v>8056.1</v>
          </cell>
          <cell r="N2686">
            <v>1.8620871366628675</v>
          </cell>
          <cell r="Q2686">
            <v>14</v>
          </cell>
        </row>
        <row r="2687">
          <cell r="D2687" t="str">
            <v>3047-32-3</v>
          </cell>
          <cell r="E2687">
            <v>3047323</v>
          </cell>
          <cell r="F2687">
            <v>2598</v>
          </cell>
          <cell r="G2687" t="str">
            <v>Reach_1904</v>
          </cell>
          <cell r="H2687">
            <v>2679</v>
          </cell>
          <cell r="J2687">
            <v>116.16</v>
          </cell>
          <cell r="K2687">
            <v>0.81</v>
          </cell>
          <cell r="L2687">
            <v>31.4588</v>
          </cell>
          <cell r="M2687">
            <v>134000</v>
          </cell>
          <cell r="N2687">
            <v>2.1877616239495525</v>
          </cell>
          <cell r="O2687">
            <v>15.52</v>
          </cell>
          <cell r="Q2687">
            <v>14</v>
          </cell>
        </row>
        <row r="2688">
          <cell r="D2688" t="str">
            <v>99-97-8</v>
          </cell>
          <cell r="E2688">
            <v>99978</v>
          </cell>
          <cell r="F2688">
            <v>1094</v>
          </cell>
          <cell r="G2688" t="str">
            <v>Reach_544</v>
          </cell>
          <cell r="H2688">
            <v>2680</v>
          </cell>
          <cell r="J2688">
            <v>135.21</v>
          </cell>
          <cell r="K2688">
            <v>-6.59</v>
          </cell>
          <cell r="L2688">
            <v>27.5931</v>
          </cell>
          <cell r="M2688">
            <v>1664.1</v>
          </cell>
          <cell r="N2688">
            <v>524.80746024977293</v>
          </cell>
          <cell r="P2688">
            <v>9</v>
          </cell>
          <cell r="Q2688">
            <v>5</v>
          </cell>
        </row>
        <row r="2689">
          <cell r="D2689" t="str">
            <v>27619-89-2</v>
          </cell>
          <cell r="E2689">
            <v>27619892</v>
          </cell>
          <cell r="F2689">
            <v>2513</v>
          </cell>
          <cell r="G2689" t="str">
            <v>Reach_2610</v>
          </cell>
          <cell r="H2689">
            <v>2681</v>
          </cell>
          <cell r="J2689">
            <v>446.61</v>
          </cell>
          <cell r="K2689">
            <v>30.85</v>
          </cell>
          <cell r="L2689">
            <v>33.724900000000005</v>
          </cell>
          <cell r="M2689">
            <v>0.63475000000000004</v>
          </cell>
          <cell r="N2689">
            <v>2041737.9446695296</v>
          </cell>
          <cell r="Q2689">
            <v>14</v>
          </cell>
        </row>
        <row r="2690">
          <cell r="D2690" t="str">
            <v>112-77-6</v>
          </cell>
          <cell r="E2690">
            <v>112776</v>
          </cell>
          <cell r="F2690">
            <v>1603</v>
          </cell>
          <cell r="G2690" t="str">
            <v>Reach_924</v>
          </cell>
          <cell r="H2690">
            <v>2682</v>
          </cell>
          <cell r="J2690">
            <v>300.91000000000003</v>
          </cell>
          <cell r="K2690">
            <v>93.88</v>
          </cell>
          <cell r="L2690">
            <v>6.1451300000000013E-3</v>
          </cell>
          <cell r="M2690">
            <v>2.8035999999999998E-3</v>
          </cell>
          <cell r="N2690">
            <v>14791083.881682113</v>
          </cell>
          <cell r="O2690">
            <v>0</v>
          </cell>
          <cell r="P2690">
            <v>0</v>
          </cell>
          <cell r="Q2690">
            <v>0</v>
          </cell>
        </row>
        <row r="2691">
          <cell r="D2691" t="str">
            <v>1120-48-5</v>
          </cell>
          <cell r="E2691">
            <v>1120485</v>
          </cell>
          <cell r="F2691">
            <v>1570</v>
          </cell>
          <cell r="G2691" t="str">
            <v>Reach_1658</v>
          </cell>
          <cell r="H2691">
            <v>2683</v>
          </cell>
          <cell r="J2691">
            <v>241.46</v>
          </cell>
          <cell r="K2691">
            <v>57.14</v>
          </cell>
          <cell r="L2691">
            <v>0.23860700000000001</v>
          </cell>
          <cell r="M2691">
            <v>0.17963000000000001</v>
          </cell>
          <cell r="N2691">
            <v>5011872.3362727314</v>
          </cell>
          <cell r="P2691">
            <v>3.1</v>
          </cell>
          <cell r="Q2691">
            <v>10.9</v>
          </cell>
        </row>
        <row r="2692">
          <cell r="D2692" t="str">
            <v>140-89-6</v>
          </cell>
          <cell r="E2692">
            <v>140896</v>
          </cell>
          <cell r="F2692">
            <v>1195</v>
          </cell>
          <cell r="G2692" t="str">
            <v>Reach_1152</v>
          </cell>
          <cell r="H2692">
            <v>2684</v>
          </cell>
          <cell r="J2692">
            <v>160.30000000000001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  <cell r="P2692">
            <v>0</v>
          </cell>
          <cell r="Q2692">
            <v>14</v>
          </cell>
        </row>
        <row r="2693">
          <cell r="D2693" t="str">
            <v>34274-28-7</v>
          </cell>
          <cell r="E2693">
            <v>34274287</v>
          </cell>
          <cell r="F2693">
            <v>5851</v>
          </cell>
          <cell r="G2693" t="str">
            <v>Reach_2674</v>
          </cell>
          <cell r="H2693">
            <v>2685</v>
          </cell>
          <cell r="J2693">
            <v>316.08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  <cell r="Q2693">
            <v>14</v>
          </cell>
        </row>
        <row r="2694">
          <cell r="D2694" t="str">
            <v>68890-66-4</v>
          </cell>
          <cell r="E2694">
            <v>68890664</v>
          </cell>
          <cell r="F2694">
            <v>5998</v>
          </cell>
          <cell r="G2694" t="str">
            <v>Reach_2911</v>
          </cell>
          <cell r="H2694">
            <v>2686</v>
          </cell>
          <cell r="J2694">
            <v>298.43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  <cell r="Q2694">
            <v>14</v>
          </cell>
        </row>
        <row r="2695">
          <cell r="D2695" t="str">
            <v>831-52-7</v>
          </cell>
          <cell r="E2695">
            <v>831527</v>
          </cell>
          <cell r="F2695">
            <v>6046</v>
          </cell>
          <cell r="G2695" t="str">
            <v>Reach_1560</v>
          </cell>
          <cell r="H2695">
            <v>2687</v>
          </cell>
          <cell r="J2695">
            <v>221.11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  <cell r="Q2695">
            <v>14</v>
          </cell>
        </row>
        <row r="2696">
          <cell r="D2696" t="str">
            <v>57-00-1</v>
          </cell>
          <cell r="E2696">
            <v>57001</v>
          </cell>
          <cell r="F2696">
            <v>3220</v>
          </cell>
          <cell r="G2696" t="str">
            <v>Reach_35</v>
          </cell>
          <cell r="H2696">
            <v>2688</v>
          </cell>
          <cell r="J2696">
            <v>131.13999999999999</v>
          </cell>
          <cell r="K2696">
            <v>92.83</v>
          </cell>
          <cell r="L2696">
            <v>1.4796300000000002E-3</v>
          </cell>
          <cell r="M2696">
            <v>1548.7</v>
          </cell>
          <cell r="N2696">
            <v>1.9054607179632438E-4</v>
          </cell>
          <cell r="O2696">
            <v>2.6</v>
          </cell>
          <cell r="Q2696">
            <v>2.6</v>
          </cell>
        </row>
        <row r="2697">
          <cell r="D2697" t="str">
            <v>5459-04-1</v>
          </cell>
          <cell r="E2697">
            <v>5459041</v>
          </cell>
          <cell r="F2697">
            <v>1276</v>
          </cell>
          <cell r="G2697" t="str">
            <v>Reach_2114</v>
          </cell>
          <cell r="H2697">
            <v>2689</v>
          </cell>
          <cell r="J2697">
            <v>230.22</v>
          </cell>
          <cell r="K2697">
            <v>20.399999999999999</v>
          </cell>
          <cell r="L2697">
            <v>0.39190200000000003</v>
          </cell>
          <cell r="M2697">
            <v>19501</v>
          </cell>
          <cell r="N2697">
            <v>1.8620871366628669E-2</v>
          </cell>
          <cell r="P2697">
            <v>0</v>
          </cell>
          <cell r="Q2697">
            <v>14</v>
          </cell>
        </row>
        <row r="2698">
          <cell r="D2698" t="str">
            <v>6428-31-5</v>
          </cell>
          <cell r="E2698">
            <v>6428315</v>
          </cell>
          <cell r="F2698">
            <v>5967</v>
          </cell>
          <cell r="G2698" t="str">
            <v>Reach_2185</v>
          </cell>
          <cell r="H2698">
            <v>2690</v>
          </cell>
          <cell r="J2698">
            <v>839.8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  <cell r="Q2698">
            <v>14</v>
          </cell>
        </row>
        <row r="2699">
          <cell r="D2699" t="str">
            <v>79-74-3</v>
          </cell>
          <cell r="E2699">
            <v>79743</v>
          </cell>
          <cell r="F2699">
            <v>3781</v>
          </cell>
          <cell r="G2699" t="str">
            <v>Reach_248</v>
          </cell>
          <cell r="H2699">
            <v>2691</v>
          </cell>
          <cell r="J2699">
            <v>250.38</v>
          </cell>
          <cell r="K2699">
            <v>124.93</v>
          </cell>
          <cell r="L2699">
            <v>3.7590600000000006E-5</v>
          </cell>
          <cell r="M2699">
            <v>25.369</v>
          </cell>
          <cell r="N2699">
            <v>676082.97539198259</v>
          </cell>
          <cell r="O2699">
            <v>10.1</v>
          </cell>
          <cell r="Q2699">
            <v>10.1</v>
          </cell>
        </row>
        <row r="2700">
          <cell r="D2700" t="str">
            <v>682-11-1</v>
          </cell>
          <cell r="E2700">
            <v>682111</v>
          </cell>
          <cell r="F2700">
            <v>3511</v>
          </cell>
          <cell r="G2700" t="str">
            <v>Reach_1500</v>
          </cell>
          <cell r="H2700">
            <v>2692</v>
          </cell>
          <cell r="J2700">
            <v>174.24</v>
          </cell>
          <cell r="K2700">
            <v>57.44</v>
          </cell>
          <cell r="L2700">
            <v>1.3863200000000001E-2</v>
          </cell>
          <cell r="M2700">
            <v>8518.2999999999993</v>
          </cell>
          <cell r="N2700">
            <v>5.3703179637025285</v>
          </cell>
          <cell r="O2700">
            <v>14.9</v>
          </cell>
          <cell r="Q2700">
            <v>14</v>
          </cell>
        </row>
        <row r="2701">
          <cell r="D2701" t="str">
            <v>31221-06-4</v>
          </cell>
          <cell r="E2701">
            <v>31221064</v>
          </cell>
          <cell r="F2701">
            <v>5838</v>
          </cell>
          <cell r="G2701" t="str">
            <v>Reach_4279</v>
          </cell>
          <cell r="H2701">
            <v>2693</v>
          </cell>
          <cell r="J2701">
            <v>308.18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  <cell r="Q2701">
            <v>14</v>
          </cell>
        </row>
        <row r="2702">
          <cell r="D2702" t="str">
            <v>4378-61-4</v>
          </cell>
          <cell r="E2702">
            <v>4378614</v>
          </cell>
          <cell r="F2702">
            <v>2916</v>
          </cell>
          <cell r="G2702" t="str">
            <v>Reach_2030</v>
          </cell>
          <cell r="H2702">
            <v>2694</v>
          </cell>
          <cell r="J2702">
            <v>464.12</v>
          </cell>
          <cell r="K2702">
            <v>251.37</v>
          </cell>
          <cell r="L2702">
            <v>9.3709900000000012E-11</v>
          </cell>
          <cell r="M2702">
            <v>2.3200000000000001E-7</v>
          </cell>
          <cell r="N2702">
            <v>13489628.825916575</v>
          </cell>
          <cell r="Q2702">
            <v>14</v>
          </cell>
        </row>
        <row r="2703">
          <cell r="D2703" t="str">
            <v>123-26-2</v>
          </cell>
          <cell r="E2703">
            <v>123262</v>
          </cell>
          <cell r="F2703">
            <v>1765</v>
          </cell>
          <cell r="G2703" t="str">
            <v>Reach_1042</v>
          </cell>
          <cell r="H2703">
            <v>2695</v>
          </cell>
          <cell r="J2703">
            <v>625.04</v>
          </cell>
          <cell r="K2703">
            <v>349.84</v>
          </cell>
          <cell r="L2703">
            <v>1.6262600000000002E-22</v>
          </cell>
          <cell r="M2703">
            <v>8.8599999999999999E-8</v>
          </cell>
          <cell r="N2703">
            <v>204173794466.95337</v>
          </cell>
          <cell r="O2703">
            <v>13.83</v>
          </cell>
          <cell r="P2703">
            <v>14.74</v>
          </cell>
          <cell r="Q2703">
            <v>-0.74000000000000021</v>
          </cell>
        </row>
        <row r="2704">
          <cell r="D2704" t="str">
            <v>1203-17-4</v>
          </cell>
          <cell r="E2704">
            <v>1203174</v>
          </cell>
          <cell r="F2704">
            <v>1709</v>
          </cell>
          <cell r="G2704" t="str">
            <v>Reach_1673</v>
          </cell>
          <cell r="H2704">
            <v>2696</v>
          </cell>
          <cell r="J2704">
            <v>188.31</v>
          </cell>
          <cell r="K2704">
            <v>40.93</v>
          </cell>
          <cell r="L2704">
            <v>4.3722400000000006</v>
          </cell>
          <cell r="M2704">
            <v>2.867</v>
          </cell>
          <cell r="N2704">
            <v>426579.51880159322</v>
          </cell>
          <cell r="Q2704">
            <v>14</v>
          </cell>
        </row>
        <row r="2705">
          <cell r="D2705" t="str">
            <v>14960-06-6</v>
          </cell>
          <cell r="E2705">
            <v>14960066</v>
          </cell>
          <cell r="F2705">
            <v>5705</v>
          </cell>
          <cell r="G2705" t="str">
            <v>Reach_2374</v>
          </cell>
          <cell r="H2705">
            <v>2697</v>
          </cell>
          <cell r="J2705">
            <v>351.46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  <cell r="Q2705">
            <v>14</v>
          </cell>
        </row>
        <row r="2706">
          <cell r="D2706" t="str">
            <v>13676-54-5</v>
          </cell>
          <cell r="E2706">
            <v>13676545</v>
          </cell>
          <cell r="F2706">
            <v>1901</v>
          </cell>
          <cell r="G2706" t="str">
            <v>Reach_2344</v>
          </cell>
          <cell r="H2706">
            <v>2698</v>
          </cell>
          <cell r="J2706">
            <v>358.36</v>
          </cell>
          <cell r="K2706">
            <v>298.31</v>
          </cell>
          <cell r="L2706">
            <v>5.5052900000000004E-14</v>
          </cell>
          <cell r="M2706">
            <v>100.98</v>
          </cell>
          <cell r="N2706">
            <v>63.095734448019364</v>
          </cell>
          <cell r="O2706">
            <v>0</v>
          </cell>
          <cell r="Q2706">
            <v>0</v>
          </cell>
        </row>
        <row r="2707">
          <cell r="D2707" t="str">
            <v>557-05-1</v>
          </cell>
          <cell r="E2707">
            <v>557051</v>
          </cell>
          <cell r="F2707">
            <v>5933</v>
          </cell>
          <cell r="G2707" t="str">
            <v>Reach_1371</v>
          </cell>
          <cell r="H2707">
            <v>2699</v>
          </cell>
          <cell r="J2707">
            <v>632.33000000000004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  <cell r="Q2707">
            <v>14</v>
          </cell>
        </row>
        <row r="2708">
          <cell r="D2708" t="str">
            <v>3179-47-3</v>
          </cell>
          <cell r="E2708">
            <v>3179473</v>
          </cell>
          <cell r="F2708">
            <v>2635</v>
          </cell>
          <cell r="G2708" t="str">
            <v>Reach_1927</v>
          </cell>
          <cell r="H2708">
            <v>2700</v>
          </cell>
          <cell r="J2708">
            <v>226.36</v>
          </cell>
          <cell r="K2708">
            <v>24.13</v>
          </cell>
          <cell r="L2708">
            <v>0.90510700000000011</v>
          </cell>
          <cell r="M2708">
            <v>2.3925000000000001</v>
          </cell>
          <cell r="N2708">
            <v>501187.23362727347</v>
          </cell>
          <cell r="Q2708">
            <v>14</v>
          </cell>
        </row>
        <row r="2709">
          <cell r="D2709" t="str">
            <v>991-84-4</v>
          </cell>
          <cell r="E2709">
            <v>991844</v>
          </cell>
          <cell r="F2709">
            <v>4197</v>
          </cell>
          <cell r="G2709" t="str">
            <v>Reach_1625</v>
          </cell>
          <cell r="H2709">
            <v>2701</v>
          </cell>
          <cell r="J2709">
            <v>588.97</v>
          </cell>
          <cell r="K2709">
            <v>289.81</v>
          </cell>
          <cell r="L2709">
            <v>1.2063650000000002E-14</v>
          </cell>
          <cell r="M2709">
            <v>5.6800000000000002E-9</v>
          </cell>
          <cell r="N2709">
            <v>17782794100389.25</v>
          </cell>
          <cell r="O2709">
            <v>10.34</v>
          </cell>
          <cell r="P2709">
            <v>10.84</v>
          </cell>
          <cell r="Q2709">
            <v>3.16</v>
          </cell>
        </row>
        <row r="2710">
          <cell r="D2710" t="str">
            <v>76812-02-7</v>
          </cell>
          <cell r="E2710">
            <v>76812027</v>
          </cell>
          <cell r="F2710">
            <v>3725</v>
          </cell>
          <cell r="G2710" t="str">
            <v>Reach_4438</v>
          </cell>
          <cell r="H2710">
            <v>2702</v>
          </cell>
          <cell r="J2710">
            <v>541.73</v>
          </cell>
          <cell r="K2710">
            <v>273.66000000000003</v>
          </cell>
          <cell r="L2710">
            <v>3.8123799999999998E-15</v>
          </cell>
          <cell r="M2710">
            <v>7.7342000000000001E-3</v>
          </cell>
          <cell r="N2710">
            <v>26302679.918953825</v>
          </cell>
          <cell r="Q2710">
            <v>14</v>
          </cell>
        </row>
        <row r="2711">
          <cell r="D2711" t="str">
            <v>2582-30-1</v>
          </cell>
          <cell r="E2711">
            <v>2582301</v>
          </cell>
          <cell r="F2711">
            <v>5800</v>
          </cell>
          <cell r="G2711" t="str">
            <v>Reach_1842</v>
          </cell>
          <cell r="H2711">
            <v>2703</v>
          </cell>
          <cell r="J2711">
            <v>136.12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  <cell r="Q2711">
            <v>14</v>
          </cell>
        </row>
        <row r="2712">
          <cell r="D2712" t="str">
            <v>79710-86-4</v>
          </cell>
          <cell r="E2712">
            <v>79710864</v>
          </cell>
          <cell r="F2712">
            <v>3780</v>
          </cell>
          <cell r="G2712" t="str">
            <v>Reach_4593</v>
          </cell>
          <cell r="H2712">
            <v>2704</v>
          </cell>
          <cell r="J2712">
            <v>100.12</v>
          </cell>
          <cell r="K2712">
            <v>-37.93</v>
          </cell>
          <cell r="L2712">
            <v>637.17400000000009</v>
          </cell>
          <cell r="M2712">
            <v>68127</v>
          </cell>
          <cell r="N2712">
            <v>0.72443596007499</v>
          </cell>
          <cell r="Q2712">
            <v>14</v>
          </cell>
        </row>
        <row r="2713">
          <cell r="D2713" t="str">
            <v>4457-71-0</v>
          </cell>
          <cell r="E2713">
            <v>4457710</v>
          </cell>
          <cell r="F2713">
            <v>2927</v>
          </cell>
          <cell r="G2713" t="str">
            <v>Reach_2039</v>
          </cell>
          <cell r="H2713">
            <v>2705</v>
          </cell>
          <cell r="J2713">
            <v>118.18</v>
          </cell>
          <cell r="K2713">
            <v>3.64</v>
          </cell>
          <cell r="L2713">
            <v>1.6129300000000002</v>
          </cell>
          <cell r="M2713">
            <v>33882</v>
          </cell>
          <cell r="N2713">
            <v>4.8977881936844625</v>
          </cell>
          <cell r="Q2713">
            <v>14</v>
          </cell>
        </row>
        <row r="2714">
          <cell r="D2714" t="str">
            <v>31024-56-3</v>
          </cell>
          <cell r="E2714">
            <v>31024563</v>
          </cell>
          <cell r="F2714">
            <v>2617</v>
          </cell>
          <cell r="G2714" t="str">
            <v>Reach_2650</v>
          </cell>
          <cell r="H2714">
            <v>2706</v>
          </cell>
          <cell r="J2714">
            <v>235.4</v>
          </cell>
          <cell r="K2714">
            <v>47.32</v>
          </cell>
          <cell r="L2714">
            <v>1.3263350000000003</v>
          </cell>
          <cell r="M2714">
            <v>8923.1</v>
          </cell>
          <cell r="N2714">
            <v>6.0255958607435796</v>
          </cell>
          <cell r="Q2714">
            <v>14</v>
          </cell>
        </row>
        <row r="2715">
          <cell r="D2715" t="str">
            <v>165253-31-6</v>
          </cell>
          <cell r="E2715">
            <v>165253316</v>
          </cell>
          <cell r="F2715">
            <v>2097</v>
          </cell>
          <cell r="G2715" t="str">
            <v>Reach_4616</v>
          </cell>
          <cell r="H2715">
            <v>2707</v>
          </cell>
          <cell r="J2715">
            <v>101.15</v>
          </cell>
          <cell r="K2715">
            <v>-16.55</v>
          </cell>
          <cell r="L2715">
            <v>565.19200000000012</v>
          </cell>
          <cell r="M2715">
            <v>162000</v>
          </cell>
          <cell r="N2715">
            <v>0.75857757502918366</v>
          </cell>
          <cell r="Q2715">
            <v>14</v>
          </cell>
        </row>
        <row r="2716">
          <cell r="D2716" t="str">
            <v>2044-64-6</v>
          </cell>
          <cell r="E2716">
            <v>2044646</v>
          </cell>
          <cell r="F2716">
            <v>2265</v>
          </cell>
          <cell r="G2716" t="str">
            <v>Reach_1750</v>
          </cell>
          <cell r="H2716">
            <v>2708</v>
          </cell>
          <cell r="J2716">
            <v>129.16</v>
          </cell>
          <cell r="K2716">
            <v>31.74</v>
          </cell>
          <cell r="L2716">
            <v>13.996500000000001</v>
          </cell>
          <cell r="M2716">
            <v>6080000</v>
          </cell>
          <cell r="N2716">
            <v>0.2630267991895382</v>
          </cell>
          <cell r="O2716">
            <v>8.9</v>
          </cell>
          <cell r="P2716">
            <v>14.3</v>
          </cell>
          <cell r="Q2716">
            <v>-0.30000000000000071</v>
          </cell>
        </row>
        <row r="2717">
          <cell r="D2717" t="str">
            <v>122-57-6</v>
          </cell>
          <cell r="E2717">
            <v>122576</v>
          </cell>
          <cell r="F2717">
            <v>1752</v>
          </cell>
          <cell r="G2717" t="str">
            <v>Reach_1031</v>
          </cell>
          <cell r="H2717">
            <v>2709</v>
          </cell>
          <cell r="J2717">
            <v>146.19</v>
          </cell>
          <cell r="K2717">
            <v>11.89</v>
          </cell>
          <cell r="L2717">
            <v>1.3330000000000002</v>
          </cell>
          <cell r="M2717">
            <v>492.59</v>
          </cell>
          <cell r="N2717">
            <v>109.64781961431861</v>
          </cell>
          <cell r="Q2717">
            <v>14</v>
          </cell>
        </row>
        <row r="2718">
          <cell r="D2718" t="str">
            <v>17392-83-5</v>
          </cell>
          <cell r="E2718">
            <v>17392835</v>
          </cell>
          <cell r="F2718">
            <v>2134</v>
          </cell>
          <cell r="G2718" t="str">
            <v>Reach_2432</v>
          </cell>
          <cell r="H2718">
            <v>2710</v>
          </cell>
          <cell r="J2718">
            <v>104.11</v>
          </cell>
          <cell r="K2718">
            <v>-39.770000000000003</v>
          </cell>
          <cell r="L2718">
            <v>241.27300000000002</v>
          </cell>
          <cell r="M2718">
            <v>336000</v>
          </cell>
          <cell r="N2718">
            <v>0.21379620895022314</v>
          </cell>
          <cell r="O2718">
            <v>12.62</v>
          </cell>
          <cell r="Q2718">
            <v>12.62</v>
          </cell>
        </row>
        <row r="2719">
          <cell r="D2719" t="str">
            <v>686-31-7</v>
          </cell>
          <cell r="E2719">
            <v>686317</v>
          </cell>
          <cell r="F2719">
            <v>3523</v>
          </cell>
          <cell r="G2719" t="str">
            <v>Reach_1502</v>
          </cell>
          <cell r="H2719">
            <v>2711</v>
          </cell>
          <cell r="J2719">
            <v>230.35</v>
          </cell>
          <cell r="K2719">
            <v>25.26</v>
          </cell>
          <cell r="L2719">
            <v>2.6793300000000002</v>
          </cell>
          <cell r="M2719">
            <v>5.0937999999999997E-2</v>
          </cell>
          <cell r="N2719">
            <v>63095.734448019342</v>
          </cell>
          <cell r="Q2719">
            <v>14</v>
          </cell>
        </row>
        <row r="2720">
          <cell r="D2720" t="str">
            <v>81-19-6</v>
          </cell>
          <cell r="E2720">
            <v>81196</v>
          </cell>
          <cell r="F2720">
            <v>939</v>
          </cell>
          <cell r="G2720" t="str">
            <v>Reach_273</v>
          </cell>
          <cell r="H2720">
            <v>2712</v>
          </cell>
          <cell r="J2720">
            <v>229.92</v>
          </cell>
          <cell r="K2720">
            <v>45.74</v>
          </cell>
          <cell r="L2720">
            <v>1.1783720000000002</v>
          </cell>
          <cell r="M2720">
            <v>5.4734999999999996</v>
          </cell>
          <cell r="N2720">
            <v>18197.008586099837</v>
          </cell>
          <cell r="O2720">
            <v>0</v>
          </cell>
          <cell r="P2720">
            <v>0</v>
          </cell>
          <cell r="Q2720">
            <v>0</v>
          </cell>
        </row>
        <row r="2721">
          <cell r="D2721" t="str">
            <v>13170-23-5</v>
          </cell>
          <cell r="E2721">
            <v>13170235</v>
          </cell>
          <cell r="F2721">
            <v>1851</v>
          </cell>
          <cell r="G2721" t="str">
            <v>Reach_2324</v>
          </cell>
          <cell r="H2721">
            <v>2713</v>
          </cell>
          <cell r="J2721">
            <v>292.39999999999998</v>
          </cell>
          <cell r="K2721">
            <v>1.68</v>
          </cell>
          <cell r="L2721">
            <v>1.8395400000000002</v>
          </cell>
          <cell r="M2721">
            <v>113.3</v>
          </cell>
          <cell r="N2721">
            <v>25.703957827688647</v>
          </cell>
          <cell r="Q2721">
            <v>14</v>
          </cell>
        </row>
        <row r="2722">
          <cell r="D2722" t="str">
            <v>2897-00-9</v>
          </cell>
          <cell r="E2722">
            <v>2897009</v>
          </cell>
          <cell r="F2722">
            <v>2553</v>
          </cell>
          <cell r="G2722" t="str">
            <v>Reach_4840</v>
          </cell>
          <cell r="H2722">
            <v>2714</v>
          </cell>
          <cell r="J2722">
            <v>285.77</v>
          </cell>
          <cell r="K2722">
            <v>146.29</v>
          </cell>
          <cell r="L2722">
            <v>9.2776800000000009E-5</v>
          </cell>
          <cell r="M2722">
            <v>1.7039</v>
          </cell>
          <cell r="N2722">
            <v>331131.12148259126</v>
          </cell>
          <cell r="O2722">
            <v>0</v>
          </cell>
          <cell r="P2722">
            <v>12.95</v>
          </cell>
          <cell r="Q2722">
            <v>0</v>
          </cell>
        </row>
        <row r="2723">
          <cell r="D2723" t="str">
            <v>93413-69-5</v>
          </cell>
          <cell r="E2723">
            <v>93413695</v>
          </cell>
          <cell r="F2723">
            <v>1019</v>
          </cell>
          <cell r="G2723" t="str">
            <v>Reach_4503</v>
          </cell>
          <cell r="H2723">
            <v>2715</v>
          </cell>
          <cell r="J2723">
            <v>277.41000000000003</v>
          </cell>
          <cell r="K2723">
            <v>118.8</v>
          </cell>
          <cell r="L2723">
            <v>3.2791800000000007E-5</v>
          </cell>
          <cell r="M2723">
            <v>709.41</v>
          </cell>
          <cell r="N2723">
            <v>1905.4607179632485</v>
          </cell>
          <cell r="P2723">
            <v>6</v>
          </cell>
          <cell r="Q2723">
            <v>8</v>
          </cell>
        </row>
        <row r="2724">
          <cell r="D2724" t="str">
            <v>13940-94-8</v>
          </cell>
          <cell r="E2724">
            <v>13940948</v>
          </cell>
          <cell r="F2724">
            <v>1919</v>
          </cell>
          <cell r="G2724" t="str">
            <v>Reach_2352</v>
          </cell>
          <cell r="H2724">
            <v>2716</v>
          </cell>
          <cell r="J2724">
            <v>195.48</v>
          </cell>
          <cell r="K2724">
            <v>16.27</v>
          </cell>
          <cell r="L2724">
            <v>8.1846200000000007</v>
          </cell>
          <cell r="M2724">
            <v>14.96</v>
          </cell>
          <cell r="N2724">
            <v>4168.6938347033583</v>
          </cell>
          <cell r="O2724">
            <v>0</v>
          </cell>
          <cell r="Q2724">
            <v>0</v>
          </cell>
        </row>
        <row r="2725">
          <cell r="D2725" t="str">
            <v>546-46-3</v>
          </cell>
          <cell r="E2725">
            <v>546463</v>
          </cell>
          <cell r="F2725">
            <v>5926</v>
          </cell>
          <cell r="G2725" t="str">
            <v>Reach_1355</v>
          </cell>
          <cell r="H2725">
            <v>2717</v>
          </cell>
          <cell r="J2725">
            <v>574.34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  <cell r="Q2725">
            <v>14</v>
          </cell>
        </row>
        <row r="2726">
          <cell r="D2726" t="str">
            <v>154279-60-4</v>
          </cell>
          <cell r="E2726">
            <v>154279604</v>
          </cell>
          <cell r="F2726">
            <v>2034</v>
          </cell>
          <cell r="G2726" t="str">
            <v>Reach_4620</v>
          </cell>
          <cell r="H2726">
            <v>2718</v>
          </cell>
          <cell r="J2726">
            <v>322.58</v>
          </cell>
          <cell r="K2726">
            <v>121.26</v>
          </cell>
          <cell r="L2726">
            <v>3.9456800000000003E-4</v>
          </cell>
          <cell r="M2726">
            <v>9.1339999999999998E-4</v>
          </cell>
          <cell r="N2726">
            <v>10000000</v>
          </cell>
          <cell r="Q2726">
            <v>14</v>
          </cell>
        </row>
        <row r="2727">
          <cell r="D2727" t="str">
            <v>118135-28-7</v>
          </cell>
          <cell r="E2727">
            <v>118135287</v>
          </cell>
          <cell r="F2727">
            <v>1666</v>
          </cell>
          <cell r="G2727" t="str">
            <v>Reach_4092</v>
          </cell>
          <cell r="H2727">
            <v>2719</v>
          </cell>
          <cell r="J2727">
            <v>246.78</v>
          </cell>
          <cell r="K2727">
            <v>74.11</v>
          </cell>
          <cell r="L2727">
            <v>0.12063650000000001</v>
          </cell>
          <cell r="M2727">
            <v>3.2198999999999999E-3</v>
          </cell>
          <cell r="N2727">
            <v>120226.44346174144</v>
          </cell>
          <cell r="Q2727">
            <v>14</v>
          </cell>
        </row>
        <row r="2728">
          <cell r="D2728" t="str">
            <v>926-57-8</v>
          </cell>
          <cell r="E2728">
            <v>926578</v>
          </cell>
          <cell r="F2728">
            <v>4041</v>
          </cell>
          <cell r="G2728" t="str">
            <v>Reach_1597</v>
          </cell>
          <cell r="H2728">
            <v>2720</v>
          </cell>
          <cell r="J2728">
            <v>125</v>
          </cell>
          <cell r="K2728">
            <v>-69.150000000000006</v>
          </cell>
          <cell r="L2728">
            <v>1275.681</v>
          </cell>
          <cell r="M2728">
            <v>1459.6</v>
          </cell>
          <cell r="N2728">
            <v>691.83097091893671</v>
          </cell>
          <cell r="Q2728">
            <v>14</v>
          </cell>
        </row>
        <row r="2729">
          <cell r="D2729" t="str">
            <v>65405-77-8</v>
          </cell>
          <cell r="E2729">
            <v>65405778</v>
          </cell>
          <cell r="F2729">
            <v>3452</v>
          </cell>
          <cell r="G2729" t="str">
            <v>Reach_2872</v>
          </cell>
          <cell r="H2729">
            <v>2721</v>
          </cell>
          <cell r="J2729">
            <v>220.27</v>
          </cell>
          <cell r="K2729">
            <v>99.52</v>
          </cell>
          <cell r="L2729">
            <v>2.5993500000000003E-3</v>
          </cell>
          <cell r="M2729">
            <v>2.0337999999999998</v>
          </cell>
          <cell r="N2729">
            <v>69183.097091893651</v>
          </cell>
          <cell r="O2729">
            <v>9.8000000000000007</v>
          </cell>
          <cell r="Q2729">
            <v>9.8000000000000007</v>
          </cell>
        </row>
        <row r="2730">
          <cell r="D2730" t="str">
            <v>112-64-1</v>
          </cell>
          <cell r="E2730">
            <v>112641</v>
          </cell>
          <cell r="F2730">
            <v>1596</v>
          </cell>
          <cell r="G2730" t="str">
            <v>Reach_917</v>
          </cell>
          <cell r="H2730">
            <v>2722</v>
          </cell>
          <cell r="J2730">
            <v>246.82</v>
          </cell>
          <cell r="K2730">
            <v>57.7</v>
          </cell>
          <cell r="L2730">
            <v>0.49187700000000006</v>
          </cell>
          <cell r="M2730">
            <v>6.4203999999999997E-2</v>
          </cell>
          <cell r="N2730">
            <v>263026.79918953858</v>
          </cell>
          <cell r="O2730">
            <v>0</v>
          </cell>
          <cell r="P2730">
            <v>0</v>
          </cell>
          <cell r="Q2730">
            <v>0</v>
          </cell>
        </row>
        <row r="2731">
          <cell r="D2731" t="str">
            <v>15217-42-2</v>
          </cell>
          <cell r="E2731">
            <v>15217422</v>
          </cell>
          <cell r="F2731">
            <v>5711</v>
          </cell>
          <cell r="G2731" t="str">
            <v>Reach_2379</v>
          </cell>
          <cell r="H2731">
            <v>2723</v>
          </cell>
          <cell r="J2731">
            <v>141.11000000000001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  <cell r="Q2731">
            <v>14</v>
          </cell>
        </row>
        <row r="2732">
          <cell r="D2732" t="str">
            <v>105-67-9</v>
          </cell>
          <cell r="E2732">
            <v>105679</v>
          </cell>
          <cell r="F2732">
            <v>181</v>
          </cell>
          <cell r="G2732" t="str">
            <v>Reach_647</v>
          </cell>
          <cell r="H2732">
            <v>2724</v>
          </cell>
          <cell r="J2732">
            <v>122.17</v>
          </cell>
          <cell r="K2732">
            <v>25.37</v>
          </cell>
          <cell r="L2732">
            <v>13.863200000000001</v>
          </cell>
          <cell r="M2732">
            <v>1749.3</v>
          </cell>
          <cell r="N2732">
            <v>407.38027780411272</v>
          </cell>
          <cell r="O2732">
            <v>10</v>
          </cell>
          <cell r="Q2732">
            <v>10</v>
          </cell>
        </row>
        <row r="2733">
          <cell r="D2733" t="str">
            <v>67330-25-0</v>
          </cell>
          <cell r="E2733">
            <v>67330250</v>
          </cell>
          <cell r="F2733">
            <v>3489</v>
          </cell>
          <cell r="G2733" t="str">
            <v>Reach_4394</v>
          </cell>
          <cell r="H2733">
            <v>2725</v>
          </cell>
          <cell r="J2733">
            <v>337.34</v>
          </cell>
          <cell r="K2733">
            <v>130.27000000000001</v>
          </cell>
          <cell r="L2733">
            <v>2.9859200000000003E-4</v>
          </cell>
          <cell r="M2733">
            <v>0.26621</v>
          </cell>
          <cell r="N2733">
            <v>8317637.7110267216</v>
          </cell>
          <cell r="Q2733">
            <v>14</v>
          </cell>
        </row>
        <row r="2734">
          <cell r="D2734" t="str">
            <v>128-42-7</v>
          </cell>
          <cell r="E2734">
            <v>128427</v>
          </cell>
          <cell r="F2734">
            <v>1821</v>
          </cell>
          <cell r="G2734" t="str">
            <v>Reach_1110</v>
          </cell>
          <cell r="H2734">
            <v>2726</v>
          </cell>
          <cell r="J2734">
            <v>430.37</v>
          </cell>
          <cell r="K2734">
            <v>295.36</v>
          </cell>
          <cell r="L2734">
            <v>1.2983420000000001E-17</v>
          </cell>
          <cell r="M2734">
            <v>619.19000000000005</v>
          </cell>
          <cell r="N2734">
            <v>1.1220184543019636</v>
          </cell>
          <cell r="O2734">
            <v>-0.55000000000000004</v>
          </cell>
          <cell r="Q2734">
            <v>-0.55000000000000004</v>
          </cell>
        </row>
        <row r="2735">
          <cell r="D2735" t="str">
            <v>5384-21-4</v>
          </cell>
          <cell r="E2735">
            <v>5384214</v>
          </cell>
          <cell r="F2735">
            <v>3112</v>
          </cell>
          <cell r="G2735" t="str">
            <v>Reach_2104</v>
          </cell>
          <cell r="H2735">
            <v>2727</v>
          </cell>
          <cell r="J2735">
            <v>256.35000000000002</v>
          </cell>
          <cell r="K2735">
            <v>162.04</v>
          </cell>
          <cell r="L2735">
            <v>2.5593600000000002E-6</v>
          </cell>
          <cell r="M2735">
            <v>6.3422000000000001</v>
          </cell>
          <cell r="N2735">
            <v>173780.0828749378</v>
          </cell>
          <cell r="O2735">
            <v>10.6</v>
          </cell>
          <cell r="Q2735">
            <v>10.6</v>
          </cell>
        </row>
        <row r="2736">
          <cell r="D2736" t="str">
            <v>219715-41-0</v>
          </cell>
          <cell r="E2736">
            <v>219715410</v>
          </cell>
          <cell r="F2736">
            <v>2313</v>
          </cell>
          <cell r="G2736" t="str">
            <v>Reach_4223</v>
          </cell>
          <cell r="H2736">
            <v>2728</v>
          </cell>
          <cell r="J2736">
            <v>275.63</v>
          </cell>
          <cell r="K2736">
            <v>109.44</v>
          </cell>
          <cell r="L2736">
            <v>1.6262600000000002E-2</v>
          </cell>
          <cell r="M2736">
            <v>675.21</v>
          </cell>
          <cell r="N2736">
            <v>1778.2794100389244</v>
          </cell>
          <cell r="Q2736">
            <v>14</v>
          </cell>
        </row>
        <row r="2737">
          <cell r="D2737" t="str">
            <v>14078-41-2</v>
          </cell>
          <cell r="E2737">
            <v>14078412</v>
          </cell>
          <cell r="F2737">
            <v>1930</v>
          </cell>
          <cell r="G2737" t="str">
            <v>Reach_4144</v>
          </cell>
          <cell r="H2737">
            <v>2729</v>
          </cell>
          <cell r="J2737">
            <v>358.48</v>
          </cell>
          <cell r="K2737">
            <v>199.21</v>
          </cell>
          <cell r="L2737">
            <v>7.7314E-9</v>
          </cell>
          <cell r="M2737">
            <v>0.13131999999999999</v>
          </cell>
          <cell r="N2737">
            <v>6025595.8607435944</v>
          </cell>
          <cell r="P2737">
            <v>0</v>
          </cell>
          <cell r="Q2737">
            <v>14</v>
          </cell>
        </row>
        <row r="2738">
          <cell r="D2738" t="str">
            <v>675-62-7</v>
          </cell>
          <cell r="E2738">
            <v>675627</v>
          </cell>
          <cell r="F2738">
            <v>3496</v>
          </cell>
          <cell r="G2738" t="str">
            <v>Reach_1495</v>
          </cell>
          <cell r="H2738">
            <v>2730</v>
          </cell>
          <cell r="J2738">
            <v>211.09</v>
          </cell>
          <cell r="K2738">
            <v>-59.03</v>
          </cell>
          <cell r="L2738">
            <v>4452.22</v>
          </cell>
          <cell r="M2738">
            <v>0</v>
          </cell>
          <cell r="N2738">
            <v>2884.0315031266077</v>
          </cell>
          <cell r="Q2738">
            <v>14</v>
          </cell>
        </row>
        <row r="2739">
          <cell r="D2739" t="str">
            <v>114798-26-4</v>
          </cell>
          <cell r="E2739">
            <v>114798264</v>
          </cell>
          <cell r="F2739">
            <v>1626</v>
          </cell>
          <cell r="G2739" t="str">
            <v>Reach_4084</v>
          </cell>
          <cell r="H2739">
            <v>2731</v>
          </cell>
          <cell r="J2739">
            <v>422.93</v>
          </cell>
          <cell r="K2739">
            <v>299.92</v>
          </cell>
          <cell r="L2739">
            <v>7.2515200000000009E-16</v>
          </cell>
          <cell r="M2739">
            <v>2.7634999999999999E-3</v>
          </cell>
          <cell r="N2739">
            <v>10232.929922807549</v>
          </cell>
          <cell r="Q2739">
            <v>14</v>
          </cell>
        </row>
        <row r="2740">
          <cell r="D2740" t="str">
            <v>163802-53-7</v>
          </cell>
          <cell r="E2740">
            <v>163802537</v>
          </cell>
          <cell r="F2740">
            <v>2089</v>
          </cell>
          <cell r="G2740" t="str">
            <v>Reach_4611</v>
          </cell>
          <cell r="H2740">
            <v>2732</v>
          </cell>
          <cell r="J2740">
            <v>274.39</v>
          </cell>
          <cell r="K2740">
            <v>62.03</v>
          </cell>
          <cell r="L2740">
            <v>8.1579600000000016E-2</v>
          </cell>
          <cell r="M2740">
            <v>174.53</v>
          </cell>
          <cell r="N2740">
            <v>24.547089156850305</v>
          </cell>
          <cell r="Q2740">
            <v>14</v>
          </cell>
        </row>
        <row r="2741">
          <cell r="D2741" t="str">
            <v>69-53-4</v>
          </cell>
          <cell r="E2741">
            <v>69534</v>
          </cell>
          <cell r="F2741">
            <v>808</v>
          </cell>
          <cell r="G2741" t="str">
            <v>Reach_94</v>
          </cell>
          <cell r="H2741">
            <v>2733</v>
          </cell>
          <cell r="J2741">
            <v>349.41</v>
          </cell>
          <cell r="K2741">
            <v>324.85000000000002</v>
          </cell>
          <cell r="L2741">
            <v>3.7857200000000005E-11</v>
          </cell>
          <cell r="M2741">
            <v>3536.7</v>
          </cell>
          <cell r="N2741">
            <v>28.183829312644548</v>
          </cell>
          <cell r="P2741">
            <v>7</v>
          </cell>
          <cell r="Q2741">
            <v>7</v>
          </cell>
        </row>
        <row r="2742">
          <cell r="D2742" t="str">
            <v>3407-42-9</v>
          </cell>
          <cell r="E2742">
            <v>3407429</v>
          </cell>
          <cell r="F2742">
            <v>2689</v>
          </cell>
          <cell r="G2742" t="str">
            <v>Reach_1956</v>
          </cell>
          <cell r="H2742">
            <v>2734</v>
          </cell>
          <cell r="J2742">
            <v>236.4</v>
          </cell>
          <cell r="K2742">
            <v>87.6</v>
          </cell>
          <cell r="L2742">
            <v>1.6262600000000002E-3</v>
          </cell>
          <cell r="M2742">
            <v>21.111000000000001</v>
          </cell>
          <cell r="N2742">
            <v>316227.7660168382</v>
          </cell>
          <cell r="Q2742">
            <v>14</v>
          </cell>
        </row>
        <row r="2743">
          <cell r="D2743" t="str">
            <v>2431-50-7</v>
          </cell>
          <cell r="E2743">
            <v>2431507</v>
          </cell>
          <cell r="F2743">
            <v>2386</v>
          </cell>
          <cell r="G2743" t="str">
            <v>Reach_1807</v>
          </cell>
          <cell r="H2743">
            <v>2735</v>
          </cell>
          <cell r="J2743">
            <v>159.44</v>
          </cell>
          <cell r="K2743">
            <v>-52.48</v>
          </cell>
          <cell r="L2743">
            <v>423.89400000000006</v>
          </cell>
          <cell r="M2743">
            <v>1321</v>
          </cell>
          <cell r="N2743">
            <v>1258.925411794168</v>
          </cell>
          <cell r="O2743">
            <v>0</v>
          </cell>
          <cell r="Q2743">
            <v>0</v>
          </cell>
        </row>
        <row r="2744">
          <cell r="D2744" t="str">
            <v>125971-57-5</v>
          </cell>
          <cell r="E2744">
            <v>125971575</v>
          </cell>
          <cell r="F2744">
            <v>1800</v>
          </cell>
          <cell r="G2744" t="str">
            <v>Reach_4534</v>
          </cell>
          <cell r="H2744">
            <v>2736</v>
          </cell>
          <cell r="J2744">
            <v>293.37</v>
          </cell>
          <cell r="K2744">
            <v>188.54</v>
          </cell>
          <cell r="L2744">
            <v>5.6385900000000005E-7</v>
          </cell>
          <cell r="M2744">
            <v>10.637</v>
          </cell>
          <cell r="N2744">
            <v>17782.794100389234</v>
          </cell>
          <cell r="Q2744">
            <v>14</v>
          </cell>
        </row>
        <row r="2745">
          <cell r="D2745" t="str">
            <v>25013-16-5</v>
          </cell>
          <cell r="E2745">
            <v>25013165</v>
          </cell>
          <cell r="F2745">
            <v>1208</v>
          </cell>
          <cell r="G2745" t="str">
            <v>Reach_2558</v>
          </cell>
          <cell r="H2745">
            <v>2737</v>
          </cell>
          <cell r="J2745">
            <v>360.49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  <cell r="O2745">
            <v>0</v>
          </cell>
          <cell r="Q2745">
            <v>0</v>
          </cell>
        </row>
        <row r="2746">
          <cell r="D2746" t="str">
            <v>26591-72-0</v>
          </cell>
          <cell r="E2746">
            <v>26591720</v>
          </cell>
          <cell r="F2746">
            <v>5806</v>
          </cell>
          <cell r="G2746" t="str">
            <v>Reach_2590</v>
          </cell>
          <cell r="H2746">
            <v>2738</v>
          </cell>
          <cell r="J2746">
            <v>222.26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</row>
        <row r="2747">
          <cell r="D2747" t="str">
            <v>93-17-4</v>
          </cell>
          <cell r="E2747">
            <v>93174</v>
          </cell>
          <cell r="F2747">
            <v>4063</v>
          </cell>
          <cell r="G2747" t="str">
            <v>Reach_400</v>
          </cell>
          <cell r="H2747">
            <v>2739</v>
          </cell>
          <cell r="J2747">
            <v>177.2</v>
          </cell>
          <cell r="K2747">
            <v>75.209999999999994</v>
          </cell>
          <cell r="L2747">
            <v>0.13223360000000001</v>
          </cell>
          <cell r="M2747">
            <v>2352.4</v>
          </cell>
          <cell r="N2747">
            <v>16.218100973589298</v>
          </cell>
          <cell r="Q2747">
            <v>14</v>
          </cell>
        </row>
        <row r="2748">
          <cell r="D2748" t="str">
            <v>100-64-1</v>
          </cell>
          <cell r="E2748">
            <v>100641</v>
          </cell>
          <cell r="F2748">
            <v>135</v>
          </cell>
          <cell r="G2748" t="str">
            <v>Reach_566</v>
          </cell>
          <cell r="H2748">
            <v>2740</v>
          </cell>
          <cell r="J2748">
            <v>113.16</v>
          </cell>
          <cell r="K2748">
            <v>-9.23</v>
          </cell>
          <cell r="L2748">
            <v>1.4529700000000001</v>
          </cell>
          <cell r="M2748">
            <v>44173</v>
          </cell>
          <cell r="N2748">
            <v>8.1283051616409931</v>
          </cell>
          <cell r="Q2748">
            <v>14</v>
          </cell>
        </row>
        <row r="2749">
          <cell r="D2749" t="str">
            <v>93918-85-5</v>
          </cell>
          <cell r="E2749">
            <v>93918855</v>
          </cell>
          <cell r="F2749">
            <v>4091</v>
          </cell>
          <cell r="G2749" t="str">
            <v>Reach_3003</v>
          </cell>
          <cell r="H2749">
            <v>2741</v>
          </cell>
          <cell r="J2749">
            <v>269.5</v>
          </cell>
          <cell r="K2749">
            <v>89.17</v>
          </cell>
          <cell r="L2749">
            <v>2.3460800000000004E-3</v>
          </cell>
          <cell r="M2749">
            <v>2.8729999999999999E-2</v>
          </cell>
          <cell r="N2749">
            <v>1778279.4100389241</v>
          </cell>
          <cell r="Q2749">
            <v>14</v>
          </cell>
        </row>
        <row r="2750">
          <cell r="D2750" t="str">
            <v>135043-68-4</v>
          </cell>
          <cell r="E2750">
            <v>135043684</v>
          </cell>
          <cell r="F2750">
            <v>5672</v>
          </cell>
          <cell r="G2750" t="str">
            <v>Reach_4846</v>
          </cell>
          <cell r="H2750">
            <v>2742</v>
          </cell>
          <cell r="J2750">
            <v>534.51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  <cell r="Q2750">
            <v>14</v>
          </cell>
        </row>
        <row r="2751">
          <cell r="D2751" t="str">
            <v>124-19-6</v>
          </cell>
          <cell r="E2751">
            <v>124196</v>
          </cell>
          <cell r="F2751">
            <v>1788</v>
          </cell>
          <cell r="G2751" t="str">
            <v>Reach_1073</v>
          </cell>
          <cell r="H2751">
            <v>2743</v>
          </cell>
          <cell r="J2751">
            <v>142.24</v>
          </cell>
          <cell r="K2751">
            <v>-19.46</v>
          </cell>
          <cell r="L2751">
            <v>75.181200000000004</v>
          </cell>
          <cell r="M2751">
            <v>153.37</v>
          </cell>
          <cell r="N2751">
            <v>1862.0871366628687</v>
          </cell>
          <cell r="Q2751">
            <v>14</v>
          </cell>
        </row>
        <row r="2752">
          <cell r="D2752" t="str">
            <v>33021-02-2</v>
          </cell>
          <cell r="E2752">
            <v>33021022</v>
          </cell>
          <cell r="F2752">
            <v>2673</v>
          </cell>
          <cell r="G2752" t="str">
            <v>Reach_2667</v>
          </cell>
          <cell r="H2752">
            <v>2744</v>
          </cell>
          <cell r="J2752">
            <v>130.22999999999999</v>
          </cell>
          <cell r="K2752">
            <v>-67.5</v>
          </cell>
          <cell r="L2752">
            <v>4385.5700000000006</v>
          </cell>
          <cell r="M2752">
            <v>142.15</v>
          </cell>
          <cell r="N2752">
            <v>676.08297539198213</v>
          </cell>
          <cell r="Q2752">
            <v>14</v>
          </cell>
        </row>
        <row r="2753">
          <cell r="D2753" t="str">
            <v>2890-61-1</v>
          </cell>
          <cell r="E2753">
            <v>2890611</v>
          </cell>
          <cell r="F2753">
            <v>2548</v>
          </cell>
          <cell r="G2753" t="str">
            <v>Reach_4269</v>
          </cell>
          <cell r="H2753">
            <v>2745</v>
          </cell>
          <cell r="J2753">
            <v>160.63999999999999</v>
          </cell>
          <cell r="K2753">
            <v>8.51</v>
          </cell>
          <cell r="L2753">
            <v>95.3095</v>
          </cell>
          <cell r="M2753">
            <v>61.814999999999998</v>
          </cell>
          <cell r="N2753">
            <v>177.82794100389242</v>
          </cell>
          <cell r="Q2753">
            <v>14</v>
          </cell>
        </row>
        <row r="2754">
          <cell r="D2754" t="str">
            <v>142-29-0</v>
          </cell>
          <cell r="E2754">
            <v>142290</v>
          </cell>
          <cell r="F2754">
            <v>1952</v>
          </cell>
          <cell r="G2754" t="str">
            <v>Reach_1176</v>
          </cell>
          <cell r="H2754">
            <v>2746</v>
          </cell>
          <cell r="J2754">
            <v>68.119</v>
          </cell>
          <cell r="K2754">
            <v>-93.18</v>
          </cell>
          <cell r="L2754">
            <v>50654.000000000007</v>
          </cell>
          <cell r="M2754">
            <v>892.29</v>
          </cell>
          <cell r="N2754">
            <v>295.12092266663893</v>
          </cell>
          <cell r="P2754">
            <v>0</v>
          </cell>
          <cell r="Q2754">
            <v>14</v>
          </cell>
        </row>
        <row r="2755">
          <cell r="D2755" t="str">
            <v>18531-99-2</v>
          </cell>
          <cell r="E2755">
            <v>18531992</v>
          </cell>
          <cell r="F2755">
            <v>2197</v>
          </cell>
          <cell r="G2755" t="str">
            <v>Reach_4190</v>
          </cell>
          <cell r="H2755">
            <v>2747</v>
          </cell>
          <cell r="J2755">
            <v>286.33</v>
          </cell>
          <cell r="K2755">
            <v>210.82</v>
          </cell>
          <cell r="L2755">
            <v>9.7309E-10</v>
          </cell>
          <cell r="M2755">
            <v>37.604999999999997</v>
          </cell>
          <cell r="N2755">
            <v>141253.75446227577</v>
          </cell>
          <cell r="O2755">
            <v>9.23</v>
          </cell>
          <cell r="Q2755">
            <v>9.23</v>
          </cell>
        </row>
        <row r="2756">
          <cell r="D2756" t="str">
            <v>3218-36-8</v>
          </cell>
          <cell r="E2756">
            <v>3218368</v>
          </cell>
          <cell r="F2756">
            <v>2644</v>
          </cell>
          <cell r="G2756" t="str">
            <v>Reach_1934</v>
          </cell>
          <cell r="H2756">
            <v>2748</v>
          </cell>
          <cell r="J2756">
            <v>182.22</v>
          </cell>
          <cell r="K2756">
            <v>73.13</v>
          </cell>
          <cell r="L2756">
            <v>2.4660500000000002E-2</v>
          </cell>
          <cell r="M2756">
            <v>13.265000000000001</v>
          </cell>
          <cell r="N2756">
            <v>2951.2092266663899</v>
          </cell>
          <cell r="Q2756">
            <v>14</v>
          </cell>
        </row>
        <row r="2757">
          <cell r="D2757" t="str">
            <v>161599-46-8</v>
          </cell>
          <cell r="E2757">
            <v>161599468</v>
          </cell>
          <cell r="F2757">
            <v>2080</v>
          </cell>
          <cell r="G2757" t="str">
            <v>Reach_4171</v>
          </cell>
          <cell r="H2757">
            <v>2749</v>
          </cell>
          <cell r="J2757">
            <v>329.29</v>
          </cell>
          <cell r="K2757">
            <v>150.51</v>
          </cell>
          <cell r="L2757">
            <v>3.5857700000000001E-5</v>
          </cell>
          <cell r="M2757">
            <v>504.98</v>
          </cell>
          <cell r="N2757">
            <v>0.42657951880159267</v>
          </cell>
          <cell r="P2757">
            <v>12.02</v>
          </cell>
          <cell r="Q2757">
            <v>1.9800000000000004</v>
          </cell>
        </row>
        <row r="2758">
          <cell r="D2758" t="str">
            <v>63157-72-2</v>
          </cell>
          <cell r="E2758">
            <v>63157722</v>
          </cell>
          <cell r="F2758">
            <v>5960</v>
          </cell>
          <cell r="G2758" t="str">
            <v>Reach_2856</v>
          </cell>
          <cell r="H2758">
            <v>2750</v>
          </cell>
          <cell r="J2758">
            <v>515.75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  <cell r="Q2758">
            <v>14</v>
          </cell>
        </row>
        <row r="2759">
          <cell r="D2759" t="str">
            <v>998-30-1</v>
          </cell>
          <cell r="E2759">
            <v>998301</v>
          </cell>
          <cell r="F2759">
            <v>4219</v>
          </cell>
          <cell r="G2759" t="str">
            <v>Reach_1630</v>
          </cell>
          <cell r="H2759">
            <v>2751</v>
          </cell>
          <cell r="J2759">
            <v>163.27000000000001</v>
          </cell>
          <cell r="K2759">
            <v>-44.67</v>
          </cell>
          <cell r="L2759">
            <v>1138.3820000000001</v>
          </cell>
          <cell r="M2759">
            <v>12067</v>
          </cell>
          <cell r="N2759">
            <v>1.778279410038923</v>
          </cell>
          <cell r="Q2759">
            <v>14</v>
          </cell>
        </row>
        <row r="2760">
          <cell r="D2760" t="str">
            <v>3069-40-7</v>
          </cell>
          <cell r="E2760">
            <v>3069407</v>
          </cell>
          <cell r="F2760">
            <v>2609</v>
          </cell>
          <cell r="G2760" t="str">
            <v>Reach_1910</v>
          </cell>
          <cell r="H2760">
            <v>2752</v>
          </cell>
          <cell r="J2760">
            <v>234.41</v>
          </cell>
          <cell r="K2760">
            <v>22.22</v>
          </cell>
          <cell r="L2760">
            <v>4.7721400000000003</v>
          </cell>
          <cell r="M2760">
            <v>99.792000000000002</v>
          </cell>
          <cell r="N2760">
            <v>588.84365535558959</v>
          </cell>
          <cell r="Q2760">
            <v>14</v>
          </cell>
        </row>
        <row r="2761">
          <cell r="D2761" t="str">
            <v>746595-79-9</v>
          </cell>
          <cell r="E2761">
            <v>746595799</v>
          </cell>
          <cell r="F2761">
            <v>3641</v>
          </cell>
          <cell r="G2761" t="str">
            <v>Reach_4423</v>
          </cell>
          <cell r="H2761">
            <v>2753</v>
          </cell>
          <cell r="J2761">
            <v>102.14</v>
          </cell>
          <cell r="K2761">
            <v>25.52</v>
          </cell>
          <cell r="L2761">
            <v>63.984000000000002</v>
          </cell>
          <cell r="M2761">
            <v>8820000</v>
          </cell>
          <cell r="N2761">
            <v>0.12022644346174129</v>
          </cell>
          <cell r="P2761">
            <v>7.48</v>
          </cell>
          <cell r="Q2761">
            <v>6.52</v>
          </cell>
        </row>
        <row r="2762">
          <cell r="D2762" t="str">
            <v>94-70-2</v>
          </cell>
          <cell r="E2762">
            <v>94702</v>
          </cell>
          <cell r="F2762">
            <v>4109</v>
          </cell>
          <cell r="G2762" t="str">
            <v>Reach_417</v>
          </cell>
          <cell r="H2762">
            <v>2754</v>
          </cell>
          <cell r="J2762">
            <v>137.18</v>
          </cell>
          <cell r="K2762">
            <v>39.56</v>
          </cell>
          <cell r="L2762">
            <v>9.14438</v>
          </cell>
          <cell r="M2762">
            <v>4715.3999999999996</v>
          </cell>
          <cell r="N2762">
            <v>44.668359215096324</v>
          </cell>
          <cell r="P2762">
            <v>9.4</v>
          </cell>
          <cell r="Q2762">
            <v>4.5999999999999996</v>
          </cell>
        </row>
        <row r="2763">
          <cell r="D2763" t="str">
            <v>83-32-9</v>
          </cell>
          <cell r="E2763">
            <v>83329</v>
          </cell>
          <cell r="F2763">
            <v>952</v>
          </cell>
          <cell r="G2763" t="str">
            <v>Reach_281</v>
          </cell>
          <cell r="H2763">
            <v>2755</v>
          </cell>
          <cell r="J2763">
            <v>154.21</v>
          </cell>
          <cell r="K2763">
            <v>53.64</v>
          </cell>
          <cell r="L2763">
            <v>0.171957</v>
          </cell>
          <cell r="M2763">
            <v>5.2393999999999998</v>
          </cell>
          <cell r="N2763">
            <v>14125.375446227561</v>
          </cell>
          <cell r="Q2763">
            <v>14</v>
          </cell>
        </row>
        <row r="2764">
          <cell r="D2764" t="str">
            <v>30674-80-7</v>
          </cell>
          <cell r="E2764">
            <v>30674807</v>
          </cell>
          <cell r="F2764">
            <v>2606</v>
          </cell>
          <cell r="G2764" t="str">
            <v>Reach_2648</v>
          </cell>
          <cell r="H2764">
            <v>2756</v>
          </cell>
          <cell r="J2764">
            <v>155.15</v>
          </cell>
          <cell r="K2764">
            <v>10.27</v>
          </cell>
          <cell r="L2764">
            <v>46.655000000000001</v>
          </cell>
          <cell r="M2764">
            <v>11440</v>
          </cell>
          <cell r="N2764">
            <v>52.480746024977286</v>
          </cell>
          <cell r="Q2764">
            <v>14</v>
          </cell>
        </row>
        <row r="2765">
          <cell r="D2765" t="str">
            <v>2941-64-2</v>
          </cell>
          <cell r="E2765">
            <v>2941642</v>
          </cell>
          <cell r="F2765">
            <v>2565</v>
          </cell>
          <cell r="G2765" t="str">
            <v>Reach_1889</v>
          </cell>
          <cell r="H2765">
            <v>2757</v>
          </cell>
          <cell r="J2765">
            <v>124.59</v>
          </cell>
          <cell r="K2765">
            <v>-30.77</v>
          </cell>
          <cell r="L2765">
            <v>539.86500000000001</v>
          </cell>
          <cell r="M2765">
            <v>2773.9</v>
          </cell>
          <cell r="N2765">
            <v>3.0199517204020165</v>
          </cell>
          <cell r="Q2765">
            <v>14</v>
          </cell>
        </row>
        <row r="2766">
          <cell r="D2766" t="str">
            <v>63302-43-2</v>
          </cell>
          <cell r="E2766">
            <v>63302432</v>
          </cell>
          <cell r="F2766">
            <v>3397</v>
          </cell>
          <cell r="G2766" t="str">
            <v>Reach_4384</v>
          </cell>
          <cell r="H2766">
            <v>2758</v>
          </cell>
          <cell r="J2766">
            <v>206.34</v>
          </cell>
          <cell r="K2766">
            <v>89.27</v>
          </cell>
          <cell r="L2766">
            <v>2.73265E-2</v>
          </cell>
          <cell r="M2766">
            <v>51.746000000000002</v>
          </cell>
          <cell r="N2766">
            <v>912.01083935590987</v>
          </cell>
          <cell r="P2766">
            <v>7.7</v>
          </cell>
          <cell r="Q2766">
            <v>6.3</v>
          </cell>
        </row>
        <row r="2767">
          <cell r="D2767" t="str">
            <v>66063-15-8</v>
          </cell>
          <cell r="E2767">
            <v>66063158</v>
          </cell>
          <cell r="F2767">
            <v>3459</v>
          </cell>
          <cell r="G2767" t="str">
            <v>Reach_2875</v>
          </cell>
          <cell r="H2767">
            <v>2759</v>
          </cell>
          <cell r="J2767">
            <v>209.72</v>
          </cell>
          <cell r="K2767">
            <v>71.12</v>
          </cell>
          <cell r="L2767">
            <v>0.13156710000000002</v>
          </cell>
          <cell r="M2767">
            <v>702.71</v>
          </cell>
          <cell r="N2767">
            <v>9120.1083935591087</v>
          </cell>
          <cell r="Q2767">
            <v>14</v>
          </cell>
        </row>
        <row r="2768">
          <cell r="D2768" t="str">
            <v>542-18-7</v>
          </cell>
          <cell r="E2768">
            <v>542187</v>
          </cell>
          <cell r="F2768">
            <v>687</v>
          </cell>
          <cell r="G2768" t="str">
            <v>Reach_1346</v>
          </cell>
          <cell r="H2768">
            <v>2760</v>
          </cell>
          <cell r="J2768">
            <v>118.61</v>
          </cell>
          <cell r="K2768">
            <v>-57.19</v>
          </cell>
          <cell r="L2768">
            <v>773.14</v>
          </cell>
          <cell r="M2768">
            <v>608.09</v>
          </cell>
          <cell r="N2768">
            <v>2290.8676527677749</v>
          </cell>
          <cell r="P2768">
            <v>0</v>
          </cell>
          <cell r="Q2768">
            <v>14</v>
          </cell>
        </row>
        <row r="2769">
          <cell r="D2769" t="str">
            <v>67989-88-2</v>
          </cell>
          <cell r="E2769">
            <v>67989882</v>
          </cell>
          <cell r="F2769">
            <v>5991</v>
          </cell>
          <cell r="G2769" t="str">
            <v>Reach_2894</v>
          </cell>
          <cell r="H2769">
            <v>2761</v>
          </cell>
          <cell r="J2769">
            <v>387.83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</row>
        <row r="2770">
          <cell r="D2770" t="str">
            <v>58353-68-7</v>
          </cell>
          <cell r="E2770">
            <v>58353687</v>
          </cell>
          <cell r="F2770">
            <v>5940</v>
          </cell>
          <cell r="G2770" t="str">
            <v>Reach_2828</v>
          </cell>
          <cell r="H2770">
            <v>2762</v>
          </cell>
          <cell r="J2770">
            <v>491.6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  <cell r="Q2770">
            <v>14</v>
          </cell>
        </row>
        <row r="2771">
          <cell r="D2771" t="str">
            <v>108-12-3</v>
          </cell>
          <cell r="E2771">
            <v>108123</v>
          </cell>
          <cell r="F2771">
            <v>1476</v>
          </cell>
          <cell r="G2771" t="str">
            <v>Reach_730</v>
          </cell>
          <cell r="H2771">
            <v>2763</v>
          </cell>
          <cell r="J2771">
            <v>120.58</v>
          </cell>
          <cell r="K2771">
            <v>-53.95</v>
          </cell>
          <cell r="L2771">
            <v>3225.86</v>
          </cell>
          <cell r="M2771">
            <v>3651.5</v>
          </cell>
          <cell r="N2771">
            <v>8.5113803820237681</v>
          </cell>
          <cell r="Q2771">
            <v>14</v>
          </cell>
        </row>
        <row r="2772">
          <cell r="D2772" t="str">
            <v>112-03-8</v>
          </cell>
          <cell r="E2772">
            <v>112038</v>
          </cell>
          <cell r="F2772">
            <v>5610</v>
          </cell>
          <cell r="G2772" t="str">
            <v>Reach_885</v>
          </cell>
          <cell r="H2772">
            <v>2764</v>
          </cell>
          <cell r="J2772">
            <v>348.06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  <cell r="Q2772">
            <v>14</v>
          </cell>
        </row>
        <row r="2773">
          <cell r="D2773" t="str">
            <v>88-75-5</v>
          </cell>
          <cell r="E2773">
            <v>88755</v>
          </cell>
          <cell r="F2773">
            <v>988</v>
          </cell>
          <cell r="G2773" t="str">
            <v>Reach_332</v>
          </cell>
          <cell r="H2773">
            <v>2765</v>
          </cell>
          <cell r="J2773">
            <v>139.11000000000001</v>
          </cell>
          <cell r="K2773">
            <v>70.760000000000005</v>
          </cell>
          <cell r="L2773">
            <v>6.3584100000000001</v>
          </cell>
          <cell r="M2773">
            <v>10062</v>
          </cell>
          <cell r="N2773">
            <v>81.283051616409963</v>
          </cell>
          <cell r="O2773">
            <v>7.5</v>
          </cell>
          <cell r="Q2773">
            <v>7.5</v>
          </cell>
        </row>
        <row r="2774">
          <cell r="D2774" t="str">
            <v>75302-98-6</v>
          </cell>
          <cell r="E2774">
            <v>75302986</v>
          </cell>
          <cell r="F2774">
            <v>3665</v>
          </cell>
          <cell r="G2774" t="str">
            <v>Reach_4427</v>
          </cell>
          <cell r="H2774">
            <v>2766</v>
          </cell>
          <cell r="J2774">
            <v>471.94</v>
          </cell>
          <cell r="K2774">
            <v>230.01</v>
          </cell>
          <cell r="L2774">
            <v>2.5726900000000001E-9</v>
          </cell>
          <cell r="M2774">
            <v>6.4334000000000002E-2</v>
          </cell>
          <cell r="N2774">
            <v>602559.58607435878</v>
          </cell>
          <cell r="Q2774">
            <v>14</v>
          </cell>
        </row>
        <row r="2775">
          <cell r="D2775" t="str">
            <v>92-55-7</v>
          </cell>
          <cell r="E2775">
            <v>92557</v>
          </cell>
          <cell r="F2775">
            <v>4040</v>
          </cell>
          <cell r="G2775" t="str">
            <v>Reach_387</v>
          </cell>
          <cell r="H2775">
            <v>2767</v>
          </cell>
          <cell r="J2775">
            <v>243.17</v>
          </cell>
          <cell r="K2775">
            <v>66.75</v>
          </cell>
          <cell r="L2775">
            <v>4.8121300000000006E-2</v>
          </cell>
          <cell r="M2775">
            <v>2521.4</v>
          </cell>
          <cell r="N2775">
            <v>5.4954087385762458</v>
          </cell>
          <cell r="Q2775">
            <v>14</v>
          </cell>
        </row>
        <row r="2776">
          <cell r="D2776" t="str">
            <v>871544-06-8</v>
          </cell>
          <cell r="E2776">
            <v>871544068</v>
          </cell>
          <cell r="F2776">
            <v>6072</v>
          </cell>
          <cell r="G2776" t="str">
            <v>Reach_4483</v>
          </cell>
          <cell r="H2776">
            <v>2768</v>
          </cell>
          <cell r="J2776">
            <v>210.08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  <cell r="Q2776">
            <v>14</v>
          </cell>
        </row>
        <row r="2777">
          <cell r="D2777" t="str">
            <v>1189-08-8</v>
          </cell>
          <cell r="E2777">
            <v>1189088</v>
          </cell>
          <cell r="F2777">
            <v>1682</v>
          </cell>
          <cell r="G2777" t="str">
            <v>Reach_1669</v>
          </cell>
          <cell r="H2777">
            <v>2769</v>
          </cell>
          <cell r="J2777">
            <v>226.27</v>
          </cell>
          <cell r="K2777">
            <v>-57.01</v>
          </cell>
          <cell r="L2777">
            <v>6.4917100000000003</v>
          </cell>
          <cell r="M2777">
            <v>873.85</v>
          </cell>
          <cell r="N2777">
            <v>1318.2567385564089</v>
          </cell>
          <cell r="Q2777">
            <v>14</v>
          </cell>
        </row>
        <row r="2778">
          <cell r="D2778" t="str">
            <v>111360-16-8</v>
          </cell>
          <cell r="E2778">
            <v>111360168</v>
          </cell>
          <cell r="F2778">
            <v>297</v>
          </cell>
          <cell r="G2778" t="str">
            <v>Reach_4968</v>
          </cell>
          <cell r="H2778">
            <v>2770</v>
          </cell>
          <cell r="J2778">
            <v>92.141000000000005</v>
          </cell>
          <cell r="K2778">
            <v>-59.17</v>
          </cell>
          <cell r="L2778">
            <v>3159.21</v>
          </cell>
          <cell r="M2778">
            <v>461.36</v>
          </cell>
          <cell r="N2778">
            <v>346.73685045253183</v>
          </cell>
          <cell r="O2778">
            <v>0</v>
          </cell>
          <cell r="Q2778">
            <v>0</v>
          </cell>
        </row>
        <row r="2779">
          <cell r="D2779" t="str">
            <v>211515-46-7</v>
          </cell>
          <cell r="E2779">
            <v>211515467</v>
          </cell>
          <cell r="F2779">
            <v>2284</v>
          </cell>
          <cell r="G2779" t="str">
            <v>Reach_4529</v>
          </cell>
          <cell r="H2779">
            <v>2771</v>
          </cell>
          <cell r="J2779">
            <v>230.78</v>
          </cell>
          <cell r="K2779">
            <v>52.59</v>
          </cell>
          <cell r="L2779">
            <v>1.014413</v>
          </cell>
          <cell r="M2779">
            <v>6.7482E-2</v>
          </cell>
          <cell r="N2779">
            <v>42657.951880159271</v>
          </cell>
          <cell r="Q2779">
            <v>14</v>
          </cell>
        </row>
        <row r="2780">
          <cell r="D2780" t="str">
            <v>2741-57-3</v>
          </cell>
          <cell r="E2780">
            <v>2741573</v>
          </cell>
          <cell r="F2780">
            <v>2505</v>
          </cell>
          <cell r="G2780" t="str">
            <v>Reach_1861</v>
          </cell>
          <cell r="H2780">
            <v>2772</v>
          </cell>
          <cell r="J2780">
            <v>278.39</v>
          </cell>
          <cell r="K2780">
            <v>68.540000000000006</v>
          </cell>
          <cell r="L2780">
            <v>0.19328500000000001</v>
          </cell>
          <cell r="M2780">
            <v>2.7698</v>
          </cell>
          <cell r="N2780">
            <v>75857.757502918481</v>
          </cell>
          <cell r="Q2780">
            <v>14</v>
          </cell>
        </row>
        <row r="2781">
          <cell r="D2781" t="str">
            <v>112-36-7</v>
          </cell>
          <cell r="E2781">
            <v>112367</v>
          </cell>
          <cell r="F2781">
            <v>327</v>
          </cell>
          <cell r="G2781" t="str">
            <v>Reach_901</v>
          </cell>
          <cell r="H2781">
            <v>2773</v>
          </cell>
          <cell r="J2781">
            <v>162.22999999999999</v>
          </cell>
          <cell r="K2781">
            <v>-15.22</v>
          </cell>
          <cell r="L2781">
            <v>121.43630000000002</v>
          </cell>
          <cell r="M2781">
            <v>459000</v>
          </cell>
          <cell r="N2781">
            <v>3.1622776601683795</v>
          </cell>
          <cell r="Q2781">
            <v>14</v>
          </cell>
        </row>
        <row r="2782">
          <cell r="D2782" t="str">
            <v>6925-69-5</v>
          </cell>
          <cell r="E2782">
            <v>6925695</v>
          </cell>
          <cell r="F2782">
            <v>3537</v>
          </cell>
          <cell r="G2782" t="str">
            <v>Reach_2212</v>
          </cell>
          <cell r="H2782">
            <v>2774</v>
          </cell>
          <cell r="J2782">
            <v>270.29000000000002</v>
          </cell>
          <cell r="K2782">
            <v>195.97</v>
          </cell>
          <cell r="L2782">
            <v>4.5588600000000009E-7</v>
          </cell>
          <cell r="M2782">
            <v>4.4923999999999999</v>
          </cell>
          <cell r="N2782">
            <v>1621.8100973589308</v>
          </cell>
          <cell r="Q2782">
            <v>14</v>
          </cell>
        </row>
        <row r="2783">
          <cell r="D2783" t="str">
            <v>216699-04-6</v>
          </cell>
          <cell r="E2783">
            <v>216699046</v>
          </cell>
          <cell r="F2783">
            <v>5773</v>
          </cell>
          <cell r="G2783" t="str">
            <v>Reach_4219</v>
          </cell>
          <cell r="H2783">
            <v>2775</v>
          </cell>
          <cell r="J2783">
            <v>418.46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  <cell r="Q2783">
            <v>14</v>
          </cell>
        </row>
        <row r="2784">
          <cell r="D2784" t="str">
            <v>281-23-2</v>
          </cell>
          <cell r="E2784">
            <v>281232</v>
          </cell>
          <cell r="F2784">
            <v>579</v>
          </cell>
          <cell r="G2784" t="str">
            <v>Reach_1220</v>
          </cell>
          <cell r="H2784">
            <v>2776</v>
          </cell>
          <cell r="J2784">
            <v>136.24</v>
          </cell>
          <cell r="K2784">
            <v>-19.149999999999999</v>
          </cell>
          <cell r="L2784">
            <v>2.99925</v>
          </cell>
          <cell r="M2784">
            <v>3.4967000000000001</v>
          </cell>
          <cell r="N2784">
            <v>8709.6358995608189</v>
          </cell>
          <cell r="O2784">
            <v>0</v>
          </cell>
          <cell r="P2784">
            <v>0</v>
          </cell>
          <cell r="Q2784">
            <v>0</v>
          </cell>
        </row>
        <row r="2785">
          <cell r="D2785" t="str">
            <v>361366-16-7</v>
          </cell>
          <cell r="E2785">
            <v>361366167</v>
          </cell>
          <cell r="F2785">
            <v>2759</v>
          </cell>
          <cell r="G2785" t="str">
            <v>Reach_4294</v>
          </cell>
          <cell r="H2785">
            <v>2777</v>
          </cell>
          <cell r="J2785">
            <v>359.25</v>
          </cell>
          <cell r="K2785">
            <v>108.62</v>
          </cell>
          <cell r="L2785">
            <v>3.6257599999999998E-4</v>
          </cell>
          <cell r="M2785">
            <v>0.76590999999999998</v>
          </cell>
          <cell r="N2785">
            <v>426579.51880159322</v>
          </cell>
          <cell r="Q2785">
            <v>14</v>
          </cell>
        </row>
        <row r="2786">
          <cell r="D2786" t="str">
            <v>3088-31-1</v>
          </cell>
          <cell r="E2786">
            <v>3088311</v>
          </cell>
          <cell r="F2786">
            <v>5836</v>
          </cell>
          <cell r="G2786" t="str">
            <v>Reach_1914</v>
          </cell>
          <cell r="H2786">
            <v>2778</v>
          </cell>
          <cell r="J2786">
            <v>376.49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  <cell r="Q2786">
            <v>14</v>
          </cell>
        </row>
        <row r="2787">
          <cell r="D2787" t="str">
            <v>109-13-7</v>
          </cell>
          <cell r="E2787">
            <v>109137</v>
          </cell>
          <cell r="F2787">
            <v>1494</v>
          </cell>
          <cell r="G2787" t="str">
            <v>Reach_771</v>
          </cell>
          <cell r="H2787">
            <v>2779</v>
          </cell>
          <cell r="J2787">
            <v>160.21</v>
          </cell>
          <cell r="K2787">
            <v>-31.35</v>
          </cell>
          <cell r="L2787">
            <v>369.24100000000004</v>
          </cell>
          <cell r="M2787">
            <v>725</v>
          </cell>
          <cell r="N2787">
            <v>218.77616239495524</v>
          </cell>
          <cell r="Q2787">
            <v>14</v>
          </cell>
        </row>
        <row r="2788">
          <cell r="D2788" t="str">
            <v>7226-23-5</v>
          </cell>
          <cell r="E2788">
            <v>7226235</v>
          </cell>
          <cell r="F2788">
            <v>3600</v>
          </cell>
          <cell r="G2788" t="str">
            <v>Reach_2231</v>
          </cell>
          <cell r="H2788">
            <v>2780</v>
          </cell>
          <cell r="J2788">
            <v>128.18</v>
          </cell>
          <cell r="K2788">
            <v>28.46</v>
          </cell>
          <cell r="L2788">
            <v>15.462800000000001</v>
          </cell>
          <cell r="M2788">
            <v>68992</v>
          </cell>
          <cell r="N2788">
            <v>1.5135612484362082</v>
          </cell>
          <cell r="Q2788">
            <v>14</v>
          </cell>
        </row>
        <row r="2789">
          <cell r="D2789" t="str">
            <v>6330-25-2</v>
          </cell>
          <cell r="E2789">
            <v>6330252</v>
          </cell>
          <cell r="F2789">
            <v>3398</v>
          </cell>
          <cell r="G2789" t="str">
            <v>Reach_2165</v>
          </cell>
          <cell r="H2789">
            <v>2781</v>
          </cell>
          <cell r="J2789">
            <v>98.106999999999999</v>
          </cell>
          <cell r="K2789">
            <v>73.319999999999993</v>
          </cell>
          <cell r="L2789">
            <v>0.23594100000000004</v>
          </cell>
          <cell r="M2789">
            <v>149000</v>
          </cell>
          <cell r="N2789">
            <v>0.36307805477010135</v>
          </cell>
          <cell r="O2789">
            <v>12.17</v>
          </cell>
          <cell r="Q2789">
            <v>12.17</v>
          </cell>
        </row>
        <row r="2790">
          <cell r="D2790" t="str">
            <v>54464-54-9</v>
          </cell>
          <cell r="E2790">
            <v>54464549</v>
          </cell>
          <cell r="F2790">
            <v>3145</v>
          </cell>
          <cell r="G2790" t="str">
            <v>Reach_2799</v>
          </cell>
          <cell r="H2790">
            <v>2782</v>
          </cell>
          <cell r="J2790">
            <v>234.38</v>
          </cell>
          <cell r="K2790">
            <v>65.540000000000006</v>
          </cell>
          <cell r="L2790">
            <v>0.175956</v>
          </cell>
          <cell r="M2790">
            <v>4.3007999999999997</v>
          </cell>
          <cell r="N2790">
            <v>338844.15613920329</v>
          </cell>
          <cell r="Q2790">
            <v>14</v>
          </cell>
        </row>
        <row r="2791">
          <cell r="D2791" t="str">
            <v>29878-91-9</v>
          </cell>
          <cell r="E2791">
            <v>29878919</v>
          </cell>
          <cell r="F2791">
            <v>2576</v>
          </cell>
          <cell r="G2791" t="str">
            <v>Reach_2634</v>
          </cell>
          <cell r="H2791">
            <v>2783</v>
          </cell>
          <cell r="J2791">
            <v>342.35</v>
          </cell>
          <cell r="K2791">
            <v>255.29</v>
          </cell>
          <cell r="L2791">
            <v>5.0787300000000005E-11</v>
          </cell>
          <cell r="M2791">
            <v>0.10371</v>
          </cell>
          <cell r="N2791">
            <v>741310.24130091805</v>
          </cell>
          <cell r="P2791">
            <v>0</v>
          </cell>
          <cell r="Q2791">
            <v>14</v>
          </cell>
        </row>
        <row r="2792">
          <cell r="D2792" t="str">
            <v>2896-97-1</v>
          </cell>
          <cell r="E2792">
            <v>2896971</v>
          </cell>
          <cell r="F2792">
            <v>2551</v>
          </cell>
          <cell r="G2792" t="str">
            <v>Reach_4850</v>
          </cell>
          <cell r="H2792">
            <v>2784</v>
          </cell>
          <cell r="J2792">
            <v>299.76</v>
          </cell>
          <cell r="K2792">
            <v>197.76</v>
          </cell>
          <cell r="L2792">
            <v>3.4924600000000003E-7</v>
          </cell>
          <cell r="M2792">
            <v>24.524000000000001</v>
          </cell>
          <cell r="N2792">
            <v>28183.829312644593</v>
          </cell>
          <cell r="O2792">
            <v>12.87</v>
          </cell>
          <cell r="P2792">
            <v>15.12</v>
          </cell>
          <cell r="Q2792">
            <v>-1.1199999999999992</v>
          </cell>
        </row>
        <row r="2793">
          <cell r="D2793" t="str">
            <v>141573-96-8</v>
          </cell>
          <cell r="E2793">
            <v>141573968</v>
          </cell>
          <cell r="F2793">
            <v>1938</v>
          </cell>
          <cell r="G2793" t="str">
            <v>Reach_4526</v>
          </cell>
          <cell r="H2793">
            <v>2785</v>
          </cell>
          <cell r="J2793">
            <v>194.57</v>
          </cell>
          <cell r="K2793">
            <v>42.71</v>
          </cell>
          <cell r="L2793">
            <v>9.0777300000000007</v>
          </cell>
          <cell r="M2793">
            <v>2158</v>
          </cell>
          <cell r="N2793">
            <v>2.5118864315095806</v>
          </cell>
          <cell r="O2793">
            <v>0</v>
          </cell>
          <cell r="P2793">
            <v>0</v>
          </cell>
          <cell r="Q2793">
            <v>0</v>
          </cell>
        </row>
        <row r="2794">
          <cell r="D2794" t="str">
            <v>213265-81-7</v>
          </cell>
          <cell r="E2794">
            <v>213265817</v>
          </cell>
          <cell r="F2794">
            <v>2289</v>
          </cell>
          <cell r="G2794" t="str">
            <v>Reach_4215</v>
          </cell>
          <cell r="H2794">
            <v>2786</v>
          </cell>
          <cell r="J2794">
            <v>259.07</v>
          </cell>
          <cell r="K2794">
            <v>119.45</v>
          </cell>
          <cell r="L2794">
            <v>6.9849200000000004E-3</v>
          </cell>
          <cell r="M2794">
            <v>19.298999999999999</v>
          </cell>
          <cell r="N2794">
            <v>446.68359215096331</v>
          </cell>
          <cell r="Q2794">
            <v>14</v>
          </cell>
        </row>
        <row r="2795">
          <cell r="D2795" t="str">
            <v>599-61-1</v>
          </cell>
          <cell r="E2795">
            <v>599611</v>
          </cell>
          <cell r="F2795">
            <v>3298</v>
          </cell>
          <cell r="G2795" t="str">
            <v>Reach_1409</v>
          </cell>
          <cell r="H2795">
            <v>2787</v>
          </cell>
          <cell r="J2795">
            <v>248.31</v>
          </cell>
          <cell r="K2795">
            <v>182.92</v>
          </cell>
          <cell r="L2795">
            <v>4.1189700000000003E-6</v>
          </cell>
          <cell r="M2795">
            <v>2067.5</v>
          </cell>
          <cell r="N2795">
            <v>5.8884365535558905</v>
          </cell>
          <cell r="P2795">
            <v>10.97</v>
          </cell>
          <cell r="Q2795">
            <v>3.0299999999999994</v>
          </cell>
        </row>
        <row r="2796">
          <cell r="D2796" t="str">
            <v>7360-38-5</v>
          </cell>
          <cell r="E2796">
            <v>7360385</v>
          </cell>
          <cell r="F2796">
            <v>3624</v>
          </cell>
          <cell r="G2796" t="str">
            <v>Reach_2241</v>
          </cell>
          <cell r="H2796">
            <v>2788</v>
          </cell>
          <cell r="J2796">
            <v>470.69</v>
          </cell>
          <cell r="K2796">
            <v>73.03</v>
          </cell>
          <cell r="L2796">
            <v>2.3860700000000003E-5</v>
          </cell>
          <cell r="M2796">
            <v>1.1103E-2</v>
          </cell>
          <cell r="N2796">
            <v>954992586.02143884</v>
          </cell>
          <cell r="Q2796">
            <v>14</v>
          </cell>
        </row>
        <row r="2797">
          <cell r="D2797" t="str">
            <v>57-09-0</v>
          </cell>
          <cell r="E2797">
            <v>57090</v>
          </cell>
          <cell r="F2797">
            <v>1223</v>
          </cell>
          <cell r="G2797" t="str">
            <v>Reach_36</v>
          </cell>
          <cell r="H2797">
            <v>2789</v>
          </cell>
          <cell r="J2797">
            <v>364.46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  <cell r="Q2797">
            <v>14</v>
          </cell>
        </row>
        <row r="2798">
          <cell r="D2798" t="str">
            <v>5927-18-4</v>
          </cell>
          <cell r="E2798">
            <v>5927184</v>
          </cell>
          <cell r="F2798">
            <v>3272</v>
          </cell>
          <cell r="G2798" t="str">
            <v>Reach_2145</v>
          </cell>
          <cell r="H2798">
            <v>2790</v>
          </cell>
          <cell r="J2798">
            <v>182.11</v>
          </cell>
          <cell r="K2798">
            <v>9.11</v>
          </cell>
          <cell r="L2798">
            <v>7.1448800000000006</v>
          </cell>
          <cell r="M2798">
            <v>102000</v>
          </cell>
          <cell r="N2798">
            <v>0.57543993733715693</v>
          </cell>
          <cell r="Q2798">
            <v>14</v>
          </cell>
        </row>
        <row r="2799">
          <cell r="D2799" t="str">
            <v>361366-15-6</v>
          </cell>
          <cell r="E2799">
            <v>361366156</v>
          </cell>
          <cell r="F2799">
            <v>2758</v>
          </cell>
          <cell r="G2799" t="str">
            <v>Reach_4293</v>
          </cell>
          <cell r="H2799">
            <v>2791</v>
          </cell>
          <cell r="J2799">
            <v>318.41000000000003</v>
          </cell>
          <cell r="K2799">
            <v>93.53</v>
          </cell>
          <cell r="L2799">
            <v>1.2156960000000003E-3</v>
          </cell>
          <cell r="M2799">
            <v>2.4666999999999999</v>
          </cell>
          <cell r="N2799">
            <v>316227.7660168382</v>
          </cell>
          <cell r="P2799">
            <v>0</v>
          </cell>
          <cell r="Q2799">
            <v>14</v>
          </cell>
        </row>
        <row r="2800">
          <cell r="D2800" t="str">
            <v>1441670-89-8</v>
          </cell>
          <cell r="E2800">
            <v>1441670898</v>
          </cell>
          <cell r="F2800">
            <v>1973</v>
          </cell>
          <cell r="G2800" t="str">
            <v>Reach_5161</v>
          </cell>
          <cell r="H2800">
            <v>2792</v>
          </cell>
          <cell r="J2800">
            <v>542.42999999999995</v>
          </cell>
          <cell r="K2800">
            <v>267.58</v>
          </cell>
          <cell r="L2800">
            <v>7.3448300000000003E-12</v>
          </cell>
          <cell r="M2800">
            <v>5.7599999999999999E-6</v>
          </cell>
          <cell r="N2800">
            <v>128824955.16931349</v>
          </cell>
          <cell r="P2800">
            <v>9.0299999999999994</v>
          </cell>
          <cell r="Q2800">
            <v>4.9700000000000006</v>
          </cell>
        </row>
        <row r="2801">
          <cell r="D2801" t="str">
            <v>1499193-67-7</v>
          </cell>
          <cell r="E2801">
            <v>1499193677</v>
          </cell>
          <cell r="F2801">
            <v>5707</v>
          </cell>
          <cell r="G2801" t="str">
            <v>Reach_5179</v>
          </cell>
          <cell r="H2801">
            <v>2793</v>
          </cell>
          <cell r="J2801">
            <v>720.53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  <cell r="Q2801">
            <v>14</v>
          </cell>
        </row>
        <row r="2802">
          <cell r="D2802" t="str">
            <v>7347-25-3</v>
          </cell>
          <cell r="E2802">
            <v>7347253</v>
          </cell>
          <cell r="F2802">
            <v>6015</v>
          </cell>
          <cell r="G2802" t="str">
            <v>Reach_2240</v>
          </cell>
          <cell r="H2802">
            <v>2794</v>
          </cell>
          <cell r="J2802">
            <v>147.13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</row>
        <row r="2803">
          <cell r="D2803" t="str">
            <v>1176987-11-3</v>
          </cell>
          <cell r="E2803">
            <v>1176987113</v>
          </cell>
          <cell r="F2803">
            <v>5616</v>
          </cell>
          <cell r="G2803" t="str">
            <v>Reach_4704</v>
          </cell>
          <cell r="H2803">
            <v>2795</v>
          </cell>
          <cell r="J2803">
            <v>262.76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  <cell r="Q2803">
            <v>14</v>
          </cell>
        </row>
        <row r="2804">
          <cell r="D2804" t="str">
            <v>1798-50-1</v>
          </cell>
          <cell r="E2804">
            <v>1798501</v>
          </cell>
          <cell r="F2804">
            <v>5746</v>
          </cell>
          <cell r="G2804" t="str">
            <v>Reach_1720</v>
          </cell>
          <cell r="H2804">
            <v>2796</v>
          </cell>
          <cell r="J2804">
            <v>303.83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  <cell r="P2804">
            <v>0</v>
          </cell>
          <cell r="Q2804">
            <v>14</v>
          </cell>
        </row>
        <row r="2805">
          <cell r="D2805" t="str">
            <v>1874-83-5</v>
          </cell>
          <cell r="E2805">
            <v>1874835</v>
          </cell>
          <cell r="F2805">
            <v>5750</v>
          </cell>
          <cell r="G2805" t="str">
            <v>Reach_1729</v>
          </cell>
          <cell r="H2805">
            <v>2797</v>
          </cell>
          <cell r="J2805">
            <v>134.11000000000001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  <cell r="Q2805">
            <v>14</v>
          </cell>
        </row>
        <row r="2806">
          <cell r="D2806" t="str">
            <v>84332-87-6</v>
          </cell>
          <cell r="E2806">
            <v>84332876</v>
          </cell>
          <cell r="F2806">
            <v>6050</v>
          </cell>
          <cell r="G2806" t="str">
            <v>Reach_2971</v>
          </cell>
          <cell r="H2806">
            <v>2798</v>
          </cell>
          <cell r="J2806">
            <v>260.47000000000003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Q2806">
            <v>0</v>
          </cell>
        </row>
        <row r="2807">
          <cell r="D2807" t="str">
            <v>930086-71-8</v>
          </cell>
          <cell r="E2807">
            <v>930086718</v>
          </cell>
          <cell r="F2807">
            <v>6084</v>
          </cell>
          <cell r="G2807" t="str">
            <v>Reach_4705</v>
          </cell>
          <cell r="H2807">
            <v>2799</v>
          </cell>
          <cell r="J2807">
            <v>419.98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  <cell r="Q2807">
            <v>14</v>
          </cell>
        </row>
        <row r="2808">
          <cell r="D2808" t="str">
            <v>151604-82-9</v>
          </cell>
          <cell r="E2808">
            <v>151604829</v>
          </cell>
          <cell r="F2808">
            <v>5710</v>
          </cell>
          <cell r="G2808" t="str">
            <v>Reach_4690</v>
          </cell>
          <cell r="H2808">
            <v>2800</v>
          </cell>
          <cell r="J2808">
            <v>709.08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Q2808">
            <v>0</v>
          </cell>
        </row>
        <row r="2809">
          <cell r="D2809" t="str">
            <v>160332-89-8</v>
          </cell>
          <cell r="E2809">
            <v>160332898</v>
          </cell>
          <cell r="F2809">
            <v>5729</v>
          </cell>
          <cell r="G2809" t="str">
            <v>Reach_4993</v>
          </cell>
          <cell r="H2809">
            <v>2801</v>
          </cell>
          <cell r="J2809">
            <v>542.59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  <cell r="Q2809">
            <v>14</v>
          </cell>
        </row>
        <row r="2810">
          <cell r="D2810" t="str">
            <v>623-33-6</v>
          </cell>
          <cell r="E2810">
            <v>623336</v>
          </cell>
          <cell r="F2810">
            <v>5956</v>
          </cell>
          <cell r="G2810" t="str">
            <v>Reach_1448</v>
          </cell>
          <cell r="H2810">
            <v>2802</v>
          </cell>
          <cell r="J2810">
            <v>139.58000000000001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  <cell r="P2810">
            <v>0</v>
          </cell>
          <cell r="Q2810">
            <v>14</v>
          </cell>
        </row>
        <row r="2811">
          <cell r="D2811" t="str">
            <v>1407097-19-1</v>
          </cell>
          <cell r="E2811">
            <v>1407097191</v>
          </cell>
          <cell r="F2811">
            <v>5683</v>
          </cell>
          <cell r="G2811" t="str">
            <v>Reach_4137</v>
          </cell>
          <cell r="H2811">
            <v>2803</v>
          </cell>
          <cell r="J2811">
            <v>467.44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  <cell r="Q2811">
            <v>14</v>
          </cell>
        </row>
        <row r="2812">
          <cell r="D2812" t="str">
            <v>1000701-92-7</v>
          </cell>
          <cell r="E2812">
            <v>1000701927</v>
          </cell>
          <cell r="F2812">
            <v>5588</v>
          </cell>
          <cell r="G2812" t="str">
            <v>Reach_4845</v>
          </cell>
          <cell r="H2812">
            <v>2804</v>
          </cell>
          <cell r="J2812">
            <v>168.21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Q2812">
            <v>0</v>
          </cell>
        </row>
        <row r="2813">
          <cell r="D2813" t="str">
            <v>60958-45-4</v>
          </cell>
          <cell r="E2813">
            <v>60958454</v>
          </cell>
          <cell r="F2813">
            <v>5948</v>
          </cell>
          <cell r="G2813" t="str">
            <v>Reach_2848</v>
          </cell>
          <cell r="H2813">
            <v>2805</v>
          </cell>
          <cell r="J2813">
            <v>508.44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</row>
        <row r="2814">
          <cell r="D2814" t="str">
            <v>1170722-65-2</v>
          </cell>
          <cell r="E2814">
            <v>1170722652</v>
          </cell>
          <cell r="F2814">
            <v>5614</v>
          </cell>
          <cell r="G2814" t="str">
            <v>Reach_5064</v>
          </cell>
          <cell r="H2814">
            <v>2806</v>
          </cell>
          <cell r="J2814">
            <v>566.72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  <cell r="Q2814">
            <v>14</v>
          </cell>
        </row>
        <row r="2815">
          <cell r="D2815" t="str">
            <v>149934-21-4</v>
          </cell>
          <cell r="E2815">
            <v>149934214</v>
          </cell>
          <cell r="F2815">
            <v>5708</v>
          </cell>
          <cell r="G2815" t="str">
            <v>Reach_4160</v>
          </cell>
          <cell r="H2815">
            <v>2807</v>
          </cell>
          <cell r="J2815">
            <v>508.96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  <cell r="Q2815">
            <v>14</v>
          </cell>
        </row>
        <row r="2816">
          <cell r="D2816" t="str">
            <v>151006-11-0</v>
          </cell>
          <cell r="E2816">
            <v>151006110</v>
          </cell>
          <cell r="F2816">
            <v>5709</v>
          </cell>
          <cell r="G2816" t="str">
            <v>Reach_4697</v>
          </cell>
          <cell r="H2816">
            <v>2808</v>
          </cell>
          <cell r="J2816">
            <v>441.57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  <cell r="Q2816">
            <v>14</v>
          </cell>
        </row>
        <row r="2817">
          <cell r="D2817" t="str">
            <v>79953-85-8</v>
          </cell>
          <cell r="E2817">
            <v>79953858</v>
          </cell>
          <cell r="F2817">
            <v>6406</v>
          </cell>
          <cell r="G2817" t="str">
            <v>Reach_2958</v>
          </cell>
          <cell r="H2817">
            <v>2809</v>
          </cell>
          <cell r="J2817">
            <v>1229.2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  <cell r="Q2817">
            <v>14</v>
          </cell>
        </row>
        <row r="2818">
          <cell r="D2818" t="str">
            <v>1398498-88-8</v>
          </cell>
          <cell r="E2818">
            <v>1398498888</v>
          </cell>
          <cell r="F2818">
            <v>5687</v>
          </cell>
          <cell r="G2818" t="str">
            <v>Reach_5148</v>
          </cell>
          <cell r="H2818">
            <v>2810</v>
          </cell>
          <cell r="J2818">
            <v>444.4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  <cell r="Q2818">
            <v>14</v>
          </cell>
        </row>
        <row r="2819">
          <cell r="D2819" t="str">
            <v>66069-32-7</v>
          </cell>
          <cell r="E2819">
            <v>66069327</v>
          </cell>
          <cell r="F2819">
            <v>5977</v>
          </cell>
          <cell r="G2819" t="str">
            <v>Reach_4388</v>
          </cell>
          <cell r="H2819">
            <v>2811</v>
          </cell>
          <cell r="J2819">
            <v>328.41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</row>
        <row r="2820">
          <cell r="D2820" t="str">
            <v>54914-95-3</v>
          </cell>
          <cell r="E2820">
            <v>54914953</v>
          </cell>
          <cell r="F2820">
            <v>5927</v>
          </cell>
          <cell r="G2820" t="str">
            <v>Reach_4353</v>
          </cell>
          <cell r="H2820">
            <v>2812</v>
          </cell>
          <cell r="J2820">
            <v>209.2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  <cell r="Q2820">
            <v>14</v>
          </cell>
        </row>
        <row r="2821">
          <cell r="D2821" t="str">
            <v>49744-39-0</v>
          </cell>
          <cell r="E2821">
            <v>49744390</v>
          </cell>
          <cell r="F2821">
            <v>5895</v>
          </cell>
          <cell r="G2821" t="str">
            <v>Reach_2765</v>
          </cell>
          <cell r="H2821">
            <v>2813</v>
          </cell>
          <cell r="J2821">
            <v>348.02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Q2821">
            <v>0</v>
          </cell>
        </row>
        <row r="2822">
          <cell r="D2822" t="str">
            <v>14206-62-3</v>
          </cell>
          <cell r="E2822">
            <v>14206623</v>
          </cell>
          <cell r="F2822">
            <v>5692</v>
          </cell>
          <cell r="G2822" t="str">
            <v>Reach_2359</v>
          </cell>
          <cell r="H2822">
            <v>2814</v>
          </cell>
          <cell r="J2822">
            <v>210.16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Q2822">
            <v>0</v>
          </cell>
        </row>
        <row r="2823">
          <cell r="D2823" t="str">
            <v>62285-89-6</v>
          </cell>
          <cell r="E2823">
            <v>62285896</v>
          </cell>
          <cell r="F2823">
            <v>5955</v>
          </cell>
          <cell r="G2823" t="str">
            <v>Reach_4378</v>
          </cell>
          <cell r="H2823">
            <v>2815</v>
          </cell>
          <cell r="J2823">
            <v>466.99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Q2823">
            <v>0</v>
          </cell>
        </row>
        <row r="2824">
          <cell r="D2824" t="str">
            <v>1363332-65-3</v>
          </cell>
          <cell r="E2824">
            <v>1363332653</v>
          </cell>
          <cell r="F2824">
            <v>5678</v>
          </cell>
          <cell r="G2824" t="str">
            <v>Reach_4684</v>
          </cell>
          <cell r="H2824">
            <v>2816</v>
          </cell>
          <cell r="J2824">
            <v>569.42999999999995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  <cell r="Q2824">
            <v>14</v>
          </cell>
        </row>
        <row r="2825">
          <cell r="D2825" t="str">
            <v>32765-81-4</v>
          </cell>
          <cell r="E2825">
            <v>32765814</v>
          </cell>
          <cell r="F2825">
            <v>5844</v>
          </cell>
          <cell r="G2825" t="str">
            <v>Reach_4282</v>
          </cell>
          <cell r="H2825">
            <v>2817</v>
          </cell>
          <cell r="J2825">
            <v>303.10000000000002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</row>
        <row r="2826">
          <cell r="D2826" t="str">
            <v>3349-08-4</v>
          </cell>
          <cell r="E2826">
            <v>3349084</v>
          </cell>
          <cell r="F2826">
            <v>5580</v>
          </cell>
          <cell r="G2826" t="str">
            <v>Reach_1951</v>
          </cell>
          <cell r="H2826">
            <v>2818</v>
          </cell>
          <cell r="J2826">
            <v>204.85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  <cell r="Q2826">
            <v>14</v>
          </cell>
        </row>
        <row r="2827">
          <cell r="D2827" t="str">
            <v>68400-38-4</v>
          </cell>
          <cell r="E2827">
            <v>68400384</v>
          </cell>
          <cell r="F2827">
            <v>5996</v>
          </cell>
          <cell r="G2827" t="str">
            <v>Reach_2905</v>
          </cell>
          <cell r="H2827">
            <v>2819</v>
          </cell>
          <cell r="J2827">
            <v>657.55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  <cell r="O2827">
            <v>0</v>
          </cell>
          <cell r="Q2827">
            <v>0</v>
          </cell>
        </row>
        <row r="2828">
          <cell r="D2828" t="str">
            <v>41131-49-1</v>
          </cell>
          <cell r="E2828">
            <v>41131491</v>
          </cell>
          <cell r="F2828">
            <v>5876</v>
          </cell>
          <cell r="G2828" t="str">
            <v>Reach_4685</v>
          </cell>
          <cell r="H2828">
            <v>2820</v>
          </cell>
          <cell r="J2828">
            <v>619.5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</row>
        <row r="2829">
          <cell r="D2829" t="str">
            <v>555-06-6</v>
          </cell>
          <cell r="E2829">
            <v>555066</v>
          </cell>
          <cell r="F2829">
            <v>5932</v>
          </cell>
          <cell r="G2829" t="str">
            <v>Reach_1364</v>
          </cell>
          <cell r="H2829">
            <v>2821</v>
          </cell>
          <cell r="J2829">
            <v>159.12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  <cell r="Q2829">
            <v>14</v>
          </cell>
        </row>
        <row r="2830">
          <cell r="D2830" t="str">
            <v>84592-32-5</v>
          </cell>
          <cell r="E2830">
            <v>84592325</v>
          </cell>
          <cell r="F2830">
            <v>6053</v>
          </cell>
          <cell r="G2830" t="str">
            <v>Reach_4468</v>
          </cell>
          <cell r="H2830">
            <v>2822</v>
          </cell>
          <cell r="J2830">
            <v>575.53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Q2830">
            <v>0</v>
          </cell>
        </row>
        <row r="2831">
          <cell r="D2831" t="str">
            <v>552-37-4</v>
          </cell>
          <cell r="E2831">
            <v>552374</v>
          </cell>
          <cell r="F2831">
            <v>5930</v>
          </cell>
          <cell r="G2831" t="str">
            <v>Reach_1359</v>
          </cell>
          <cell r="H2831">
            <v>2823</v>
          </cell>
          <cell r="J2831">
            <v>159.12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</row>
        <row r="2832">
          <cell r="D2832" t="str">
            <v>1363332-77-7</v>
          </cell>
          <cell r="E2832">
            <v>1363332777</v>
          </cell>
          <cell r="F2832">
            <v>5679</v>
          </cell>
          <cell r="G2832" t="str">
            <v>Reach_4683</v>
          </cell>
          <cell r="H2832">
            <v>2824</v>
          </cell>
          <cell r="J2832">
            <v>407.4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Q2832">
            <v>0</v>
          </cell>
        </row>
        <row r="2833">
          <cell r="D2833" t="str">
            <v>1247119-33-0</v>
          </cell>
          <cell r="E2833">
            <v>1247119330</v>
          </cell>
          <cell r="F2833">
            <v>5640</v>
          </cell>
          <cell r="G2833" t="str">
            <v>Reach_5011</v>
          </cell>
          <cell r="H2833">
            <v>2825</v>
          </cell>
          <cell r="J2833">
            <v>446.02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  <cell r="Q2833">
            <v>14</v>
          </cell>
        </row>
        <row r="2834">
          <cell r="D2834" t="str">
            <v>2457-01-4</v>
          </cell>
          <cell r="E2834">
            <v>2457014</v>
          </cell>
          <cell r="F2834">
            <v>5578</v>
          </cell>
          <cell r="G2834" t="str">
            <v>Reach_1812</v>
          </cell>
          <cell r="H2834">
            <v>2826</v>
          </cell>
          <cell r="J2834">
            <v>423.77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  <cell r="Q2834">
            <v>14</v>
          </cell>
        </row>
        <row r="2835">
          <cell r="D2835" t="str">
            <v>1421439-99-7</v>
          </cell>
          <cell r="E2835">
            <v>1421439997</v>
          </cell>
          <cell r="F2835">
            <v>5693</v>
          </cell>
          <cell r="G2835" t="str">
            <v>Reach_5036</v>
          </cell>
          <cell r="H2835">
            <v>2827</v>
          </cell>
          <cell r="J2835">
            <v>744.14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  <cell r="Q2835">
            <v>14</v>
          </cell>
        </row>
        <row r="2836">
          <cell r="D2836" t="str">
            <v>915725-52-9</v>
          </cell>
          <cell r="E2836">
            <v>915725529</v>
          </cell>
          <cell r="F2836">
            <v>6081</v>
          </cell>
          <cell r="G2836" t="str">
            <v>Reach_4499</v>
          </cell>
          <cell r="H2836">
            <v>2828</v>
          </cell>
          <cell r="J2836">
            <v>186.08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  <cell r="O2836">
            <v>0</v>
          </cell>
          <cell r="Q2836">
            <v>0</v>
          </cell>
        </row>
        <row r="2837">
          <cell r="D2837" t="str">
            <v>1499193-66-6</v>
          </cell>
          <cell r="E2837">
            <v>1499193666</v>
          </cell>
          <cell r="F2837">
            <v>5706</v>
          </cell>
          <cell r="G2837" t="str">
            <v>Reach_5178</v>
          </cell>
          <cell r="H2837">
            <v>2829</v>
          </cell>
          <cell r="J2837">
            <v>864.95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  <cell r="Q2837">
            <v>14</v>
          </cell>
        </row>
        <row r="2838">
          <cell r="D2838" t="str">
            <v>1360540-27-7</v>
          </cell>
          <cell r="E2838">
            <v>1360540277</v>
          </cell>
          <cell r="F2838">
            <v>5675</v>
          </cell>
          <cell r="G2838" t="str">
            <v>Reach_4693</v>
          </cell>
          <cell r="H2838">
            <v>2830</v>
          </cell>
          <cell r="J2838">
            <v>868.88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  <cell r="Q2838">
            <v>14</v>
          </cell>
        </row>
        <row r="2839">
          <cell r="D2839" t="str">
            <v>77743-24-9</v>
          </cell>
          <cell r="E2839">
            <v>77743249</v>
          </cell>
          <cell r="F2839">
            <v>6035</v>
          </cell>
          <cell r="G2839" t="str">
            <v>Reach_2950</v>
          </cell>
          <cell r="H2839">
            <v>2831</v>
          </cell>
          <cell r="J2839">
            <v>662.99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Q2839">
            <v>0</v>
          </cell>
        </row>
        <row r="2840">
          <cell r="D2840" t="str">
            <v>94133-84-3</v>
          </cell>
          <cell r="E2840">
            <v>94133843</v>
          </cell>
          <cell r="F2840">
            <v>6088</v>
          </cell>
          <cell r="G2840" t="str">
            <v>Reach_3006</v>
          </cell>
          <cell r="H2840">
            <v>2832</v>
          </cell>
          <cell r="J2840">
            <v>201.2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  <cell r="Q2840">
            <v>14</v>
          </cell>
        </row>
        <row r="2841">
          <cell r="D2841" t="str">
            <v>16690-93-0</v>
          </cell>
          <cell r="E2841">
            <v>16690930</v>
          </cell>
          <cell r="F2841">
            <v>5736</v>
          </cell>
          <cell r="G2841" t="str">
            <v>Reach_2427</v>
          </cell>
          <cell r="H2841">
            <v>2833</v>
          </cell>
          <cell r="J2841">
            <v>111.08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  <cell r="Q2841">
            <v>14</v>
          </cell>
        </row>
        <row r="2842">
          <cell r="D2842" t="str">
            <v>3564-28-1</v>
          </cell>
          <cell r="E2842">
            <v>3564281</v>
          </cell>
          <cell r="F2842">
            <v>5856</v>
          </cell>
          <cell r="G2842" t="str">
            <v>Reach_1972</v>
          </cell>
          <cell r="H2842">
            <v>2834</v>
          </cell>
          <cell r="J2842">
            <v>528.39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  <cell r="P2842">
            <v>0</v>
          </cell>
          <cell r="Q2842">
            <v>14</v>
          </cell>
        </row>
        <row r="2843">
          <cell r="D2843" t="str">
            <v>85448-44-8</v>
          </cell>
          <cell r="E2843">
            <v>85448448</v>
          </cell>
          <cell r="F2843">
            <v>6059</v>
          </cell>
          <cell r="G2843" t="str">
            <v>Reach_4473</v>
          </cell>
          <cell r="H2843">
            <v>2835</v>
          </cell>
          <cell r="J2843">
            <v>555.5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Q2843">
            <v>0</v>
          </cell>
        </row>
        <row r="2844">
          <cell r="D2844" t="str">
            <v>95709-83-4</v>
          </cell>
          <cell r="E2844">
            <v>95709834</v>
          </cell>
          <cell r="F2844">
            <v>4130</v>
          </cell>
          <cell r="G2844" t="str">
            <v>Reach_4722</v>
          </cell>
          <cell r="H2844">
            <v>2836</v>
          </cell>
          <cell r="J2844">
            <v>361.57</v>
          </cell>
          <cell r="K2844">
            <v>224.32</v>
          </cell>
          <cell r="L2844">
            <v>7.0915600000000003E-10</v>
          </cell>
          <cell r="M2844">
            <v>0.78278000000000003</v>
          </cell>
          <cell r="N2844">
            <v>371535.2290971732</v>
          </cell>
          <cell r="Q2844">
            <v>14</v>
          </cell>
        </row>
        <row r="2845">
          <cell r="D2845" t="str">
            <v>44914-03-6</v>
          </cell>
          <cell r="E2845">
            <v>44914036</v>
          </cell>
          <cell r="F2845">
            <v>2934</v>
          </cell>
          <cell r="G2845" t="str">
            <v>Reach_2755</v>
          </cell>
          <cell r="H2845">
            <v>2837</v>
          </cell>
          <cell r="J2845">
            <v>142.19999999999999</v>
          </cell>
          <cell r="K2845">
            <v>-45.28</v>
          </cell>
          <cell r="L2845">
            <v>414.56300000000005</v>
          </cell>
          <cell r="M2845">
            <v>1630.7</v>
          </cell>
          <cell r="N2845">
            <v>416.86938347033572</v>
          </cell>
          <cell r="Q2845">
            <v>14</v>
          </cell>
        </row>
        <row r="2846">
          <cell r="D2846" t="str">
            <v>1233733-31-7</v>
          </cell>
          <cell r="E2846">
            <v>1233733317</v>
          </cell>
          <cell r="F2846">
            <v>5633</v>
          </cell>
          <cell r="G2846" t="str">
            <v>Reach_4932</v>
          </cell>
          <cell r="H2846">
            <v>2838</v>
          </cell>
          <cell r="J2846">
            <v>1119.9000000000001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  <cell r="P2846">
            <v>0</v>
          </cell>
          <cell r="Q2846">
            <v>14</v>
          </cell>
        </row>
        <row r="2847">
          <cell r="D2847" t="str">
            <v>62211-93-2</v>
          </cell>
          <cell r="E2847">
            <v>62211932</v>
          </cell>
          <cell r="F2847">
            <v>5954</v>
          </cell>
          <cell r="G2847" t="str">
            <v>Reach_4377</v>
          </cell>
          <cell r="H2847">
            <v>2839</v>
          </cell>
          <cell r="J2847">
            <v>520.48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  <cell r="Q2847">
            <v>14</v>
          </cell>
        </row>
        <row r="2848">
          <cell r="D2848" t="str">
            <v>28861-00-9</v>
          </cell>
          <cell r="E2848">
            <v>28861009</v>
          </cell>
          <cell r="F2848">
            <v>2547</v>
          </cell>
          <cell r="G2848" t="str">
            <v>Reach_4268</v>
          </cell>
          <cell r="H2848">
            <v>2840</v>
          </cell>
          <cell r="J2848">
            <v>282.3</v>
          </cell>
          <cell r="K2848">
            <v>189.67</v>
          </cell>
          <cell r="L2848">
            <v>1.1717070000000001E-6</v>
          </cell>
          <cell r="M2848">
            <v>3498</v>
          </cell>
          <cell r="N2848">
            <v>6.4565422903465572</v>
          </cell>
          <cell r="O2848">
            <v>3.82</v>
          </cell>
          <cell r="P2848">
            <v>14.82</v>
          </cell>
          <cell r="Q2848">
            <v>-0.82000000000000028</v>
          </cell>
        </row>
        <row r="2849">
          <cell r="D2849" t="str">
            <v>16712-64-4</v>
          </cell>
          <cell r="E2849">
            <v>16712644</v>
          </cell>
          <cell r="F2849">
            <v>2111</v>
          </cell>
          <cell r="G2849" t="str">
            <v>Reach_2428</v>
          </cell>
          <cell r="H2849">
            <v>2841</v>
          </cell>
          <cell r="J2849">
            <v>188.18</v>
          </cell>
          <cell r="K2849">
            <v>140.99</v>
          </cell>
          <cell r="L2849">
            <v>7.2648500000000008E-5</v>
          </cell>
          <cell r="M2849">
            <v>448.98</v>
          </cell>
          <cell r="N2849">
            <v>371.53522909717265</v>
          </cell>
          <cell r="O2849">
            <v>4.55</v>
          </cell>
          <cell r="Q2849">
            <v>4.55</v>
          </cell>
        </row>
        <row r="2850">
          <cell r="D2850" t="str">
            <v>98-87-3</v>
          </cell>
          <cell r="E2850">
            <v>98873</v>
          </cell>
          <cell r="F2850">
            <v>4195</v>
          </cell>
          <cell r="G2850" t="str">
            <v>Reach_522</v>
          </cell>
          <cell r="H2850">
            <v>2842</v>
          </cell>
          <cell r="J2850">
            <v>161.03</v>
          </cell>
          <cell r="K2850">
            <v>-13.89</v>
          </cell>
          <cell r="L2850">
            <v>37.457300000000004</v>
          </cell>
          <cell r="M2850">
            <v>98.897999999999996</v>
          </cell>
          <cell r="N2850">
            <v>933.25430079699197</v>
          </cell>
          <cell r="P2850">
            <v>0</v>
          </cell>
          <cell r="Q2850">
            <v>14</v>
          </cell>
        </row>
        <row r="2851">
          <cell r="D2851" t="str">
            <v>3179-63-3</v>
          </cell>
          <cell r="E2851">
            <v>3179633</v>
          </cell>
          <cell r="F2851">
            <v>2636</v>
          </cell>
          <cell r="G2851" t="str">
            <v>Reach_1928</v>
          </cell>
          <cell r="H2851">
            <v>2843</v>
          </cell>
          <cell r="J2851">
            <v>103.17</v>
          </cell>
          <cell r="K2851">
            <v>-27.44</v>
          </cell>
          <cell r="L2851">
            <v>83.845700000000008</v>
          </cell>
          <cell r="M2851">
            <v>963000</v>
          </cell>
          <cell r="N2851">
            <v>0.36307805477010135</v>
          </cell>
          <cell r="P2851">
            <v>4.8</v>
          </cell>
          <cell r="Q2851">
            <v>9.1999999999999993</v>
          </cell>
        </row>
        <row r="2852">
          <cell r="D2852" t="str">
            <v>13423-15-9</v>
          </cell>
          <cell r="E2852">
            <v>13423159</v>
          </cell>
          <cell r="F2852">
            <v>1876</v>
          </cell>
          <cell r="G2852" t="str">
            <v>Reach_2335</v>
          </cell>
          <cell r="H2852">
            <v>2844</v>
          </cell>
          <cell r="J2852">
            <v>86.134</v>
          </cell>
          <cell r="K2852">
            <v>-76.22</v>
          </cell>
          <cell r="L2852">
            <v>9944.18</v>
          </cell>
          <cell r="M2852">
            <v>34346</v>
          </cell>
          <cell r="N2852">
            <v>22.387211385683404</v>
          </cell>
          <cell r="Q2852">
            <v>14</v>
          </cell>
        </row>
        <row r="2853">
          <cell r="D2853" t="str">
            <v>104-90-5</v>
          </cell>
          <cell r="E2853">
            <v>104905</v>
          </cell>
          <cell r="F2853">
            <v>172</v>
          </cell>
          <cell r="G2853" t="str">
            <v>Reach_632</v>
          </cell>
          <cell r="H2853">
            <v>2845</v>
          </cell>
          <cell r="J2853">
            <v>121.18</v>
          </cell>
          <cell r="K2853">
            <v>4.29</v>
          </cell>
          <cell r="L2853">
            <v>139.96500000000003</v>
          </cell>
          <cell r="M2853">
            <v>83010</v>
          </cell>
          <cell r="N2853">
            <v>245.4708915685033</v>
          </cell>
          <cell r="P2853">
            <v>8</v>
          </cell>
          <cell r="Q2853">
            <v>6</v>
          </cell>
        </row>
        <row r="2854">
          <cell r="D2854" t="str">
            <v>544-01-4</v>
          </cell>
          <cell r="E2854">
            <v>544014</v>
          </cell>
          <cell r="F2854">
            <v>3141</v>
          </cell>
          <cell r="G2854" t="str">
            <v>Reach_1351</v>
          </cell>
          <cell r="H2854">
            <v>2846</v>
          </cell>
          <cell r="J2854">
            <v>158.29</v>
          </cell>
          <cell r="K2854">
            <v>-49.06</v>
          </cell>
          <cell r="L2854">
            <v>249.27100000000004</v>
          </cell>
          <cell r="M2854">
            <v>34.398000000000003</v>
          </cell>
          <cell r="N2854">
            <v>7079.4578438413828</v>
          </cell>
          <cell r="Q2854">
            <v>14</v>
          </cell>
        </row>
        <row r="2855">
          <cell r="D2855" t="str">
            <v>887148-70-1</v>
          </cell>
          <cell r="E2855">
            <v>887148701</v>
          </cell>
          <cell r="F2855">
            <v>3963</v>
          </cell>
          <cell r="G2855" t="str">
            <v>Reach_4606</v>
          </cell>
          <cell r="H2855">
            <v>2847</v>
          </cell>
          <cell r="J2855">
            <v>473.4</v>
          </cell>
          <cell r="K2855">
            <v>240.06</v>
          </cell>
          <cell r="L2855">
            <v>5.4519700000000001E-10</v>
          </cell>
          <cell r="M2855">
            <v>1.8364999999999999E-2</v>
          </cell>
          <cell r="N2855">
            <v>131825.67385564081</v>
          </cell>
          <cell r="P2855">
            <v>0</v>
          </cell>
          <cell r="Q2855">
            <v>14</v>
          </cell>
        </row>
        <row r="2856">
          <cell r="D2856" t="str">
            <v>17696-64-9</v>
          </cell>
          <cell r="E2856">
            <v>17696649</v>
          </cell>
          <cell r="F2856">
            <v>2149</v>
          </cell>
          <cell r="G2856" t="str">
            <v>Reach_4672</v>
          </cell>
          <cell r="H2856">
            <v>2848</v>
          </cell>
          <cell r="J2856">
            <v>150.6</v>
          </cell>
          <cell r="K2856">
            <v>-35.979999999999997</v>
          </cell>
          <cell r="L2856">
            <v>191.952</v>
          </cell>
          <cell r="M2856">
            <v>3101.7</v>
          </cell>
          <cell r="N2856">
            <v>107.15193052376065</v>
          </cell>
          <cell r="Q2856">
            <v>14</v>
          </cell>
        </row>
        <row r="2857">
          <cell r="D2857" t="str">
            <v>108-55-4</v>
          </cell>
          <cell r="E2857">
            <v>108554</v>
          </cell>
          <cell r="F2857">
            <v>1485</v>
          </cell>
          <cell r="G2857" t="str">
            <v>Reach_748</v>
          </cell>
          <cell r="H2857">
            <v>2849</v>
          </cell>
          <cell r="J2857">
            <v>114.1</v>
          </cell>
          <cell r="K2857">
            <v>-42.08</v>
          </cell>
          <cell r="L2857">
            <v>0.26526700000000003</v>
          </cell>
          <cell r="M2857">
            <v>50349</v>
          </cell>
          <cell r="N2857">
            <v>19.952623149688804</v>
          </cell>
          <cell r="Q2857">
            <v>14</v>
          </cell>
        </row>
        <row r="2858">
          <cell r="D2858" t="str">
            <v>56107-04-1</v>
          </cell>
          <cell r="E2858">
            <v>56107041</v>
          </cell>
          <cell r="F2858">
            <v>3186</v>
          </cell>
          <cell r="G2858" t="str">
            <v>Reach_2812</v>
          </cell>
          <cell r="H2858">
            <v>2850</v>
          </cell>
          <cell r="J2858">
            <v>206.33</v>
          </cell>
          <cell r="K2858">
            <v>61.11</v>
          </cell>
          <cell r="L2858">
            <v>9.0910600000000015E-3</v>
          </cell>
          <cell r="M2858">
            <v>36.909999999999997</v>
          </cell>
          <cell r="N2858">
            <v>23988.329190194923</v>
          </cell>
          <cell r="Q2858">
            <v>14</v>
          </cell>
        </row>
        <row r="2859">
          <cell r="D2859" t="str">
            <v>14214-31-4</v>
          </cell>
          <cell r="E2859">
            <v>14214314</v>
          </cell>
          <cell r="F2859">
            <v>1947</v>
          </cell>
          <cell r="G2859" t="str">
            <v>Reach_4147</v>
          </cell>
          <cell r="H2859">
            <v>2851</v>
          </cell>
          <cell r="J2859">
            <v>133.6</v>
          </cell>
          <cell r="K2859">
            <v>-23.77</v>
          </cell>
          <cell r="L2859">
            <v>291.92700000000002</v>
          </cell>
          <cell r="M2859">
            <v>733.13</v>
          </cell>
          <cell r="N2859">
            <v>436.51583224016622</v>
          </cell>
          <cell r="Q2859">
            <v>14</v>
          </cell>
        </row>
        <row r="2860">
          <cell r="D2860" t="str">
            <v>474266-68-7</v>
          </cell>
          <cell r="E2860">
            <v>474266687</v>
          </cell>
          <cell r="F2860">
            <v>5894</v>
          </cell>
          <cell r="G2860" t="str">
            <v>Reach_4665</v>
          </cell>
          <cell r="H2860">
            <v>2852</v>
          </cell>
          <cell r="J2860">
            <v>204.23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  <cell r="Q2860">
            <v>14</v>
          </cell>
        </row>
        <row r="2861">
          <cell r="D2861" t="str">
            <v>110-93-0</v>
          </cell>
          <cell r="E2861">
            <v>110930</v>
          </cell>
          <cell r="F2861">
            <v>291</v>
          </cell>
          <cell r="G2861" t="str">
            <v>Reach_838</v>
          </cell>
          <cell r="H2861">
            <v>2853</v>
          </cell>
          <cell r="J2861">
            <v>126.2</v>
          </cell>
          <cell r="K2861">
            <v>-40.020000000000003</v>
          </cell>
          <cell r="L2861">
            <v>237.27400000000003</v>
          </cell>
          <cell r="M2861">
            <v>3452</v>
          </cell>
          <cell r="N2861">
            <v>114.81536214968835</v>
          </cell>
          <cell r="O2861">
            <v>0</v>
          </cell>
          <cell r="Q2861">
            <v>0</v>
          </cell>
        </row>
        <row r="2862">
          <cell r="D2862" t="str">
            <v>81-07-2</v>
          </cell>
          <cell r="E2862">
            <v>81072</v>
          </cell>
          <cell r="F2862">
            <v>98</v>
          </cell>
          <cell r="G2862" t="str">
            <v>Reach_270</v>
          </cell>
          <cell r="H2862">
            <v>2854</v>
          </cell>
          <cell r="J2862">
            <v>183.19</v>
          </cell>
          <cell r="K2862">
            <v>159.85</v>
          </cell>
          <cell r="L2862">
            <v>1.37299E-5</v>
          </cell>
          <cell r="M2862">
            <v>1250.3</v>
          </cell>
          <cell r="N2862">
            <v>2.8183829312644542</v>
          </cell>
          <cell r="O2862">
            <v>1.7</v>
          </cell>
          <cell r="P2862">
            <v>14.4</v>
          </cell>
          <cell r="Q2862">
            <v>-0.40000000000000036</v>
          </cell>
        </row>
        <row r="2863">
          <cell r="D2863" t="str">
            <v>1435-71-8</v>
          </cell>
          <cell r="E2863">
            <v>1435718</v>
          </cell>
          <cell r="F2863">
            <v>1968</v>
          </cell>
          <cell r="G2863" t="str">
            <v>Reach_1680</v>
          </cell>
          <cell r="H2863">
            <v>2855</v>
          </cell>
          <cell r="J2863">
            <v>257.25</v>
          </cell>
          <cell r="K2863">
            <v>156.47999999999999</v>
          </cell>
          <cell r="L2863">
            <v>8.9311000000000016E-6</v>
          </cell>
          <cell r="M2863">
            <v>9.4528999999999996</v>
          </cell>
          <cell r="N2863">
            <v>186208.71366628664</v>
          </cell>
          <cell r="Q2863">
            <v>14</v>
          </cell>
        </row>
        <row r="2864">
          <cell r="D2864" t="str">
            <v>123989-29-7</v>
          </cell>
          <cell r="E2864">
            <v>123989297</v>
          </cell>
          <cell r="F2864">
            <v>1780</v>
          </cell>
          <cell r="G2864" t="str">
            <v>Reach_4108</v>
          </cell>
          <cell r="H2864">
            <v>2856</v>
          </cell>
          <cell r="J2864">
            <v>208.69</v>
          </cell>
          <cell r="K2864">
            <v>62.63</v>
          </cell>
          <cell r="L2864">
            <v>0.28126299999999999</v>
          </cell>
          <cell r="M2864">
            <v>6.2709999999999999</v>
          </cell>
          <cell r="N2864">
            <v>10471.285480509003</v>
          </cell>
          <cell r="Q2864">
            <v>14</v>
          </cell>
        </row>
        <row r="2865">
          <cell r="D2865" t="str">
            <v>18472-51-0</v>
          </cell>
          <cell r="E2865">
            <v>18472510</v>
          </cell>
          <cell r="F2865">
            <v>5748</v>
          </cell>
          <cell r="G2865" t="str">
            <v>Reach_2462</v>
          </cell>
          <cell r="H2865">
            <v>2857</v>
          </cell>
          <cell r="J2865">
            <v>897.78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  <cell r="P2865">
            <v>0</v>
          </cell>
          <cell r="Q2865">
            <v>14</v>
          </cell>
        </row>
        <row r="2866">
          <cell r="D2866" t="str">
            <v>2550-26-7</v>
          </cell>
          <cell r="E2866">
            <v>2550267</v>
          </cell>
          <cell r="F2866">
            <v>2437</v>
          </cell>
          <cell r="G2866" t="str">
            <v>Reach_1838</v>
          </cell>
          <cell r="H2866">
            <v>2858</v>
          </cell>
          <cell r="J2866">
            <v>148.21</v>
          </cell>
          <cell r="K2866">
            <v>12.78</v>
          </cell>
          <cell r="L2866">
            <v>8.6778300000000019</v>
          </cell>
          <cell r="M2866">
            <v>254.3</v>
          </cell>
          <cell r="N2866">
            <v>91.201083935590972</v>
          </cell>
          <cell r="Q2866">
            <v>14</v>
          </cell>
        </row>
        <row r="2867">
          <cell r="D2867" t="str">
            <v>114772-54-2</v>
          </cell>
          <cell r="E2867">
            <v>114772542</v>
          </cell>
          <cell r="F2867">
            <v>1625</v>
          </cell>
          <cell r="G2867" t="str">
            <v>Reach_4083</v>
          </cell>
          <cell r="H2867">
            <v>2859</v>
          </cell>
          <cell r="J2867">
            <v>272.14999999999998</v>
          </cell>
          <cell r="K2867">
            <v>131.44999999999999</v>
          </cell>
          <cell r="L2867">
            <v>2.7726400000000005E-4</v>
          </cell>
          <cell r="M2867">
            <v>0.32547999999999999</v>
          </cell>
          <cell r="N2867">
            <v>15488.166189124853</v>
          </cell>
          <cell r="O2867">
            <v>0</v>
          </cell>
          <cell r="Q2867">
            <v>0</v>
          </cell>
        </row>
        <row r="2868">
          <cell r="D2868" t="str">
            <v>76-19-7</v>
          </cell>
          <cell r="E2868">
            <v>76197</v>
          </cell>
          <cell r="F2868">
            <v>3702</v>
          </cell>
          <cell r="G2868" t="str">
            <v>Reach_174</v>
          </cell>
          <cell r="H2868">
            <v>2860</v>
          </cell>
          <cell r="J2868">
            <v>188.02</v>
          </cell>
          <cell r="K2868">
            <v>-136.38999999999999</v>
          </cell>
          <cell r="L2868">
            <v>711822.00000000012</v>
          </cell>
          <cell r="M2868">
            <v>3.7299000000000002</v>
          </cell>
          <cell r="N2868">
            <v>660.69344800759643</v>
          </cell>
          <cell r="Q2868">
            <v>14</v>
          </cell>
        </row>
        <row r="2869">
          <cell r="D2869" t="str">
            <v>64-73-3</v>
          </cell>
          <cell r="E2869">
            <v>64733</v>
          </cell>
          <cell r="F2869">
            <v>5969</v>
          </cell>
          <cell r="G2869" t="str">
            <v>Reach_74</v>
          </cell>
          <cell r="H2869">
            <v>2861</v>
          </cell>
          <cell r="J2869">
            <v>501.32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  <cell r="Q2869">
            <v>14</v>
          </cell>
        </row>
        <row r="2870">
          <cell r="D2870" t="str">
            <v>497-18-7</v>
          </cell>
          <cell r="E2870">
            <v>497187</v>
          </cell>
          <cell r="F2870">
            <v>2989</v>
          </cell>
          <cell r="G2870" t="str">
            <v>Reach_1296</v>
          </cell>
          <cell r="H2870">
            <v>2862</v>
          </cell>
          <cell r="J2870">
            <v>90.09</v>
          </cell>
          <cell r="K2870">
            <v>77.88</v>
          </cell>
          <cell r="L2870">
            <v>0.14129800000000001</v>
          </cell>
          <cell r="M2870">
            <v>1000000</v>
          </cell>
          <cell r="N2870">
            <v>1.8620871366628676E-4</v>
          </cell>
          <cell r="O2870">
            <v>14.3</v>
          </cell>
          <cell r="P2870">
            <v>9.9</v>
          </cell>
          <cell r="Q2870">
            <v>4.0999999999999996</v>
          </cell>
        </row>
        <row r="2871">
          <cell r="D2871" t="str">
            <v>83411-71-6</v>
          </cell>
          <cell r="E2871">
            <v>83411716</v>
          </cell>
          <cell r="F2871">
            <v>3845</v>
          </cell>
          <cell r="G2871" t="str">
            <v>Reach_2966</v>
          </cell>
          <cell r="H2871">
            <v>2863</v>
          </cell>
          <cell r="J2871">
            <v>290.43</v>
          </cell>
          <cell r="K2871">
            <v>79.37</v>
          </cell>
          <cell r="L2871">
            <v>1.7195700000000001E-4</v>
          </cell>
          <cell r="M2871">
            <v>4.5213000000000001</v>
          </cell>
          <cell r="N2871">
            <v>223872.11385683404</v>
          </cell>
          <cell r="Q2871">
            <v>14</v>
          </cell>
        </row>
        <row r="2872">
          <cell r="D2872" t="str">
            <v>111-05-7</v>
          </cell>
          <cell r="E2872">
            <v>111057</v>
          </cell>
          <cell r="F2872">
            <v>1537</v>
          </cell>
          <cell r="G2872" t="str">
            <v>Reach_843</v>
          </cell>
          <cell r="H2872">
            <v>2864</v>
          </cell>
          <cell r="J2872">
            <v>339.57</v>
          </cell>
          <cell r="K2872">
            <v>194.15</v>
          </cell>
          <cell r="L2872">
            <v>1.8662E-9</v>
          </cell>
          <cell r="M2872">
            <v>2.5264000000000002E-2</v>
          </cell>
          <cell r="N2872">
            <v>2454708.915685033</v>
          </cell>
          <cell r="O2872">
            <v>13.71</v>
          </cell>
          <cell r="P2872">
            <v>14.66</v>
          </cell>
          <cell r="Q2872">
            <v>-0.66000000000000014</v>
          </cell>
        </row>
        <row r="2873">
          <cell r="D2873" t="str">
            <v>6872-10-2</v>
          </cell>
          <cell r="E2873">
            <v>6872102</v>
          </cell>
          <cell r="F2873">
            <v>1286</v>
          </cell>
          <cell r="G2873" t="str">
            <v>Reach_4897</v>
          </cell>
          <cell r="H2873">
            <v>2865</v>
          </cell>
          <cell r="J2873">
            <v>231.3</v>
          </cell>
          <cell r="K2873">
            <v>98.74</v>
          </cell>
          <cell r="L2873">
            <v>3.2125300000000002E-2</v>
          </cell>
          <cell r="M2873">
            <v>108.35</v>
          </cell>
          <cell r="N2873">
            <v>13182.567385564091</v>
          </cell>
          <cell r="O2873">
            <v>0</v>
          </cell>
          <cell r="P2873">
            <v>0</v>
          </cell>
          <cell r="Q2873">
            <v>0</v>
          </cell>
        </row>
        <row r="2874">
          <cell r="D2874" t="str">
            <v>502421-44-5</v>
          </cell>
          <cell r="E2874">
            <v>502421445</v>
          </cell>
          <cell r="F2874">
            <v>2998</v>
          </cell>
          <cell r="G2874" t="str">
            <v>Reach_4331</v>
          </cell>
          <cell r="H2874">
            <v>2866</v>
          </cell>
          <cell r="J2874">
            <v>424.46</v>
          </cell>
          <cell r="K2874">
            <v>292.06</v>
          </cell>
          <cell r="L2874">
            <v>1.5062900000000001E-13</v>
          </cell>
          <cell r="M2874">
            <v>253.87</v>
          </cell>
          <cell r="N2874">
            <v>41.686938347033561</v>
          </cell>
          <cell r="O2874">
            <v>9.32</v>
          </cell>
          <cell r="P2874">
            <v>11.84</v>
          </cell>
          <cell r="Q2874">
            <v>2.16</v>
          </cell>
        </row>
        <row r="2875">
          <cell r="D2875" t="str">
            <v>863329-69-5</v>
          </cell>
          <cell r="E2875">
            <v>863329695</v>
          </cell>
          <cell r="F2875">
            <v>3904</v>
          </cell>
          <cell r="G2875" t="str">
            <v>Reach_4474</v>
          </cell>
          <cell r="H2875">
            <v>2867</v>
          </cell>
          <cell r="J2875">
            <v>479.46</v>
          </cell>
          <cell r="K2875">
            <v>198.8</v>
          </cell>
          <cell r="L2875">
            <v>2.9859200000000003E-7</v>
          </cell>
          <cell r="M2875">
            <v>4.2273999999999999E-2</v>
          </cell>
          <cell r="N2875">
            <v>83176.377110267174</v>
          </cell>
          <cell r="O2875">
            <v>0</v>
          </cell>
          <cell r="Q2875">
            <v>0</v>
          </cell>
        </row>
        <row r="2876">
          <cell r="D2876" t="str">
            <v>13752-51-7</v>
          </cell>
          <cell r="E2876">
            <v>13752517</v>
          </cell>
          <cell r="F2876">
            <v>1911</v>
          </cell>
          <cell r="G2876" t="str">
            <v>Reach_2349</v>
          </cell>
          <cell r="H2876">
            <v>2868</v>
          </cell>
          <cell r="J2876">
            <v>248.37</v>
          </cell>
          <cell r="K2876">
            <v>124.32</v>
          </cell>
          <cell r="L2876">
            <v>1.059735E-3</v>
          </cell>
          <cell r="M2876">
            <v>39403</v>
          </cell>
          <cell r="N2876">
            <v>0.14454397707459271</v>
          </cell>
          <cell r="P2876">
            <v>7.39</v>
          </cell>
          <cell r="Q2876">
            <v>6.61</v>
          </cell>
        </row>
        <row r="2877">
          <cell r="D2877" t="str">
            <v>112-33-4</v>
          </cell>
          <cell r="E2877">
            <v>112334</v>
          </cell>
          <cell r="F2877">
            <v>1583</v>
          </cell>
          <cell r="G2877" t="str">
            <v>Reach_898</v>
          </cell>
          <cell r="H2877">
            <v>2869</v>
          </cell>
          <cell r="J2877">
            <v>163.22</v>
          </cell>
          <cell r="K2877">
            <v>56.76</v>
          </cell>
          <cell r="L2877">
            <v>6.7449800000000018E-2</v>
          </cell>
          <cell r="M2877">
            <v>9930000</v>
          </cell>
          <cell r="N2877">
            <v>2.1379620895022322E-2</v>
          </cell>
          <cell r="Q2877">
            <v>14</v>
          </cell>
        </row>
        <row r="2878">
          <cell r="D2878" t="str">
            <v>84434-11-7</v>
          </cell>
          <cell r="E2878">
            <v>84434117</v>
          </cell>
          <cell r="F2878">
            <v>3864</v>
          </cell>
          <cell r="G2878" t="str">
            <v>Reach_2974</v>
          </cell>
          <cell r="H2878">
            <v>2870</v>
          </cell>
          <cell r="J2878">
            <v>316.33999999999997</v>
          </cell>
          <cell r="K2878">
            <v>84.94</v>
          </cell>
          <cell r="L2878">
            <v>7.1182200000000011E-5</v>
          </cell>
          <cell r="M2878">
            <v>2.4735999999999998</v>
          </cell>
          <cell r="N2878">
            <v>1348.9628825916541</v>
          </cell>
          <cell r="Q2878">
            <v>14</v>
          </cell>
        </row>
        <row r="2879">
          <cell r="D2879" t="str">
            <v>249561-98-6</v>
          </cell>
          <cell r="E2879">
            <v>249561986</v>
          </cell>
          <cell r="F2879">
            <v>5794</v>
          </cell>
          <cell r="G2879" t="str">
            <v>Reach_4545</v>
          </cell>
          <cell r="H2879">
            <v>2871</v>
          </cell>
          <cell r="J2879">
            <v>306.62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  <cell r="O2879">
            <v>0</v>
          </cell>
          <cell r="Q2879">
            <v>0</v>
          </cell>
        </row>
        <row r="2880">
          <cell r="D2880" t="str">
            <v>5080-22-8</v>
          </cell>
          <cell r="E2880">
            <v>5080228</v>
          </cell>
          <cell r="F2880">
            <v>3019</v>
          </cell>
          <cell r="G2880" t="str">
            <v>Reach_2076</v>
          </cell>
          <cell r="H2880">
            <v>2872</v>
          </cell>
          <cell r="J2880">
            <v>75.111999999999995</v>
          </cell>
          <cell r="K2880">
            <v>-42.39</v>
          </cell>
          <cell r="L2880">
            <v>370.57400000000001</v>
          </cell>
          <cell r="M2880">
            <v>105000</v>
          </cell>
          <cell r="N2880">
            <v>1.4125375446227544</v>
          </cell>
          <cell r="Q2880">
            <v>14</v>
          </cell>
        </row>
        <row r="2881">
          <cell r="D2881" t="str">
            <v>123989-28-6</v>
          </cell>
          <cell r="E2881">
            <v>123989286</v>
          </cell>
          <cell r="F2881">
            <v>1779</v>
          </cell>
          <cell r="G2881" t="str">
            <v>Reach_4549</v>
          </cell>
          <cell r="H2881">
            <v>2873</v>
          </cell>
          <cell r="J2881">
            <v>210.7</v>
          </cell>
          <cell r="K2881">
            <v>64.430000000000007</v>
          </cell>
          <cell r="L2881">
            <v>9.6775800000000016E-3</v>
          </cell>
          <cell r="M2881">
            <v>187.3</v>
          </cell>
          <cell r="N2881">
            <v>6918.3097091893687</v>
          </cell>
          <cell r="Q2881">
            <v>14</v>
          </cell>
        </row>
        <row r="2882">
          <cell r="D2882" t="str">
            <v>407-25-0</v>
          </cell>
          <cell r="E2882">
            <v>407250</v>
          </cell>
          <cell r="F2882">
            <v>2863</v>
          </cell>
          <cell r="G2882" t="str">
            <v>Reach_1267</v>
          </cell>
          <cell r="H2882">
            <v>2874</v>
          </cell>
          <cell r="J2882">
            <v>210.03</v>
          </cell>
          <cell r="K2882">
            <v>-101.78</v>
          </cell>
          <cell r="L2882">
            <v>58652.000000000007</v>
          </cell>
          <cell r="M2882">
            <v>0.68933999999999995</v>
          </cell>
          <cell r="N2882">
            <v>1.778279410038923</v>
          </cell>
          <cell r="Q2882">
            <v>14</v>
          </cell>
        </row>
        <row r="2883">
          <cell r="D2883" t="str">
            <v>4763-40-0</v>
          </cell>
          <cell r="E2883">
            <v>4763400</v>
          </cell>
          <cell r="F2883">
            <v>2968</v>
          </cell>
          <cell r="G2883" t="str">
            <v>Reach_2062</v>
          </cell>
          <cell r="H2883">
            <v>2875</v>
          </cell>
          <cell r="J2883">
            <v>238.42</v>
          </cell>
          <cell r="K2883">
            <v>95.42</v>
          </cell>
          <cell r="L2883">
            <v>4.9187700000000011E-3</v>
          </cell>
          <cell r="M2883">
            <v>1.3456999999999999</v>
          </cell>
          <cell r="N2883">
            <v>54954.087385762505</v>
          </cell>
          <cell r="Q2883">
            <v>14</v>
          </cell>
        </row>
        <row r="2884">
          <cell r="D2884" t="str">
            <v>40758-65-4</v>
          </cell>
          <cell r="E2884">
            <v>40758654</v>
          </cell>
          <cell r="F2884">
            <v>2865</v>
          </cell>
          <cell r="G2884" t="str">
            <v>Reach_5059</v>
          </cell>
          <cell r="H2884">
            <v>2876</v>
          </cell>
          <cell r="J2884">
            <v>193.04</v>
          </cell>
          <cell r="K2884">
            <v>64.94</v>
          </cell>
          <cell r="L2884">
            <v>1.4129800000000001</v>
          </cell>
          <cell r="M2884">
            <v>484.22</v>
          </cell>
          <cell r="N2884">
            <v>501.18723362727269</v>
          </cell>
          <cell r="Q2884">
            <v>14</v>
          </cell>
        </row>
        <row r="2885">
          <cell r="D2885" t="str">
            <v>166524-65-8</v>
          </cell>
          <cell r="E2885">
            <v>166524658</v>
          </cell>
          <cell r="F2885">
            <v>2105</v>
          </cell>
          <cell r="G2885" t="str">
            <v>Reach_4679</v>
          </cell>
          <cell r="H2885">
            <v>2877</v>
          </cell>
          <cell r="J2885">
            <v>160.13</v>
          </cell>
          <cell r="K2885">
            <v>19.47</v>
          </cell>
          <cell r="L2885">
            <v>123.70240000000001</v>
          </cell>
          <cell r="M2885">
            <v>3011.8</v>
          </cell>
          <cell r="N2885">
            <v>64.565422903465588</v>
          </cell>
          <cell r="O2885">
            <v>0</v>
          </cell>
          <cell r="Q2885">
            <v>0</v>
          </cell>
        </row>
        <row r="2886">
          <cell r="D2886" t="str">
            <v>52328-05-9</v>
          </cell>
          <cell r="E2886">
            <v>52328059</v>
          </cell>
          <cell r="F2886">
            <v>5911</v>
          </cell>
          <cell r="G2886" t="str">
            <v>Reach_2780</v>
          </cell>
          <cell r="H2886">
            <v>2878</v>
          </cell>
          <cell r="J2886">
            <v>246.25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  <cell r="P2886">
            <v>0</v>
          </cell>
          <cell r="Q2886">
            <v>14</v>
          </cell>
        </row>
        <row r="2887">
          <cell r="D2887" t="str">
            <v>166524-75-0</v>
          </cell>
          <cell r="E2887">
            <v>166524750</v>
          </cell>
          <cell r="F2887">
            <v>2108</v>
          </cell>
          <cell r="G2887" t="str">
            <v>Reach_4689</v>
          </cell>
          <cell r="H2887">
            <v>2879</v>
          </cell>
          <cell r="J2887">
            <v>426.44</v>
          </cell>
          <cell r="K2887">
            <v>233.19</v>
          </cell>
          <cell r="L2887">
            <v>1.5729400000000002E-9</v>
          </cell>
          <cell r="M2887">
            <v>2.0677999999999998E-3</v>
          </cell>
          <cell r="N2887">
            <v>3019.9517204020176</v>
          </cell>
          <cell r="P2887">
            <v>12.08</v>
          </cell>
          <cell r="Q2887">
            <v>1.92</v>
          </cell>
        </row>
        <row r="2888">
          <cell r="D2888" t="str">
            <v>544-10-5</v>
          </cell>
          <cell r="E2888">
            <v>544105</v>
          </cell>
          <cell r="F2888">
            <v>3142</v>
          </cell>
          <cell r="G2888" t="str">
            <v>Reach_1352</v>
          </cell>
          <cell r="H2888">
            <v>2880</v>
          </cell>
          <cell r="J2888">
            <v>120.62</v>
          </cell>
          <cell r="K2888">
            <v>-60.22</v>
          </cell>
          <cell r="L2888">
            <v>1063.7340000000002</v>
          </cell>
          <cell r="M2888">
            <v>69.058000000000007</v>
          </cell>
          <cell r="N2888">
            <v>3467.3685045253224</v>
          </cell>
          <cell r="Q2888">
            <v>14</v>
          </cell>
        </row>
        <row r="2889">
          <cell r="D2889" t="str">
            <v>693-21-0</v>
          </cell>
          <cell r="E2889">
            <v>693210</v>
          </cell>
          <cell r="F2889">
            <v>804</v>
          </cell>
          <cell r="G2889" t="str">
            <v>Reach_1505</v>
          </cell>
          <cell r="H2889">
            <v>2881</v>
          </cell>
          <cell r="J2889">
            <v>196.12</v>
          </cell>
          <cell r="K2889">
            <v>29.08</v>
          </cell>
          <cell r="L2889">
            <v>3.9056900000000003</v>
          </cell>
          <cell r="M2889">
            <v>30461</v>
          </cell>
          <cell r="N2889">
            <v>7.9432823472428176</v>
          </cell>
          <cell r="O2889">
            <v>0</v>
          </cell>
          <cell r="P2889">
            <v>0</v>
          </cell>
          <cell r="Q2889">
            <v>0</v>
          </cell>
        </row>
        <row r="2890">
          <cell r="D2890" t="str">
            <v>15854-73-6</v>
          </cell>
          <cell r="E2890">
            <v>15854736</v>
          </cell>
          <cell r="F2890">
            <v>2063</v>
          </cell>
          <cell r="G2890" t="str">
            <v>Reach_4169</v>
          </cell>
          <cell r="H2890">
            <v>2882</v>
          </cell>
          <cell r="J2890">
            <v>229.24</v>
          </cell>
          <cell r="K2890">
            <v>125.9</v>
          </cell>
          <cell r="L2890">
            <v>8.0246600000000005E-4</v>
          </cell>
          <cell r="M2890">
            <v>2.2707999999999999</v>
          </cell>
          <cell r="N2890">
            <v>4570.8818961487532</v>
          </cell>
          <cell r="Q2890">
            <v>14</v>
          </cell>
        </row>
        <row r="2891">
          <cell r="D2891" t="str">
            <v>5989-54-8</v>
          </cell>
          <cell r="E2891">
            <v>5989548</v>
          </cell>
          <cell r="F2891">
            <v>744</v>
          </cell>
          <cell r="G2891" t="str">
            <v>Reach_2148</v>
          </cell>
          <cell r="H2891">
            <v>2883</v>
          </cell>
          <cell r="J2891">
            <v>136.24</v>
          </cell>
          <cell r="K2891">
            <v>-40.76</v>
          </cell>
          <cell r="L2891">
            <v>193.285</v>
          </cell>
          <cell r="M2891">
            <v>7.7066999999999997</v>
          </cell>
          <cell r="N2891">
            <v>67608.297539198305</v>
          </cell>
          <cell r="Q2891">
            <v>14</v>
          </cell>
        </row>
        <row r="2892">
          <cell r="D2892" t="str">
            <v>556-52-5</v>
          </cell>
          <cell r="E2892">
            <v>556525</v>
          </cell>
          <cell r="F2892">
            <v>703</v>
          </cell>
          <cell r="G2892" t="str">
            <v>Reach_1366</v>
          </cell>
          <cell r="H2892">
            <v>2884</v>
          </cell>
          <cell r="J2892">
            <v>74.078999999999994</v>
          </cell>
          <cell r="K2892">
            <v>-42.71</v>
          </cell>
          <cell r="L2892">
            <v>745.14700000000005</v>
          </cell>
          <cell r="M2892">
            <v>1550000</v>
          </cell>
          <cell r="N2892">
            <v>8.1283051616409904E-2</v>
          </cell>
          <cell r="O2892">
            <v>14.95</v>
          </cell>
          <cell r="Q2892">
            <v>14</v>
          </cell>
        </row>
        <row r="2893">
          <cell r="D2893" t="str">
            <v>224049-04-1</v>
          </cell>
          <cell r="E2893">
            <v>224049041</v>
          </cell>
          <cell r="F2893">
            <v>2333</v>
          </cell>
          <cell r="G2893" t="str">
            <v>Reach_4535</v>
          </cell>
          <cell r="H2893">
            <v>2885</v>
          </cell>
          <cell r="J2893">
            <v>298.14999999999998</v>
          </cell>
          <cell r="K2893">
            <v>186.07</v>
          </cell>
          <cell r="L2893">
            <v>2.6926600000000002E-8</v>
          </cell>
          <cell r="M2893">
            <v>10.92</v>
          </cell>
          <cell r="N2893">
            <v>173.78008287493768</v>
          </cell>
          <cell r="P2893">
            <v>12.26</v>
          </cell>
          <cell r="Q2893">
            <v>1.7400000000000002</v>
          </cell>
        </row>
        <row r="2894">
          <cell r="D2894" t="str">
            <v>57144-06-6</v>
          </cell>
          <cell r="E2894">
            <v>57144066</v>
          </cell>
          <cell r="F2894">
            <v>3226</v>
          </cell>
          <cell r="G2894" t="str">
            <v>Reach_2824</v>
          </cell>
          <cell r="H2894">
            <v>2886</v>
          </cell>
          <cell r="J2894">
            <v>300.44</v>
          </cell>
          <cell r="K2894">
            <v>136.91999999999999</v>
          </cell>
          <cell r="L2894">
            <v>6.3584100000000005E-4</v>
          </cell>
          <cell r="M2894">
            <v>5.3372999999999999</v>
          </cell>
          <cell r="N2894">
            <v>3890.451449942811</v>
          </cell>
          <cell r="Q2894">
            <v>14</v>
          </cell>
        </row>
        <row r="2895">
          <cell r="D2895" t="str">
            <v>85390-94-9</v>
          </cell>
          <cell r="E2895">
            <v>85390949</v>
          </cell>
          <cell r="F2895">
            <v>3886</v>
          </cell>
          <cell r="G2895" t="str">
            <v>Reach_4472</v>
          </cell>
          <cell r="H2895">
            <v>2887</v>
          </cell>
          <cell r="J2895">
            <v>488.67</v>
          </cell>
          <cell r="K2895">
            <v>214.15</v>
          </cell>
          <cell r="L2895">
            <v>1.057069E-10</v>
          </cell>
          <cell r="M2895">
            <v>0.13597000000000001</v>
          </cell>
          <cell r="N2895">
            <v>43651.583224016598</v>
          </cell>
          <cell r="Q2895">
            <v>14</v>
          </cell>
        </row>
        <row r="2896">
          <cell r="D2896" t="str">
            <v>34455-22-6</v>
          </cell>
          <cell r="E2896">
            <v>34455226</v>
          </cell>
          <cell r="F2896">
            <v>2707</v>
          </cell>
          <cell r="G2896" t="str">
            <v>Reach_4286</v>
          </cell>
          <cell r="H2896">
            <v>2888</v>
          </cell>
          <cell r="J2896">
            <v>512.33000000000004</v>
          </cell>
          <cell r="K2896">
            <v>105.71</v>
          </cell>
          <cell r="L2896">
            <v>2.4527200000000002E-2</v>
          </cell>
          <cell r="M2896">
            <v>6.6066000000000003</v>
          </cell>
          <cell r="N2896">
            <v>41686.938347033625</v>
          </cell>
          <cell r="O2896">
            <v>8.65</v>
          </cell>
          <cell r="Q2896">
            <v>8.65</v>
          </cell>
        </row>
        <row r="2897">
          <cell r="D2897" t="str">
            <v>203313-47-7</v>
          </cell>
          <cell r="E2897">
            <v>203313477</v>
          </cell>
          <cell r="F2897">
            <v>2260</v>
          </cell>
          <cell r="G2897" t="str">
            <v>Reach_4210</v>
          </cell>
          <cell r="H2897">
            <v>2889</v>
          </cell>
          <cell r="J2897">
            <v>333.43</v>
          </cell>
          <cell r="K2897">
            <v>197.41</v>
          </cell>
          <cell r="L2897">
            <v>3.6790800000000001E-7</v>
          </cell>
          <cell r="M2897">
            <v>31.722999999999999</v>
          </cell>
          <cell r="N2897">
            <v>3467.3685045253224</v>
          </cell>
          <cell r="Q2897">
            <v>14</v>
          </cell>
        </row>
        <row r="2898">
          <cell r="D2898" t="str">
            <v>34494-24-1</v>
          </cell>
          <cell r="E2898">
            <v>34494241</v>
          </cell>
          <cell r="F2898">
            <v>2708</v>
          </cell>
          <cell r="G2898" t="str">
            <v>Reach_4570</v>
          </cell>
          <cell r="H2898">
            <v>2890</v>
          </cell>
          <cell r="J2898">
            <v>128.18</v>
          </cell>
          <cell r="K2898">
            <v>41.6</v>
          </cell>
          <cell r="L2898">
            <v>0.21194700000000002</v>
          </cell>
          <cell r="M2898">
            <v>1000000</v>
          </cell>
          <cell r="N2898">
            <v>6.0255958607435746E-2</v>
          </cell>
          <cell r="O2898">
            <v>14.9</v>
          </cell>
          <cell r="P2898">
            <v>6.82</v>
          </cell>
          <cell r="Q2898">
            <v>7.18</v>
          </cell>
        </row>
        <row r="2899">
          <cell r="D2899" t="str">
            <v>187592-70-7</v>
          </cell>
          <cell r="E2899">
            <v>187592707</v>
          </cell>
          <cell r="F2899">
            <v>2207</v>
          </cell>
          <cell r="G2899" t="str">
            <v>Reach_4194</v>
          </cell>
          <cell r="H2899">
            <v>2891</v>
          </cell>
          <cell r="J2899">
            <v>277.07</v>
          </cell>
          <cell r="K2899">
            <v>58.22</v>
          </cell>
          <cell r="L2899">
            <v>0.57852200000000009</v>
          </cell>
          <cell r="M2899">
            <v>43.494</v>
          </cell>
          <cell r="N2899">
            <v>1659.5869074375626</v>
          </cell>
          <cell r="P2899">
            <v>0</v>
          </cell>
          <cell r="Q2899">
            <v>14</v>
          </cell>
        </row>
        <row r="2900">
          <cell r="D2900" t="str">
            <v>123989-31-1</v>
          </cell>
          <cell r="E2900">
            <v>123989311</v>
          </cell>
          <cell r="F2900">
            <v>1781</v>
          </cell>
          <cell r="G2900" t="str">
            <v>Reach_4109</v>
          </cell>
          <cell r="H2900">
            <v>2892</v>
          </cell>
          <cell r="J2900">
            <v>196.68</v>
          </cell>
          <cell r="K2900">
            <v>43.33</v>
          </cell>
          <cell r="L2900">
            <v>5.2520200000000003E-2</v>
          </cell>
          <cell r="M2900">
            <v>251.35</v>
          </cell>
          <cell r="N2900">
            <v>2511.8864315095811</v>
          </cell>
          <cell r="Q2900">
            <v>14</v>
          </cell>
        </row>
        <row r="2901">
          <cell r="D2901" t="str">
            <v>71566-54-6</v>
          </cell>
          <cell r="E2901">
            <v>71566546</v>
          </cell>
          <cell r="F2901">
            <v>3584</v>
          </cell>
          <cell r="G2901" t="str">
            <v>Reach_2927</v>
          </cell>
          <cell r="H2901">
            <v>2893</v>
          </cell>
          <cell r="J2901">
            <v>925.83</v>
          </cell>
          <cell r="K2901">
            <v>349.84</v>
          </cell>
          <cell r="L2901">
            <v>2.2261100000000001E-33</v>
          </cell>
          <cell r="M2901">
            <v>1.1099999999999999E-12</v>
          </cell>
          <cell r="N2901">
            <v>2137962089502238</v>
          </cell>
          <cell r="Q2901">
            <v>14</v>
          </cell>
        </row>
        <row r="2902">
          <cell r="D2902" t="str">
            <v>53207-58-2</v>
          </cell>
          <cell r="E2902">
            <v>53207582</v>
          </cell>
          <cell r="F2902">
            <v>3091</v>
          </cell>
          <cell r="G2902" t="str">
            <v>Reach_4343</v>
          </cell>
          <cell r="H2902">
            <v>2894</v>
          </cell>
          <cell r="J2902">
            <v>194.3</v>
          </cell>
          <cell r="K2902">
            <v>50.65</v>
          </cell>
          <cell r="L2902">
            <v>0.34258100000000002</v>
          </cell>
          <cell r="M2902">
            <v>41.924999999999997</v>
          </cell>
          <cell r="N2902">
            <v>1513.5612484362093</v>
          </cell>
          <cell r="O2902">
            <v>0</v>
          </cell>
          <cell r="P2902">
            <v>0</v>
          </cell>
          <cell r="Q2902">
            <v>0</v>
          </cell>
        </row>
        <row r="2903">
          <cell r="D2903" t="str">
            <v>901-44-0</v>
          </cell>
          <cell r="E2903">
            <v>901440</v>
          </cell>
          <cell r="F2903">
            <v>3991</v>
          </cell>
          <cell r="G2903" t="str">
            <v>Reach_1588</v>
          </cell>
          <cell r="H2903">
            <v>2895</v>
          </cell>
          <cell r="J2903">
            <v>316.39999999999998</v>
          </cell>
          <cell r="K2903">
            <v>175.3</v>
          </cell>
          <cell r="L2903">
            <v>7.5314500000000009E-9</v>
          </cell>
          <cell r="M2903">
            <v>1311</v>
          </cell>
          <cell r="N2903">
            <v>1659.5869074375626</v>
          </cell>
          <cell r="Q2903">
            <v>14</v>
          </cell>
        </row>
        <row r="2904">
          <cell r="D2904" t="str">
            <v>93-69-6</v>
          </cell>
          <cell r="E2904">
            <v>93696</v>
          </cell>
          <cell r="F2904">
            <v>4079</v>
          </cell>
          <cell r="G2904" t="str">
            <v>Reach_406</v>
          </cell>
          <cell r="H2904">
            <v>2896</v>
          </cell>
          <cell r="J2904">
            <v>191.24</v>
          </cell>
          <cell r="K2904">
            <v>136.27000000000001</v>
          </cell>
          <cell r="L2904">
            <v>4.9054399999999998E-4</v>
          </cell>
          <cell r="M2904">
            <v>1800.6</v>
          </cell>
          <cell r="N2904">
            <v>11.220184543019636</v>
          </cell>
          <cell r="P2904">
            <v>3</v>
          </cell>
          <cell r="Q2904">
            <v>11</v>
          </cell>
        </row>
        <row r="2905">
          <cell r="D2905" t="str">
            <v>1448-36-8</v>
          </cell>
          <cell r="E2905">
            <v>1448368</v>
          </cell>
          <cell r="F2905">
            <v>1982</v>
          </cell>
          <cell r="G2905" t="str">
            <v>Reach_1681</v>
          </cell>
          <cell r="H2905">
            <v>2897</v>
          </cell>
          <cell r="J2905">
            <v>422.61</v>
          </cell>
          <cell r="K2905">
            <v>217.98</v>
          </cell>
          <cell r="L2905">
            <v>9.3843200000000001E-12</v>
          </cell>
          <cell r="M2905">
            <v>51.151000000000003</v>
          </cell>
          <cell r="N2905">
            <v>6309.5734448019384</v>
          </cell>
          <cell r="O2905">
            <v>15.41</v>
          </cell>
          <cell r="Q2905">
            <v>14</v>
          </cell>
        </row>
        <row r="2906">
          <cell r="D2906" t="str">
            <v>94361-26-9</v>
          </cell>
          <cell r="E2906">
            <v>94361269</v>
          </cell>
          <cell r="F2906">
            <v>4104</v>
          </cell>
          <cell r="G2906" t="str">
            <v>Reach_4508</v>
          </cell>
          <cell r="H2906">
            <v>2898</v>
          </cell>
          <cell r="J2906">
            <v>222.72</v>
          </cell>
          <cell r="K2906">
            <v>68.64</v>
          </cell>
          <cell r="L2906">
            <v>0.25460300000000002</v>
          </cell>
          <cell r="M2906">
            <v>9.8244000000000007</v>
          </cell>
          <cell r="N2906">
            <v>24547.089156850321</v>
          </cell>
          <cell r="Q2906">
            <v>14</v>
          </cell>
        </row>
        <row r="2907">
          <cell r="D2907" t="str">
            <v>1117-31-3</v>
          </cell>
          <cell r="E2907">
            <v>1117313</v>
          </cell>
          <cell r="F2907">
            <v>1555</v>
          </cell>
          <cell r="G2907" t="str">
            <v>Reach_1650</v>
          </cell>
          <cell r="H2907">
            <v>2899</v>
          </cell>
          <cell r="J2907">
            <v>174.2</v>
          </cell>
          <cell r="K2907">
            <v>-82.69</v>
          </cell>
          <cell r="L2907">
            <v>167.95800000000003</v>
          </cell>
          <cell r="M2907">
            <v>14934</v>
          </cell>
          <cell r="N2907">
            <v>20.4173794466953</v>
          </cell>
          <cell r="P2907">
            <v>0</v>
          </cell>
          <cell r="Q2907">
            <v>14</v>
          </cell>
        </row>
        <row r="2908">
          <cell r="D2908" t="str">
            <v>128286-13-5</v>
          </cell>
          <cell r="E2908">
            <v>128286135</v>
          </cell>
          <cell r="F2908">
            <v>1818</v>
          </cell>
          <cell r="G2908" t="str">
            <v>Reach_4113</v>
          </cell>
          <cell r="H2908">
            <v>2900</v>
          </cell>
          <cell r="J2908">
            <v>751.9</v>
          </cell>
          <cell r="K2908">
            <v>282.67</v>
          </cell>
          <cell r="L2908">
            <v>6.7183200000000002E-13</v>
          </cell>
          <cell r="M2908">
            <v>1.6509999999999999E-3</v>
          </cell>
          <cell r="N2908">
            <v>933.25430079699197</v>
          </cell>
          <cell r="Q2908">
            <v>14</v>
          </cell>
        </row>
        <row r="2909">
          <cell r="D2909" t="str">
            <v>84418-63-3</v>
          </cell>
          <cell r="E2909">
            <v>84418633</v>
          </cell>
          <cell r="F2909">
            <v>3863</v>
          </cell>
          <cell r="G2909" t="str">
            <v>Reach_2973</v>
          </cell>
          <cell r="H2909">
            <v>2901</v>
          </cell>
          <cell r="J2909">
            <v>328.4</v>
          </cell>
          <cell r="K2909">
            <v>19.899999999999999</v>
          </cell>
          <cell r="L2909">
            <v>2.19945E-2</v>
          </cell>
          <cell r="M2909">
            <v>27.914000000000001</v>
          </cell>
          <cell r="N2909">
            <v>812.83051616409978</v>
          </cell>
          <cell r="Q2909">
            <v>14</v>
          </cell>
        </row>
        <row r="2910">
          <cell r="D2910" t="str">
            <v>4635-87-4</v>
          </cell>
          <cell r="E2910">
            <v>4635874</v>
          </cell>
          <cell r="F2910">
            <v>2952</v>
          </cell>
          <cell r="G2910" t="str">
            <v>Reach_2051</v>
          </cell>
          <cell r="H2910">
            <v>2902</v>
          </cell>
          <cell r="J2910">
            <v>81.119</v>
          </cell>
          <cell r="K2910">
            <v>-46.66</v>
          </cell>
          <cell r="L2910">
            <v>539.86500000000001</v>
          </cell>
          <cell r="M2910">
            <v>6409.8</v>
          </cell>
          <cell r="N2910">
            <v>12.882495516931346</v>
          </cell>
          <cell r="Q2910">
            <v>14</v>
          </cell>
        </row>
        <row r="2911">
          <cell r="D2911" t="str">
            <v>144690-92-6</v>
          </cell>
          <cell r="E2911">
            <v>144690926</v>
          </cell>
          <cell r="F2911">
            <v>1979</v>
          </cell>
          <cell r="G2911" t="str">
            <v>Reach_4153</v>
          </cell>
          <cell r="H2911">
            <v>2903</v>
          </cell>
          <cell r="J2911">
            <v>800.92</v>
          </cell>
          <cell r="K2911">
            <v>349.84</v>
          </cell>
          <cell r="L2911">
            <v>1.6795800000000003E-32</v>
          </cell>
          <cell r="M2911">
            <v>2.15E-11</v>
          </cell>
          <cell r="N2911">
            <v>707945784.38413846</v>
          </cell>
          <cell r="Q2911">
            <v>14</v>
          </cell>
        </row>
        <row r="2912">
          <cell r="D2912" t="str">
            <v>1035-69-4</v>
          </cell>
          <cell r="E2912">
            <v>1035694</v>
          </cell>
          <cell r="F2912">
            <v>1370</v>
          </cell>
          <cell r="G2912" t="str">
            <v>Reach_4962</v>
          </cell>
          <cell r="H2912">
            <v>2904</v>
          </cell>
          <cell r="J2912">
            <v>284.39999999999998</v>
          </cell>
          <cell r="K2912">
            <v>150.53</v>
          </cell>
          <cell r="L2912">
            <v>2.3194200000000004E-4</v>
          </cell>
          <cell r="M2912">
            <v>13.677</v>
          </cell>
          <cell r="N2912">
            <v>467.7351412871983</v>
          </cell>
          <cell r="O2912">
            <v>0</v>
          </cell>
          <cell r="P2912">
            <v>0</v>
          </cell>
          <cell r="Q2912">
            <v>0</v>
          </cell>
        </row>
        <row r="2913">
          <cell r="D2913" t="str">
            <v>104372-31-8</v>
          </cell>
          <cell r="E2913">
            <v>104372318</v>
          </cell>
          <cell r="F2913">
            <v>1392</v>
          </cell>
          <cell r="G2913" t="str">
            <v>Reach_5037</v>
          </cell>
          <cell r="H2913">
            <v>2905</v>
          </cell>
          <cell r="J2913">
            <v>229.3</v>
          </cell>
          <cell r="K2913">
            <v>121.2</v>
          </cell>
          <cell r="L2913">
            <v>1.3996500000000002E-2</v>
          </cell>
          <cell r="M2913">
            <v>6490.9</v>
          </cell>
          <cell r="N2913">
            <v>446.68359215096331</v>
          </cell>
          <cell r="P2913">
            <v>0</v>
          </cell>
          <cell r="Q2913">
            <v>14</v>
          </cell>
        </row>
        <row r="2914">
          <cell r="D2914" t="str">
            <v>1638-86-4</v>
          </cell>
          <cell r="E2914">
            <v>1638864</v>
          </cell>
          <cell r="F2914">
            <v>2090</v>
          </cell>
          <cell r="G2914" t="str">
            <v>Reach_1702</v>
          </cell>
          <cell r="H2914">
            <v>2906</v>
          </cell>
          <cell r="J2914">
            <v>198.2</v>
          </cell>
          <cell r="K2914">
            <v>26.37</v>
          </cell>
          <cell r="L2914">
            <v>1.9195200000000001</v>
          </cell>
          <cell r="M2914">
            <v>169.81</v>
          </cell>
          <cell r="N2914">
            <v>147.91083881682084</v>
          </cell>
          <cell r="O2914">
            <v>0</v>
          </cell>
          <cell r="P2914">
            <v>0</v>
          </cell>
          <cell r="Q2914">
            <v>0</v>
          </cell>
        </row>
        <row r="2915">
          <cell r="D2915" t="str">
            <v>4073-98-7</v>
          </cell>
          <cell r="E2915">
            <v>4073987</v>
          </cell>
          <cell r="F2915">
            <v>2864</v>
          </cell>
          <cell r="G2915" t="str">
            <v>Reach_2010</v>
          </cell>
          <cell r="H2915">
            <v>2907</v>
          </cell>
          <cell r="J2915">
            <v>254.38</v>
          </cell>
          <cell r="K2915">
            <v>162.9</v>
          </cell>
          <cell r="L2915">
            <v>1.9595100000000001E-5</v>
          </cell>
          <cell r="M2915">
            <v>6.7622999999999998</v>
          </cell>
          <cell r="N2915">
            <v>23442.288153199243</v>
          </cell>
          <cell r="O2915">
            <v>0</v>
          </cell>
          <cell r="Q2915">
            <v>0</v>
          </cell>
        </row>
        <row r="2916">
          <cell r="D2916" t="str">
            <v>3886-69-9</v>
          </cell>
          <cell r="E2916">
            <v>3886699</v>
          </cell>
          <cell r="F2916">
            <v>2827</v>
          </cell>
          <cell r="G2916" t="str">
            <v>Reach_1997</v>
          </cell>
          <cell r="H2916">
            <v>2908</v>
          </cell>
          <cell r="J2916">
            <v>121.18</v>
          </cell>
          <cell r="K2916">
            <v>-0.13</v>
          </cell>
          <cell r="L2916">
            <v>72.115300000000005</v>
          </cell>
          <cell r="M2916">
            <v>3651.7</v>
          </cell>
          <cell r="N2916">
            <v>30.902954325135919</v>
          </cell>
          <cell r="Q2916">
            <v>14</v>
          </cell>
        </row>
        <row r="2917">
          <cell r="D2917" t="str">
            <v>2627-86-3</v>
          </cell>
          <cell r="E2917">
            <v>2627863</v>
          </cell>
          <cell r="F2917">
            <v>2461</v>
          </cell>
          <cell r="G2917" t="str">
            <v>Reach_1848</v>
          </cell>
          <cell r="H2917">
            <v>2909</v>
          </cell>
          <cell r="J2917">
            <v>121.18</v>
          </cell>
          <cell r="K2917">
            <v>-0.13</v>
          </cell>
          <cell r="L2917">
            <v>72.115300000000005</v>
          </cell>
          <cell r="M2917">
            <v>3651.7</v>
          </cell>
          <cell r="N2917">
            <v>30.902954325135919</v>
          </cell>
          <cell r="Q2917">
            <v>14</v>
          </cell>
        </row>
        <row r="2918">
          <cell r="D2918" t="str">
            <v>27472-21-5</v>
          </cell>
          <cell r="E2918">
            <v>27472215</v>
          </cell>
          <cell r="F2918">
            <v>2509</v>
          </cell>
          <cell r="G2918" t="str">
            <v>Reach_2606</v>
          </cell>
          <cell r="H2918">
            <v>2910</v>
          </cell>
          <cell r="J2918">
            <v>205.26</v>
          </cell>
          <cell r="K2918">
            <v>94.61</v>
          </cell>
          <cell r="L2918">
            <v>1.3996500000000002E-2</v>
          </cell>
          <cell r="M2918">
            <v>162.63</v>
          </cell>
          <cell r="N2918">
            <v>154.8816618912482</v>
          </cell>
          <cell r="Q2918">
            <v>14</v>
          </cell>
        </row>
        <row r="2919">
          <cell r="D2919" t="str">
            <v>7575-23-7</v>
          </cell>
          <cell r="E2919">
            <v>7575237</v>
          </cell>
          <cell r="F2919">
            <v>3684</v>
          </cell>
          <cell r="G2919" t="str">
            <v>Reach_2261</v>
          </cell>
          <cell r="H2919">
            <v>2911</v>
          </cell>
          <cell r="J2919">
            <v>488.66</v>
          </cell>
          <cell r="K2919">
            <v>197.78</v>
          </cell>
          <cell r="L2919">
            <v>6.3984000000000006E-9</v>
          </cell>
          <cell r="M2919">
            <v>20.652000000000001</v>
          </cell>
          <cell r="N2919">
            <v>389.04514499428063</v>
          </cell>
          <cell r="Q2919">
            <v>14</v>
          </cell>
        </row>
        <row r="2920">
          <cell r="D2920" t="str">
            <v>201214-53-1</v>
          </cell>
          <cell r="E2920">
            <v>201214531</v>
          </cell>
          <cell r="F2920">
            <v>2251</v>
          </cell>
          <cell r="G2920" t="str">
            <v>Reach_4209</v>
          </cell>
          <cell r="H2920">
            <v>2912</v>
          </cell>
          <cell r="J2920">
            <v>349.12</v>
          </cell>
          <cell r="K2920">
            <v>177.14</v>
          </cell>
          <cell r="L2920">
            <v>6.0518200000000008E-6</v>
          </cell>
          <cell r="M2920">
            <v>160.63999999999999</v>
          </cell>
          <cell r="N2920">
            <v>102.32929922807544</v>
          </cell>
          <cell r="Q2920">
            <v>14</v>
          </cell>
        </row>
        <row r="2921">
          <cell r="D2921" t="str">
            <v>7319-16-6</v>
          </cell>
          <cell r="E2921">
            <v>7319166</v>
          </cell>
          <cell r="F2921">
            <v>3614</v>
          </cell>
          <cell r="G2921" t="str">
            <v>Reach_4419</v>
          </cell>
          <cell r="H2921">
            <v>2913</v>
          </cell>
          <cell r="J2921">
            <v>72.106999999999999</v>
          </cell>
          <cell r="K2921">
            <v>-101.37</v>
          </cell>
          <cell r="L2921">
            <v>33858.200000000004</v>
          </cell>
          <cell r="M2921">
            <v>20583</v>
          </cell>
          <cell r="N2921">
            <v>6.7608297539198183</v>
          </cell>
          <cell r="O2921">
            <v>0</v>
          </cell>
          <cell r="Q2921">
            <v>0</v>
          </cell>
        </row>
        <row r="2922">
          <cell r="D2922" t="str">
            <v>3071-32-7</v>
          </cell>
          <cell r="E2922">
            <v>3071327</v>
          </cell>
          <cell r="F2922">
            <v>2610</v>
          </cell>
          <cell r="G2922" t="str">
            <v>Reach_1911</v>
          </cell>
          <cell r="H2922">
            <v>2914</v>
          </cell>
          <cell r="J2922">
            <v>138.16999999999999</v>
          </cell>
          <cell r="K2922">
            <v>21.07</v>
          </cell>
          <cell r="L2922">
            <v>16.662500000000001</v>
          </cell>
          <cell r="M2922">
            <v>8193.6</v>
          </cell>
          <cell r="N2922">
            <v>50.118723362727238</v>
          </cell>
          <cell r="P2922">
            <v>0</v>
          </cell>
          <cell r="Q2922">
            <v>14</v>
          </cell>
        </row>
        <row r="2923">
          <cell r="D2923" t="str">
            <v>877179-04-9</v>
          </cell>
          <cell r="E2923">
            <v>877179049</v>
          </cell>
          <cell r="F2923">
            <v>3939</v>
          </cell>
          <cell r="G2923" t="str">
            <v>Reach_4842</v>
          </cell>
          <cell r="H2923">
            <v>2915</v>
          </cell>
          <cell r="J2923">
            <v>256.11</v>
          </cell>
          <cell r="K2923">
            <v>122.91</v>
          </cell>
          <cell r="L2923">
            <v>9.6775800000000009E-4</v>
          </cell>
          <cell r="M2923">
            <v>1.7108000000000001</v>
          </cell>
          <cell r="N2923">
            <v>21379.620895022348</v>
          </cell>
          <cell r="P2923">
            <v>10.98</v>
          </cell>
          <cell r="Q2923">
            <v>3.0199999999999996</v>
          </cell>
        </row>
        <row r="2924">
          <cell r="D2924" t="str">
            <v>1182822-31-6</v>
          </cell>
          <cell r="E2924">
            <v>1182822316</v>
          </cell>
          <cell r="F2924">
            <v>1667</v>
          </cell>
          <cell r="G2924" t="str">
            <v>Reach_4715</v>
          </cell>
          <cell r="H2924">
            <v>2916</v>
          </cell>
          <cell r="J2924">
            <v>279.38</v>
          </cell>
          <cell r="K2924">
            <v>108.39</v>
          </cell>
          <cell r="L2924">
            <v>9.3709900000000005E-4</v>
          </cell>
          <cell r="M2924">
            <v>12.656000000000001</v>
          </cell>
          <cell r="N2924">
            <v>22387.211385683382</v>
          </cell>
          <cell r="Q2924">
            <v>14</v>
          </cell>
        </row>
        <row r="2925">
          <cell r="D2925" t="str">
            <v>84713-17-7</v>
          </cell>
          <cell r="E2925">
            <v>84713177</v>
          </cell>
          <cell r="F2925">
            <v>3874</v>
          </cell>
          <cell r="G2925" t="str">
            <v>Reach_2977</v>
          </cell>
          <cell r="H2925">
            <v>2917</v>
          </cell>
          <cell r="J2925">
            <v>150.22999999999999</v>
          </cell>
          <cell r="K2925">
            <v>39.03</v>
          </cell>
          <cell r="L2925">
            <v>1.0624010000000002</v>
          </cell>
          <cell r="M2925">
            <v>20042</v>
          </cell>
          <cell r="N2925">
            <v>43.651583224016612</v>
          </cell>
          <cell r="Q2925">
            <v>14</v>
          </cell>
        </row>
        <row r="2926">
          <cell r="D2926" t="str">
            <v>37750-29-1</v>
          </cell>
          <cell r="E2926">
            <v>37750291</v>
          </cell>
          <cell r="F2926">
            <v>2805</v>
          </cell>
          <cell r="G2926" t="str">
            <v>Reach_4302</v>
          </cell>
          <cell r="H2926">
            <v>2918</v>
          </cell>
          <cell r="J2926">
            <v>235.74</v>
          </cell>
          <cell r="K2926">
            <v>125.48</v>
          </cell>
          <cell r="L2926">
            <v>7.624760000000001E-4</v>
          </cell>
          <cell r="M2926">
            <v>9.0390999999999995</v>
          </cell>
          <cell r="N2926">
            <v>10471.285480509003</v>
          </cell>
          <cell r="P2926">
            <v>10.68</v>
          </cell>
          <cell r="Q2926">
            <v>3.3200000000000003</v>
          </cell>
        </row>
        <row r="2927">
          <cell r="D2927" t="str">
            <v>42872-29-7</v>
          </cell>
          <cell r="E2927">
            <v>42872297</v>
          </cell>
          <cell r="F2927">
            <v>2901</v>
          </cell>
          <cell r="G2927" t="str">
            <v>Reach_2752</v>
          </cell>
          <cell r="H2927">
            <v>2919</v>
          </cell>
          <cell r="J2927">
            <v>193.63</v>
          </cell>
          <cell r="K2927">
            <v>82.41</v>
          </cell>
          <cell r="L2927">
            <v>4.5721900000000003E-2</v>
          </cell>
          <cell r="M2927">
            <v>307.27999999999997</v>
          </cell>
          <cell r="N2927">
            <v>26.302679918953825</v>
          </cell>
          <cell r="Q2927">
            <v>14</v>
          </cell>
        </row>
        <row r="2928">
          <cell r="D2928" t="str">
            <v>39811-17-1</v>
          </cell>
          <cell r="E2928">
            <v>39811171</v>
          </cell>
          <cell r="F2928">
            <v>2849</v>
          </cell>
          <cell r="G2928" t="str">
            <v>Reach_2728</v>
          </cell>
          <cell r="H2928">
            <v>2920</v>
          </cell>
          <cell r="J2928">
            <v>199.25</v>
          </cell>
          <cell r="K2928">
            <v>109.67</v>
          </cell>
          <cell r="L2928">
            <v>2.4527200000000002E-3</v>
          </cell>
          <cell r="M2928">
            <v>49.808999999999997</v>
          </cell>
          <cell r="N2928">
            <v>831.7637711026714</v>
          </cell>
          <cell r="O2928">
            <v>0</v>
          </cell>
          <cell r="Q2928">
            <v>0</v>
          </cell>
        </row>
        <row r="2929">
          <cell r="D2929" t="str">
            <v>222408-90-4</v>
          </cell>
          <cell r="E2929">
            <v>222408904</v>
          </cell>
          <cell r="F2929">
            <v>2324</v>
          </cell>
          <cell r="G2929" t="str">
            <v>Reach_4230</v>
          </cell>
          <cell r="H2929">
            <v>2921</v>
          </cell>
          <cell r="J2929">
            <v>346.28</v>
          </cell>
          <cell r="K2929">
            <v>207.87</v>
          </cell>
          <cell r="L2929">
            <v>5.8385400000000014E-10</v>
          </cell>
          <cell r="M2929">
            <v>137.80000000000001</v>
          </cell>
          <cell r="N2929">
            <v>537.03179637025301</v>
          </cell>
          <cell r="Q2929">
            <v>14</v>
          </cell>
        </row>
        <row r="2930">
          <cell r="D2930" t="str">
            <v>81-83-4</v>
          </cell>
          <cell r="E2930">
            <v>81834</v>
          </cell>
          <cell r="F2930">
            <v>3815</v>
          </cell>
          <cell r="G2930" t="str">
            <v>Reach_279</v>
          </cell>
          <cell r="H2930">
            <v>2922</v>
          </cell>
          <cell r="J2930">
            <v>197.19</v>
          </cell>
          <cell r="K2930">
            <v>210.44</v>
          </cell>
          <cell r="L2930">
            <v>5.1453800000000008E-8</v>
          </cell>
          <cell r="M2930">
            <v>204.87</v>
          </cell>
          <cell r="N2930">
            <v>97.723722095581124</v>
          </cell>
          <cell r="Q2930">
            <v>14</v>
          </cell>
        </row>
        <row r="2931">
          <cell r="D2931" t="str">
            <v>56914-82-0</v>
          </cell>
          <cell r="E2931">
            <v>56914820</v>
          </cell>
          <cell r="F2931">
            <v>3215</v>
          </cell>
          <cell r="G2931" t="str">
            <v>Reach_4528</v>
          </cell>
          <cell r="H2931">
            <v>2923</v>
          </cell>
          <cell r="J2931">
            <v>216.47</v>
          </cell>
          <cell r="K2931">
            <v>86.46</v>
          </cell>
          <cell r="L2931">
            <v>0.24527200000000002</v>
          </cell>
          <cell r="M2931">
            <v>82.114000000000004</v>
          </cell>
          <cell r="N2931">
            <v>53.703179637025293</v>
          </cell>
          <cell r="Q2931">
            <v>14</v>
          </cell>
        </row>
        <row r="2932">
          <cell r="D2932" t="str">
            <v>117-69-1</v>
          </cell>
          <cell r="E2932">
            <v>117691</v>
          </cell>
          <cell r="F2932">
            <v>1663</v>
          </cell>
          <cell r="G2932" t="str">
            <v>Reach_960</v>
          </cell>
          <cell r="H2932">
            <v>2924</v>
          </cell>
          <cell r="J2932">
            <v>534.48</v>
          </cell>
          <cell r="K2932">
            <v>349.84</v>
          </cell>
          <cell r="L2932">
            <v>3.3591600000000001E-25</v>
          </cell>
          <cell r="M2932">
            <v>9.0999999999999993E-6</v>
          </cell>
          <cell r="N2932">
            <v>50.118723362727238</v>
          </cell>
          <cell r="Q2932">
            <v>14</v>
          </cell>
        </row>
        <row r="2933">
          <cell r="D2933" t="str">
            <v>4137-56-8</v>
          </cell>
          <cell r="E2933">
            <v>4137568</v>
          </cell>
          <cell r="F2933">
            <v>2875</v>
          </cell>
          <cell r="G2933" t="str">
            <v>Reach_4316</v>
          </cell>
          <cell r="H2933">
            <v>2925</v>
          </cell>
          <cell r="J2933">
            <v>358.41</v>
          </cell>
          <cell r="K2933">
            <v>185.93</v>
          </cell>
          <cell r="L2933">
            <v>2.0394900000000003E-6</v>
          </cell>
          <cell r="M2933">
            <v>196.23</v>
          </cell>
          <cell r="N2933">
            <v>12.882495516931346</v>
          </cell>
          <cell r="Q2933">
            <v>14</v>
          </cell>
        </row>
        <row r="2934">
          <cell r="D2934" t="str">
            <v>151213-15-9</v>
          </cell>
          <cell r="E2934">
            <v>151213159</v>
          </cell>
          <cell r="F2934">
            <v>2018</v>
          </cell>
          <cell r="G2934" t="str">
            <v>Reach_4163</v>
          </cell>
          <cell r="H2934">
            <v>2926</v>
          </cell>
          <cell r="J2934">
            <v>389.4</v>
          </cell>
          <cell r="K2934">
            <v>321.16000000000003</v>
          </cell>
          <cell r="L2934">
            <v>5.2920099999999998E-12</v>
          </cell>
          <cell r="M2934">
            <v>101.46</v>
          </cell>
          <cell r="N2934">
            <v>11.748975549395301</v>
          </cell>
          <cell r="P2934">
            <v>5.32</v>
          </cell>
          <cell r="Q2934">
            <v>8.68</v>
          </cell>
        </row>
        <row r="2935">
          <cell r="D2935" t="str">
            <v>1003859-14-0</v>
          </cell>
          <cell r="E2935">
            <v>1003859140</v>
          </cell>
          <cell r="F2935">
            <v>1303</v>
          </cell>
          <cell r="G2935" t="str">
            <v>Reach_4571</v>
          </cell>
          <cell r="H2935">
            <v>2927</v>
          </cell>
          <cell r="J2935">
            <v>206.63</v>
          </cell>
          <cell r="K2935">
            <v>46.13</v>
          </cell>
          <cell r="L2935">
            <v>3.8923600000000005</v>
          </cell>
          <cell r="M2935">
            <v>9593.9</v>
          </cell>
          <cell r="N2935">
            <v>8.5113803820237681</v>
          </cell>
          <cell r="P2935">
            <v>9.0399999999999991</v>
          </cell>
          <cell r="Q2935">
            <v>4.9600000000000009</v>
          </cell>
        </row>
        <row r="2936">
          <cell r="D2936" t="str">
            <v>39255-32-8</v>
          </cell>
          <cell r="E2936">
            <v>39255328</v>
          </cell>
          <cell r="F2936">
            <v>2837</v>
          </cell>
          <cell r="G2936" t="str">
            <v>Reach_2724</v>
          </cell>
          <cell r="H2936">
            <v>2928</v>
          </cell>
          <cell r="J2936">
            <v>144.21</v>
          </cell>
          <cell r="K2936">
            <v>-43.92</v>
          </cell>
          <cell r="L2936">
            <v>383.904</v>
          </cell>
          <cell r="M2936">
            <v>1428.1</v>
          </cell>
          <cell r="N2936">
            <v>575.43993733715706</v>
          </cell>
          <cell r="O2936">
            <v>0</v>
          </cell>
          <cell r="Q2936">
            <v>0</v>
          </cell>
        </row>
        <row r="2937">
          <cell r="D2937" t="str">
            <v>25383-06-6</v>
          </cell>
          <cell r="E2937">
            <v>25383066</v>
          </cell>
          <cell r="F2937">
            <v>2433</v>
          </cell>
          <cell r="G2937" t="str">
            <v>Reach_2568</v>
          </cell>
          <cell r="H2937">
            <v>2929</v>
          </cell>
          <cell r="J2937">
            <v>122.06</v>
          </cell>
          <cell r="K2937">
            <v>27.14</v>
          </cell>
          <cell r="L2937">
            <v>2.2794300000000003E-2</v>
          </cell>
          <cell r="M2937">
            <v>142000</v>
          </cell>
          <cell r="N2937">
            <v>0.58884365535558891</v>
          </cell>
          <cell r="Q2937">
            <v>14</v>
          </cell>
        </row>
        <row r="2938">
          <cell r="D2938" t="str">
            <v>698-29-3</v>
          </cell>
          <cell r="E2938">
            <v>698293</v>
          </cell>
          <cell r="F2938">
            <v>3550</v>
          </cell>
          <cell r="G2938" t="str">
            <v>Reach_1513</v>
          </cell>
          <cell r="H2938">
            <v>2930</v>
          </cell>
          <cell r="J2938">
            <v>134.15</v>
          </cell>
          <cell r="K2938">
            <v>98.94</v>
          </cell>
          <cell r="L2938">
            <v>7.9979999999999996E-2</v>
          </cell>
          <cell r="M2938">
            <v>45966</v>
          </cell>
          <cell r="N2938">
            <v>0.46773514128719818</v>
          </cell>
          <cell r="Q2938">
            <v>14</v>
          </cell>
        </row>
        <row r="2939">
          <cell r="D2939" t="str">
            <v>23996-53-4</v>
          </cell>
          <cell r="E2939">
            <v>23996534</v>
          </cell>
          <cell r="F2939">
            <v>2364</v>
          </cell>
          <cell r="G2939" t="str">
            <v>Reach_4236</v>
          </cell>
          <cell r="H2939">
            <v>2931</v>
          </cell>
          <cell r="J2939">
            <v>121.15</v>
          </cell>
          <cell r="K2939">
            <v>77.02</v>
          </cell>
          <cell r="L2939">
            <v>8.6778300000000003E-2</v>
          </cell>
          <cell r="M2939">
            <v>47415</v>
          </cell>
          <cell r="N2939">
            <v>1.3182567385564072</v>
          </cell>
          <cell r="O2939">
            <v>0</v>
          </cell>
          <cell r="Q2939">
            <v>0</v>
          </cell>
        </row>
        <row r="2940">
          <cell r="D2940" t="str">
            <v>2253-52-3</v>
          </cell>
          <cell r="E2940">
            <v>2253523</v>
          </cell>
          <cell r="F2940">
            <v>2335</v>
          </cell>
          <cell r="G2940" t="str">
            <v>Reach_1780</v>
          </cell>
          <cell r="H2940">
            <v>2932</v>
          </cell>
          <cell r="J2940">
            <v>242.34</v>
          </cell>
          <cell r="K2940">
            <v>-38.549999999999997</v>
          </cell>
          <cell r="L2940">
            <v>0.63717400000000013</v>
          </cell>
          <cell r="M2940">
            <v>15.747</v>
          </cell>
          <cell r="N2940">
            <v>11481.536214968832</v>
          </cell>
          <cell r="Q2940">
            <v>14</v>
          </cell>
        </row>
        <row r="2941">
          <cell r="D2941" t="str">
            <v>58909-56-1</v>
          </cell>
          <cell r="E2941">
            <v>58909561</v>
          </cell>
          <cell r="F2941">
            <v>3259</v>
          </cell>
          <cell r="G2941" t="str">
            <v>Reach_2833</v>
          </cell>
          <cell r="H2941">
            <v>2933</v>
          </cell>
          <cell r="J2941">
            <v>371.4</v>
          </cell>
          <cell r="K2941">
            <v>338.74</v>
          </cell>
          <cell r="L2941">
            <v>2.0128300000000004E-15</v>
          </cell>
          <cell r="M2941">
            <v>86562</v>
          </cell>
          <cell r="N2941">
            <v>1.0964781961431837E-4</v>
          </cell>
          <cell r="O2941">
            <v>2.4300000000000002</v>
          </cell>
          <cell r="P2941">
            <v>7.01</v>
          </cell>
          <cell r="Q2941">
            <v>2.4300000000000002</v>
          </cell>
        </row>
        <row r="2942">
          <cell r="D2942" t="str">
            <v>101990-44-7</v>
          </cell>
          <cell r="E2942">
            <v>101990447</v>
          </cell>
          <cell r="F2942">
            <v>1333</v>
          </cell>
          <cell r="G2942" t="str">
            <v>Reach_4058</v>
          </cell>
          <cell r="H2942">
            <v>2934</v>
          </cell>
          <cell r="J2942">
            <v>185.66</v>
          </cell>
          <cell r="K2942">
            <v>87.71</v>
          </cell>
          <cell r="L2942">
            <v>0.10783970000000001</v>
          </cell>
          <cell r="M2942">
            <v>432000</v>
          </cell>
          <cell r="N2942">
            <v>0.45708818961487502</v>
          </cell>
          <cell r="P2942">
            <v>4.46</v>
          </cell>
          <cell r="Q2942">
            <v>9.5399999999999991</v>
          </cell>
        </row>
        <row r="2943">
          <cell r="D2943" t="str">
            <v>95-02-3</v>
          </cell>
          <cell r="E2943">
            <v>95023</v>
          </cell>
          <cell r="F2943">
            <v>4117</v>
          </cell>
          <cell r="G2943" t="str">
            <v>Reach_421</v>
          </cell>
          <cell r="H2943">
            <v>2935</v>
          </cell>
          <cell r="J2943">
            <v>138.18</v>
          </cell>
          <cell r="K2943">
            <v>100.94</v>
          </cell>
          <cell r="L2943">
            <v>0.10397400000000001</v>
          </cell>
          <cell r="M2943">
            <v>1000000</v>
          </cell>
          <cell r="N2943">
            <v>1.9498445997580452E-2</v>
          </cell>
          <cell r="Q2943">
            <v>14</v>
          </cell>
        </row>
        <row r="2944">
          <cell r="D2944" t="str">
            <v>1154308-86-7</v>
          </cell>
          <cell r="E2944">
            <v>1154308867</v>
          </cell>
          <cell r="F2944">
            <v>1636</v>
          </cell>
          <cell r="G2944" t="str">
            <v>Reach_5048</v>
          </cell>
          <cell r="H2944">
            <v>2936</v>
          </cell>
          <cell r="J2944">
            <v>201.31</v>
          </cell>
          <cell r="K2944">
            <v>119.14</v>
          </cell>
          <cell r="L2944">
            <v>7.5581100000000014E-5</v>
          </cell>
          <cell r="M2944">
            <v>848.47</v>
          </cell>
          <cell r="N2944">
            <v>38.018939632056139</v>
          </cell>
          <cell r="O2944">
            <v>14.44</v>
          </cell>
          <cell r="P2944">
            <v>14.66</v>
          </cell>
          <cell r="Q2944">
            <v>-0.66000000000000014</v>
          </cell>
        </row>
        <row r="2945">
          <cell r="D2945" t="str">
            <v>96-98-0</v>
          </cell>
          <cell r="E2945">
            <v>96980</v>
          </cell>
          <cell r="F2945">
            <v>4159</v>
          </cell>
          <cell r="G2945" t="str">
            <v>Reach_474</v>
          </cell>
          <cell r="H2945">
            <v>2937</v>
          </cell>
          <cell r="J2945">
            <v>181.15</v>
          </cell>
          <cell r="K2945">
            <v>118.46</v>
          </cell>
          <cell r="L2945">
            <v>4.49221E-3</v>
          </cell>
          <cell r="M2945">
            <v>1340</v>
          </cell>
          <cell r="N2945">
            <v>173.78008287493768</v>
          </cell>
          <cell r="P2945">
            <v>0</v>
          </cell>
          <cell r="Q2945">
            <v>14</v>
          </cell>
        </row>
        <row r="2946">
          <cell r="D2946" t="str">
            <v>116-75-6</v>
          </cell>
          <cell r="E2946">
            <v>116756</v>
          </cell>
          <cell r="F2946">
            <v>1653</v>
          </cell>
          <cell r="G2946" t="str">
            <v>Reach_956</v>
          </cell>
          <cell r="H2946">
            <v>2938</v>
          </cell>
          <cell r="J2946">
            <v>474.61</v>
          </cell>
          <cell r="K2946">
            <v>280.27</v>
          </cell>
          <cell r="L2946">
            <v>9.8375400000000001E-13</v>
          </cell>
          <cell r="M2946">
            <v>3.8399999999999997E-6</v>
          </cell>
          <cell r="N2946">
            <v>74131024130.09169</v>
          </cell>
          <cell r="P2946">
            <v>14.37</v>
          </cell>
          <cell r="Q2946">
            <v>-0.36999999999999922</v>
          </cell>
        </row>
        <row r="2947">
          <cell r="D2947" t="str">
            <v>1739-84-0</v>
          </cell>
          <cell r="E2947">
            <v>1739840</v>
          </cell>
          <cell r="F2947">
            <v>2135</v>
          </cell>
          <cell r="G2947" t="str">
            <v>Reach_1715</v>
          </cell>
          <cell r="H2947">
            <v>2939</v>
          </cell>
          <cell r="J2947">
            <v>96.135000000000005</v>
          </cell>
          <cell r="K2947">
            <v>20.27</v>
          </cell>
          <cell r="L2947">
            <v>35.591100000000004</v>
          </cell>
          <cell r="M2947">
            <v>36726</v>
          </cell>
          <cell r="N2947">
            <v>14.125375446227544</v>
          </cell>
          <cell r="P2947">
            <v>5.8</v>
          </cell>
          <cell r="Q2947">
            <v>8.1999999999999993</v>
          </cell>
        </row>
        <row r="2948">
          <cell r="D2948" t="str">
            <v>61636-08-6</v>
          </cell>
          <cell r="E2948">
            <v>61636086</v>
          </cell>
          <cell r="F2948">
            <v>3344</v>
          </cell>
          <cell r="G2948" t="str">
            <v>Reach_4374</v>
          </cell>
          <cell r="H2948">
            <v>2940</v>
          </cell>
          <cell r="J2948">
            <v>156.13999999999999</v>
          </cell>
          <cell r="K2948">
            <v>175.68</v>
          </cell>
          <cell r="L2948">
            <v>5.491960000000001E-8</v>
          </cell>
          <cell r="M2948">
            <v>1592.3</v>
          </cell>
          <cell r="N2948">
            <v>6.9183097091893644E-2</v>
          </cell>
          <cell r="O2948">
            <v>4.5999999999999996</v>
          </cell>
          <cell r="Q2948">
            <v>4.5999999999999996</v>
          </cell>
        </row>
        <row r="2949">
          <cell r="D2949" t="str">
            <v>4637-24-5</v>
          </cell>
          <cell r="E2949">
            <v>4637245</v>
          </cell>
          <cell r="F2949">
            <v>2953</v>
          </cell>
          <cell r="G2949" t="str">
            <v>Reach_2052</v>
          </cell>
          <cell r="H2949">
            <v>2941</v>
          </cell>
          <cell r="J2949">
            <v>119.17</v>
          </cell>
          <cell r="K2949">
            <v>-58.19</v>
          </cell>
          <cell r="L2949">
            <v>3705.7400000000002</v>
          </cell>
          <cell r="M2949">
            <v>485000</v>
          </cell>
          <cell r="N2949">
            <v>0.30902954325135895</v>
          </cell>
          <cell r="P2949">
            <v>9.3000000000000007</v>
          </cell>
          <cell r="Q2949">
            <v>4.6999999999999993</v>
          </cell>
        </row>
        <row r="2950">
          <cell r="D2950" t="str">
            <v>591-22-0</v>
          </cell>
          <cell r="E2950">
            <v>591220</v>
          </cell>
          <cell r="F2950">
            <v>3266</v>
          </cell>
          <cell r="G2950" t="str">
            <v>Reach_1390</v>
          </cell>
          <cell r="H2950">
            <v>2942</v>
          </cell>
          <cell r="J2950">
            <v>107.16</v>
          </cell>
          <cell r="K2950">
            <v>-7.55</v>
          </cell>
          <cell r="L2950">
            <v>189.286</v>
          </cell>
          <cell r="M2950">
            <v>225000</v>
          </cell>
          <cell r="N2950">
            <v>79.432823472428197</v>
          </cell>
          <cell r="P2950">
            <v>7.8</v>
          </cell>
          <cell r="Q2950">
            <v>6.2</v>
          </cell>
        </row>
        <row r="2951">
          <cell r="D2951" t="str">
            <v>62899-75-6</v>
          </cell>
          <cell r="E2951">
            <v>62899756</v>
          </cell>
          <cell r="F2951">
            <v>3383</v>
          </cell>
          <cell r="G2951" t="str">
            <v>Reach_2855</v>
          </cell>
          <cell r="H2951">
            <v>2943</v>
          </cell>
          <cell r="J2951">
            <v>189.69</v>
          </cell>
          <cell r="K2951">
            <v>57.71</v>
          </cell>
          <cell r="L2951">
            <v>0.53586600000000006</v>
          </cell>
          <cell r="M2951">
            <v>3238.2</v>
          </cell>
          <cell r="N2951">
            <v>109.64781961431861</v>
          </cell>
          <cell r="P2951">
            <v>14.4</v>
          </cell>
          <cell r="Q2951">
            <v>-0.40000000000000036</v>
          </cell>
        </row>
        <row r="2952">
          <cell r="D2952" t="str">
            <v>35786-94-8</v>
          </cell>
          <cell r="E2952">
            <v>35786948</v>
          </cell>
          <cell r="F2952">
            <v>2749</v>
          </cell>
          <cell r="G2952" t="str">
            <v>Reach_4941</v>
          </cell>
          <cell r="H2952">
            <v>2944</v>
          </cell>
          <cell r="J2952">
            <v>164.25</v>
          </cell>
          <cell r="K2952">
            <v>52.92</v>
          </cell>
          <cell r="L2952">
            <v>0.63450800000000007</v>
          </cell>
          <cell r="M2952">
            <v>719.47</v>
          </cell>
          <cell r="N2952">
            <v>11481.536214968832</v>
          </cell>
          <cell r="Q2952">
            <v>14</v>
          </cell>
        </row>
        <row r="2953">
          <cell r="D2953" t="str">
            <v>82543-09-7</v>
          </cell>
          <cell r="E2953">
            <v>82543097</v>
          </cell>
          <cell r="F2953">
            <v>3826</v>
          </cell>
          <cell r="G2953" t="str">
            <v>Reach_4452</v>
          </cell>
          <cell r="H2953">
            <v>2945</v>
          </cell>
          <cell r="J2953">
            <v>400.56</v>
          </cell>
          <cell r="K2953">
            <v>197.34</v>
          </cell>
          <cell r="L2953">
            <v>3.7457300000000001E-9</v>
          </cell>
          <cell r="M2953">
            <v>0.91959999999999997</v>
          </cell>
          <cell r="N2953">
            <v>10964.781961431856</v>
          </cell>
          <cell r="Q2953">
            <v>14</v>
          </cell>
        </row>
        <row r="2954">
          <cell r="D2954" t="str">
            <v>927-62-8</v>
          </cell>
          <cell r="E2954">
            <v>927628</v>
          </cell>
          <cell r="F2954">
            <v>1014</v>
          </cell>
          <cell r="G2954" t="str">
            <v>Reach_1600</v>
          </cell>
          <cell r="H2954">
            <v>2946</v>
          </cell>
          <cell r="J2954">
            <v>101.19</v>
          </cell>
          <cell r="K2954">
            <v>-70.61</v>
          </cell>
          <cell r="L2954">
            <v>6185.12</v>
          </cell>
          <cell r="M2954">
            <v>29403</v>
          </cell>
          <cell r="N2954">
            <v>32.359365692962832</v>
          </cell>
          <cell r="P2954">
            <v>4</v>
          </cell>
          <cell r="Q2954">
            <v>10</v>
          </cell>
        </row>
        <row r="2955">
          <cell r="D2955" t="str">
            <v>13360-63-9</v>
          </cell>
          <cell r="E2955">
            <v>13360639</v>
          </cell>
          <cell r="F2955">
            <v>1869</v>
          </cell>
          <cell r="G2955" t="str">
            <v>Reach_2330</v>
          </cell>
          <cell r="H2955">
            <v>2947</v>
          </cell>
          <cell r="J2955">
            <v>101.19</v>
          </cell>
          <cell r="K2955">
            <v>-54.28</v>
          </cell>
          <cell r="L2955">
            <v>3612.4300000000003</v>
          </cell>
          <cell r="M2955">
            <v>74753</v>
          </cell>
          <cell r="N2955">
            <v>61.659500186148257</v>
          </cell>
          <cell r="P2955">
            <v>3.1</v>
          </cell>
          <cell r="Q2955">
            <v>10.9</v>
          </cell>
        </row>
        <row r="2956">
          <cell r="D2956" t="str">
            <v>99305-42-7</v>
          </cell>
          <cell r="E2956">
            <v>99305427</v>
          </cell>
          <cell r="F2956">
            <v>4202</v>
          </cell>
          <cell r="G2956" t="str">
            <v>Reach_4520</v>
          </cell>
          <cell r="H2956">
            <v>2948</v>
          </cell>
          <cell r="J2956">
            <v>88.15</v>
          </cell>
          <cell r="K2956">
            <v>-88.07</v>
          </cell>
          <cell r="L2956">
            <v>18928.600000000002</v>
          </cell>
          <cell r="M2956">
            <v>20967</v>
          </cell>
          <cell r="N2956">
            <v>34.67368504525318</v>
          </cell>
          <cell r="O2956">
            <v>0</v>
          </cell>
          <cell r="P2956">
            <v>0</v>
          </cell>
          <cell r="Q2956">
            <v>0</v>
          </cell>
        </row>
        <row r="2957">
          <cell r="D2957" t="str">
            <v>82544-13-6</v>
          </cell>
          <cell r="E2957">
            <v>82544136</v>
          </cell>
          <cell r="F2957">
            <v>3832</v>
          </cell>
          <cell r="G2957" t="str">
            <v>Reach_4458</v>
          </cell>
          <cell r="H2957">
            <v>2949</v>
          </cell>
          <cell r="J2957">
            <v>416.56</v>
          </cell>
          <cell r="K2957">
            <v>199.77</v>
          </cell>
          <cell r="L2957">
            <v>2.4393900000000002E-9</v>
          </cell>
          <cell r="M2957">
            <v>3.4058000000000002</v>
          </cell>
          <cell r="N2957">
            <v>9120.1083935591087</v>
          </cell>
          <cell r="Q2957">
            <v>14</v>
          </cell>
        </row>
        <row r="2958">
          <cell r="D2958" t="str">
            <v>82543-14-4</v>
          </cell>
          <cell r="E2958">
            <v>82543144</v>
          </cell>
          <cell r="F2958">
            <v>3827</v>
          </cell>
          <cell r="G2958" t="str">
            <v>Reach_4453</v>
          </cell>
          <cell r="H2958">
            <v>2950</v>
          </cell>
          <cell r="J2958">
            <v>400.56</v>
          </cell>
          <cell r="K2958">
            <v>192.42</v>
          </cell>
          <cell r="L2958">
            <v>8.8777799999999995E-9</v>
          </cell>
          <cell r="M2958">
            <v>5.3672000000000004</v>
          </cell>
          <cell r="N2958">
            <v>8912.5093813374679</v>
          </cell>
          <cell r="Q2958">
            <v>14</v>
          </cell>
        </row>
        <row r="2959">
          <cell r="D2959" t="str">
            <v>169280-10-8</v>
          </cell>
          <cell r="E2959">
            <v>169280108</v>
          </cell>
          <cell r="F2959">
            <v>2116</v>
          </cell>
          <cell r="G2959" t="str">
            <v>Reach_4179</v>
          </cell>
          <cell r="H2959">
            <v>2951</v>
          </cell>
          <cell r="J2959">
            <v>260.33</v>
          </cell>
          <cell r="K2959">
            <v>106.71</v>
          </cell>
          <cell r="L2959">
            <v>4.3855700000000001E-3</v>
          </cell>
          <cell r="M2959">
            <v>2.0537999999999998</v>
          </cell>
          <cell r="N2959">
            <v>8317.6377110267094</v>
          </cell>
          <cell r="O2959">
            <v>0</v>
          </cell>
          <cell r="P2959">
            <v>0</v>
          </cell>
          <cell r="Q2959">
            <v>0</v>
          </cell>
        </row>
        <row r="2960">
          <cell r="D2960" t="str">
            <v>641571-10-0</v>
          </cell>
          <cell r="E2960">
            <v>641571100</v>
          </cell>
          <cell r="F2960">
            <v>3427</v>
          </cell>
          <cell r="G2960" t="str">
            <v>Reach_4930</v>
          </cell>
          <cell r="H2960">
            <v>2952</v>
          </cell>
          <cell r="J2960">
            <v>529.53</v>
          </cell>
          <cell r="K2960">
            <v>331.03</v>
          </cell>
          <cell r="L2960">
            <v>2.7459799999999998E-16</v>
          </cell>
          <cell r="M2960">
            <v>3.4700000000000003E-5</v>
          </cell>
          <cell r="N2960">
            <v>102329.29922807543</v>
          </cell>
          <cell r="P2960">
            <v>8.09</v>
          </cell>
          <cell r="Q2960">
            <v>5.91</v>
          </cell>
        </row>
        <row r="2961">
          <cell r="D2961" t="str">
            <v>55184-72-0</v>
          </cell>
          <cell r="E2961">
            <v>55184720</v>
          </cell>
          <cell r="F2961">
            <v>5929</v>
          </cell>
          <cell r="G2961" t="str">
            <v>Reach_2806</v>
          </cell>
          <cell r="H2961">
            <v>2953</v>
          </cell>
          <cell r="J2961">
            <v>584.83000000000004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  <cell r="Q2961">
            <v>14</v>
          </cell>
        </row>
        <row r="2962">
          <cell r="D2962" t="str">
            <v>17928-28-8</v>
          </cell>
          <cell r="E2962">
            <v>17928288</v>
          </cell>
          <cell r="F2962">
            <v>2158</v>
          </cell>
          <cell r="G2962" t="str">
            <v>Reach_2448</v>
          </cell>
          <cell r="H2962">
            <v>2954</v>
          </cell>
          <cell r="J2962">
            <v>310.69</v>
          </cell>
          <cell r="K2962">
            <v>-36.270000000000003</v>
          </cell>
          <cell r="L2962">
            <v>102.37440000000001</v>
          </cell>
          <cell r="M2962">
            <v>2.3605999999999999E-2</v>
          </cell>
          <cell r="N2962">
            <v>144543977.07459331</v>
          </cell>
          <cell r="Q2962">
            <v>14</v>
          </cell>
        </row>
        <row r="2963">
          <cell r="D2963" t="str">
            <v>81-81-2</v>
          </cell>
          <cell r="E2963">
            <v>81812</v>
          </cell>
          <cell r="F2963">
            <v>942</v>
          </cell>
          <cell r="G2963" t="str">
            <v>Reach_278</v>
          </cell>
          <cell r="H2963">
            <v>2955</v>
          </cell>
          <cell r="J2963">
            <v>308.33</v>
          </cell>
          <cell r="K2963">
            <v>197.13</v>
          </cell>
          <cell r="L2963">
            <v>1.4929600000000002E-9</v>
          </cell>
          <cell r="M2963">
            <v>39.981999999999999</v>
          </cell>
          <cell r="N2963">
            <v>169.82436524617444</v>
          </cell>
          <cell r="O2963">
            <v>4.8600000000000003</v>
          </cell>
          <cell r="P2963">
            <v>0</v>
          </cell>
          <cell r="Q2963">
            <v>4.8600000000000003</v>
          </cell>
        </row>
        <row r="2964">
          <cell r="D2964" t="str">
            <v>1453-58-3</v>
          </cell>
          <cell r="E2964">
            <v>1453583</v>
          </cell>
          <cell r="F2964">
            <v>1985</v>
          </cell>
          <cell r="G2964" t="str">
            <v>Reach_1683</v>
          </cell>
          <cell r="H2964">
            <v>2956</v>
          </cell>
          <cell r="J2964">
            <v>82.108000000000004</v>
          </cell>
          <cell r="K2964">
            <v>17.61</v>
          </cell>
          <cell r="L2964">
            <v>28.392900000000001</v>
          </cell>
          <cell r="M2964">
            <v>26355</v>
          </cell>
          <cell r="N2964">
            <v>4.0738027780411281</v>
          </cell>
          <cell r="P2964">
            <v>10.6</v>
          </cell>
          <cell r="Q2964">
            <v>3.4000000000000004</v>
          </cell>
        </row>
        <row r="2965">
          <cell r="D2965" t="str">
            <v>2084-69-7</v>
          </cell>
          <cell r="E2965">
            <v>2084697</v>
          </cell>
          <cell r="F2965">
            <v>2279</v>
          </cell>
          <cell r="G2965" t="str">
            <v>Reach_1757</v>
          </cell>
          <cell r="H2965">
            <v>2957</v>
          </cell>
          <cell r="J2965">
            <v>216.37</v>
          </cell>
          <cell r="K2965">
            <v>65.36</v>
          </cell>
          <cell r="L2965">
            <v>0.40389900000000006</v>
          </cell>
          <cell r="M2965">
            <v>0.69781000000000004</v>
          </cell>
          <cell r="N2965">
            <v>4570881.8961487599</v>
          </cell>
          <cell r="O2965">
            <v>0</v>
          </cell>
          <cell r="Q2965">
            <v>0</v>
          </cell>
        </row>
        <row r="2966">
          <cell r="D2966" t="str">
            <v>84852-23-3</v>
          </cell>
          <cell r="E2966">
            <v>84852233</v>
          </cell>
          <cell r="F2966">
            <v>6054</v>
          </cell>
          <cell r="G2966" t="str">
            <v>Reach_2980</v>
          </cell>
          <cell r="H2966">
            <v>2958</v>
          </cell>
          <cell r="J2966">
            <v>459.56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  <cell r="Q2966">
            <v>14</v>
          </cell>
        </row>
        <row r="2967">
          <cell r="D2967" t="str">
            <v>219715-34-1</v>
          </cell>
          <cell r="E2967">
            <v>219715341</v>
          </cell>
          <cell r="F2967">
            <v>2312</v>
          </cell>
          <cell r="G2967" t="str">
            <v>Reach_4222</v>
          </cell>
          <cell r="H2967">
            <v>2959</v>
          </cell>
          <cell r="J2967">
            <v>177.13</v>
          </cell>
          <cell r="K2967">
            <v>7.75</v>
          </cell>
          <cell r="L2967">
            <v>254.60300000000001</v>
          </cell>
          <cell r="M2967">
            <v>1208.7</v>
          </cell>
          <cell r="N2967">
            <v>199.52623149688802</v>
          </cell>
          <cell r="Q2967">
            <v>14</v>
          </cell>
        </row>
        <row r="2968">
          <cell r="D2968" t="str">
            <v>60857-05-8</v>
          </cell>
          <cell r="E2968">
            <v>60857058</v>
          </cell>
          <cell r="F2968">
            <v>3318</v>
          </cell>
          <cell r="G2968" t="str">
            <v>Reach_2847</v>
          </cell>
          <cell r="H2968">
            <v>2960</v>
          </cell>
          <cell r="J2968">
            <v>152.24</v>
          </cell>
          <cell r="K2968">
            <v>-20.72</v>
          </cell>
          <cell r="L2968">
            <v>84.24560000000001</v>
          </cell>
          <cell r="M2968">
            <v>1235.8</v>
          </cell>
          <cell r="N2968">
            <v>3715.352290971724</v>
          </cell>
          <cell r="Q2968">
            <v>14</v>
          </cell>
        </row>
        <row r="2969">
          <cell r="D2969" t="str">
            <v>67584-55-8</v>
          </cell>
          <cell r="E2969">
            <v>67584558</v>
          </cell>
          <cell r="F2969">
            <v>3497</v>
          </cell>
          <cell r="G2969" t="str">
            <v>Reach_2886</v>
          </cell>
          <cell r="H2969">
            <v>2961</v>
          </cell>
          <cell r="J2969">
            <v>411.24</v>
          </cell>
          <cell r="K2969">
            <v>85.55</v>
          </cell>
          <cell r="L2969">
            <v>9.1577100000000008E-2</v>
          </cell>
          <cell r="M2969">
            <v>9.3873999999999995</v>
          </cell>
          <cell r="N2969">
            <v>15488.166189124853</v>
          </cell>
          <cell r="Q2969">
            <v>14</v>
          </cell>
        </row>
        <row r="2970">
          <cell r="D2970" t="str">
            <v>68133-60-8</v>
          </cell>
          <cell r="E2970">
            <v>68133608</v>
          </cell>
          <cell r="F2970">
            <v>5993</v>
          </cell>
          <cell r="G2970" t="str">
            <v>Reach_2897</v>
          </cell>
          <cell r="H2970">
            <v>2962</v>
          </cell>
          <cell r="J2970">
            <v>271.68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  <cell r="Q2970">
            <v>14</v>
          </cell>
        </row>
        <row r="2971">
          <cell r="D2971" t="str">
            <v>50-03-3</v>
          </cell>
          <cell r="E2971">
            <v>50033</v>
          </cell>
          <cell r="F2971">
            <v>2995</v>
          </cell>
          <cell r="G2971" t="str">
            <v>Reach_3</v>
          </cell>
          <cell r="H2971">
            <v>2963</v>
          </cell>
          <cell r="J2971">
            <v>404.5</v>
          </cell>
          <cell r="K2971">
            <v>217.3</v>
          </cell>
          <cell r="L2971">
            <v>2.9059400000000004E-11</v>
          </cell>
          <cell r="M2971">
            <v>117.37</v>
          </cell>
          <cell r="N2971">
            <v>229.08676527677744</v>
          </cell>
          <cell r="Q2971">
            <v>14</v>
          </cell>
        </row>
        <row r="2972">
          <cell r="D2972" t="str">
            <v>88374-05-4</v>
          </cell>
          <cell r="E2972">
            <v>88374054</v>
          </cell>
          <cell r="F2972">
            <v>3955</v>
          </cell>
          <cell r="G2972" t="str">
            <v>Reach_4488</v>
          </cell>
          <cell r="H2972">
            <v>2964</v>
          </cell>
          <cell r="J2972">
            <v>232.23</v>
          </cell>
          <cell r="K2972">
            <v>78.510000000000005</v>
          </cell>
          <cell r="L2972">
            <v>0.12316920000000001</v>
          </cell>
          <cell r="M2972">
            <v>35.24</v>
          </cell>
          <cell r="N2972">
            <v>4570.8818961487532</v>
          </cell>
          <cell r="P2972">
            <v>0</v>
          </cell>
          <cell r="Q2972">
            <v>14</v>
          </cell>
        </row>
        <row r="2973">
          <cell r="D2973" t="str">
            <v>51920-12-8</v>
          </cell>
          <cell r="E2973">
            <v>51920128</v>
          </cell>
          <cell r="F2973">
            <v>3049</v>
          </cell>
          <cell r="G2973" t="str">
            <v>Reach_2776</v>
          </cell>
          <cell r="H2973">
            <v>2965</v>
          </cell>
          <cell r="J2973">
            <v>560.6</v>
          </cell>
          <cell r="K2973">
            <v>349.84</v>
          </cell>
          <cell r="L2973">
            <v>1.9995000000000002E-21</v>
          </cell>
          <cell r="M2973">
            <v>1.5498E-2</v>
          </cell>
          <cell r="N2973">
            <v>933254.30079699249</v>
          </cell>
          <cell r="O2973">
            <v>9.2100000000000009</v>
          </cell>
          <cell r="P2973">
            <v>15.74</v>
          </cell>
          <cell r="Q2973">
            <v>-1.7400000000000002</v>
          </cell>
        </row>
        <row r="2974">
          <cell r="D2974" t="str">
            <v>2550-02-9</v>
          </cell>
          <cell r="E2974">
            <v>2550029</v>
          </cell>
          <cell r="F2974">
            <v>1250</v>
          </cell>
          <cell r="G2974" t="str">
            <v>Reach_1836</v>
          </cell>
          <cell r="H2974">
            <v>2966</v>
          </cell>
          <cell r="J2974">
            <v>206.36</v>
          </cell>
          <cell r="K2974">
            <v>0.05</v>
          </cell>
          <cell r="L2974">
            <v>32.9251</v>
          </cell>
          <cell r="M2974">
            <v>425.36</v>
          </cell>
          <cell r="N2974">
            <v>60.255958607435822</v>
          </cell>
          <cell r="Q2974">
            <v>14</v>
          </cell>
        </row>
        <row r="2975">
          <cell r="D2975" t="str">
            <v>1320-51-0</v>
          </cell>
          <cell r="E2975">
            <v>1320510</v>
          </cell>
          <cell r="F2975">
            <v>1853</v>
          </cell>
          <cell r="G2975" t="str">
            <v>Reach_1676</v>
          </cell>
          <cell r="H2975">
            <v>2967</v>
          </cell>
          <cell r="J2975">
            <v>104.11</v>
          </cell>
          <cell r="K2975">
            <v>57.36</v>
          </cell>
          <cell r="L2975">
            <v>0.20261600000000002</v>
          </cell>
          <cell r="M2975">
            <v>108000</v>
          </cell>
          <cell r="N2975">
            <v>7.244359600749894E-3</v>
          </cell>
          <cell r="O2975">
            <v>13.28</v>
          </cell>
          <cell r="P2975">
            <v>14.67</v>
          </cell>
          <cell r="Q2975">
            <v>-0.66999999999999993</v>
          </cell>
        </row>
        <row r="2976">
          <cell r="D2976" t="str">
            <v>2901-13-5</v>
          </cell>
          <cell r="E2976">
            <v>2901135</v>
          </cell>
          <cell r="F2976">
            <v>2555</v>
          </cell>
          <cell r="G2976" t="str">
            <v>Reach_4271</v>
          </cell>
          <cell r="H2976">
            <v>2968</v>
          </cell>
          <cell r="J2976">
            <v>192.26</v>
          </cell>
          <cell r="K2976">
            <v>28.29</v>
          </cell>
          <cell r="L2976">
            <v>2.9725900000000003</v>
          </cell>
          <cell r="M2976">
            <v>111.95</v>
          </cell>
          <cell r="N2976">
            <v>2754.228703338169</v>
          </cell>
          <cell r="Q2976">
            <v>14</v>
          </cell>
        </row>
        <row r="2977">
          <cell r="D2977" t="str">
            <v>1852-04-6</v>
          </cell>
          <cell r="E2977">
            <v>1852046</v>
          </cell>
          <cell r="F2977">
            <v>2195</v>
          </cell>
          <cell r="G2977" t="str">
            <v>Reach_1726</v>
          </cell>
          <cell r="H2977">
            <v>2969</v>
          </cell>
          <cell r="J2977">
            <v>216.28</v>
          </cell>
          <cell r="K2977">
            <v>135.03</v>
          </cell>
          <cell r="L2977">
            <v>4.1989500000000004E-4</v>
          </cell>
          <cell r="M2977">
            <v>1068.5999999999999</v>
          </cell>
          <cell r="N2977">
            <v>478.63009232263886</v>
          </cell>
          <cell r="Q2977">
            <v>14</v>
          </cell>
        </row>
        <row r="2978">
          <cell r="D2978" t="str">
            <v>554-52-9</v>
          </cell>
          <cell r="E2978">
            <v>554529</v>
          </cell>
          <cell r="F2978">
            <v>3170</v>
          </cell>
          <cell r="G2978" t="str">
            <v>Reach_4355</v>
          </cell>
          <cell r="H2978">
            <v>2970</v>
          </cell>
          <cell r="J2978">
            <v>167.21</v>
          </cell>
          <cell r="K2978">
            <v>86.09</v>
          </cell>
          <cell r="L2978">
            <v>3.6257600000000001E-2</v>
          </cell>
          <cell r="M2978">
            <v>3765.5</v>
          </cell>
          <cell r="N2978">
            <v>4.786300923226384</v>
          </cell>
          <cell r="Q2978">
            <v>14</v>
          </cell>
        </row>
        <row r="2979">
          <cell r="D2979" t="str">
            <v>1160221-25-9</v>
          </cell>
          <cell r="E2979">
            <v>1160221259</v>
          </cell>
          <cell r="F2979">
            <v>1641</v>
          </cell>
          <cell r="G2979" t="str">
            <v>Reach_5044</v>
          </cell>
          <cell r="H2979">
            <v>2971</v>
          </cell>
          <cell r="J2979">
            <v>508.52</v>
          </cell>
          <cell r="K2979">
            <v>267.01</v>
          </cell>
          <cell r="L2979">
            <v>8.0379900000000018E-12</v>
          </cell>
          <cell r="M2979">
            <v>3.0753E-3</v>
          </cell>
          <cell r="N2979">
            <v>239883291.9019503</v>
          </cell>
          <cell r="Q2979">
            <v>14</v>
          </cell>
        </row>
        <row r="2980">
          <cell r="D2980" t="str">
            <v>181997-71-7</v>
          </cell>
          <cell r="E2980">
            <v>181997717</v>
          </cell>
          <cell r="F2980">
            <v>2173</v>
          </cell>
          <cell r="G2980" t="str">
            <v>Reach_4185</v>
          </cell>
          <cell r="H2980">
            <v>2972</v>
          </cell>
          <cell r="J2980">
            <v>214.71</v>
          </cell>
          <cell r="K2980">
            <v>77.930000000000007</v>
          </cell>
          <cell r="L2980">
            <v>7.0515700000000001E-2</v>
          </cell>
          <cell r="M2980">
            <v>56.430999999999997</v>
          </cell>
          <cell r="N2980">
            <v>2951.2092266663899</v>
          </cell>
          <cell r="Q2980">
            <v>14</v>
          </cell>
        </row>
        <row r="2981">
          <cell r="D2981" t="str">
            <v>166524-68-1</v>
          </cell>
          <cell r="E2981">
            <v>166524681</v>
          </cell>
          <cell r="F2981">
            <v>2106</v>
          </cell>
          <cell r="G2981" t="str">
            <v>Reach_4688</v>
          </cell>
          <cell r="H2981">
            <v>2973</v>
          </cell>
          <cell r="J2981">
            <v>214.23</v>
          </cell>
          <cell r="K2981">
            <v>156.38999999999999</v>
          </cell>
          <cell r="L2981">
            <v>1.5596100000000001E-4</v>
          </cell>
          <cell r="M2981">
            <v>40.835000000000001</v>
          </cell>
          <cell r="N2981">
            <v>26.302679918953825</v>
          </cell>
          <cell r="P2981">
            <v>15.1</v>
          </cell>
          <cell r="Q2981">
            <v>-1.0999999999999996</v>
          </cell>
        </row>
        <row r="2982">
          <cell r="D2982" t="str">
            <v>10258-54-5</v>
          </cell>
          <cell r="E2982">
            <v>10258545</v>
          </cell>
          <cell r="F2982">
            <v>1346</v>
          </cell>
          <cell r="G2982" t="str">
            <v>Reach_2286</v>
          </cell>
          <cell r="H2982">
            <v>2974</v>
          </cell>
          <cell r="J2982">
            <v>129.12</v>
          </cell>
          <cell r="K2982">
            <v>6.22</v>
          </cell>
          <cell r="L2982">
            <v>26.660000000000004</v>
          </cell>
          <cell r="M2982">
            <v>42799</v>
          </cell>
          <cell r="N2982">
            <v>4.2657951880159237E-2</v>
          </cell>
          <cell r="O2982">
            <v>0</v>
          </cell>
          <cell r="P2982">
            <v>0</v>
          </cell>
          <cell r="Q2982">
            <v>0</v>
          </cell>
        </row>
        <row r="2983">
          <cell r="D2983" t="str">
            <v>103953-71-5</v>
          </cell>
          <cell r="E2983">
            <v>103953715</v>
          </cell>
          <cell r="F2983">
            <v>1381</v>
          </cell>
          <cell r="G2983" t="str">
            <v>Reach_4749</v>
          </cell>
          <cell r="H2983">
            <v>2975</v>
          </cell>
          <cell r="J2983">
            <v>235.33</v>
          </cell>
          <cell r="K2983">
            <v>161.08000000000001</v>
          </cell>
          <cell r="L2983">
            <v>1.58627E-5</v>
          </cell>
          <cell r="M2983">
            <v>272.19</v>
          </cell>
          <cell r="N2983">
            <v>2884.0315031266077</v>
          </cell>
          <cell r="O2983">
            <v>0</v>
          </cell>
          <cell r="P2983">
            <v>14.4</v>
          </cell>
          <cell r="Q2983">
            <v>-0.40000000000000036</v>
          </cell>
        </row>
        <row r="2984">
          <cell r="D2984" t="str">
            <v>139007-06-0</v>
          </cell>
          <cell r="E2984">
            <v>139007060</v>
          </cell>
          <cell r="F2984">
            <v>1915</v>
          </cell>
          <cell r="G2984" t="str">
            <v>Reach_4141</v>
          </cell>
          <cell r="H2984">
            <v>2976</v>
          </cell>
          <cell r="J2984">
            <v>219.33</v>
          </cell>
          <cell r="K2984">
            <v>23.77</v>
          </cell>
          <cell r="L2984">
            <v>0.42789300000000008</v>
          </cell>
          <cell r="M2984">
            <v>34</v>
          </cell>
          <cell r="N2984">
            <v>151356.12484362084</v>
          </cell>
          <cell r="P2984">
            <v>8.58</v>
          </cell>
          <cell r="Q2984">
            <v>5.42</v>
          </cell>
        </row>
        <row r="2985">
          <cell r="D2985" t="str">
            <v>14402-88-1</v>
          </cell>
          <cell r="E2985">
            <v>14402881</v>
          </cell>
          <cell r="F2985">
            <v>5698</v>
          </cell>
          <cell r="G2985" t="str">
            <v>Reach_2365</v>
          </cell>
          <cell r="H2985">
            <v>2977</v>
          </cell>
          <cell r="J2985">
            <v>358.52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  <cell r="Q2985">
            <v>14</v>
          </cell>
        </row>
        <row r="2986">
          <cell r="D2986" t="str">
            <v>2580-78-1</v>
          </cell>
          <cell r="E2986">
            <v>2580781</v>
          </cell>
          <cell r="F2986">
            <v>5799</v>
          </cell>
          <cell r="G2986" t="str">
            <v>Reach_1841</v>
          </cell>
          <cell r="H2986">
            <v>2978</v>
          </cell>
          <cell r="J2986">
            <v>626.54999999999995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  <cell r="Q2986">
            <v>14</v>
          </cell>
        </row>
        <row r="2987">
          <cell r="D2987" t="str">
            <v>713-95-1</v>
          </cell>
          <cell r="E2987">
            <v>713951</v>
          </cell>
          <cell r="F2987">
            <v>3581</v>
          </cell>
          <cell r="G2987" t="str">
            <v>Reach_1521</v>
          </cell>
          <cell r="H2987">
            <v>2979</v>
          </cell>
          <cell r="J2987">
            <v>198.31</v>
          </cell>
          <cell r="K2987">
            <v>18.649999999999999</v>
          </cell>
          <cell r="L2987">
            <v>0.131967</v>
          </cell>
          <cell r="M2987">
            <v>37.804000000000002</v>
          </cell>
          <cell r="N2987">
            <v>3548.1338923357539</v>
          </cell>
          <cell r="O2987">
            <v>0</v>
          </cell>
          <cell r="P2987">
            <v>0</v>
          </cell>
          <cell r="Q2987">
            <v>0</v>
          </cell>
        </row>
        <row r="2988">
          <cell r="D2988" t="str">
            <v>59776-88-4</v>
          </cell>
          <cell r="E2988">
            <v>59776884</v>
          </cell>
          <cell r="F2988">
            <v>3287</v>
          </cell>
          <cell r="G2988" t="str">
            <v>Reach_2842</v>
          </cell>
          <cell r="H2988">
            <v>2980</v>
          </cell>
          <cell r="J2988">
            <v>157.16999999999999</v>
          </cell>
          <cell r="K2988">
            <v>69.930000000000007</v>
          </cell>
          <cell r="L2988">
            <v>0.31192200000000003</v>
          </cell>
          <cell r="M2988">
            <v>132000</v>
          </cell>
          <cell r="N2988">
            <v>0.85113803820237643</v>
          </cell>
          <cell r="P2988">
            <v>15.83</v>
          </cell>
          <cell r="Q2988">
            <v>-1.83</v>
          </cell>
        </row>
        <row r="2989">
          <cell r="D2989" t="str">
            <v>565-61-7</v>
          </cell>
          <cell r="E2989">
            <v>565617</v>
          </cell>
          <cell r="F2989">
            <v>3203</v>
          </cell>
          <cell r="G2989" t="str">
            <v>Reach_1376</v>
          </cell>
          <cell r="H2989">
            <v>2981</v>
          </cell>
          <cell r="J2989">
            <v>100.16</v>
          </cell>
          <cell r="K2989">
            <v>-66.73</v>
          </cell>
          <cell r="L2989">
            <v>2719.32</v>
          </cell>
          <cell r="M2989">
            <v>9587.2999999999993</v>
          </cell>
          <cell r="N2989">
            <v>14.454397707459275</v>
          </cell>
          <cell r="Q2989">
            <v>14</v>
          </cell>
        </row>
        <row r="2990">
          <cell r="D2990" t="str">
            <v>6920-22-5</v>
          </cell>
          <cell r="E2990">
            <v>6920225</v>
          </cell>
          <cell r="F2990">
            <v>3534</v>
          </cell>
          <cell r="G2990" t="str">
            <v>Reach_2211</v>
          </cell>
          <cell r="H2990">
            <v>2982</v>
          </cell>
          <cell r="J2990">
            <v>118.18</v>
          </cell>
          <cell r="K2990">
            <v>1.85</v>
          </cell>
          <cell r="L2990">
            <v>2.3860700000000001</v>
          </cell>
          <cell r="M2990">
            <v>22756</v>
          </cell>
          <cell r="N2990">
            <v>4.8977881936844625</v>
          </cell>
          <cell r="O2990">
            <v>14.86</v>
          </cell>
          <cell r="Q2990">
            <v>14</v>
          </cell>
        </row>
        <row r="2991">
          <cell r="D2991" t="str">
            <v>471-01-2</v>
          </cell>
          <cell r="E2991">
            <v>471012</v>
          </cell>
          <cell r="F2991">
            <v>2962</v>
          </cell>
          <cell r="G2991" t="str">
            <v>Reach_1288</v>
          </cell>
          <cell r="H2991">
            <v>2983</v>
          </cell>
          <cell r="J2991">
            <v>138.21</v>
          </cell>
          <cell r="K2991">
            <v>17.38</v>
          </cell>
          <cell r="L2991">
            <v>64.383899999999997</v>
          </cell>
          <cell r="M2991">
            <v>608.64</v>
          </cell>
          <cell r="N2991">
            <v>213.79620895022339</v>
          </cell>
          <cell r="O2991">
            <v>0</v>
          </cell>
          <cell r="Q2991">
            <v>0</v>
          </cell>
        </row>
        <row r="2992">
          <cell r="D2992" t="str">
            <v>10595-49-0</v>
          </cell>
          <cell r="E2992">
            <v>10595490</v>
          </cell>
          <cell r="F2992">
            <v>5596</v>
          </cell>
          <cell r="G2992" t="str">
            <v>Reach_2300</v>
          </cell>
          <cell r="H2992">
            <v>2984</v>
          </cell>
          <cell r="J2992">
            <v>410.62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  <cell r="Q2992">
            <v>14</v>
          </cell>
        </row>
        <row r="2993">
          <cell r="D2993" t="str">
            <v>42872-30-0</v>
          </cell>
          <cell r="E2993">
            <v>42872300</v>
          </cell>
          <cell r="F2993">
            <v>2902</v>
          </cell>
          <cell r="G2993" t="str">
            <v>Reach_2753</v>
          </cell>
          <cell r="H2993">
            <v>2985</v>
          </cell>
          <cell r="J2993">
            <v>235.29</v>
          </cell>
          <cell r="K2993">
            <v>125.94</v>
          </cell>
          <cell r="L2993">
            <v>3.4524700000000008E-4</v>
          </cell>
          <cell r="M2993">
            <v>9.0037000000000003</v>
          </cell>
          <cell r="N2993">
            <v>1348.9628825916541</v>
          </cell>
          <cell r="O2993">
            <v>0</v>
          </cell>
          <cell r="Q2993">
            <v>0</v>
          </cell>
        </row>
        <row r="2994">
          <cell r="D2994" t="str">
            <v>13052-09-0</v>
          </cell>
          <cell r="E2994">
            <v>13052090</v>
          </cell>
          <cell r="F2994">
            <v>1839</v>
          </cell>
          <cell r="G2994" t="str">
            <v>Reach_2322</v>
          </cell>
          <cell r="H2994">
            <v>2986</v>
          </cell>
          <cell r="J2994">
            <v>430.63</v>
          </cell>
          <cell r="K2994">
            <v>71.17</v>
          </cell>
          <cell r="L2994">
            <v>3.3724900000000002E-4</v>
          </cell>
          <cell r="M2994">
            <v>6.1490000000000004E-4</v>
          </cell>
          <cell r="N2994">
            <v>190546071.79632455</v>
          </cell>
          <cell r="Q2994">
            <v>14</v>
          </cell>
        </row>
        <row r="2995">
          <cell r="D2995" t="str">
            <v>645-62-5</v>
          </cell>
          <cell r="E2995">
            <v>645625</v>
          </cell>
          <cell r="F2995">
            <v>3438</v>
          </cell>
          <cell r="G2995" t="str">
            <v>Reach_1481</v>
          </cell>
          <cell r="H2995">
            <v>2987</v>
          </cell>
          <cell r="J2995">
            <v>126.2</v>
          </cell>
          <cell r="K2995">
            <v>-40.39</v>
          </cell>
          <cell r="L2995">
            <v>61.717900000000007</v>
          </cell>
          <cell r="M2995">
            <v>1108.4000000000001</v>
          </cell>
          <cell r="N2995">
            <v>416.86938347033572</v>
          </cell>
          <cell r="O2995">
            <v>0</v>
          </cell>
          <cell r="P2995">
            <v>0</v>
          </cell>
          <cell r="Q2995">
            <v>0</v>
          </cell>
        </row>
        <row r="2996">
          <cell r="D2996" t="str">
            <v>26266-68-2</v>
          </cell>
          <cell r="E2996">
            <v>26266682</v>
          </cell>
          <cell r="F2996">
            <v>2459</v>
          </cell>
          <cell r="G2996" t="str">
            <v>Reach_2577</v>
          </cell>
          <cell r="H2996">
            <v>2988</v>
          </cell>
          <cell r="J2996">
            <v>126.2</v>
          </cell>
          <cell r="K2996">
            <v>-40.39</v>
          </cell>
          <cell r="L2996">
            <v>61.717900000000007</v>
          </cell>
          <cell r="M2996">
            <v>1108.4000000000001</v>
          </cell>
          <cell r="N2996">
            <v>416.86938347033572</v>
          </cell>
          <cell r="O2996">
            <v>0</v>
          </cell>
          <cell r="Q2996">
            <v>0</v>
          </cell>
        </row>
        <row r="2997">
          <cell r="D2997" t="str">
            <v>66068-84-6</v>
          </cell>
          <cell r="E2997">
            <v>66068846</v>
          </cell>
          <cell r="F2997">
            <v>3460</v>
          </cell>
          <cell r="G2997" t="str">
            <v>Reach_2876</v>
          </cell>
          <cell r="H2997">
            <v>2989</v>
          </cell>
          <cell r="J2997">
            <v>236.4</v>
          </cell>
          <cell r="K2997">
            <v>87.6</v>
          </cell>
          <cell r="L2997">
            <v>1.6262600000000002E-3</v>
          </cell>
          <cell r="M2997">
            <v>19.146000000000001</v>
          </cell>
          <cell r="N2997">
            <v>316227.7660168382</v>
          </cell>
          <cell r="Q2997">
            <v>14</v>
          </cell>
        </row>
        <row r="2998">
          <cell r="D2998" t="str">
            <v>6065-63-0</v>
          </cell>
          <cell r="E2998">
            <v>6065630</v>
          </cell>
          <cell r="F2998">
            <v>3314</v>
          </cell>
          <cell r="G2998" t="str">
            <v>Reach_2152</v>
          </cell>
          <cell r="H2998">
            <v>2990</v>
          </cell>
          <cell r="J2998">
            <v>244.33</v>
          </cell>
          <cell r="K2998">
            <v>-20.329999999999998</v>
          </cell>
          <cell r="L2998">
            <v>1.9328500000000002</v>
          </cell>
          <cell r="M2998">
            <v>267.47000000000003</v>
          </cell>
          <cell r="N2998">
            <v>5370.3179637025269</v>
          </cell>
          <cell r="Q2998">
            <v>14</v>
          </cell>
        </row>
        <row r="2999">
          <cell r="D2999" t="str">
            <v>22327-32-8</v>
          </cell>
          <cell r="E2999">
            <v>22327328</v>
          </cell>
          <cell r="F2999">
            <v>2330</v>
          </cell>
          <cell r="G2999" t="str">
            <v>Reach_4231</v>
          </cell>
          <cell r="H2999">
            <v>2991</v>
          </cell>
          <cell r="J2999">
            <v>150.22</v>
          </cell>
          <cell r="K2999">
            <v>28.88</v>
          </cell>
          <cell r="L2999">
            <v>28.792800000000003</v>
          </cell>
          <cell r="M2999">
            <v>2857.6</v>
          </cell>
          <cell r="N2999">
            <v>707.94578438413873</v>
          </cell>
          <cell r="O2999">
            <v>0</v>
          </cell>
          <cell r="Q2999">
            <v>0</v>
          </cell>
        </row>
        <row r="3000">
          <cell r="D3000" t="str">
            <v>134-81-6</v>
          </cell>
          <cell r="E3000">
            <v>134816</v>
          </cell>
          <cell r="F3000">
            <v>1883</v>
          </cell>
          <cell r="G3000" t="str">
            <v>Reach_1128</v>
          </cell>
          <cell r="H3000">
            <v>2992</v>
          </cell>
          <cell r="J3000">
            <v>210.23</v>
          </cell>
          <cell r="K3000">
            <v>98.55</v>
          </cell>
          <cell r="L3000">
            <v>4.3722400000000003E-3</v>
          </cell>
          <cell r="M3000">
            <v>6.0048000000000004</v>
          </cell>
          <cell r="N3000">
            <v>3630.7805477010188</v>
          </cell>
          <cell r="Q3000">
            <v>14</v>
          </cell>
        </row>
        <row r="3001">
          <cell r="D3001" t="str">
            <v>14559-13-8</v>
          </cell>
          <cell r="E3001">
            <v>14559138</v>
          </cell>
          <cell r="F3001">
            <v>1987</v>
          </cell>
          <cell r="G3001" t="str">
            <v>Reach_4156</v>
          </cell>
          <cell r="H3001">
            <v>2993</v>
          </cell>
          <cell r="J3001">
            <v>170.23</v>
          </cell>
          <cell r="K3001">
            <v>45.82</v>
          </cell>
          <cell r="L3001">
            <v>3.2391900000000002</v>
          </cell>
          <cell r="M3001">
            <v>441.56</v>
          </cell>
          <cell r="N3001">
            <v>549.54087385762534</v>
          </cell>
          <cell r="O3001">
            <v>0</v>
          </cell>
          <cell r="Q3001">
            <v>0</v>
          </cell>
        </row>
        <row r="3002">
          <cell r="D3002" t="str">
            <v>3195-24-2</v>
          </cell>
          <cell r="E3002">
            <v>3195242</v>
          </cell>
          <cell r="F3002">
            <v>2640</v>
          </cell>
          <cell r="G3002" t="str">
            <v>Reach_1931</v>
          </cell>
          <cell r="H3002">
            <v>2994</v>
          </cell>
          <cell r="J3002">
            <v>240.3</v>
          </cell>
          <cell r="K3002">
            <v>-22.83</v>
          </cell>
          <cell r="L3002">
            <v>5.1320500000000004</v>
          </cell>
          <cell r="M3002">
            <v>91.998999999999995</v>
          </cell>
          <cell r="N3002">
            <v>2884.0315031266077</v>
          </cell>
          <cell r="O3002">
            <v>0</v>
          </cell>
          <cell r="Q3002">
            <v>0</v>
          </cell>
        </row>
        <row r="3003">
          <cell r="D3003" t="str">
            <v>26678-02-4</v>
          </cell>
          <cell r="E3003">
            <v>26678024</v>
          </cell>
          <cell r="F3003">
            <v>2483</v>
          </cell>
          <cell r="G3003" t="str">
            <v>Reach_4257</v>
          </cell>
          <cell r="H3003">
            <v>2995</v>
          </cell>
          <cell r="J3003">
            <v>318.41000000000003</v>
          </cell>
          <cell r="K3003">
            <v>82.02</v>
          </cell>
          <cell r="L3003">
            <v>1.4129800000000001E-6</v>
          </cell>
          <cell r="M3003">
            <v>7295.8</v>
          </cell>
          <cell r="N3003">
            <v>616.59500186148273</v>
          </cell>
          <cell r="Q3003">
            <v>14</v>
          </cell>
        </row>
        <row r="3004">
          <cell r="D3004" t="str">
            <v>2544-13-0</v>
          </cell>
          <cell r="E3004">
            <v>2544130</v>
          </cell>
          <cell r="F3004">
            <v>5797</v>
          </cell>
          <cell r="G3004" t="str">
            <v>Reach_1834</v>
          </cell>
          <cell r="H3004">
            <v>2996</v>
          </cell>
          <cell r="J3004">
            <v>256.74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Q3004">
            <v>0</v>
          </cell>
        </row>
        <row r="3005">
          <cell r="D3005" t="str">
            <v>1951-97-9</v>
          </cell>
          <cell r="E3005">
            <v>1951979</v>
          </cell>
          <cell r="F3005">
            <v>5761</v>
          </cell>
          <cell r="G3005" t="str">
            <v>Reach_1738</v>
          </cell>
          <cell r="H3005">
            <v>2997</v>
          </cell>
          <cell r="J3005">
            <v>184.13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  <cell r="Q3005">
            <v>14</v>
          </cell>
        </row>
        <row r="3006">
          <cell r="D3006" t="str">
            <v>20030-30-2</v>
          </cell>
          <cell r="E3006">
            <v>20030302</v>
          </cell>
          <cell r="F3006">
            <v>2248</v>
          </cell>
          <cell r="G3006" t="str">
            <v>Reach_2487</v>
          </cell>
          <cell r="H3006">
            <v>2998</v>
          </cell>
          <cell r="J3006">
            <v>138.21</v>
          </cell>
          <cell r="K3006">
            <v>4.68</v>
          </cell>
          <cell r="L3006">
            <v>51.453800000000008</v>
          </cell>
          <cell r="M3006">
            <v>4054.1</v>
          </cell>
          <cell r="N3006">
            <v>380.18939632056163</v>
          </cell>
          <cell r="Q3006">
            <v>14</v>
          </cell>
        </row>
        <row r="3007">
          <cell r="D3007" t="str">
            <v>106-09-2</v>
          </cell>
          <cell r="E3007">
            <v>106092</v>
          </cell>
          <cell r="F3007">
            <v>1427</v>
          </cell>
          <cell r="G3007" t="str">
            <v>Reach_655</v>
          </cell>
          <cell r="H3007">
            <v>2999</v>
          </cell>
          <cell r="J3007">
            <v>286.45999999999998</v>
          </cell>
          <cell r="K3007">
            <v>183.81</v>
          </cell>
          <cell r="L3007">
            <v>1.8662000000000002E-8</v>
          </cell>
          <cell r="M3007">
            <v>2.1349999999999998</v>
          </cell>
          <cell r="N3007">
            <v>537.03179637025301</v>
          </cell>
          <cell r="P3007">
            <v>5.8</v>
          </cell>
          <cell r="Q3007">
            <v>8.1999999999999993</v>
          </cell>
        </row>
        <row r="3008">
          <cell r="D3008" t="str">
            <v>2643-07-4</v>
          </cell>
          <cell r="E3008">
            <v>2643074</v>
          </cell>
          <cell r="F3008">
            <v>1253</v>
          </cell>
          <cell r="G3008" t="str">
            <v>Reach_1850</v>
          </cell>
          <cell r="H3008">
            <v>3000</v>
          </cell>
          <cell r="J3008">
            <v>211.69</v>
          </cell>
          <cell r="K3008">
            <v>76.64</v>
          </cell>
          <cell r="L3008">
            <v>4.1056400000000007E-2</v>
          </cell>
          <cell r="M3008">
            <v>123.18</v>
          </cell>
          <cell r="N3008">
            <v>1318.2567385564089</v>
          </cell>
          <cell r="P3008">
            <v>13.46</v>
          </cell>
          <cell r="Q3008">
            <v>0.53999999999999915</v>
          </cell>
        </row>
        <row r="3009">
          <cell r="D3009" t="str">
            <v>12225-18-2</v>
          </cell>
          <cell r="E3009">
            <v>12225182</v>
          </cell>
          <cell r="F3009">
            <v>1745</v>
          </cell>
          <cell r="G3009" t="str">
            <v>Reach_2305</v>
          </cell>
          <cell r="H3009">
            <v>3001</v>
          </cell>
          <cell r="J3009">
            <v>591.04</v>
          </cell>
          <cell r="K3009">
            <v>334.21</v>
          </cell>
          <cell r="L3009">
            <v>1.6395900000000001E-16</v>
          </cell>
          <cell r="M3009">
            <v>3.8961000000000003E-2</v>
          </cell>
          <cell r="N3009">
            <v>10964.781961431856</v>
          </cell>
          <cell r="O3009">
            <v>8.56</v>
          </cell>
          <cell r="P3009">
            <v>14.87</v>
          </cell>
          <cell r="Q3009">
            <v>-0.86999999999999922</v>
          </cell>
        </row>
        <row r="3010">
          <cell r="D3010" t="str">
            <v>885-82-5</v>
          </cell>
          <cell r="E3010">
            <v>885825</v>
          </cell>
          <cell r="F3010">
            <v>3960</v>
          </cell>
          <cell r="G3010" t="str">
            <v>Reach_1584</v>
          </cell>
          <cell r="H3010">
            <v>3002</v>
          </cell>
          <cell r="J3010">
            <v>215.21</v>
          </cell>
          <cell r="K3010">
            <v>138.86000000000001</v>
          </cell>
          <cell r="L3010">
            <v>7.3981500000000003E-5</v>
          </cell>
          <cell r="M3010">
            <v>27.375</v>
          </cell>
          <cell r="N3010">
            <v>4677.3514128719844</v>
          </cell>
          <cell r="Q3010">
            <v>14</v>
          </cell>
        </row>
        <row r="3011">
          <cell r="D3011" t="str">
            <v>1678-25-7</v>
          </cell>
          <cell r="E3011">
            <v>1678257</v>
          </cell>
          <cell r="F3011">
            <v>2112</v>
          </cell>
          <cell r="G3011" t="str">
            <v>Reach_1707</v>
          </cell>
          <cell r="H3011">
            <v>3003</v>
          </cell>
          <cell r="J3011">
            <v>233.29</v>
          </cell>
          <cell r="K3011">
            <v>130.61000000000001</v>
          </cell>
          <cell r="L3011">
            <v>3.9990000000000007E-4</v>
          </cell>
          <cell r="M3011">
            <v>286.60000000000002</v>
          </cell>
          <cell r="N3011">
            <v>426.57951880159294</v>
          </cell>
          <cell r="Q3011">
            <v>14</v>
          </cell>
        </row>
        <row r="3012">
          <cell r="D3012" t="str">
            <v>141-63-9</v>
          </cell>
          <cell r="E3012">
            <v>141639</v>
          </cell>
          <cell r="F3012">
            <v>1940</v>
          </cell>
          <cell r="G3012" t="str">
            <v>Reach_1166</v>
          </cell>
          <cell r="H3012">
            <v>3004</v>
          </cell>
          <cell r="J3012">
            <v>384.85</v>
          </cell>
          <cell r="K3012">
            <v>-26.25</v>
          </cell>
          <cell r="L3012">
            <v>9.3843200000000007</v>
          </cell>
          <cell r="M3012">
            <v>8.4849999999999997E-4</v>
          </cell>
          <cell r="N3012">
            <v>4073802778.0411296</v>
          </cell>
          <cell r="P3012">
            <v>0</v>
          </cell>
          <cell r="Q3012">
            <v>14</v>
          </cell>
        </row>
        <row r="3013">
          <cell r="D3013" t="str">
            <v>917392-54-2</v>
          </cell>
          <cell r="E3013">
            <v>917392542</v>
          </cell>
          <cell r="F3013">
            <v>4020</v>
          </cell>
          <cell r="G3013" t="str">
            <v>Reach_4929</v>
          </cell>
          <cell r="H3013">
            <v>3005</v>
          </cell>
          <cell r="J3013">
            <v>320.36</v>
          </cell>
          <cell r="K3013">
            <v>189.77</v>
          </cell>
          <cell r="L3013">
            <v>1.153045E-6</v>
          </cell>
          <cell r="M3013">
            <v>28.933</v>
          </cell>
          <cell r="N3013">
            <v>33113.11214825909</v>
          </cell>
          <cell r="Q3013">
            <v>14</v>
          </cell>
        </row>
        <row r="3014">
          <cell r="D3014" t="str">
            <v>82543-17-7</v>
          </cell>
          <cell r="E3014">
            <v>82543177</v>
          </cell>
          <cell r="F3014">
            <v>3830</v>
          </cell>
          <cell r="G3014" t="str">
            <v>Reach_4456</v>
          </cell>
          <cell r="H3014">
            <v>3006</v>
          </cell>
          <cell r="J3014">
            <v>386.53</v>
          </cell>
          <cell r="K3014">
            <v>216.9</v>
          </cell>
          <cell r="L3014">
            <v>1.1517120000000001E-11</v>
          </cell>
          <cell r="M3014">
            <v>0.58621000000000001</v>
          </cell>
          <cell r="N3014">
            <v>158.48931924611153</v>
          </cell>
          <cell r="P3014">
            <v>0</v>
          </cell>
          <cell r="Q3014">
            <v>14</v>
          </cell>
        </row>
        <row r="3015">
          <cell r="D3015" t="str">
            <v>71301-98-9</v>
          </cell>
          <cell r="E3015">
            <v>71301989</v>
          </cell>
          <cell r="F3015">
            <v>3579</v>
          </cell>
          <cell r="G3015" t="str">
            <v>Reach_4413</v>
          </cell>
          <cell r="H3015">
            <v>3007</v>
          </cell>
          <cell r="J3015">
            <v>210.23</v>
          </cell>
          <cell r="K3015">
            <v>86.32</v>
          </cell>
          <cell r="L3015">
            <v>1.5462800000000002E-2</v>
          </cell>
          <cell r="M3015">
            <v>860.01</v>
          </cell>
          <cell r="N3015">
            <v>109.64781961431861</v>
          </cell>
          <cell r="O3015">
            <v>9.94</v>
          </cell>
          <cell r="Q3015">
            <v>9.94</v>
          </cell>
        </row>
        <row r="3016">
          <cell r="D3016" t="str">
            <v>88-17-5</v>
          </cell>
          <cell r="E3016">
            <v>88175</v>
          </cell>
          <cell r="F3016">
            <v>3949</v>
          </cell>
          <cell r="G3016" t="str">
            <v>Reach_317</v>
          </cell>
          <cell r="H3016">
            <v>3008</v>
          </cell>
          <cell r="J3016">
            <v>161.13</v>
          </cell>
          <cell r="K3016">
            <v>9.58</v>
          </cell>
          <cell r="L3016">
            <v>67.049900000000008</v>
          </cell>
          <cell r="M3016">
            <v>4354.6000000000004</v>
          </cell>
          <cell r="N3016">
            <v>109.64781961431861</v>
          </cell>
          <cell r="P3016">
            <v>9.4</v>
          </cell>
          <cell r="Q3016">
            <v>4.5999999999999996</v>
          </cell>
        </row>
        <row r="3017">
          <cell r="D3017" t="str">
            <v>144690-96-0</v>
          </cell>
          <cell r="E3017">
            <v>144690960</v>
          </cell>
          <cell r="F3017">
            <v>1980</v>
          </cell>
          <cell r="G3017" t="str">
            <v>Reach_4712</v>
          </cell>
          <cell r="H3017">
            <v>3009</v>
          </cell>
          <cell r="J3017">
            <v>431.54</v>
          </cell>
          <cell r="K3017">
            <v>267.45</v>
          </cell>
          <cell r="L3017">
            <v>1.2023660000000001E-14</v>
          </cell>
          <cell r="M3017">
            <v>1.6792000000000001E-2</v>
          </cell>
          <cell r="N3017">
            <v>269153.48039269145</v>
          </cell>
          <cell r="O3017">
            <v>15.64</v>
          </cell>
          <cell r="Q3017">
            <v>14</v>
          </cell>
        </row>
        <row r="3018">
          <cell r="D3018" t="str">
            <v>5505-16-8</v>
          </cell>
          <cell r="E3018">
            <v>5505168</v>
          </cell>
          <cell r="F3018">
            <v>3158</v>
          </cell>
          <cell r="G3018" t="str">
            <v>Reach_2119</v>
          </cell>
          <cell r="H3018">
            <v>3010</v>
          </cell>
          <cell r="J3018">
            <v>529.83000000000004</v>
          </cell>
          <cell r="K3018">
            <v>213.03</v>
          </cell>
          <cell r="L3018">
            <v>3.4657999999999998E-8</v>
          </cell>
          <cell r="M3018">
            <v>4.8802000000000003</v>
          </cell>
          <cell r="N3018">
            <v>77.624711662869217</v>
          </cell>
          <cell r="Q3018">
            <v>14</v>
          </cell>
        </row>
        <row r="3019">
          <cell r="D3019" t="str">
            <v>1125-21-9</v>
          </cell>
          <cell r="E3019">
            <v>1125219</v>
          </cell>
          <cell r="F3019">
            <v>1591</v>
          </cell>
          <cell r="G3019" t="str">
            <v>Reach_1662</v>
          </cell>
          <cell r="H3019">
            <v>3011</v>
          </cell>
          <cell r="J3019">
            <v>152.19</v>
          </cell>
          <cell r="K3019">
            <v>56.04</v>
          </cell>
          <cell r="L3019">
            <v>2.4660500000000001</v>
          </cell>
          <cell r="M3019">
            <v>9041.4</v>
          </cell>
          <cell r="N3019">
            <v>75.857757502918361</v>
          </cell>
          <cell r="O3019">
            <v>0</v>
          </cell>
          <cell r="P3019">
            <v>0</v>
          </cell>
          <cell r="Q3019">
            <v>0</v>
          </cell>
        </row>
        <row r="3020">
          <cell r="D3020" t="str">
            <v>838-88-0</v>
          </cell>
          <cell r="E3020">
            <v>838880</v>
          </cell>
          <cell r="F3020">
            <v>3851</v>
          </cell>
          <cell r="G3020" t="str">
            <v>Reach_1563</v>
          </cell>
          <cell r="H3020">
            <v>3012</v>
          </cell>
          <cell r="J3020">
            <v>226.32</v>
          </cell>
          <cell r="K3020">
            <v>142.54</v>
          </cell>
          <cell r="L3020">
            <v>1.21303E-4</v>
          </cell>
          <cell r="M3020">
            <v>57.575000000000003</v>
          </cell>
          <cell r="N3020">
            <v>1905.4607179632485</v>
          </cell>
          <cell r="Q3020">
            <v>14</v>
          </cell>
        </row>
        <row r="3021">
          <cell r="D3021" t="str">
            <v>101377-47-3</v>
          </cell>
          <cell r="E3021">
            <v>101377473</v>
          </cell>
          <cell r="F3021">
            <v>1319</v>
          </cell>
          <cell r="G3021" t="str">
            <v>Reach_4057</v>
          </cell>
          <cell r="H3021">
            <v>3013</v>
          </cell>
          <cell r="J3021">
            <v>315.39999999999998</v>
          </cell>
          <cell r="K3021">
            <v>143.59</v>
          </cell>
          <cell r="L3021">
            <v>2.9725900000000002E-4</v>
          </cell>
          <cell r="M3021">
            <v>0</v>
          </cell>
          <cell r="N3021">
            <v>77624.711662869129</v>
          </cell>
          <cell r="O3021">
            <v>0</v>
          </cell>
          <cell r="P3021">
            <v>12.11</v>
          </cell>
          <cell r="Q3021">
            <v>0</v>
          </cell>
        </row>
        <row r="3022">
          <cell r="D3022" t="str">
            <v>160844-75-7</v>
          </cell>
          <cell r="E3022">
            <v>160844757</v>
          </cell>
          <cell r="F3022">
            <v>2077</v>
          </cell>
          <cell r="G3022" t="str">
            <v>Reach_5115</v>
          </cell>
          <cell r="H3022">
            <v>3014</v>
          </cell>
          <cell r="J3022">
            <v>344.44</v>
          </cell>
          <cell r="K3022">
            <v>197.06</v>
          </cell>
          <cell r="L3022">
            <v>3.8790300000000006E-7</v>
          </cell>
          <cell r="M3022">
            <v>0.28442000000000001</v>
          </cell>
          <cell r="N3022">
            <v>45708.818961487581</v>
          </cell>
          <cell r="P3022">
            <v>12.92</v>
          </cell>
          <cell r="Q3022">
            <v>1.08</v>
          </cell>
        </row>
        <row r="3023">
          <cell r="D3023" t="str">
            <v>766-09-6</v>
          </cell>
          <cell r="E3023">
            <v>766096</v>
          </cell>
          <cell r="F3023">
            <v>874</v>
          </cell>
          <cell r="G3023" t="str">
            <v>Reach_1542</v>
          </cell>
          <cell r="H3023">
            <v>3015</v>
          </cell>
          <cell r="J3023">
            <v>113.21</v>
          </cell>
          <cell r="K3023">
            <v>-26.17</v>
          </cell>
          <cell r="L3023">
            <v>1286.3450000000003</v>
          </cell>
          <cell r="M3023">
            <v>71343</v>
          </cell>
          <cell r="N3023">
            <v>77.624711662869217</v>
          </cell>
          <cell r="O3023">
            <v>0</v>
          </cell>
          <cell r="Q3023">
            <v>0</v>
          </cell>
        </row>
        <row r="3024">
          <cell r="D3024" t="str">
            <v>20893-30-5</v>
          </cell>
          <cell r="E3024">
            <v>20893305</v>
          </cell>
          <cell r="F3024">
            <v>2280</v>
          </cell>
          <cell r="G3024" t="str">
            <v>Reach_2501</v>
          </cell>
          <cell r="H3024">
            <v>3016</v>
          </cell>
          <cell r="J3024">
            <v>123.18</v>
          </cell>
          <cell r="K3024">
            <v>40.82</v>
          </cell>
          <cell r="L3024">
            <v>4.5055399999999999</v>
          </cell>
          <cell r="M3024">
            <v>810.81</v>
          </cell>
          <cell r="N3024">
            <v>23.988329190194907</v>
          </cell>
          <cell r="Q3024">
            <v>14</v>
          </cell>
        </row>
        <row r="3025">
          <cell r="D3025" t="str">
            <v>73344-75-9</v>
          </cell>
          <cell r="E3025">
            <v>73344759</v>
          </cell>
          <cell r="F3025">
            <v>3620</v>
          </cell>
          <cell r="G3025" t="str">
            <v>Reach_5084</v>
          </cell>
          <cell r="H3025">
            <v>3017</v>
          </cell>
          <cell r="J3025">
            <v>193.25</v>
          </cell>
          <cell r="K3025">
            <v>81.739999999999995</v>
          </cell>
          <cell r="L3025">
            <v>0.10517370000000001</v>
          </cell>
          <cell r="M3025">
            <v>12052</v>
          </cell>
          <cell r="N3025">
            <v>37.153522909717275</v>
          </cell>
          <cell r="Q3025">
            <v>14</v>
          </cell>
        </row>
        <row r="3026">
          <cell r="D3026" t="str">
            <v>7005-47-2</v>
          </cell>
          <cell r="E3026">
            <v>7005472</v>
          </cell>
          <cell r="F3026">
            <v>3555</v>
          </cell>
          <cell r="G3026" t="str">
            <v>Reach_2219</v>
          </cell>
          <cell r="H3026">
            <v>3018</v>
          </cell>
          <cell r="J3026">
            <v>117.19</v>
          </cell>
          <cell r="K3026">
            <v>-20.59</v>
          </cell>
          <cell r="L3026">
            <v>102.37440000000001</v>
          </cell>
          <cell r="M3026">
            <v>367000</v>
          </cell>
          <cell r="N3026">
            <v>0.87096358995608059</v>
          </cell>
          <cell r="O3026">
            <v>15.03</v>
          </cell>
          <cell r="Q3026">
            <v>14</v>
          </cell>
        </row>
        <row r="3027">
          <cell r="D3027" t="str">
            <v>3490-06-0</v>
          </cell>
          <cell r="E3027">
            <v>3490060</v>
          </cell>
          <cell r="F3027">
            <v>2718</v>
          </cell>
          <cell r="G3027" t="str">
            <v>Reach_1968</v>
          </cell>
          <cell r="H3027">
            <v>3019</v>
          </cell>
          <cell r="J3027">
            <v>195.26</v>
          </cell>
          <cell r="K3027">
            <v>69.56</v>
          </cell>
          <cell r="L3027">
            <v>0.28126299999999999</v>
          </cell>
          <cell r="M3027">
            <v>383.5</v>
          </cell>
          <cell r="N3027">
            <v>28.183829312644548</v>
          </cell>
          <cell r="P3027">
            <v>4.1399999999999997</v>
          </cell>
          <cell r="Q3027">
            <v>9.86</v>
          </cell>
        </row>
        <row r="3028">
          <cell r="D3028" t="str">
            <v>181997-72-8</v>
          </cell>
          <cell r="E3028">
            <v>181997728</v>
          </cell>
          <cell r="F3028">
            <v>2174</v>
          </cell>
          <cell r="G3028" t="str">
            <v>Reach_4186</v>
          </cell>
          <cell r="H3028">
            <v>3020</v>
          </cell>
          <cell r="J3028">
            <v>246.71</v>
          </cell>
          <cell r="K3028">
            <v>126.64</v>
          </cell>
          <cell r="L3028">
            <v>1.1957010000000002E-3</v>
          </cell>
          <cell r="M3028">
            <v>290.60000000000002</v>
          </cell>
          <cell r="N3028">
            <v>27.542287033381665</v>
          </cell>
          <cell r="O3028">
            <v>0</v>
          </cell>
          <cell r="Q3028">
            <v>0</v>
          </cell>
        </row>
        <row r="3029">
          <cell r="D3029" t="str">
            <v>183322-16-9</v>
          </cell>
          <cell r="E3029">
            <v>183322169</v>
          </cell>
          <cell r="F3029">
            <v>2184</v>
          </cell>
          <cell r="G3029" t="str">
            <v>Reach_4187</v>
          </cell>
          <cell r="H3029">
            <v>3021</v>
          </cell>
          <cell r="J3029">
            <v>298.33</v>
          </cell>
          <cell r="K3029">
            <v>122.55</v>
          </cell>
          <cell r="L3029">
            <v>8.1446300000000008E-4</v>
          </cell>
          <cell r="M3029">
            <v>194.71</v>
          </cell>
          <cell r="N3029">
            <v>26.302679918953825</v>
          </cell>
          <cell r="Q3029">
            <v>14</v>
          </cell>
        </row>
        <row r="3030">
          <cell r="D3030" t="str">
            <v>99817-37-5</v>
          </cell>
          <cell r="E3030">
            <v>99817375</v>
          </cell>
          <cell r="F3030">
            <v>4217</v>
          </cell>
          <cell r="G3030" t="str">
            <v>Reach_4882</v>
          </cell>
          <cell r="H3030">
            <v>3022</v>
          </cell>
          <cell r="J3030">
            <v>206.07</v>
          </cell>
          <cell r="K3030">
            <v>112.61</v>
          </cell>
          <cell r="L3030">
            <v>3.1458800000000002E-3</v>
          </cell>
          <cell r="M3030">
            <v>123.01</v>
          </cell>
          <cell r="N3030">
            <v>831.7637711026714</v>
          </cell>
          <cell r="Q3030">
            <v>14</v>
          </cell>
        </row>
        <row r="3031">
          <cell r="D3031" t="str">
            <v>23175-18-0</v>
          </cell>
          <cell r="E3031">
            <v>23175180</v>
          </cell>
          <cell r="F3031">
            <v>2346</v>
          </cell>
          <cell r="G3031" t="str">
            <v>Reach_4235</v>
          </cell>
          <cell r="H3031">
            <v>3023</v>
          </cell>
          <cell r="J3031">
            <v>271.36</v>
          </cell>
          <cell r="K3031">
            <v>152.91999999999999</v>
          </cell>
          <cell r="L3031">
            <v>1.6529200000000002E-7</v>
          </cell>
          <cell r="M3031">
            <v>3194.7</v>
          </cell>
          <cell r="N3031">
            <v>41.686938347033561</v>
          </cell>
          <cell r="O3031">
            <v>14.24</v>
          </cell>
          <cell r="Q3031">
            <v>14</v>
          </cell>
        </row>
        <row r="3032">
          <cell r="D3032" t="str">
            <v>213967-55-6</v>
          </cell>
          <cell r="E3032">
            <v>213967556</v>
          </cell>
          <cell r="F3032">
            <v>2293</v>
          </cell>
          <cell r="G3032" t="str">
            <v>Reach_4217</v>
          </cell>
          <cell r="H3032">
            <v>3024</v>
          </cell>
          <cell r="J3032">
            <v>380.86</v>
          </cell>
          <cell r="K3032">
            <v>207.83</v>
          </cell>
          <cell r="L3032">
            <v>7.62476E-8</v>
          </cell>
          <cell r="M3032">
            <v>0.95308000000000004</v>
          </cell>
          <cell r="N3032">
            <v>23.988329190194907</v>
          </cell>
          <cell r="O3032">
            <v>0</v>
          </cell>
          <cell r="Q3032">
            <v>0</v>
          </cell>
        </row>
        <row r="3033">
          <cell r="D3033" t="str">
            <v>3179-76-8</v>
          </cell>
          <cell r="E3033">
            <v>3179768</v>
          </cell>
          <cell r="F3033">
            <v>2637</v>
          </cell>
          <cell r="G3033" t="str">
            <v>Reach_1929</v>
          </cell>
          <cell r="H3033">
            <v>3025</v>
          </cell>
          <cell r="J3033">
            <v>191.35</v>
          </cell>
          <cell r="K3033">
            <v>28.38</v>
          </cell>
          <cell r="L3033">
            <v>15.7294</v>
          </cell>
          <cell r="M3033">
            <v>17012</v>
          </cell>
          <cell r="N3033">
            <v>12.022644346174133</v>
          </cell>
          <cell r="Q3033">
            <v>14</v>
          </cell>
        </row>
        <row r="3034">
          <cell r="D3034" t="str">
            <v>867-13-0</v>
          </cell>
          <cell r="E3034">
            <v>867130</v>
          </cell>
          <cell r="F3034">
            <v>3910</v>
          </cell>
          <cell r="G3034" t="str">
            <v>Reach_1572</v>
          </cell>
          <cell r="H3034">
            <v>3026</v>
          </cell>
          <cell r="J3034">
            <v>224.19</v>
          </cell>
          <cell r="K3034">
            <v>40.72</v>
          </cell>
          <cell r="L3034">
            <v>0.36124300000000004</v>
          </cell>
          <cell r="M3034">
            <v>7560000</v>
          </cell>
          <cell r="N3034">
            <v>16.982436524617448</v>
          </cell>
          <cell r="Q3034">
            <v>14</v>
          </cell>
        </row>
        <row r="3035">
          <cell r="D3035" t="str">
            <v>92671-67-5</v>
          </cell>
          <cell r="E3035">
            <v>92671675</v>
          </cell>
          <cell r="F3035">
            <v>4043</v>
          </cell>
          <cell r="G3035" t="str">
            <v>Reach_2996</v>
          </cell>
          <cell r="H3035">
            <v>3027</v>
          </cell>
          <cell r="J3035">
            <v>265.31</v>
          </cell>
          <cell r="K3035">
            <v>117.95</v>
          </cell>
          <cell r="L3035">
            <v>2.2127800000000001E-3</v>
          </cell>
          <cell r="M3035">
            <v>254.08</v>
          </cell>
          <cell r="N3035">
            <v>54.95408738576247</v>
          </cell>
          <cell r="Q3035">
            <v>14</v>
          </cell>
        </row>
        <row r="3036">
          <cell r="D3036" t="str">
            <v>32860-09-6</v>
          </cell>
          <cell r="E3036">
            <v>32860096</v>
          </cell>
          <cell r="F3036">
            <v>2664</v>
          </cell>
          <cell r="G3036" t="str">
            <v>Reach_5166</v>
          </cell>
          <cell r="H3036">
            <v>3028</v>
          </cell>
          <cell r="J3036">
            <v>248.33</v>
          </cell>
          <cell r="K3036">
            <v>171.99</v>
          </cell>
          <cell r="L3036">
            <v>2.7459800000000003E-7</v>
          </cell>
          <cell r="M3036">
            <v>280.12</v>
          </cell>
          <cell r="N3036">
            <v>43.651583224016612</v>
          </cell>
          <cell r="Q3036">
            <v>14</v>
          </cell>
        </row>
        <row r="3037">
          <cell r="D3037" t="str">
            <v>70223-33-5</v>
          </cell>
          <cell r="E3037">
            <v>70223335</v>
          </cell>
          <cell r="F3037">
            <v>3558</v>
          </cell>
          <cell r="G3037" t="str">
            <v>Reach_4408</v>
          </cell>
          <cell r="H3037">
            <v>3029</v>
          </cell>
          <cell r="J3037">
            <v>170.21</v>
          </cell>
          <cell r="K3037">
            <v>77.42</v>
          </cell>
          <cell r="L3037">
            <v>0.25060399999999999</v>
          </cell>
          <cell r="M3037">
            <v>18584</v>
          </cell>
          <cell r="N3037">
            <v>12.58925411794168</v>
          </cell>
          <cell r="O3037">
            <v>4.74</v>
          </cell>
          <cell r="P3037">
            <v>0</v>
          </cell>
          <cell r="Q3037">
            <v>4.74</v>
          </cell>
        </row>
        <row r="3038">
          <cell r="D3038" t="str">
            <v>120-20-7</v>
          </cell>
          <cell r="E3038">
            <v>120207</v>
          </cell>
          <cell r="F3038">
            <v>1706</v>
          </cell>
          <cell r="G3038" t="str">
            <v>Reach_991</v>
          </cell>
          <cell r="H3038">
            <v>3030</v>
          </cell>
          <cell r="J3038">
            <v>181.24</v>
          </cell>
          <cell r="K3038">
            <v>68.12</v>
          </cell>
          <cell r="L3038">
            <v>0.34791300000000003</v>
          </cell>
          <cell r="M3038">
            <v>3407.6</v>
          </cell>
          <cell r="N3038">
            <v>9.5499258602143584</v>
          </cell>
          <cell r="Q3038">
            <v>14</v>
          </cell>
        </row>
        <row r="3039">
          <cell r="D3039" t="str">
            <v>674773-12-7</v>
          </cell>
          <cell r="E3039">
            <v>674773127</v>
          </cell>
          <cell r="F3039">
            <v>3492</v>
          </cell>
          <cell r="G3039" t="str">
            <v>Reach_4395</v>
          </cell>
          <cell r="H3039">
            <v>3031</v>
          </cell>
          <cell r="J3039">
            <v>254.27</v>
          </cell>
          <cell r="K3039">
            <v>129.07</v>
          </cell>
          <cell r="L3039">
            <v>4.0123300000000003E-4</v>
          </cell>
          <cell r="M3039">
            <v>2064.5</v>
          </cell>
          <cell r="N3039">
            <v>8.3176377110267108</v>
          </cell>
          <cell r="P3039">
            <v>0</v>
          </cell>
          <cell r="Q3039">
            <v>14</v>
          </cell>
        </row>
        <row r="3040">
          <cell r="D3040" t="str">
            <v>1116495-86-3</v>
          </cell>
          <cell r="E3040">
            <v>1116495863</v>
          </cell>
          <cell r="F3040">
            <v>1552</v>
          </cell>
          <cell r="G3040" t="str">
            <v>Reach_4554</v>
          </cell>
          <cell r="H3040">
            <v>3032</v>
          </cell>
          <cell r="J3040">
            <v>255.28</v>
          </cell>
          <cell r="K3040">
            <v>227.79</v>
          </cell>
          <cell r="L3040">
            <v>3.6257600000000005E-9</v>
          </cell>
          <cell r="M3040">
            <v>15.093999999999999</v>
          </cell>
          <cell r="N3040">
            <v>3.3884415613920265</v>
          </cell>
          <cell r="O3040">
            <v>14.53</v>
          </cell>
          <cell r="P3040">
            <v>11.57</v>
          </cell>
          <cell r="Q3040">
            <v>2.4299999999999997</v>
          </cell>
        </row>
        <row r="3041">
          <cell r="D3041" t="str">
            <v>187666-88-2</v>
          </cell>
          <cell r="E3041">
            <v>187666882</v>
          </cell>
          <cell r="F3041">
            <v>2208</v>
          </cell>
          <cell r="G3041" t="str">
            <v>Reach_4904</v>
          </cell>
          <cell r="H3041">
            <v>3033</v>
          </cell>
          <cell r="J3041">
            <v>186.24</v>
          </cell>
          <cell r="K3041">
            <v>197.29</v>
          </cell>
          <cell r="L3041">
            <v>3.7457300000000003E-7</v>
          </cell>
          <cell r="M3041">
            <v>14261</v>
          </cell>
          <cell r="N3041">
            <v>3.3113112148259116</v>
          </cell>
          <cell r="O3041">
            <v>5.3</v>
          </cell>
          <cell r="P3041">
            <v>0</v>
          </cell>
          <cell r="Q3041">
            <v>5.3</v>
          </cell>
        </row>
        <row r="3042">
          <cell r="D3042" t="str">
            <v>2835-68-9</v>
          </cell>
          <cell r="E3042">
            <v>2835689</v>
          </cell>
          <cell r="F3042">
            <v>2527</v>
          </cell>
          <cell r="G3042" t="str">
            <v>Reach_1873</v>
          </cell>
          <cell r="H3042">
            <v>3034</v>
          </cell>
          <cell r="J3042">
            <v>136.16</v>
          </cell>
          <cell r="K3042">
            <v>118.63</v>
          </cell>
          <cell r="L3042">
            <v>7.0515700000000009E-4</v>
          </cell>
          <cell r="M3042">
            <v>4188</v>
          </cell>
          <cell r="N3042">
            <v>0.660693448007596</v>
          </cell>
          <cell r="Q3042">
            <v>14</v>
          </cell>
        </row>
        <row r="3043">
          <cell r="D3043" t="str">
            <v>26391-06-0</v>
          </cell>
          <cell r="E3043">
            <v>26391060</v>
          </cell>
          <cell r="F3043">
            <v>2467</v>
          </cell>
          <cell r="G3043" t="str">
            <v>Reach_4253</v>
          </cell>
          <cell r="H3043">
            <v>3035</v>
          </cell>
          <cell r="J3043">
            <v>140.19</v>
          </cell>
          <cell r="K3043">
            <v>60.61</v>
          </cell>
          <cell r="L3043">
            <v>0.47454800000000003</v>
          </cell>
          <cell r="M3043">
            <v>25972</v>
          </cell>
          <cell r="N3043">
            <v>5.6234132519034921</v>
          </cell>
          <cell r="Q3043">
            <v>14</v>
          </cell>
        </row>
        <row r="3044">
          <cell r="D3044" t="str">
            <v>438056-69-0</v>
          </cell>
          <cell r="E3044">
            <v>438056690</v>
          </cell>
          <cell r="F3044">
            <v>2917</v>
          </cell>
          <cell r="G3044" t="str">
            <v>Reach_4323</v>
          </cell>
          <cell r="H3044">
            <v>3036</v>
          </cell>
          <cell r="J3044">
            <v>192.22</v>
          </cell>
          <cell r="K3044">
            <v>139.18</v>
          </cell>
          <cell r="L3044">
            <v>4.0789800000000002E-4</v>
          </cell>
          <cell r="M3044">
            <v>15183</v>
          </cell>
          <cell r="N3044">
            <v>0.41686938347033536</v>
          </cell>
          <cell r="Q3044">
            <v>14</v>
          </cell>
        </row>
        <row r="3045">
          <cell r="D3045" t="str">
            <v>63661-82-5</v>
          </cell>
          <cell r="E3045">
            <v>63661825</v>
          </cell>
          <cell r="F3045">
            <v>3416</v>
          </cell>
          <cell r="G3045" t="str">
            <v>Reach_4675</v>
          </cell>
          <cell r="H3045">
            <v>3037</v>
          </cell>
          <cell r="J3045">
            <v>487.49</v>
          </cell>
          <cell r="K3045">
            <v>349.84</v>
          </cell>
          <cell r="L3045">
            <v>6.1451300000000005E-24</v>
          </cell>
          <cell r="M3045">
            <v>2.1100000000000001E-5</v>
          </cell>
          <cell r="N3045">
            <v>0.20892961308540392</v>
          </cell>
          <cell r="Q3045">
            <v>14</v>
          </cell>
        </row>
        <row r="3046">
          <cell r="D3046" t="str">
            <v>5351-04-2</v>
          </cell>
          <cell r="E3046">
            <v>5351042</v>
          </cell>
          <cell r="F3046">
            <v>1274</v>
          </cell>
          <cell r="G3046" t="str">
            <v>Reach_2102</v>
          </cell>
          <cell r="H3046">
            <v>3038</v>
          </cell>
          <cell r="J3046">
            <v>126.21</v>
          </cell>
          <cell r="K3046">
            <v>-0.39</v>
          </cell>
          <cell r="L3046">
            <v>36.657500000000006</v>
          </cell>
          <cell r="M3046">
            <v>45483</v>
          </cell>
          <cell r="N3046">
            <v>3.3884415613920265</v>
          </cell>
          <cell r="O3046">
            <v>0</v>
          </cell>
          <cell r="P3046">
            <v>6.4</v>
          </cell>
          <cell r="Q3046">
            <v>0</v>
          </cell>
        </row>
        <row r="3047">
          <cell r="D3047" t="str">
            <v>4866-00-6</v>
          </cell>
          <cell r="E3047">
            <v>4866006</v>
          </cell>
          <cell r="F3047">
            <v>2975</v>
          </cell>
          <cell r="G3047" t="str">
            <v>Reach_2065</v>
          </cell>
          <cell r="H3047">
            <v>3039</v>
          </cell>
          <cell r="J3047">
            <v>126.12</v>
          </cell>
          <cell r="K3047">
            <v>102.12</v>
          </cell>
          <cell r="L3047">
            <v>9.4643000000000005E-2</v>
          </cell>
          <cell r="M3047">
            <v>75864</v>
          </cell>
          <cell r="N3047">
            <v>0.18197008586099833</v>
          </cell>
          <cell r="Q3047">
            <v>14</v>
          </cell>
        </row>
        <row r="3048">
          <cell r="D3048" t="str">
            <v>17637-11-5</v>
          </cell>
          <cell r="E3048">
            <v>17637115</v>
          </cell>
          <cell r="F3048">
            <v>2146</v>
          </cell>
          <cell r="G3048" t="str">
            <v>Reach_2439</v>
          </cell>
          <cell r="H3048">
            <v>3040</v>
          </cell>
          <cell r="J3048">
            <v>490.37</v>
          </cell>
          <cell r="K3048">
            <v>273.29000000000002</v>
          </cell>
          <cell r="L3048">
            <v>9.1043900000000004E-16</v>
          </cell>
          <cell r="M3048">
            <v>1463.3</v>
          </cell>
          <cell r="N3048">
            <v>0.10232929922807538</v>
          </cell>
          <cell r="O3048">
            <v>0.91</v>
          </cell>
          <cell r="P3048">
            <v>0</v>
          </cell>
          <cell r="Q3048">
            <v>0.91</v>
          </cell>
        </row>
        <row r="3049">
          <cell r="D3049" t="str">
            <v>85390-93-8</v>
          </cell>
          <cell r="E3049">
            <v>85390938</v>
          </cell>
          <cell r="F3049">
            <v>3885</v>
          </cell>
          <cell r="G3049" t="str">
            <v>Reach_4471</v>
          </cell>
          <cell r="H3049">
            <v>3041</v>
          </cell>
          <cell r="J3049">
            <v>320.43</v>
          </cell>
          <cell r="K3049">
            <v>195.17</v>
          </cell>
          <cell r="L3049">
            <v>6.9449300000000007E-10</v>
          </cell>
          <cell r="M3049">
            <v>541.83000000000004</v>
          </cell>
          <cell r="N3049">
            <v>2.0417379446695296</v>
          </cell>
          <cell r="Q3049">
            <v>14</v>
          </cell>
        </row>
        <row r="3050">
          <cell r="D3050" t="str">
            <v>35410-28-7</v>
          </cell>
          <cell r="E3050">
            <v>35410287</v>
          </cell>
          <cell r="F3050">
            <v>2731</v>
          </cell>
          <cell r="G3050" t="str">
            <v>Reach_2689</v>
          </cell>
          <cell r="H3050">
            <v>3042</v>
          </cell>
          <cell r="J3050">
            <v>438.54</v>
          </cell>
          <cell r="K3050">
            <v>244.4</v>
          </cell>
          <cell r="L3050">
            <v>2.1861200000000003E-13</v>
          </cell>
          <cell r="M3050">
            <v>54.011000000000003</v>
          </cell>
          <cell r="N3050">
            <v>1.7378008287493756</v>
          </cell>
          <cell r="O3050">
            <v>13.43</v>
          </cell>
          <cell r="Q3050">
            <v>13.43</v>
          </cell>
        </row>
        <row r="3051">
          <cell r="D3051" t="str">
            <v>106483-59-4</v>
          </cell>
          <cell r="E3051">
            <v>106483594</v>
          </cell>
          <cell r="F3051">
            <v>1436</v>
          </cell>
          <cell r="G3051" t="str">
            <v>Reach_4074</v>
          </cell>
          <cell r="H3051">
            <v>3043</v>
          </cell>
          <cell r="J3051">
            <v>367.38</v>
          </cell>
          <cell r="K3051">
            <v>235.2</v>
          </cell>
          <cell r="L3051">
            <v>4.3722400000000008E-12</v>
          </cell>
          <cell r="M3051">
            <v>0.22045999999999999</v>
          </cell>
          <cell r="N3051">
            <v>1.4454397707459274</v>
          </cell>
          <cell r="O3051">
            <v>0.41</v>
          </cell>
          <cell r="Q3051">
            <v>0.41</v>
          </cell>
        </row>
        <row r="3052">
          <cell r="D3052" t="str">
            <v>36635-56-0</v>
          </cell>
          <cell r="E3052">
            <v>36635560</v>
          </cell>
          <cell r="F3052">
            <v>2772</v>
          </cell>
          <cell r="G3052" t="str">
            <v>Reach_4911</v>
          </cell>
          <cell r="H3052">
            <v>3044</v>
          </cell>
          <cell r="J3052">
            <v>213.26</v>
          </cell>
          <cell r="K3052">
            <v>163.71</v>
          </cell>
          <cell r="L3052">
            <v>3.97234E-5</v>
          </cell>
          <cell r="M3052">
            <v>1171.3</v>
          </cell>
          <cell r="N3052">
            <v>0.13489628825916533</v>
          </cell>
          <cell r="P3052">
            <v>0</v>
          </cell>
          <cell r="Q3052">
            <v>14</v>
          </cell>
        </row>
        <row r="3053">
          <cell r="D3053" t="str">
            <v>2398-81-4</v>
          </cell>
          <cell r="E3053">
            <v>2398814</v>
          </cell>
          <cell r="F3053">
            <v>2363</v>
          </cell>
          <cell r="G3053" t="str">
            <v>Reach_1793</v>
          </cell>
          <cell r="H3053">
            <v>3045</v>
          </cell>
          <cell r="J3053">
            <v>139.11000000000001</v>
          </cell>
          <cell r="K3053">
            <v>118.19</v>
          </cell>
          <cell r="L3053">
            <v>2.0394900000000001E-4</v>
          </cell>
          <cell r="M3053">
            <v>54368</v>
          </cell>
          <cell r="N3053">
            <v>3.548133892335753E-2</v>
          </cell>
          <cell r="Q3053">
            <v>14</v>
          </cell>
        </row>
        <row r="3054">
          <cell r="D3054" t="str">
            <v>17865-07-5</v>
          </cell>
          <cell r="E3054">
            <v>17865075</v>
          </cell>
          <cell r="F3054">
            <v>2155</v>
          </cell>
          <cell r="G3054" t="str">
            <v>Reach_2446</v>
          </cell>
          <cell r="H3054">
            <v>3046</v>
          </cell>
          <cell r="J3054">
            <v>248.31</v>
          </cell>
          <cell r="K3054">
            <v>-22.84</v>
          </cell>
          <cell r="L3054">
            <v>3.93235</v>
          </cell>
          <cell r="M3054">
            <v>1643.9</v>
          </cell>
          <cell r="N3054">
            <v>16.982436524617448</v>
          </cell>
          <cell r="Q3054">
            <v>14</v>
          </cell>
        </row>
        <row r="3055">
          <cell r="D3055" t="str">
            <v>32724-62-2</v>
          </cell>
          <cell r="E3055">
            <v>32724622</v>
          </cell>
          <cell r="F3055">
            <v>2660</v>
          </cell>
          <cell r="G3055" t="str">
            <v>Reach_2665</v>
          </cell>
          <cell r="H3055">
            <v>3047</v>
          </cell>
          <cell r="J3055">
            <v>530.71</v>
          </cell>
          <cell r="K3055">
            <v>301.95</v>
          </cell>
          <cell r="L3055">
            <v>3.0659000000000002E-14</v>
          </cell>
          <cell r="M3055">
            <v>9.5900000000000005E-8</v>
          </cell>
          <cell r="N3055">
            <v>6918309709189.377</v>
          </cell>
          <cell r="P3055">
            <v>14.37</v>
          </cell>
          <cell r="Q3055">
            <v>-0.36999999999999922</v>
          </cell>
        </row>
        <row r="3056">
          <cell r="D3056" t="str">
            <v>130-26-7</v>
          </cell>
          <cell r="E3056">
            <v>130267</v>
          </cell>
          <cell r="F3056">
            <v>1834</v>
          </cell>
          <cell r="G3056" t="str">
            <v>Reach_1118</v>
          </cell>
          <cell r="H3056">
            <v>3048</v>
          </cell>
          <cell r="J3056">
            <v>305.5</v>
          </cell>
          <cell r="K3056">
            <v>134.4</v>
          </cell>
          <cell r="L3056">
            <v>4.7854700000000008E-5</v>
          </cell>
          <cell r="M3056">
            <v>29.952999999999999</v>
          </cell>
          <cell r="N3056">
            <v>2951.2092266663899</v>
          </cell>
          <cell r="Q3056">
            <v>14</v>
          </cell>
        </row>
        <row r="3057">
          <cell r="D3057" t="str">
            <v>373-61-5</v>
          </cell>
          <cell r="E3057">
            <v>373615</v>
          </cell>
          <cell r="F3057">
            <v>5865</v>
          </cell>
          <cell r="G3057" t="str">
            <v>Reach_1260</v>
          </cell>
          <cell r="H3057">
            <v>3049</v>
          </cell>
          <cell r="J3057">
            <v>187.92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  <cell r="Q3057">
            <v>14</v>
          </cell>
        </row>
        <row r="3058">
          <cell r="D3058" t="str">
            <v>80-73-9</v>
          </cell>
          <cell r="E3058">
            <v>80739</v>
          </cell>
          <cell r="F3058">
            <v>3797</v>
          </cell>
          <cell r="G3058" t="str">
            <v>Reach_269</v>
          </cell>
          <cell r="H3058">
            <v>3050</v>
          </cell>
          <cell r="J3058">
            <v>114.15</v>
          </cell>
          <cell r="K3058">
            <v>18.37</v>
          </cell>
          <cell r="L3058">
            <v>16.662500000000001</v>
          </cell>
          <cell r="M3058">
            <v>94070</v>
          </cell>
          <cell r="N3058">
            <v>0.48977881936844614</v>
          </cell>
          <cell r="P3058">
            <v>13.9</v>
          </cell>
          <cell r="Q3058">
            <v>9.9999999999999645E-2</v>
          </cell>
        </row>
        <row r="3059">
          <cell r="D3059" t="str">
            <v>623-36-9</v>
          </cell>
          <cell r="E3059">
            <v>623369</v>
          </cell>
          <cell r="F3059">
            <v>3366</v>
          </cell>
          <cell r="G3059" t="str">
            <v>Reach_1449</v>
          </cell>
          <cell r="H3059">
            <v>3051</v>
          </cell>
          <cell r="J3059">
            <v>98.144999999999996</v>
          </cell>
          <cell r="K3059">
            <v>-64.41</v>
          </cell>
          <cell r="L3059">
            <v>994.41800000000012</v>
          </cell>
          <cell r="M3059">
            <v>13212</v>
          </cell>
          <cell r="N3059">
            <v>43.651583224016612</v>
          </cell>
          <cell r="Q3059">
            <v>14</v>
          </cell>
        </row>
        <row r="3060">
          <cell r="D3060" t="str">
            <v>134931-01-4</v>
          </cell>
          <cell r="E3060">
            <v>134931014</v>
          </cell>
          <cell r="F3060">
            <v>1884</v>
          </cell>
          <cell r="G3060" t="str">
            <v>Reach_4132</v>
          </cell>
          <cell r="H3060">
            <v>3052</v>
          </cell>
          <cell r="J3060">
            <v>748.95</v>
          </cell>
          <cell r="K3060">
            <v>349.84</v>
          </cell>
          <cell r="L3060">
            <v>1.79955E-26</v>
          </cell>
          <cell r="M3060">
            <v>0.10827000000000001</v>
          </cell>
          <cell r="N3060">
            <v>186.20871366628685</v>
          </cell>
          <cell r="O3060">
            <v>11.79</v>
          </cell>
          <cell r="Q3060">
            <v>11.79</v>
          </cell>
        </row>
        <row r="3061">
          <cell r="D3061" t="str">
            <v>18162-90-8</v>
          </cell>
          <cell r="E3061">
            <v>18162908</v>
          </cell>
          <cell r="F3061">
            <v>2170</v>
          </cell>
          <cell r="G3061" t="str">
            <v>Reach_4814</v>
          </cell>
          <cell r="H3061">
            <v>3053</v>
          </cell>
          <cell r="J3061">
            <v>162.26</v>
          </cell>
          <cell r="K3061">
            <v>-35.090000000000003</v>
          </cell>
          <cell r="L3061">
            <v>566.52500000000009</v>
          </cell>
          <cell r="M3061">
            <v>0</v>
          </cell>
          <cell r="N3061">
            <v>23.988329190194907</v>
          </cell>
          <cell r="O3061">
            <v>0</v>
          </cell>
          <cell r="Q3061">
            <v>0</v>
          </cell>
        </row>
        <row r="3062">
          <cell r="D3062" t="str">
            <v>93413-62-8</v>
          </cell>
          <cell r="E3062">
            <v>93413628</v>
          </cell>
          <cell r="F3062">
            <v>4069</v>
          </cell>
          <cell r="G3062" t="str">
            <v>Reach_4917</v>
          </cell>
          <cell r="H3062">
            <v>3054</v>
          </cell>
          <cell r="J3062">
            <v>263.38</v>
          </cell>
          <cell r="K3062">
            <v>140.12</v>
          </cell>
          <cell r="L3062">
            <v>9.1310500000000013E-6</v>
          </cell>
          <cell r="M3062">
            <v>6054.3</v>
          </cell>
          <cell r="N3062">
            <v>524.80746024977293</v>
          </cell>
          <cell r="Q3062">
            <v>14</v>
          </cell>
        </row>
        <row r="3063">
          <cell r="D3063" t="str">
            <v>106-70-7</v>
          </cell>
          <cell r="E3063">
            <v>106707</v>
          </cell>
          <cell r="F3063">
            <v>1444</v>
          </cell>
          <cell r="G3063" t="str">
            <v>Reach_677</v>
          </cell>
          <cell r="H3063">
            <v>3055</v>
          </cell>
          <cell r="J3063">
            <v>130.19</v>
          </cell>
          <cell r="K3063">
            <v>-44.6</v>
          </cell>
          <cell r="L3063">
            <v>546.53</v>
          </cell>
          <cell r="M3063">
            <v>1819.5</v>
          </cell>
          <cell r="N3063">
            <v>218.77616239495524</v>
          </cell>
          <cell r="Q3063">
            <v>14</v>
          </cell>
        </row>
        <row r="3064">
          <cell r="D3064" t="str">
            <v>70174-49-1</v>
          </cell>
          <cell r="E3064">
            <v>70174491</v>
          </cell>
          <cell r="F3064">
            <v>3556</v>
          </cell>
          <cell r="G3064" t="str">
            <v>Reach_4407</v>
          </cell>
          <cell r="H3064">
            <v>3056</v>
          </cell>
          <cell r="J3064">
            <v>152.19</v>
          </cell>
          <cell r="K3064">
            <v>33.590000000000003</v>
          </cell>
          <cell r="L3064">
            <v>2.4527200000000002</v>
          </cell>
          <cell r="M3064">
            <v>3709.3</v>
          </cell>
          <cell r="N3064">
            <v>41.686938347033561</v>
          </cell>
          <cell r="Q3064">
            <v>14</v>
          </cell>
        </row>
        <row r="3065">
          <cell r="D3065" t="str">
            <v>826-81-3</v>
          </cell>
          <cell r="E3065">
            <v>826813</v>
          </cell>
          <cell r="F3065">
            <v>3836</v>
          </cell>
          <cell r="G3065" t="str">
            <v>Reach_1558</v>
          </cell>
          <cell r="H3065">
            <v>3057</v>
          </cell>
          <cell r="J3065">
            <v>159.19</v>
          </cell>
          <cell r="K3065">
            <v>94.35</v>
          </cell>
          <cell r="L3065">
            <v>0.19728400000000001</v>
          </cell>
          <cell r="M3065">
            <v>2116.1999999999998</v>
          </cell>
          <cell r="N3065">
            <v>162.18100973589304</v>
          </cell>
          <cell r="Q3065">
            <v>14</v>
          </cell>
        </row>
        <row r="3066">
          <cell r="D3066" t="str">
            <v>95709-82-3</v>
          </cell>
          <cell r="E3066">
            <v>95709823</v>
          </cell>
          <cell r="F3066">
            <v>4129</v>
          </cell>
          <cell r="G3066" t="str">
            <v>Reach_4725</v>
          </cell>
          <cell r="H3066">
            <v>3058</v>
          </cell>
          <cell r="J3066">
            <v>331.59</v>
          </cell>
          <cell r="K3066">
            <v>218.2</v>
          </cell>
          <cell r="L3066">
            <v>1.93285E-9</v>
          </cell>
          <cell r="M3066">
            <v>0.33892</v>
          </cell>
          <cell r="N3066">
            <v>3467.3685045253224</v>
          </cell>
          <cell r="Q3066">
            <v>14</v>
          </cell>
        </row>
        <row r="3067">
          <cell r="D3067" t="str">
            <v>1123-25-7</v>
          </cell>
          <cell r="E3067">
            <v>1123257</v>
          </cell>
          <cell r="F3067">
            <v>1582</v>
          </cell>
          <cell r="G3067" t="str">
            <v>Reach_1661</v>
          </cell>
          <cell r="H3067">
            <v>3059</v>
          </cell>
          <cell r="J3067">
            <v>142.19999999999999</v>
          </cell>
          <cell r="K3067">
            <v>51.93</v>
          </cell>
          <cell r="L3067">
            <v>6.3850700000000007</v>
          </cell>
          <cell r="M3067">
            <v>1887.7</v>
          </cell>
          <cell r="N3067">
            <v>645.65422903465594</v>
          </cell>
          <cell r="O3067">
            <v>4.9000000000000004</v>
          </cell>
          <cell r="Q3067">
            <v>4.9000000000000004</v>
          </cell>
        </row>
        <row r="3068">
          <cell r="D3068" t="str">
            <v>39670-09-2</v>
          </cell>
          <cell r="E3068">
            <v>39670092</v>
          </cell>
          <cell r="F3068">
            <v>2846</v>
          </cell>
          <cell r="G3068" t="str">
            <v>Reach_2727</v>
          </cell>
          <cell r="H3068">
            <v>3060</v>
          </cell>
          <cell r="J3068">
            <v>246.3</v>
          </cell>
          <cell r="K3068">
            <v>51.29</v>
          </cell>
          <cell r="L3068">
            <v>0.215946</v>
          </cell>
          <cell r="M3068">
            <v>1241</v>
          </cell>
          <cell r="N3068">
            <v>8.709635899560805</v>
          </cell>
          <cell r="Q3068">
            <v>14</v>
          </cell>
        </row>
        <row r="3069">
          <cell r="D3069" t="str">
            <v>7159-96-8</v>
          </cell>
          <cell r="E3069">
            <v>7159968</v>
          </cell>
          <cell r="F3069">
            <v>3585</v>
          </cell>
          <cell r="G3069" t="str">
            <v>Reach_4414</v>
          </cell>
          <cell r="H3069">
            <v>3061</v>
          </cell>
          <cell r="J3069">
            <v>181.19</v>
          </cell>
          <cell r="K3069">
            <v>83.19</v>
          </cell>
          <cell r="L3069">
            <v>2.6660000000000003E-2</v>
          </cell>
          <cell r="M3069">
            <v>5703.6</v>
          </cell>
          <cell r="N3069">
            <v>25.703957827688647</v>
          </cell>
          <cell r="Q3069">
            <v>14</v>
          </cell>
        </row>
        <row r="3070">
          <cell r="D3070" t="str">
            <v>757-86-8</v>
          </cell>
          <cell r="E3070">
            <v>757868</v>
          </cell>
          <cell r="F3070">
            <v>3688</v>
          </cell>
          <cell r="G3070" t="str">
            <v>Reach_1528</v>
          </cell>
          <cell r="H3070">
            <v>3062</v>
          </cell>
          <cell r="J3070">
            <v>230.24</v>
          </cell>
          <cell r="K3070">
            <v>-20.96</v>
          </cell>
          <cell r="L3070">
            <v>0.71582100000000004</v>
          </cell>
          <cell r="M3070">
            <v>1211.5999999999999</v>
          </cell>
          <cell r="N3070">
            <v>22.387211385683404</v>
          </cell>
          <cell r="Q3070">
            <v>14</v>
          </cell>
        </row>
        <row r="3071">
          <cell r="D3071" t="str">
            <v>13051-49-5</v>
          </cell>
          <cell r="E3071">
            <v>13051495</v>
          </cell>
          <cell r="F3071">
            <v>1838</v>
          </cell>
          <cell r="G3071" t="str">
            <v>Reach_2321</v>
          </cell>
          <cell r="H3071">
            <v>3063</v>
          </cell>
          <cell r="J3071">
            <v>178.62</v>
          </cell>
          <cell r="K3071">
            <v>8.73</v>
          </cell>
          <cell r="L3071">
            <v>17.462300000000003</v>
          </cell>
          <cell r="M3071">
            <v>2094.6999999999998</v>
          </cell>
          <cell r="N3071">
            <v>2.9512092266663856</v>
          </cell>
          <cell r="O3071">
            <v>0</v>
          </cell>
          <cell r="P3071">
            <v>0</v>
          </cell>
          <cell r="Q3071">
            <v>0</v>
          </cell>
        </row>
        <row r="3072">
          <cell r="D3072" t="str">
            <v>4707-49-7</v>
          </cell>
          <cell r="E3072">
            <v>4707497</v>
          </cell>
          <cell r="F3072">
            <v>2961</v>
          </cell>
          <cell r="G3072" t="str">
            <v>Reach_4838</v>
          </cell>
          <cell r="H3072">
            <v>3064</v>
          </cell>
          <cell r="J3072">
            <v>168.15</v>
          </cell>
          <cell r="K3072">
            <v>138.61000000000001</v>
          </cell>
          <cell r="L3072">
            <v>1.0237440000000001E-4</v>
          </cell>
          <cell r="M3072">
            <v>15955</v>
          </cell>
          <cell r="N3072">
            <v>204.17379446695315</v>
          </cell>
          <cell r="Q3072">
            <v>14</v>
          </cell>
        </row>
        <row r="3073">
          <cell r="D3073" t="str">
            <v>134283-49-1</v>
          </cell>
          <cell r="E3073">
            <v>134283491</v>
          </cell>
          <cell r="F3073">
            <v>1877</v>
          </cell>
          <cell r="G3073" t="str">
            <v>Reach_4999</v>
          </cell>
          <cell r="H3073">
            <v>3065</v>
          </cell>
          <cell r="J3073">
            <v>167.16</v>
          </cell>
          <cell r="K3073">
            <v>96.33</v>
          </cell>
          <cell r="L3073">
            <v>7.7580600000000009E-4</v>
          </cell>
          <cell r="M3073">
            <v>20707</v>
          </cell>
          <cell r="N3073">
            <v>16.218100973589298</v>
          </cell>
          <cell r="P3073">
            <v>0</v>
          </cell>
          <cell r="Q3073">
            <v>14</v>
          </cell>
        </row>
        <row r="3074">
          <cell r="D3074" t="str">
            <v>135-62-6</v>
          </cell>
          <cell r="E3074">
            <v>135626</v>
          </cell>
          <cell r="F3074">
            <v>1894</v>
          </cell>
          <cell r="G3074" t="str">
            <v>Reach_1133</v>
          </cell>
          <cell r="H3074">
            <v>3066</v>
          </cell>
          <cell r="J3074">
            <v>293.32</v>
          </cell>
          <cell r="K3074">
            <v>216.28</v>
          </cell>
          <cell r="L3074">
            <v>2.6393400000000001E-9</v>
          </cell>
          <cell r="M3074">
            <v>12.590999999999999</v>
          </cell>
          <cell r="N3074">
            <v>9772.3722095581161</v>
          </cell>
          <cell r="O3074">
            <v>10.199999999999999</v>
          </cell>
          <cell r="Q3074">
            <v>10.199999999999999</v>
          </cell>
        </row>
        <row r="3075">
          <cell r="D3075" t="str">
            <v>22871-58-5</v>
          </cell>
          <cell r="E3075">
            <v>22871585</v>
          </cell>
          <cell r="F3075">
            <v>2340</v>
          </cell>
          <cell r="G3075" t="str">
            <v>Reach_4234</v>
          </cell>
          <cell r="H3075">
            <v>3067</v>
          </cell>
          <cell r="J3075">
            <v>601.89</v>
          </cell>
          <cell r="K3075">
            <v>274.64999999999998</v>
          </cell>
          <cell r="L3075">
            <v>3.1725400000000001E-15</v>
          </cell>
          <cell r="M3075">
            <v>0.16816</v>
          </cell>
          <cell r="N3075">
            <v>39.810717055349755</v>
          </cell>
          <cell r="Q3075">
            <v>14</v>
          </cell>
        </row>
        <row r="3076">
          <cell r="D3076" t="str">
            <v>1655-07-8</v>
          </cell>
          <cell r="E3076">
            <v>1655078</v>
          </cell>
          <cell r="F3076">
            <v>2100</v>
          </cell>
          <cell r="G3076" t="str">
            <v>Reach_1705</v>
          </cell>
          <cell r="H3076">
            <v>3068</v>
          </cell>
          <cell r="J3076">
            <v>170.21</v>
          </cell>
          <cell r="K3076">
            <v>34.83</v>
          </cell>
          <cell r="L3076">
            <v>2.5593599999999999</v>
          </cell>
          <cell r="M3076">
            <v>6491.3</v>
          </cell>
          <cell r="N3076">
            <v>12.022644346174133</v>
          </cell>
          <cell r="O3076">
            <v>13</v>
          </cell>
          <cell r="Q3076">
            <v>13</v>
          </cell>
        </row>
        <row r="3077">
          <cell r="D3077" t="str">
            <v>20485-39-6</v>
          </cell>
          <cell r="E3077">
            <v>20485396</v>
          </cell>
          <cell r="F3077">
            <v>2266</v>
          </cell>
          <cell r="G3077" t="str">
            <v>Reach_2494</v>
          </cell>
          <cell r="H3077">
            <v>3069</v>
          </cell>
          <cell r="J3077">
            <v>155.15</v>
          </cell>
          <cell r="K3077">
            <v>32</v>
          </cell>
          <cell r="L3077">
            <v>22.794300000000003</v>
          </cell>
          <cell r="M3077">
            <v>3855.5</v>
          </cell>
          <cell r="N3077">
            <v>6.9183097091893666</v>
          </cell>
          <cell r="O3077">
            <v>0</v>
          </cell>
          <cell r="P3077">
            <v>14.9</v>
          </cell>
          <cell r="Q3077">
            <v>-0.90000000000000036</v>
          </cell>
        </row>
        <row r="3078">
          <cell r="D3078" t="str">
            <v>13683-89-1</v>
          </cell>
          <cell r="E3078">
            <v>13683891</v>
          </cell>
          <cell r="F3078">
            <v>1902</v>
          </cell>
          <cell r="G3078" t="str">
            <v>Reach_2345</v>
          </cell>
          <cell r="H3078">
            <v>3070</v>
          </cell>
          <cell r="J3078">
            <v>167.16</v>
          </cell>
          <cell r="K3078">
            <v>73.7</v>
          </cell>
          <cell r="L3078">
            <v>7.9580100000000001E-2</v>
          </cell>
          <cell r="M3078">
            <v>12131</v>
          </cell>
          <cell r="N3078">
            <v>8.3176377110267108</v>
          </cell>
          <cell r="Q3078">
            <v>14</v>
          </cell>
        </row>
        <row r="3079">
          <cell r="D3079" t="str">
            <v>61516-73-2</v>
          </cell>
          <cell r="E3079">
            <v>61516732</v>
          </cell>
          <cell r="F3079">
            <v>3337</v>
          </cell>
          <cell r="G3079" t="str">
            <v>Reach_2850</v>
          </cell>
          <cell r="H3079">
            <v>3071</v>
          </cell>
          <cell r="J3079">
            <v>171.2</v>
          </cell>
          <cell r="K3079">
            <v>79.73</v>
          </cell>
          <cell r="L3079">
            <v>0.10970590000000001</v>
          </cell>
          <cell r="M3079">
            <v>53168</v>
          </cell>
          <cell r="N3079">
            <v>2.691534803926916</v>
          </cell>
          <cell r="P3079">
            <v>15.83</v>
          </cell>
          <cell r="Q3079">
            <v>-1.83</v>
          </cell>
        </row>
        <row r="3080">
          <cell r="D3080" t="str">
            <v>17927-72-9</v>
          </cell>
          <cell r="E3080">
            <v>17927729</v>
          </cell>
          <cell r="F3080">
            <v>5744</v>
          </cell>
          <cell r="G3080" t="str">
            <v>Reach_2447</v>
          </cell>
          <cell r="H3080">
            <v>3072</v>
          </cell>
          <cell r="J3080">
            <v>368.33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  <cell r="Q3080">
            <v>14</v>
          </cell>
        </row>
        <row r="3081">
          <cell r="D3081" t="str">
            <v>15458-48-7</v>
          </cell>
          <cell r="E3081">
            <v>15458487</v>
          </cell>
          <cell r="F3081">
            <v>2037</v>
          </cell>
          <cell r="G3081" t="str">
            <v>Reach_2388</v>
          </cell>
          <cell r="H3081">
            <v>3073</v>
          </cell>
          <cell r="J3081">
            <v>195.22</v>
          </cell>
          <cell r="K3081">
            <v>172.83</v>
          </cell>
          <cell r="L3081">
            <v>2.5060400000000004E-7</v>
          </cell>
          <cell r="M3081">
            <v>60444</v>
          </cell>
          <cell r="N3081">
            <v>0.33884415613920255</v>
          </cell>
          <cell r="O3081">
            <v>14.87</v>
          </cell>
          <cell r="P3081">
            <v>14.71</v>
          </cell>
          <cell r="Q3081">
            <v>-0.71000000000000085</v>
          </cell>
        </row>
        <row r="3082">
          <cell r="D3082" t="str">
            <v>72291-30-6</v>
          </cell>
          <cell r="E3082">
            <v>72291306</v>
          </cell>
          <cell r="F3082">
            <v>3601</v>
          </cell>
          <cell r="G3082" t="str">
            <v>Reach_4416</v>
          </cell>
          <cell r="H3082">
            <v>3074</v>
          </cell>
          <cell r="J3082">
            <v>127.14</v>
          </cell>
          <cell r="K3082">
            <v>-4.0599999999999996</v>
          </cell>
          <cell r="L3082">
            <v>74.781300000000016</v>
          </cell>
          <cell r="M3082">
            <v>45539</v>
          </cell>
          <cell r="N3082">
            <v>2.5118864315095806</v>
          </cell>
          <cell r="Q3082">
            <v>14</v>
          </cell>
        </row>
        <row r="3083">
          <cell r="D3083" t="str">
            <v>38109-77-2</v>
          </cell>
          <cell r="E3083">
            <v>38109772</v>
          </cell>
          <cell r="F3083">
            <v>2817</v>
          </cell>
          <cell r="G3083" t="str">
            <v>Reach_4304</v>
          </cell>
          <cell r="H3083">
            <v>3075</v>
          </cell>
          <cell r="J3083">
            <v>140.13999999999999</v>
          </cell>
          <cell r="K3083">
            <v>46.9</v>
          </cell>
          <cell r="L3083">
            <v>1.34633</v>
          </cell>
          <cell r="M3083">
            <v>752000</v>
          </cell>
          <cell r="N3083">
            <v>0.74131024130091738</v>
          </cell>
          <cell r="O3083">
            <v>0</v>
          </cell>
          <cell r="P3083">
            <v>7.96</v>
          </cell>
          <cell r="Q3083">
            <v>0</v>
          </cell>
        </row>
        <row r="3084">
          <cell r="D3084" t="str">
            <v>1067-33-0</v>
          </cell>
          <cell r="E3084">
            <v>1067330</v>
          </cell>
          <cell r="F3084">
            <v>199</v>
          </cell>
          <cell r="G3084" t="str">
            <v>Reach_1639</v>
          </cell>
          <cell r="H3084">
            <v>3076</v>
          </cell>
          <cell r="J3084">
            <v>351.01</v>
          </cell>
          <cell r="K3084">
            <v>55.25</v>
          </cell>
          <cell r="L3084">
            <v>0.40123300000000006</v>
          </cell>
          <cell r="M3084">
            <v>0</v>
          </cell>
          <cell r="N3084">
            <v>6.4565422903465572</v>
          </cell>
          <cell r="Q3084">
            <v>14</v>
          </cell>
        </row>
        <row r="3085">
          <cell r="D3085" t="str">
            <v>871-78-3</v>
          </cell>
          <cell r="E3085">
            <v>871783</v>
          </cell>
          <cell r="F3085">
            <v>3920</v>
          </cell>
          <cell r="G3085" t="str">
            <v>Reach_1577</v>
          </cell>
          <cell r="H3085">
            <v>3077</v>
          </cell>
          <cell r="J3085">
            <v>144.18</v>
          </cell>
          <cell r="K3085">
            <v>141.63999999999999</v>
          </cell>
          <cell r="L3085">
            <v>5.2786800000000002E-4</v>
          </cell>
          <cell r="M3085">
            <v>470000</v>
          </cell>
          <cell r="N3085">
            <v>1.8620871366628669E-2</v>
          </cell>
          <cell r="Q3085">
            <v>14</v>
          </cell>
        </row>
        <row r="3086">
          <cell r="D3086" t="str">
            <v>1215841-86-3</v>
          </cell>
          <cell r="E3086">
            <v>1215841863</v>
          </cell>
          <cell r="F3086">
            <v>1729</v>
          </cell>
          <cell r="G3086" t="str">
            <v>Reach_4945</v>
          </cell>
          <cell r="H3086">
            <v>3078</v>
          </cell>
          <cell r="J3086">
            <v>346.43</v>
          </cell>
          <cell r="K3086">
            <v>247.66</v>
          </cell>
          <cell r="L3086">
            <v>3.0925600000000004E-14</v>
          </cell>
          <cell r="M3086">
            <v>147000</v>
          </cell>
          <cell r="N3086">
            <v>8.1283051616409872E-4</v>
          </cell>
          <cell r="Q3086">
            <v>14</v>
          </cell>
        </row>
        <row r="3087">
          <cell r="D3087" t="str">
            <v>538-09-0</v>
          </cell>
          <cell r="E3087">
            <v>538090</v>
          </cell>
          <cell r="F3087">
            <v>3110</v>
          </cell>
          <cell r="G3087" t="str">
            <v>Reach_4841</v>
          </cell>
          <cell r="H3087">
            <v>3079</v>
          </cell>
          <cell r="J3087">
            <v>127.19</v>
          </cell>
          <cell r="K3087">
            <v>42.36</v>
          </cell>
          <cell r="L3087">
            <v>1.0104140000000001</v>
          </cell>
          <cell r="M3087">
            <v>17480</v>
          </cell>
          <cell r="N3087">
            <v>1.0715193052376064</v>
          </cell>
          <cell r="O3087">
            <v>15.12</v>
          </cell>
          <cell r="Q3087">
            <v>14</v>
          </cell>
        </row>
        <row r="3088">
          <cell r="D3088" t="str">
            <v>5763-44-0</v>
          </cell>
          <cell r="E3088">
            <v>5763440</v>
          </cell>
          <cell r="F3088">
            <v>3235</v>
          </cell>
          <cell r="G3088" t="str">
            <v>Reach_2134</v>
          </cell>
          <cell r="H3088">
            <v>3080</v>
          </cell>
          <cell r="J3088">
            <v>139.16</v>
          </cell>
          <cell r="K3088">
            <v>165.46</v>
          </cell>
          <cell r="L3088">
            <v>4.1722900000000007E-5</v>
          </cell>
          <cell r="M3088">
            <v>91022</v>
          </cell>
          <cell r="N3088">
            <v>1.0471285480508996</v>
          </cell>
          <cell r="P3088">
            <v>0</v>
          </cell>
          <cell r="Q3088">
            <v>14</v>
          </cell>
        </row>
        <row r="3089">
          <cell r="D3089" t="str">
            <v>3845-76-9</v>
          </cell>
          <cell r="E3089">
            <v>3845769</v>
          </cell>
          <cell r="F3089">
            <v>2822</v>
          </cell>
          <cell r="G3089" t="str">
            <v>Reach_1994</v>
          </cell>
          <cell r="H3089">
            <v>3081</v>
          </cell>
          <cell r="J3089">
            <v>156.22999999999999</v>
          </cell>
          <cell r="K3089">
            <v>81.97</v>
          </cell>
          <cell r="L3089">
            <v>9.4243099999999996E-2</v>
          </cell>
          <cell r="M3089">
            <v>22631</v>
          </cell>
          <cell r="N3089">
            <v>0.70794578438413791</v>
          </cell>
          <cell r="P3089">
            <v>4.8</v>
          </cell>
          <cell r="Q3089">
            <v>9.1999999999999993</v>
          </cell>
        </row>
        <row r="3090">
          <cell r="D3090" t="str">
            <v>1852-17-1</v>
          </cell>
          <cell r="E3090">
            <v>1852171</v>
          </cell>
          <cell r="F3090">
            <v>2196</v>
          </cell>
          <cell r="G3090" t="str">
            <v>Reach_1727</v>
          </cell>
          <cell r="H3090">
            <v>3082</v>
          </cell>
          <cell r="J3090">
            <v>100.12</v>
          </cell>
          <cell r="K3090">
            <v>46.42</v>
          </cell>
          <cell r="L3090">
            <v>1.7062400000000002E-2</v>
          </cell>
          <cell r="M3090">
            <v>26816</v>
          </cell>
          <cell r="N3090">
            <v>0.57543993733715693</v>
          </cell>
          <cell r="Q3090">
            <v>14</v>
          </cell>
        </row>
        <row r="3091">
          <cell r="D3091" t="str">
            <v>39118-50-8</v>
          </cell>
          <cell r="E3091">
            <v>39118508</v>
          </cell>
          <cell r="F3091">
            <v>2835</v>
          </cell>
          <cell r="G3091" t="str">
            <v>Reach_2723</v>
          </cell>
          <cell r="H3091">
            <v>3083</v>
          </cell>
          <cell r="J3091">
            <v>196.14</v>
          </cell>
          <cell r="K3091">
            <v>19.91</v>
          </cell>
          <cell r="L3091">
            <v>2.7859699999999998</v>
          </cell>
          <cell r="M3091">
            <v>55150</v>
          </cell>
          <cell r="N3091">
            <v>0.28183829312644532</v>
          </cell>
          <cell r="Q3091">
            <v>14</v>
          </cell>
        </row>
        <row r="3092">
          <cell r="D3092" t="str">
            <v>1830-54-2</v>
          </cell>
          <cell r="E3092">
            <v>1830542</v>
          </cell>
          <cell r="F3092">
            <v>2178</v>
          </cell>
          <cell r="G3092" t="str">
            <v>Reach_1723</v>
          </cell>
          <cell r="H3092">
            <v>3084</v>
          </cell>
          <cell r="J3092">
            <v>174.15</v>
          </cell>
          <cell r="K3092">
            <v>-46.62</v>
          </cell>
          <cell r="L3092">
            <v>35.457800000000006</v>
          </cell>
          <cell r="M3092">
            <v>82257</v>
          </cell>
          <cell r="N3092">
            <v>7.0794578438413788E-2</v>
          </cell>
          <cell r="Q3092">
            <v>14</v>
          </cell>
        </row>
        <row r="3093">
          <cell r="D3093" t="str">
            <v>19130-96-2</v>
          </cell>
          <cell r="E3093">
            <v>19130962</v>
          </cell>
          <cell r="F3093">
            <v>2222</v>
          </cell>
          <cell r="G3093" t="str">
            <v>Reach_4199</v>
          </cell>
          <cell r="H3093">
            <v>3085</v>
          </cell>
          <cell r="J3093">
            <v>163.16999999999999</v>
          </cell>
          <cell r="K3093">
            <v>129.16999999999999</v>
          </cell>
          <cell r="L3093">
            <v>7.1715400000000001E-6</v>
          </cell>
          <cell r="M3093">
            <v>884000</v>
          </cell>
          <cell r="N3093">
            <v>1.6982436524617425E-3</v>
          </cell>
          <cell r="Q3093">
            <v>14</v>
          </cell>
        </row>
        <row r="3094">
          <cell r="D3094" t="str">
            <v>22326-31-4</v>
          </cell>
          <cell r="E3094">
            <v>22326314</v>
          </cell>
          <cell r="F3094">
            <v>2329</v>
          </cell>
          <cell r="G3094" t="str">
            <v>Reach_2522</v>
          </cell>
          <cell r="H3094">
            <v>3086</v>
          </cell>
          <cell r="J3094">
            <v>246.19</v>
          </cell>
          <cell r="K3094">
            <v>205.85</v>
          </cell>
          <cell r="L3094">
            <v>8.3445800000000012E-10</v>
          </cell>
          <cell r="M3094">
            <v>32566</v>
          </cell>
          <cell r="N3094">
            <v>3.9810717055349727E-2</v>
          </cell>
          <cell r="P3094">
            <v>0</v>
          </cell>
          <cell r="Q3094">
            <v>14</v>
          </cell>
        </row>
        <row r="3095">
          <cell r="D3095" t="str">
            <v>178671-69-7</v>
          </cell>
          <cell r="E3095">
            <v>178671697</v>
          </cell>
          <cell r="F3095">
            <v>2156</v>
          </cell>
          <cell r="G3095" t="str">
            <v>Reach_4182</v>
          </cell>
          <cell r="H3095">
            <v>3087</v>
          </cell>
          <cell r="J3095">
            <v>404.34</v>
          </cell>
          <cell r="K3095">
            <v>233.65</v>
          </cell>
          <cell r="L3095">
            <v>5.3320000000000008E-10</v>
          </cell>
          <cell r="M3095">
            <v>2683.8</v>
          </cell>
          <cell r="N3095">
            <v>2.8840315031266042E-3</v>
          </cell>
          <cell r="O3095">
            <v>0</v>
          </cell>
          <cell r="Q3095">
            <v>0</v>
          </cell>
        </row>
        <row r="3096">
          <cell r="D3096" t="str">
            <v>2050-46-6</v>
          </cell>
          <cell r="E3096">
            <v>2050466</v>
          </cell>
          <cell r="F3096">
            <v>2269</v>
          </cell>
          <cell r="G3096" t="str">
            <v>Reach_1752</v>
          </cell>
          <cell r="H3096">
            <v>3088</v>
          </cell>
          <cell r="J3096">
            <v>166.22</v>
          </cell>
          <cell r="K3096">
            <v>16.97</v>
          </cell>
          <cell r="L3096">
            <v>11.490460000000001</v>
          </cell>
          <cell r="M3096">
            <v>981.46</v>
          </cell>
          <cell r="N3096">
            <v>416.86938347033572</v>
          </cell>
          <cell r="Q3096">
            <v>14</v>
          </cell>
        </row>
        <row r="3097">
          <cell r="D3097" t="str">
            <v>93981-14-7</v>
          </cell>
          <cell r="E3097">
            <v>93981147</v>
          </cell>
          <cell r="F3097">
            <v>6086</v>
          </cell>
          <cell r="G3097" t="str">
            <v>Reach_3005</v>
          </cell>
          <cell r="H3097">
            <v>3089</v>
          </cell>
          <cell r="J3097">
            <v>434.55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  <cell r="Q3097">
            <v>14</v>
          </cell>
        </row>
        <row r="3098">
          <cell r="D3098" t="str">
            <v>5413-60-5</v>
          </cell>
          <cell r="E3098">
            <v>5413605</v>
          </cell>
          <cell r="F3098">
            <v>3128</v>
          </cell>
          <cell r="G3098" t="str">
            <v>Reach_2106</v>
          </cell>
          <cell r="H3098">
            <v>3090</v>
          </cell>
          <cell r="J3098">
            <v>192.26</v>
          </cell>
          <cell r="K3098">
            <v>34.659999999999997</v>
          </cell>
          <cell r="L3098">
            <v>2.8392900000000001</v>
          </cell>
          <cell r="M3098">
            <v>1108.9000000000001</v>
          </cell>
          <cell r="N3098">
            <v>707.94578438413873</v>
          </cell>
          <cell r="Q3098">
            <v>14</v>
          </cell>
        </row>
        <row r="3099">
          <cell r="D3099" t="str">
            <v>68223-93-8</v>
          </cell>
          <cell r="E3099">
            <v>68223938</v>
          </cell>
          <cell r="F3099">
            <v>5995</v>
          </cell>
          <cell r="G3099" t="str">
            <v>Reach_2901</v>
          </cell>
          <cell r="H3099">
            <v>3091</v>
          </cell>
          <cell r="J3099">
            <v>216.28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  <cell r="Q3099">
            <v>14</v>
          </cell>
        </row>
        <row r="3100">
          <cell r="D3100" t="str">
            <v>19430-93-4</v>
          </cell>
          <cell r="E3100">
            <v>19430934</v>
          </cell>
          <cell r="F3100">
            <v>2231</v>
          </cell>
          <cell r="G3100" t="str">
            <v>Reach_2479</v>
          </cell>
          <cell r="H3100">
            <v>3092</v>
          </cell>
          <cell r="J3100">
            <v>246.07</v>
          </cell>
          <cell r="K3100">
            <v>-105.83</v>
          </cell>
          <cell r="L3100">
            <v>183954.00000000003</v>
          </cell>
          <cell r="M3100">
            <v>4.0674999999999999</v>
          </cell>
          <cell r="N3100">
            <v>25118.86431509586</v>
          </cell>
          <cell r="Q3100">
            <v>14</v>
          </cell>
        </row>
        <row r="3101">
          <cell r="D3101" t="str">
            <v>23202-81-5</v>
          </cell>
          <cell r="E3101">
            <v>23202815</v>
          </cell>
          <cell r="F3101">
            <v>2347</v>
          </cell>
          <cell r="G3101" t="str">
            <v>Reach_2528</v>
          </cell>
          <cell r="H3101">
            <v>3093</v>
          </cell>
          <cell r="J3101">
            <v>188.22</v>
          </cell>
          <cell r="K3101">
            <v>31.59</v>
          </cell>
          <cell r="L3101">
            <v>17.329000000000001</v>
          </cell>
          <cell r="M3101">
            <v>12133</v>
          </cell>
          <cell r="N3101">
            <v>2.9512092266663856</v>
          </cell>
          <cell r="Q3101">
            <v>14</v>
          </cell>
        </row>
        <row r="3102">
          <cell r="D3102" t="str">
            <v>83929-47-9</v>
          </cell>
          <cell r="E3102">
            <v>83929479</v>
          </cell>
          <cell r="F3102">
            <v>3853</v>
          </cell>
          <cell r="G3102" t="str">
            <v>Reach_2968</v>
          </cell>
          <cell r="H3102">
            <v>3094</v>
          </cell>
          <cell r="J3102">
            <v>369.16</v>
          </cell>
          <cell r="K3102">
            <v>222.38</v>
          </cell>
          <cell r="L3102">
            <v>8.3179200000000014E-9</v>
          </cell>
          <cell r="M3102">
            <v>0.11096</v>
          </cell>
          <cell r="N3102">
            <v>1202.2644346174138</v>
          </cell>
          <cell r="O3102">
            <v>12.65</v>
          </cell>
          <cell r="P3102">
            <v>0</v>
          </cell>
          <cell r="Q3102">
            <v>12.65</v>
          </cell>
        </row>
        <row r="3103">
          <cell r="D3103" t="str">
            <v>630113-05-2</v>
          </cell>
          <cell r="E3103">
            <v>630113052</v>
          </cell>
          <cell r="F3103">
            <v>5959</v>
          </cell>
          <cell r="G3103" t="str">
            <v>Reach_4743</v>
          </cell>
          <cell r="H3103">
            <v>3095</v>
          </cell>
          <cell r="J3103">
            <v>537.02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  <cell r="Q3103">
            <v>14</v>
          </cell>
        </row>
        <row r="3104">
          <cell r="D3104" t="str">
            <v>383412-05-3</v>
          </cell>
          <cell r="E3104">
            <v>383412053</v>
          </cell>
          <cell r="F3104">
            <v>2821</v>
          </cell>
          <cell r="G3104" t="str">
            <v>Reach_4852</v>
          </cell>
          <cell r="H3104">
            <v>3096</v>
          </cell>
          <cell r="J3104">
            <v>192.69</v>
          </cell>
          <cell r="K3104">
            <v>-1.73</v>
          </cell>
          <cell r="L3104">
            <v>9.8642000000000003</v>
          </cell>
          <cell r="M3104">
            <v>116.99</v>
          </cell>
          <cell r="N3104">
            <v>3162.2776601683804</v>
          </cell>
          <cell r="Q3104">
            <v>14</v>
          </cell>
        </row>
        <row r="3105">
          <cell r="D3105" t="str">
            <v>70833-40-8</v>
          </cell>
          <cell r="E3105">
            <v>70833408</v>
          </cell>
          <cell r="F3105">
            <v>3570</v>
          </cell>
          <cell r="G3105" t="str">
            <v>Reach_2921</v>
          </cell>
          <cell r="H3105">
            <v>3097</v>
          </cell>
          <cell r="J3105">
            <v>260.37</v>
          </cell>
          <cell r="K3105">
            <v>5.78</v>
          </cell>
          <cell r="L3105">
            <v>0.25860200000000005</v>
          </cell>
          <cell r="M3105">
            <v>1.3156000000000001</v>
          </cell>
          <cell r="N3105">
            <v>141253.75446227577</v>
          </cell>
          <cell r="Q3105">
            <v>14</v>
          </cell>
        </row>
        <row r="3106">
          <cell r="D3106" t="str">
            <v>3775-90-4</v>
          </cell>
          <cell r="E3106">
            <v>3775904</v>
          </cell>
          <cell r="F3106">
            <v>2806</v>
          </cell>
          <cell r="G3106" t="str">
            <v>Reach_1990</v>
          </cell>
          <cell r="H3106">
            <v>3098</v>
          </cell>
          <cell r="J3106">
            <v>185.27</v>
          </cell>
          <cell r="K3106">
            <v>13.11</v>
          </cell>
          <cell r="L3106">
            <v>16.7958</v>
          </cell>
          <cell r="M3106">
            <v>18715</v>
          </cell>
          <cell r="N3106">
            <v>131.82567385564084</v>
          </cell>
          <cell r="P3106">
            <v>4.4000000000000004</v>
          </cell>
          <cell r="Q3106">
            <v>9.6</v>
          </cell>
        </row>
        <row r="3107">
          <cell r="D3107" t="str">
            <v>15206-55-0</v>
          </cell>
          <cell r="E3107">
            <v>15206550</v>
          </cell>
          <cell r="F3107">
            <v>2020</v>
          </cell>
          <cell r="G3107" t="str">
            <v>Reach_2377</v>
          </cell>
          <cell r="H3107">
            <v>3099</v>
          </cell>
          <cell r="J3107">
            <v>164.16</v>
          </cell>
          <cell r="K3107">
            <v>34.9</v>
          </cell>
          <cell r="L3107">
            <v>2.6926600000000001</v>
          </cell>
          <cell r="M3107">
            <v>5027.7</v>
          </cell>
          <cell r="N3107">
            <v>30.902954325135919</v>
          </cell>
          <cell r="Q3107">
            <v>14</v>
          </cell>
        </row>
        <row r="3108">
          <cell r="D3108" t="str">
            <v>10563-29-8</v>
          </cell>
          <cell r="E3108">
            <v>10563298</v>
          </cell>
          <cell r="F3108">
            <v>1418</v>
          </cell>
          <cell r="G3108" t="str">
            <v>Reach_2298</v>
          </cell>
          <cell r="H3108">
            <v>3100</v>
          </cell>
          <cell r="J3108">
            <v>159.28</v>
          </cell>
          <cell r="K3108">
            <v>40.380000000000003</v>
          </cell>
          <cell r="L3108">
            <v>5.8118800000000004</v>
          </cell>
          <cell r="M3108">
            <v>1000000</v>
          </cell>
          <cell r="N3108">
            <v>0.33884415613920255</v>
          </cell>
          <cell r="P3108">
            <v>3.57</v>
          </cell>
          <cell r="Q3108">
            <v>10.43</v>
          </cell>
        </row>
        <row r="3109">
          <cell r="D3109" t="str">
            <v>22174-70-5</v>
          </cell>
          <cell r="E3109">
            <v>22174705</v>
          </cell>
          <cell r="F3109">
            <v>2322</v>
          </cell>
          <cell r="G3109" t="str">
            <v>Reach_2518</v>
          </cell>
          <cell r="H3109">
            <v>3101</v>
          </cell>
          <cell r="J3109">
            <v>272.47000000000003</v>
          </cell>
          <cell r="K3109">
            <v>33.17</v>
          </cell>
          <cell r="L3109">
            <v>0.305257</v>
          </cell>
          <cell r="M3109">
            <v>3.5396000000000001</v>
          </cell>
          <cell r="N3109">
            <v>3388441.5613920307</v>
          </cell>
          <cell r="O3109">
            <v>0</v>
          </cell>
          <cell r="P3109">
            <v>0</v>
          </cell>
          <cell r="Q3109">
            <v>0</v>
          </cell>
        </row>
        <row r="3110">
          <cell r="D3110" t="str">
            <v>542-08-5</v>
          </cell>
          <cell r="E3110">
            <v>542085</v>
          </cell>
          <cell r="F3110">
            <v>3135</v>
          </cell>
          <cell r="G3110" t="str">
            <v>Reach_1345</v>
          </cell>
          <cell r="H3110">
            <v>3102</v>
          </cell>
          <cell r="J3110">
            <v>144.16999999999999</v>
          </cell>
          <cell r="K3110">
            <v>-18.649999999999999</v>
          </cell>
          <cell r="L3110">
            <v>96.109300000000005</v>
          </cell>
          <cell r="M3110">
            <v>17413</v>
          </cell>
          <cell r="N3110">
            <v>1.62181009735893</v>
          </cell>
          <cell r="O3110">
            <v>10.6</v>
          </cell>
          <cell r="Q3110">
            <v>10.6</v>
          </cell>
        </row>
        <row r="3111">
          <cell r="D3111" t="str">
            <v>3148-73-0</v>
          </cell>
          <cell r="E3111">
            <v>3148730</v>
          </cell>
          <cell r="F3111">
            <v>2627</v>
          </cell>
          <cell r="G3111" t="str">
            <v>Reach_1921</v>
          </cell>
          <cell r="H3111">
            <v>3103</v>
          </cell>
          <cell r="J3111">
            <v>116.12</v>
          </cell>
          <cell r="K3111">
            <v>126.24</v>
          </cell>
          <cell r="L3111">
            <v>2.78597E-3</v>
          </cell>
          <cell r="M3111">
            <v>475000</v>
          </cell>
          <cell r="N3111">
            <v>2.6302679918953804E-2</v>
          </cell>
          <cell r="Q3111">
            <v>14</v>
          </cell>
        </row>
        <row r="3112">
          <cell r="D3112" t="str">
            <v>62037-80-3</v>
          </cell>
          <cell r="E3112">
            <v>62037803</v>
          </cell>
          <cell r="F3112">
            <v>5953</v>
          </cell>
          <cell r="G3112" t="str">
            <v>Reach_4817</v>
          </cell>
          <cell r="H3112">
            <v>3104</v>
          </cell>
          <cell r="J3112">
            <v>347.08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  <cell r="Q3112">
            <v>14</v>
          </cell>
        </row>
        <row r="3113">
          <cell r="D3113" t="str">
            <v>83-73-8</v>
          </cell>
          <cell r="E3113">
            <v>83738</v>
          </cell>
          <cell r="F3113">
            <v>3850</v>
          </cell>
          <cell r="G3113" t="str">
            <v>Reach_284</v>
          </cell>
          <cell r="H3113">
            <v>3105</v>
          </cell>
          <cell r="J3113">
            <v>396.95</v>
          </cell>
          <cell r="K3113">
            <v>154.16</v>
          </cell>
          <cell r="L3113">
            <v>3.3191700000000004E-6</v>
          </cell>
          <cell r="M3113">
            <v>5.4040999999999997</v>
          </cell>
          <cell r="N3113">
            <v>10000</v>
          </cell>
          <cell r="O3113">
            <v>7.7</v>
          </cell>
          <cell r="Q3113">
            <v>7.7</v>
          </cell>
        </row>
        <row r="3114">
          <cell r="D3114" t="str">
            <v>55514-22-2</v>
          </cell>
          <cell r="E3114">
            <v>55514222</v>
          </cell>
          <cell r="F3114">
            <v>3171</v>
          </cell>
          <cell r="G3114" t="str">
            <v>Reach_5002</v>
          </cell>
          <cell r="H3114">
            <v>3106</v>
          </cell>
          <cell r="J3114">
            <v>540.64</v>
          </cell>
          <cell r="K3114">
            <v>349.84</v>
          </cell>
          <cell r="L3114">
            <v>9.3576600000000009E-19</v>
          </cell>
          <cell r="M3114">
            <v>1.1999999999999999E-6</v>
          </cell>
          <cell r="N3114">
            <v>2630267.9918953842</v>
          </cell>
          <cell r="Q3114">
            <v>14</v>
          </cell>
        </row>
        <row r="3115">
          <cell r="D3115" t="str">
            <v>7328-22-5</v>
          </cell>
          <cell r="E3115">
            <v>7328225</v>
          </cell>
          <cell r="F3115">
            <v>3618</v>
          </cell>
          <cell r="G3115" t="str">
            <v>Reach_2238</v>
          </cell>
          <cell r="H3115">
            <v>3107</v>
          </cell>
          <cell r="J3115">
            <v>230.3</v>
          </cell>
          <cell r="K3115">
            <v>35.450000000000003</v>
          </cell>
          <cell r="L3115">
            <v>0.71048900000000004</v>
          </cell>
          <cell r="M3115">
            <v>1318.5</v>
          </cell>
          <cell r="N3115">
            <v>158.48931924611153</v>
          </cell>
          <cell r="Q3115">
            <v>14</v>
          </cell>
        </row>
        <row r="3116">
          <cell r="D3116" t="str">
            <v>24304-50-5</v>
          </cell>
          <cell r="E3116">
            <v>24304505</v>
          </cell>
          <cell r="F3116">
            <v>2385</v>
          </cell>
          <cell r="G3116" t="str">
            <v>Reach_2544</v>
          </cell>
          <cell r="H3116">
            <v>3108</v>
          </cell>
          <cell r="J3116">
            <v>304.35000000000002</v>
          </cell>
          <cell r="K3116">
            <v>231.44</v>
          </cell>
          <cell r="L3116">
            <v>2.0661500000000004E-9</v>
          </cell>
          <cell r="M3116">
            <v>1231.5999999999999</v>
          </cell>
          <cell r="N3116">
            <v>0.97723722095581067</v>
          </cell>
          <cell r="O3116">
            <v>10.4</v>
          </cell>
          <cell r="P3116">
            <v>13.1</v>
          </cell>
          <cell r="Q3116">
            <v>0.90000000000000036</v>
          </cell>
        </row>
        <row r="3117">
          <cell r="D3117" t="str">
            <v>1962-75-0</v>
          </cell>
          <cell r="E3117">
            <v>1962750</v>
          </cell>
          <cell r="F3117">
            <v>525</v>
          </cell>
          <cell r="G3117" t="str">
            <v>Reach_1740</v>
          </cell>
          <cell r="H3117">
            <v>3109</v>
          </cell>
          <cell r="J3117">
            <v>278.35000000000002</v>
          </cell>
          <cell r="K3117">
            <v>6.04</v>
          </cell>
          <cell r="L3117">
            <v>3.3991500000000008E-2</v>
          </cell>
          <cell r="M3117">
            <v>8.2177000000000007</v>
          </cell>
          <cell r="N3117">
            <v>40738.027780411358</v>
          </cell>
          <cell r="Q3117">
            <v>14</v>
          </cell>
        </row>
        <row r="3118">
          <cell r="D3118" t="str">
            <v>58-55-9</v>
          </cell>
          <cell r="E3118">
            <v>58559</v>
          </cell>
          <cell r="F3118">
            <v>730</v>
          </cell>
          <cell r="G3118" t="str">
            <v>Reach_47</v>
          </cell>
          <cell r="H3118">
            <v>3110</v>
          </cell>
          <cell r="J3118">
            <v>180.17</v>
          </cell>
          <cell r="K3118">
            <v>193.28</v>
          </cell>
          <cell r="L3118">
            <v>7.424810000000001E-8</v>
          </cell>
          <cell r="M3118">
            <v>93221</v>
          </cell>
          <cell r="N3118">
            <v>0.40738027780411268</v>
          </cell>
          <cell r="O3118">
            <v>8.6999999999999993</v>
          </cell>
          <cell r="P3118">
            <v>0</v>
          </cell>
          <cell r="Q3118">
            <v>8.6999999999999993</v>
          </cell>
        </row>
        <row r="3119">
          <cell r="D3119" t="str">
            <v>91-21-4</v>
          </cell>
          <cell r="E3119">
            <v>91214</v>
          </cell>
          <cell r="F3119">
            <v>4014</v>
          </cell>
          <cell r="G3119" t="str">
            <v>Reach_373</v>
          </cell>
          <cell r="H3119">
            <v>3111</v>
          </cell>
          <cell r="J3119">
            <v>133.19</v>
          </cell>
          <cell r="K3119">
            <v>41.67</v>
          </cell>
          <cell r="L3119">
            <v>9.14438</v>
          </cell>
          <cell r="M3119">
            <v>714.32</v>
          </cell>
          <cell r="N3119">
            <v>56.234132519034915</v>
          </cell>
          <cell r="P3119">
            <v>5.0999999999999996</v>
          </cell>
          <cell r="Q3119">
            <v>8.9</v>
          </cell>
        </row>
        <row r="3120">
          <cell r="D3120" t="str">
            <v>59673-82-4</v>
          </cell>
          <cell r="E3120">
            <v>59673824</v>
          </cell>
          <cell r="F3120">
            <v>3283</v>
          </cell>
          <cell r="G3120" t="str">
            <v>Reach_2839</v>
          </cell>
          <cell r="H3120">
            <v>3112</v>
          </cell>
          <cell r="J3120">
            <v>339.18</v>
          </cell>
          <cell r="K3120">
            <v>216.26</v>
          </cell>
          <cell r="L3120">
            <v>2.1194700000000003E-8</v>
          </cell>
          <cell r="M3120">
            <v>2.1753999999999998</v>
          </cell>
          <cell r="N3120">
            <v>18197.008586099837</v>
          </cell>
          <cell r="O3120">
            <v>13.61</v>
          </cell>
          <cell r="P3120">
            <v>12.4</v>
          </cell>
          <cell r="Q3120">
            <v>1.5999999999999996</v>
          </cell>
        </row>
        <row r="3121">
          <cell r="D3121" t="str">
            <v>31778-10-6</v>
          </cell>
          <cell r="E3121">
            <v>31778106</v>
          </cell>
          <cell r="F3121">
            <v>2634</v>
          </cell>
          <cell r="G3121" t="str">
            <v>Reach_2657</v>
          </cell>
          <cell r="H3121">
            <v>3113</v>
          </cell>
          <cell r="J3121">
            <v>523.54999999999995</v>
          </cell>
          <cell r="K3121">
            <v>349.84</v>
          </cell>
          <cell r="L3121">
            <v>1.95951E-19</v>
          </cell>
          <cell r="M3121">
            <v>1.7171E-3</v>
          </cell>
          <cell r="N3121">
            <v>64565422.903465554</v>
          </cell>
          <cell r="O3121">
            <v>9.4600000000000009</v>
          </cell>
          <cell r="P3121">
            <v>15.74</v>
          </cell>
          <cell r="Q3121">
            <v>-1.7400000000000002</v>
          </cell>
        </row>
        <row r="3122">
          <cell r="D3122" t="str">
            <v>23410-40-4</v>
          </cell>
          <cell r="E3122">
            <v>23410404</v>
          </cell>
          <cell r="F3122">
            <v>2351</v>
          </cell>
          <cell r="G3122" t="str">
            <v>Reach_2531</v>
          </cell>
          <cell r="H3122">
            <v>3114</v>
          </cell>
          <cell r="J3122">
            <v>220.39</v>
          </cell>
          <cell r="K3122">
            <v>55.91</v>
          </cell>
          <cell r="L3122">
            <v>1.0890610000000001</v>
          </cell>
          <cell r="M3122">
            <v>39727</v>
          </cell>
          <cell r="N3122">
            <v>1</v>
          </cell>
          <cell r="Q3122">
            <v>14</v>
          </cell>
        </row>
        <row r="3123">
          <cell r="D3123" t="str">
            <v>10411-92-4</v>
          </cell>
          <cell r="E3123">
            <v>10411924</v>
          </cell>
          <cell r="F3123">
            <v>1383</v>
          </cell>
          <cell r="G3123" t="str">
            <v>Reach_2290</v>
          </cell>
          <cell r="H3123">
            <v>3115</v>
          </cell>
          <cell r="J3123">
            <v>198.31</v>
          </cell>
          <cell r="K3123">
            <v>10.93</v>
          </cell>
          <cell r="L3123">
            <v>9.1310500000000019</v>
          </cell>
          <cell r="M3123">
            <v>0.43053999999999998</v>
          </cell>
          <cell r="N3123">
            <v>26302.679918953829</v>
          </cell>
          <cell r="Q3123">
            <v>14</v>
          </cell>
        </row>
        <row r="3124">
          <cell r="D3124" t="str">
            <v>41611-76-1</v>
          </cell>
          <cell r="E3124">
            <v>41611761</v>
          </cell>
          <cell r="F3124">
            <v>2881</v>
          </cell>
          <cell r="G3124" t="str">
            <v>Reach_2745</v>
          </cell>
          <cell r="H3124">
            <v>3116</v>
          </cell>
          <cell r="J3124">
            <v>474.61</v>
          </cell>
          <cell r="K3124">
            <v>280.27</v>
          </cell>
          <cell r="L3124">
            <v>9.8375400000000001E-13</v>
          </cell>
          <cell r="M3124">
            <v>5.3700000000000003E-6</v>
          </cell>
          <cell r="N3124">
            <v>57543993733.715706</v>
          </cell>
          <cell r="P3124">
            <v>14.37</v>
          </cell>
          <cell r="Q3124">
            <v>-0.36999999999999922</v>
          </cell>
        </row>
        <row r="3125">
          <cell r="D3125" t="str">
            <v>107-87-9</v>
          </cell>
          <cell r="E3125">
            <v>107879</v>
          </cell>
          <cell r="F3125">
            <v>223</v>
          </cell>
          <cell r="G3125" t="str">
            <v>Reach_717</v>
          </cell>
          <cell r="H3125">
            <v>3117</v>
          </cell>
          <cell r="J3125">
            <v>86.134</v>
          </cell>
          <cell r="K3125">
            <v>-67.650000000000006</v>
          </cell>
          <cell r="L3125">
            <v>5252.02</v>
          </cell>
          <cell r="M3125">
            <v>22979</v>
          </cell>
          <cell r="N3125">
            <v>5.6234132519034921</v>
          </cell>
          <cell r="Q3125">
            <v>14</v>
          </cell>
        </row>
        <row r="3126">
          <cell r="D3126" t="str">
            <v>6992-11-6</v>
          </cell>
          <cell r="E3126">
            <v>6992116</v>
          </cell>
          <cell r="F3126">
            <v>1287</v>
          </cell>
          <cell r="G3126" t="str">
            <v>Reach_2217</v>
          </cell>
          <cell r="H3126">
            <v>3118</v>
          </cell>
          <cell r="J3126">
            <v>492.33</v>
          </cell>
          <cell r="K3126">
            <v>332.1</v>
          </cell>
          <cell r="L3126">
            <v>8.0513200000000007E-18</v>
          </cell>
          <cell r="M3126">
            <v>1.1983E-3</v>
          </cell>
          <cell r="N3126">
            <v>61659500.186148226</v>
          </cell>
          <cell r="O3126">
            <v>9.27</v>
          </cell>
          <cell r="P3126">
            <v>15.74</v>
          </cell>
          <cell r="Q3126">
            <v>-1.7400000000000002</v>
          </cell>
        </row>
        <row r="3127">
          <cell r="D3127" t="str">
            <v>561-41-1</v>
          </cell>
          <cell r="E3127">
            <v>561411</v>
          </cell>
          <cell r="F3127">
            <v>3187</v>
          </cell>
          <cell r="G3127" t="str">
            <v>Reach_1373</v>
          </cell>
          <cell r="H3127">
            <v>3119</v>
          </cell>
          <cell r="J3127">
            <v>375.52</v>
          </cell>
          <cell r="K3127">
            <v>208.56</v>
          </cell>
          <cell r="L3127">
            <v>5.1587100000000011E-10</v>
          </cell>
          <cell r="M3127">
            <v>0.49384</v>
          </cell>
          <cell r="N3127">
            <v>23442.288153199243</v>
          </cell>
          <cell r="P3127">
            <v>7.74</v>
          </cell>
          <cell r="Q3127">
            <v>6.26</v>
          </cell>
        </row>
        <row r="3128">
          <cell r="D3128" t="str">
            <v>166524-64-7</v>
          </cell>
          <cell r="E3128">
            <v>166524647</v>
          </cell>
          <cell r="F3128">
            <v>2104</v>
          </cell>
          <cell r="G3128" t="str">
            <v>Reach_4174</v>
          </cell>
          <cell r="H3128">
            <v>3120</v>
          </cell>
          <cell r="J3128">
            <v>158.13999999999999</v>
          </cell>
          <cell r="K3128">
            <v>81.81</v>
          </cell>
          <cell r="L3128">
            <v>0.90244100000000005</v>
          </cell>
          <cell r="M3128">
            <v>74951</v>
          </cell>
          <cell r="N3128">
            <v>0.83176377110267097</v>
          </cell>
          <cell r="P3128">
            <v>13.16</v>
          </cell>
          <cell r="Q3128">
            <v>0.83999999999999986</v>
          </cell>
        </row>
        <row r="3129">
          <cell r="D3129" t="str">
            <v>622-29-7</v>
          </cell>
          <cell r="E3129">
            <v>622297</v>
          </cell>
          <cell r="F3129">
            <v>3364</v>
          </cell>
          <cell r="G3129" t="str">
            <v>Reach_1444</v>
          </cell>
          <cell r="H3129">
            <v>3121</v>
          </cell>
          <cell r="J3129">
            <v>119.17</v>
          </cell>
          <cell r="K3129">
            <v>-39.14</v>
          </cell>
          <cell r="L3129">
            <v>100.9081</v>
          </cell>
          <cell r="M3129">
            <v>1387.9</v>
          </cell>
          <cell r="N3129">
            <v>50.118723362727238</v>
          </cell>
          <cell r="P3129">
            <v>7.9</v>
          </cell>
          <cell r="Q3129">
            <v>6.1</v>
          </cell>
        </row>
        <row r="3130">
          <cell r="D3130" t="str">
            <v>103-45-7</v>
          </cell>
          <cell r="E3130">
            <v>103457</v>
          </cell>
          <cell r="F3130">
            <v>1367</v>
          </cell>
          <cell r="G3130" t="str">
            <v>Reach_606</v>
          </cell>
          <cell r="H3130">
            <v>3122</v>
          </cell>
          <cell r="J3130">
            <v>164.2</v>
          </cell>
          <cell r="K3130">
            <v>10.6</v>
          </cell>
          <cell r="L3130">
            <v>9.1043900000000004</v>
          </cell>
          <cell r="M3130">
            <v>1266</v>
          </cell>
          <cell r="N3130">
            <v>371.53522909717265</v>
          </cell>
          <cell r="Q3130">
            <v>14</v>
          </cell>
        </row>
        <row r="3131">
          <cell r="D3131" t="str">
            <v>106-58-1</v>
          </cell>
          <cell r="E3131">
            <v>106581</v>
          </cell>
          <cell r="F3131">
            <v>1439</v>
          </cell>
          <cell r="G3131" t="str">
            <v>Reach_674</v>
          </cell>
          <cell r="H3131">
            <v>3123</v>
          </cell>
          <cell r="J3131">
            <v>114.19</v>
          </cell>
          <cell r="K3131">
            <v>5.37</v>
          </cell>
          <cell r="L3131">
            <v>1275.681</v>
          </cell>
          <cell r="M3131">
            <v>920000</v>
          </cell>
          <cell r="N3131">
            <v>0.41686938347033536</v>
          </cell>
          <cell r="P3131">
            <v>5.9</v>
          </cell>
          <cell r="Q3131">
            <v>8.1</v>
          </cell>
        </row>
        <row r="3132">
          <cell r="D3132" t="str">
            <v>35265-04-4</v>
          </cell>
          <cell r="E3132">
            <v>35265044</v>
          </cell>
          <cell r="F3132">
            <v>2726</v>
          </cell>
          <cell r="G3132" t="str">
            <v>Reach_2687</v>
          </cell>
          <cell r="H3132">
            <v>3124</v>
          </cell>
          <cell r="J3132">
            <v>117.19</v>
          </cell>
          <cell r="K3132">
            <v>-11.22</v>
          </cell>
          <cell r="L3132">
            <v>22.927600000000002</v>
          </cell>
          <cell r="M3132">
            <v>429000</v>
          </cell>
          <cell r="N3132">
            <v>1.778279410038923</v>
          </cell>
          <cell r="O3132">
            <v>15.03</v>
          </cell>
          <cell r="P3132">
            <v>3.9</v>
          </cell>
          <cell r="Q3132">
            <v>10.1</v>
          </cell>
        </row>
        <row r="3133">
          <cell r="D3133" t="str">
            <v>120-46-7</v>
          </cell>
          <cell r="E3133">
            <v>120467</v>
          </cell>
          <cell r="F3133">
            <v>1712</v>
          </cell>
          <cell r="G3133" t="str">
            <v>Reach_994</v>
          </cell>
          <cell r="H3133">
            <v>3125</v>
          </cell>
          <cell r="J3133">
            <v>224.26</v>
          </cell>
          <cell r="K3133">
            <v>106.89</v>
          </cell>
          <cell r="L3133">
            <v>6.2784300000000006E-3</v>
          </cell>
          <cell r="M3133">
            <v>134.19</v>
          </cell>
          <cell r="N3133">
            <v>323.59365692962825</v>
          </cell>
          <cell r="O3133">
            <v>8.3000000000000007</v>
          </cell>
          <cell r="Q3133">
            <v>8.3000000000000007</v>
          </cell>
        </row>
        <row r="3134">
          <cell r="D3134" t="str">
            <v>17526-94-2</v>
          </cell>
          <cell r="E3134">
            <v>17526942</v>
          </cell>
          <cell r="F3134">
            <v>2141</v>
          </cell>
          <cell r="G3134" t="str">
            <v>Reach_2435</v>
          </cell>
          <cell r="H3134">
            <v>3126</v>
          </cell>
          <cell r="J3134">
            <v>264.33</v>
          </cell>
          <cell r="K3134">
            <v>193</v>
          </cell>
          <cell r="L3134">
            <v>7.1182200000000009E-7</v>
          </cell>
          <cell r="M3134">
            <v>2646.9</v>
          </cell>
          <cell r="N3134">
            <v>5.8884365535558905</v>
          </cell>
          <cell r="O3134">
            <v>13.84</v>
          </cell>
          <cell r="P3134">
            <v>14.11</v>
          </cell>
          <cell r="Q3134">
            <v>-0.10999999999999943</v>
          </cell>
        </row>
        <row r="3135">
          <cell r="D3135" t="str">
            <v>23779-32-0</v>
          </cell>
          <cell r="E3135">
            <v>23779320</v>
          </cell>
          <cell r="F3135">
            <v>2358</v>
          </cell>
          <cell r="G3135" t="str">
            <v>Reach_2534</v>
          </cell>
          <cell r="H3135">
            <v>3127</v>
          </cell>
          <cell r="J3135">
            <v>264.39999999999998</v>
          </cell>
          <cell r="K3135">
            <v>129.57</v>
          </cell>
          <cell r="L3135">
            <v>1.2623510000000003E-3</v>
          </cell>
          <cell r="M3135">
            <v>3665.3</v>
          </cell>
          <cell r="N3135">
            <v>0.72443596007499</v>
          </cell>
          <cell r="O3135">
            <v>14.07</v>
          </cell>
          <cell r="P3135">
            <v>14.08</v>
          </cell>
          <cell r="Q3135">
            <v>-8.0000000000000071E-2</v>
          </cell>
        </row>
        <row r="3136">
          <cell r="D3136" t="str">
            <v>221615-75-4</v>
          </cell>
          <cell r="E3136">
            <v>221615754</v>
          </cell>
          <cell r="F3136">
            <v>2321</v>
          </cell>
          <cell r="G3136" t="str">
            <v>Reach_4227</v>
          </cell>
          <cell r="H3136">
            <v>3128</v>
          </cell>
          <cell r="J3136">
            <v>289.35000000000002</v>
          </cell>
          <cell r="K3136">
            <v>175.7</v>
          </cell>
          <cell r="L3136">
            <v>6.4917100000000007E-6</v>
          </cell>
          <cell r="M3136">
            <v>201.58</v>
          </cell>
          <cell r="N3136">
            <v>20.4173794466953</v>
          </cell>
          <cell r="Q3136">
            <v>14</v>
          </cell>
        </row>
        <row r="3137">
          <cell r="D3137" t="str">
            <v>138-24-9</v>
          </cell>
          <cell r="E3137">
            <v>138249</v>
          </cell>
          <cell r="F3137">
            <v>5684</v>
          </cell>
          <cell r="G3137" t="str">
            <v>Reach_1140</v>
          </cell>
          <cell r="H3137">
            <v>3129</v>
          </cell>
          <cell r="J3137">
            <v>171.67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  <cell r="Q3137">
            <v>14</v>
          </cell>
        </row>
        <row r="3138">
          <cell r="D3138" t="str">
            <v>17527-29-6</v>
          </cell>
          <cell r="E3138">
            <v>17527296</v>
          </cell>
          <cell r="F3138">
            <v>2142</v>
          </cell>
          <cell r="G3138" t="str">
            <v>Reach_2436</v>
          </cell>
          <cell r="H3138">
            <v>3130</v>
          </cell>
          <cell r="J3138">
            <v>418.15</v>
          </cell>
          <cell r="K3138">
            <v>-7.59</v>
          </cell>
          <cell r="L3138">
            <v>290.59400000000005</v>
          </cell>
          <cell r="M3138">
            <v>0.32779000000000003</v>
          </cell>
          <cell r="N3138">
            <v>588843.65535558888</v>
          </cell>
          <cell r="Q3138">
            <v>14</v>
          </cell>
        </row>
        <row r="3139">
          <cell r="D3139" t="str">
            <v>68259-05-2</v>
          </cell>
          <cell r="E3139">
            <v>68259052</v>
          </cell>
          <cell r="F3139">
            <v>3513</v>
          </cell>
          <cell r="G3139" t="str">
            <v>Reach_2903</v>
          </cell>
          <cell r="H3139">
            <v>3131</v>
          </cell>
          <cell r="J3139">
            <v>925.83</v>
          </cell>
          <cell r="K3139">
            <v>349.84</v>
          </cell>
          <cell r="L3139">
            <v>1.090394E-34</v>
          </cell>
          <cell r="M3139">
            <v>6.2199999999999997E-12</v>
          </cell>
          <cell r="N3139">
            <v>645654229034660.5</v>
          </cell>
          <cell r="O3139">
            <v>9.19</v>
          </cell>
          <cell r="Q3139">
            <v>9.19</v>
          </cell>
        </row>
        <row r="3140">
          <cell r="D3140" t="str">
            <v>5895-82-9</v>
          </cell>
          <cell r="E3140">
            <v>5895829</v>
          </cell>
          <cell r="F3140">
            <v>3263</v>
          </cell>
          <cell r="G3140" t="str">
            <v>Reach_4819</v>
          </cell>
          <cell r="H3140">
            <v>3132</v>
          </cell>
          <cell r="J3140">
            <v>176.36</v>
          </cell>
          <cell r="K3140">
            <v>5.13</v>
          </cell>
          <cell r="L3140">
            <v>3052.57</v>
          </cell>
          <cell r="M3140">
            <v>0</v>
          </cell>
          <cell r="N3140">
            <v>177.82794100389242</v>
          </cell>
          <cell r="Q3140">
            <v>14</v>
          </cell>
        </row>
        <row r="3141">
          <cell r="D3141" t="str">
            <v>97-61-0</v>
          </cell>
          <cell r="E3141">
            <v>97610</v>
          </cell>
          <cell r="F3141">
            <v>1058</v>
          </cell>
          <cell r="G3141" t="str">
            <v>Reach_482</v>
          </cell>
          <cell r="H3141">
            <v>3133</v>
          </cell>
          <cell r="J3141">
            <v>116.16</v>
          </cell>
          <cell r="K3141">
            <v>15.24</v>
          </cell>
          <cell r="L3141">
            <v>57.185700000000004</v>
          </cell>
          <cell r="M3141">
            <v>29370</v>
          </cell>
          <cell r="N3141">
            <v>95.499258602143655</v>
          </cell>
          <cell r="Q3141">
            <v>14</v>
          </cell>
        </row>
        <row r="3142">
          <cell r="D3142" t="str">
            <v>166524-74-9</v>
          </cell>
          <cell r="E3142">
            <v>166524749</v>
          </cell>
          <cell r="F3142">
            <v>2107</v>
          </cell>
          <cell r="G3142" t="str">
            <v>Reach_4175</v>
          </cell>
          <cell r="H3142">
            <v>3134</v>
          </cell>
          <cell r="J3142">
            <v>400.4</v>
          </cell>
          <cell r="K3142">
            <v>222.34</v>
          </cell>
          <cell r="L3142">
            <v>8.3712400000000014E-9</v>
          </cell>
          <cell r="M3142">
            <v>7.8527E-2</v>
          </cell>
          <cell r="N3142">
            <v>316.22776601683825</v>
          </cell>
          <cell r="P3142">
            <v>12.47</v>
          </cell>
          <cell r="Q3142">
            <v>1.5299999999999994</v>
          </cell>
        </row>
        <row r="3143">
          <cell r="D3143" t="str">
            <v>50675-18-8</v>
          </cell>
          <cell r="E3143">
            <v>50675188</v>
          </cell>
          <cell r="F3143">
            <v>3015</v>
          </cell>
          <cell r="G3143" t="str">
            <v>Reach_4732</v>
          </cell>
          <cell r="H3143">
            <v>3135</v>
          </cell>
          <cell r="J3143">
            <v>114.14</v>
          </cell>
          <cell r="K3143">
            <v>-27.13</v>
          </cell>
          <cell r="L3143">
            <v>209.28100000000003</v>
          </cell>
          <cell r="M3143">
            <v>281000</v>
          </cell>
          <cell r="N3143">
            <v>2.2908676527677732</v>
          </cell>
          <cell r="Q3143">
            <v>14</v>
          </cell>
        </row>
        <row r="3144">
          <cell r="D3144" t="str">
            <v>515-84-4</v>
          </cell>
          <cell r="E3144">
            <v>515844</v>
          </cell>
          <cell r="F3144">
            <v>3042</v>
          </cell>
          <cell r="G3144" t="str">
            <v>Reach_1320</v>
          </cell>
          <cell r="H3144">
            <v>3136</v>
          </cell>
          <cell r="J3144">
            <v>191.44</v>
          </cell>
          <cell r="K3144">
            <v>-10.55</v>
          </cell>
          <cell r="L3144">
            <v>234.60800000000003</v>
          </cell>
          <cell r="M3144">
            <v>1150.5999999999999</v>
          </cell>
          <cell r="N3144">
            <v>165.95869074375622</v>
          </cell>
          <cell r="Q3144">
            <v>14</v>
          </cell>
        </row>
        <row r="3145">
          <cell r="D3145" t="str">
            <v>76811-98-8</v>
          </cell>
          <cell r="E3145">
            <v>76811988</v>
          </cell>
          <cell r="F3145">
            <v>3724</v>
          </cell>
          <cell r="G3145" t="str">
            <v>Reach_4437</v>
          </cell>
          <cell r="H3145">
            <v>3137</v>
          </cell>
          <cell r="J3145">
            <v>499.65</v>
          </cell>
          <cell r="K3145">
            <v>338.66</v>
          </cell>
          <cell r="L3145">
            <v>9.4376399999999999E-19</v>
          </cell>
          <cell r="M3145">
            <v>3.2323999999999999E-2</v>
          </cell>
          <cell r="N3145">
            <v>389.04514499428063</v>
          </cell>
          <cell r="O3145">
            <v>3.99</v>
          </cell>
          <cell r="P3145">
            <v>4.9000000000000004</v>
          </cell>
          <cell r="Q3145">
            <v>3.99</v>
          </cell>
        </row>
        <row r="3146">
          <cell r="D3146" t="str">
            <v>41272-40-6</v>
          </cell>
          <cell r="E3146">
            <v>41272406</v>
          </cell>
          <cell r="F3146">
            <v>5879</v>
          </cell>
          <cell r="G3146" t="str">
            <v>Reach_2742</v>
          </cell>
          <cell r="H3146">
            <v>3138</v>
          </cell>
          <cell r="J3146">
            <v>388.51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  <cell r="Q3146">
            <v>14</v>
          </cell>
        </row>
        <row r="3147">
          <cell r="D3147" t="str">
            <v>137433-01-3</v>
          </cell>
          <cell r="E3147">
            <v>137433013</v>
          </cell>
          <cell r="F3147">
            <v>5682</v>
          </cell>
          <cell r="G3147" t="str">
            <v>Reach_4137</v>
          </cell>
          <cell r="H3147">
            <v>3139</v>
          </cell>
          <cell r="J3147">
            <v>583.9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  <cell r="Q3147">
            <v>14</v>
          </cell>
        </row>
        <row r="3148">
          <cell r="D3148" t="str">
            <v>6284-40-8</v>
          </cell>
          <cell r="E3148">
            <v>6284408</v>
          </cell>
          <cell r="F3148">
            <v>770</v>
          </cell>
          <cell r="G3148" t="str">
            <v>Reach_2160</v>
          </cell>
          <cell r="H3148">
            <v>3140</v>
          </cell>
          <cell r="J3148">
            <v>195.22</v>
          </cell>
          <cell r="K3148">
            <v>129.03</v>
          </cell>
          <cell r="L3148">
            <v>1.7862200000000001E-6</v>
          </cell>
          <cell r="M3148">
            <v>1000000</v>
          </cell>
          <cell r="N3148">
            <v>7.079457843841378E-4</v>
          </cell>
          <cell r="Q3148">
            <v>14</v>
          </cell>
        </row>
        <row r="3149">
          <cell r="D3149" t="str">
            <v>624-54-4</v>
          </cell>
          <cell r="E3149">
            <v>624544</v>
          </cell>
          <cell r="F3149">
            <v>3370</v>
          </cell>
          <cell r="G3149" t="str">
            <v>Reach_1453</v>
          </cell>
          <cell r="H3149">
            <v>3141</v>
          </cell>
          <cell r="J3149">
            <v>144.21</v>
          </cell>
          <cell r="K3149">
            <v>-32.64</v>
          </cell>
          <cell r="L3149">
            <v>222.61100000000002</v>
          </cell>
          <cell r="M3149">
            <v>937.08</v>
          </cell>
          <cell r="N3149">
            <v>676.08297539198213</v>
          </cell>
          <cell r="O3149">
            <v>0</v>
          </cell>
          <cell r="P3149">
            <v>0</v>
          </cell>
          <cell r="Q3149">
            <v>0</v>
          </cell>
        </row>
        <row r="3150">
          <cell r="D3150" t="str">
            <v>32454-35-6</v>
          </cell>
          <cell r="E3150">
            <v>32454356</v>
          </cell>
          <cell r="F3150">
            <v>2652</v>
          </cell>
          <cell r="G3150" t="str">
            <v>Reach_4719</v>
          </cell>
          <cell r="H3150">
            <v>3142</v>
          </cell>
          <cell r="J3150">
            <v>243.11</v>
          </cell>
          <cell r="K3150">
            <v>103.16</v>
          </cell>
          <cell r="L3150">
            <v>1.4529700000000001E-2</v>
          </cell>
          <cell r="M3150">
            <v>107.4</v>
          </cell>
          <cell r="N3150">
            <v>1548.8166189124822</v>
          </cell>
          <cell r="O3150">
            <v>4.18</v>
          </cell>
          <cell r="P3150">
            <v>0</v>
          </cell>
          <cell r="Q3150">
            <v>4.18</v>
          </cell>
        </row>
        <row r="3151">
          <cell r="D3151" t="str">
            <v>85-73-4</v>
          </cell>
          <cell r="E3151">
            <v>85734</v>
          </cell>
          <cell r="F3151">
            <v>3897</v>
          </cell>
          <cell r="G3151" t="str">
            <v>Reach_300</v>
          </cell>
          <cell r="H3151">
            <v>3143</v>
          </cell>
          <cell r="J3151">
            <v>403.44</v>
          </cell>
          <cell r="K3151">
            <v>287.39999999999998</v>
          </cell>
          <cell r="L3151">
            <v>3.15921E-13</v>
          </cell>
          <cell r="M3151">
            <v>34.448999999999998</v>
          </cell>
          <cell r="N3151">
            <v>380.18939632056163</v>
          </cell>
          <cell r="O3151">
            <v>3.56</v>
          </cell>
          <cell r="Q3151">
            <v>3.56</v>
          </cell>
        </row>
        <row r="3152">
          <cell r="D3152" t="str">
            <v>826-55-1</v>
          </cell>
          <cell r="E3152">
            <v>826551</v>
          </cell>
          <cell r="F3152">
            <v>3835</v>
          </cell>
          <cell r="G3152" t="str">
            <v>Reach_1557</v>
          </cell>
          <cell r="H3152">
            <v>3144</v>
          </cell>
          <cell r="J3152">
            <v>164.2</v>
          </cell>
          <cell r="K3152">
            <v>73.87</v>
          </cell>
          <cell r="L3152">
            <v>0.22261100000000003</v>
          </cell>
          <cell r="M3152">
            <v>421.48</v>
          </cell>
          <cell r="N3152">
            <v>199.52623149688802</v>
          </cell>
          <cell r="O3152">
            <v>4.3</v>
          </cell>
          <cell r="Q3152">
            <v>4.3</v>
          </cell>
        </row>
        <row r="3153">
          <cell r="D3153" t="str">
            <v>88-45-9</v>
          </cell>
          <cell r="E3153">
            <v>88459</v>
          </cell>
          <cell r="F3153">
            <v>3957</v>
          </cell>
          <cell r="G3153" t="str">
            <v>Reach_324</v>
          </cell>
          <cell r="H3153">
            <v>3145</v>
          </cell>
          <cell r="J3153">
            <v>188.21</v>
          </cell>
          <cell r="K3153">
            <v>161.25</v>
          </cell>
          <cell r="L3153">
            <v>6.6383399999999999E-7</v>
          </cell>
          <cell r="M3153">
            <v>51775</v>
          </cell>
          <cell r="N3153">
            <v>2.8183829312644545E-4</v>
          </cell>
          <cell r="P3153">
            <v>8.35</v>
          </cell>
          <cell r="Q3153">
            <v>5.65</v>
          </cell>
        </row>
        <row r="3154">
          <cell r="D3154" t="str">
            <v>7300-34-7</v>
          </cell>
          <cell r="E3154">
            <v>7300347</v>
          </cell>
          <cell r="F3154">
            <v>3612</v>
          </cell>
          <cell r="G3154" t="str">
            <v>Reach_2235</v>
          </cell>
          <cell r="H3154">
            <v>3146</v>
          </cell>
          <cell r="J3154">
            <v>204.32</v>
          </cell>
          <cell r="K3154">
            <v>87.13</v>
          </cell>
          <cell r="L3154">
            <v>7.1848700000000001E-2</v>
          </cell>
          <cell r="M3154">
            <v>624000</v>
          </cell>
          <cell r="N3154">
            <v>0.63095734448019325</v>
          </cell>
          <cell r="Q3154">
            <v>14</v>
          </cell>
        </row>
        <row r="3155">
          <cell r="D3155" t="str">
            <v>302-23-8</v>
          </cell>
          <cell r="E3155">
            <v>302238</v>
          </cell>
          <cell r="F3155">
            <v>2588</v>
          </cell>
          <cell r="G3155" t="str">
            <v>Reach_1229</v>
          </cell>
          <cell r="H3155">
            <v>3147</v>
          </cell>
          <cell r="J3155">
            <v>372.51</v>
          </cell>
          <cell r="K3155">
            <v>184.31</v>
          </cell>
          <cell r="L3155">
            <v>2.5993499999999999E-6</v>
          </cell>
          <cell r="M3155">
            <v>23.167999999999999</v>
          </cell>
          <cell r="N3155">
            <v>4677.3514128719844</v>
          </cell>
          <cell r="Q3155">
            <v>14</v>
          </cell>
        </row>
        <row r="3156">
          <cell r="D3156" t="str">
            <v>89-48-5</v>
          </cell>
          <cell r="E3156">
            <v>89485</v>
          </cell>
          <cell r="F3156">
            <v>3976</v>
          </cell>
          <cell r="G3156" t="str">
            <v>Reach_344</v>
          </cell>
          <cell r="H3156">
            <v>3148</v>
          </cell>
          <cell r="J3156">
            <v>198.31</v>
          </cell>
          <cell r="K3156">
            <v>0.67</v>
          </cell>
          <cell r="L3156">
            <v>12.170290000000001</v>
          </cell>
          <cell r="M3156">
            <v>164.7</v>
          </cell>
          <cell r="N3156">
            <v>24547.089156850321</v>
          </cell>
          <cell r="Q3156">
            <v>14</v>
          </cell>
        </row>
        <row r="3157">
          <cell r="D3157" t="str">
            <v>98730-04-2</v>
          </cell>
          <cell r="E3157">
            <v>98730042</v>
          </cell>
          <cell r="F3157">
            <v>4191</v>
          </cell>
          <cell r="G3157" t="str">
            <v>Reach_4515</v>
          </cell>
          <cell r="H3157">
            <v>3149</v>
          </cell>
          <cell r="J3157">
            <v>260.12</v>
          </cell>
          <cell r="K3157">
            <v>117.97</v>
          </cell>
          <cell r="L3157">
            <v>1.6262600000000002E-3</v>
          </cell>
          <cell r="M3157">
            <v>209.87</v>
          </cell>
          <cell r="N3157">
            <v>239.88329190194912</v>
          </cell>
          <cell r="Q3157">
            <v>14</v>
          </cell>
        </row>
        <row r="3158">
          <cell r="D3158" t="str">
            <v>2425-85-6</v>
          </cell>
          <cell r="E3158">
            <v>2425856</v>
          </cell>
          <cell r="F3158">
            <v>2382</v>
          </cell>
          <cell r="G3158" t="str">
            <v>Reach_1806</v>
          </cell>
          <cell r="H3158">
            <v>3150</v>
          </cell>
          <cell r="J3158">
            <v>307.31</v>
          </cell>
          <cell r="K3158">
            <v>200.3</v>
          </cell>
          <cell r="L3158">
            <v>3.5191200000000005E-8</v>
          </cell>
          <cell r="M3158">
            <v>5.4029999999999996</v>
          </cell>
          <cell r="N3158">
            <v>2818382.9312644606</v>
          </cell>
          <cell r="O3158">
            <v>8.58</v>
          </cell>
          <cell r="Q3158">
            <v>8.58</v>
          </cell>
        </row>
        <row r="3159">
          <cell r="D3159" t="str">
            <v>22288-43-3</v>
          </cell>
          <cell r="E3159">
            <v>22288433</v>
          </cell>
          <cell r="F3159">
            <v>2328</v>
          </cell>
          <cell r="G3159" t="str">
            <v>Reach_2521</v>
          </cell>
          <cell r="H3159">
            <v>3151</v>
          </cell>
          <cell r="J3159">
            <v>272.43</v>
          </cell>
          <cell r="K3159">
            <v>52.9</v>
          </cell>
          <cell r="L3159">
            <v>0.27193200000000006</v>
          </cell>
          <cell r="M3159">
            <v>0.42277999999999999</v>
          </cell>
          <cell r="N3159">
            <v>1445439.7707459298</v>
          </cell>
          <cell r="Q3159">
            <v>14</v>
          </cell>
        </row>
        <row r="3160">
          <cell r="D3160" t="str">
            <v>776-04-5</v>
          </cell>
          <cell r="E3160">
            <v>776045</v>
          </cell>
          <cell r="F3160">
            <v>3733</v>
          </cell>
          <cell r="G3160" t="str">
            <v>Reach_4862</v>
          </cell>
          <cell r="H3160">
            <v>3152</v>
          </cell>
          <cell r="J3160">
            <v>244.62</v>
          </cell>
          <cell r="K3160">
            <v>72.41</v>
          </cell>
          <cell r="L3160">
            <v>0.27859699999999998</v>
          </cell>
          <cell r="M3160">
            <v>76.191999999999993</v>
          </cell>
          <cell r="N3160">
            <v>7943.2823472428154</v>
          </cell>
          <cell r="P3160">
            <v>0</v>
          </cell>
          <cell r="Q3160">
            <v>14</v>
          </cell>
        </row>
        <row r="3161">
          <cell r="D3161" t="str">
            <v>3681-71-8</v>
          </cell>
          <cell r="E3161">
            <v>3681718</v>
          </cell>
          <cell r="F3161">
            <v>2779</v>
          </cell>
          <cell r="G3161" t="str">
            <v>Reach_1979</v>
          </cell>
          <cell r="H3161">
            <v>3153</v>
          </cell>
          <cell r="J3161">
            <v>142.19999999999999</v>
          </cell>
          <cell r="K3161">
            <v>-33.28</v>
          </cell>
          <cell r="L3161">
            <v>151.96199999999999</v>
          </cell>
          <cell r="M3161">
            <v>691.67</v>
          </cell>
          <cell r="N3161">
            <v>407.38027780411272</v>
          </cell>
          <cell r="Q3161">
            <v>14</v>
          </cell>
        </row>
        <row r="3162">
          <cell r="D3162" t="str">
            <v>86604-78-6</v>
          </cell>
          <cell r="E3162">
            <v>86604786</v>
          </cell>
          <cell r="F3162">
            <v>3908</v>
          </cell>
          <cell r="G3162" t="str">
            <v>Reach_2990</v>
          </cell>
          <cell r="H3162">
            <v>3154</v>
          </cell>
          <cell r="J3162">
            <v>167.21</v>
          </cell>
          <cell r="K3162">
            <v>73.73</v>
          </cell>
          <cell r="L3162">
            <v>1.6129300000000003E-2</v>
          </cell>
          <cell r="M3162">
            <v>19122</v>
          </cell>
          <cell r="N3162">
            <v>11.481536214968834</v>
          </cell>
          <cell r="O3162">
            <v>13.65</v>
          </cell>
          <cell r="P3162">
            <v>10.26</v>
          </cell>
          <cell r="Q3162">
            <v>3.74</v>
          </cell>
        </row>
        <row r="3163">
          <cell r="D3163" t="str">
            <v>77-83-8</v>
          </cell>
          <cell r="E3163">
            <v>77838</v>
          </cell>
          <cell r="F3163">
            <v>3738</v>
          </cell>
          <cell r="G3163" t="str">
            <v>Reach_186</v>
          </cell>
          <cell r="H3163">
            <v>3155</v>
          </cell>
          <cell r="J3163">
            <v>206.24</v>
          </cell>
          <cell r="K3163">
            <v>67.05</v>
          </cell>
          <cell r="L3163">
            <v>0.42256100000000002</v>
          </cell>
          <cell r="M3163">
            <v>660.02</v>
          </cell>
          <cell r="N3163">
            <v>1000</v>
          </cell>
          <cell r="Q3163">
            <v>14</v>
          </cell>
        </row>
        <row r="3164">
          <cell r="D3164" t="str">
            <v>2495-37-6</v>
          </cell>
          <cell r="E3164">
            <v>2495376</v>
          </cell>
          <cell r="F3164">
            <v>565</v>
          </cell>
          <cell r="G3164" t="str">
            <v>Reach_1822</v>
          </cell>
          <cell r="H3164">
            <v>3156</v>
          </cell>
          <cell r="J3164">
            <v>176.22</v>
          </cell>
          <cell r="K3164">
            <v>11.8</v>
          </cell>
          <cell r="L3164">
            <v>4.4788800000000002</v>
          </cell>
          <cell r="M3164">
            <v>496.26</v>
          </cell>
          <cell r="N3164">
            <v>954.99258602143675</v>
          </cell>
          <cell r="O3164">
            <v>0</v>
          </cell>
          <cell r="P3164">
            <v>0</v>
          </cell>
          <cell r="Q3164">
            <v>0</v>
          </cell>
        </row>
        <row r="3165">
          <cell r="D3165" t="str">
            <v>59587-44-9</v>
          </cell>
          <cell r="E3165">
            <v>59587449</v>
          </cell>
          <cell r="F3165">
            <v>3281</v>
          </cell>
          <cell r="G3165" t="str">
            <v>Reach_2838</v>
          </cell>
          <cell r="H3165">
            <v>3157</v>
          </cell>
          <cell r="J3165">
            <v>270.45999999999998</v>
          </cell>
          <cell r="K3165">
            <v>44.42</v>
          </cell>
          <cell r="L3165">
            <v>7.1982000000000004E-2</v>
          </cell>
          <cell r="M3165">
            <v>0.14176</v>
          </cell>
          <cell r="N3165">
            <v>14791083.881682113</v>
          </cell>
          <cell r="O3165">
            <v>0</v>
          </cell>
          <cell r="Q3165">
            <v>0</v>
          </cell>
        </row>
        <row r="3166">
          <cell r="D3166" t="str">
            <v>5661-03-0</v>
          </cell>
          <cell r="E3166">
            <v>5661030</v>
          </cell>
          <cell r="F3166">
            <v>3206</v>
          </cell>
          <cell r="G3166" t="str">
            <v>Reach_2131</v>
          </cell>
          <cell r="H3166">
            <v>3158</v>
          </cell>
          <cell r="J3166">
            <v>111.19</v>
          </cell>
          <cell r="K3166">
            <v>6.76</v>
          </cell>
          <cell r="L3166">
            <v>234.60800000000003</v>
          </cell>
          <cell r="M3166">
            <v>146000</v>
          </cell>
          <cell r="N3166">
            <v>37.153522909717275</v>
          </cell>
          <cell r="P3166">
            <v>3.1</v>
          </cell>
          <cell r="Q3166">
            <v>10.9</v>
          </cell>
        </row>
        <row r="3167">
          <cell r="D3167" t="str">
            <v>6969-71-7</v>
          </cell>
          <cell r="E3167">
            <v>6969717</v>
          </cell>
          <cell r="F3167">
            <v>3548</v>
          </cell>
          <cell r="G3167" t="str">
            <v>Reach_2216</v>
          </cell>
          <cell r="H3167">
            <v>3159</v>
          </cell>
          <cell r="J3167">
            <v>135.13</v>
          </cell>
          <cell r="K3167">
            <v>121.99</v>
          </cell>
          <cell r="L3167">
            <v>2.7326500000000001E-3</v>
          </cell>
          <cell r="M3167">
            <v>41223</v>
          </cell>
          <cell r="N3167">
            <v>2.8183829312644542</v>
          </cell>
          <cell r="Q3167">
            <v>14</v>
          </cell>
        </row>
        <row r="3168">
          <cell r="D3168" t="str">
            <v>156366-26-6</v>
          </cell>
          <cell r="E3168">
            <v>156366266</v>
          </cell>
          <cell r="F3168">
            <v>2047</v>
          </cell>
          <cell r="G3168" t="str">
            <v>Reach_4536</v>
          </cell>
          <cell r="H3168">
            <v>3160</v>
          </cell>
          <cell r="J3168">
            <v>431.53</v>
          </cell>
          <cell r="K3168">
            <v>226.72</v>
          </cell>
          <cell r="L3168">
            <v>4.2789299999999998E-9</v>
          </cell>
          <cell r="M3168">
            <v>4.0266999999999999</v>
          </cell>
          <cell r="N3168">
            <v>10715.193052376071</v>
          </cell>
          <cell r="Q3168">
            <v>14</v>
          </cell>
        </row>
        <row r="3169">
          <cell r="D3169" t="str">
            <v>14246-53-8</v>
          </cell>
          <cell r="E3169">
            <v>14246538</v>
          </cell>
          <cell r="F3169">
            <v>1956</v>
          </cell>
          <cell r="G3169" t="str">
            <v>Reach_2361</v>
          </cell>
          <cell r="H3169">
            <v>3161</v>
          </cell>
          <cell r="J3169">
            <v>201.27</v>
          </cell>
          <cell r="K3169">
            <v>149.85</v>
          </cell>
          <cell r="L3169">
            <v>1.3330000000000001E-4</v>
          </cell>
          <cell r="M3169">
            <v>180.62</v>
          </cell>
          <cell r="N3169">
            <v>83.176377110267126</v>
          </cell>
          <cell r="O3169">
            <v>3.5</v>
          </cell>
          <cell r="Q3169">
            <v>3.5</v>
          </cell>
        </row>
        <row r="3170">
          <cell r="D3170" t="str">
            <v>60113-43-1</v>
          </cell>
          <cell r="E3170">
            <v>60113431</v>
          </cell>
          <cell r="F3170">
            <v>3305</v>
          </cell>
          <cell r="G3170" t="str">
            <v>Reach_2844</v>
          </cell>
          <cell r="H3170">
            <v>3162</v>
          </cell>
          <cell r="J3170">
            <v>166.26</v>
          </cell>
          <cell r="K3170">
            <v>19.510000000000002</v>
          </cell>
          <cell r="L3170">
            <v>20.6615</v>
          </cell>
          <cell r="M3170">
            <v>395.52</v>
          </cell>
          <cell r="N3170">
            <v>1905.4607179632485</v>
          </cell>
          <cell r="O3170">
            <v>0</v>
          </cell>
          <cell r="Q3170">
            <v>0</v>
          </cell>
        </row>
        <row r="3171">
          <cell r="D3171" t="str">
            <v>112-49-2</v>
          </cell>
          <cell r="E3171">
            <v>112492</v>
          </cell>
          <cell r="F3171">
            <v>330</v>
          </cell>
          <cell r="G3171" t="str">
            <v>Reach_909</v>
          </cell>
          <cell r="H3171">
            <v>3163</v>
          </cell>
          <cell r="J3171">
            <v>178.23</v>
          </cell>
          <cell r="K3171">
            <v>1.95</v>
          </cell>
          <cell r="L3171">
            <v>31.992000000000001</v>
          </cell>
          <cell r="M3171">
            <v>276000</v>
          </cell>
          <cell r="N3171">
            <v>0.17378008287493749</v>
          </cell>
          <cell r="O3171">
            <v>0</v>
          </cell>
          <cell r="P3171">
            <v>0</v>
          </cell>
          <cell r="Q3171">
            <v>0</v>
          </cell>
        </row>
        <row r="3172">
          <cell r="D3172" t="str">
            <v>355-04-4</v>
          </cell>
          <cell r="E3172">
            <v>355044</v>
          </cell>
          <cell r="F3172">
            <v>2740</v>
          </cell>
          <cell r="G3172" t="str">
            <v>Reach_1250</v>
          </cell>
          <cell r="H3172">
            <v>3164</v>
          </cell>
          <cell r="J3172">
            <v>338.04</v>
          </cell>
          <cell r="K3172">
            <v>-88.87</v>
          </cell>
          <cell r="L3172">
            <v>29725.9</v>
          </cell>
          <cell r="M3172">
            <v>0.21368000000000001</v>
          </cell>
          <cell r="N3172">
            <v>104712.85480508996</v>
          </cell>
          <cell r="Q3172">
            <v>14</v>
          </cell>
        </row>
        <row r="3173">
          <cell r="D3173" t="str">
            <v>76-12-0</v>
          </cell>
          <cell r="E3173">
            <v>76120</v>
          </cell>
          <cell r="F3173">
            <v>3700</v>
          </cell>
          <cell r="G3173" t="str">
            <v>Reach_172</v>
          </cell>
          <cell r="H3173">
            <v>3165</v>
          </cell>
          <cell r="J3173">
            <v>203.83</v>
          </cell>
          <cell r="K3173">
            <v>-49.53</v>
          </cell>
          <cell r="L3173">
            <v>6305.09</v>
          </cell>
          <cell r="M3173">
            <v>110.01</v>
          </cell>
          <cell r="N3173">
            <v>2570.3957827688669</v>
          </cell>
          <cell r="Q3173">
            <v>14</v>
          </cell>
        </row>
        <row r="3174">
          <cell r="D3174" t="str">
            <v>87-13-8</v>
          </cell>
          <cell r="E3174">
            <v>87138</v>
          </cell>
          <cell r="F3174">
            <v>3919</v>
          </cell>
          <cell r="G3174" t="str">
            <v>Reach_307</v>
          </cell>
          <cell r="H3174">
            <v>3166</v>
          </cell>
          <cell r="J3174">
            <v>216.23</v>
          </cell>
          <cell r="K3174">
            <v>-41.53</v>
          </cell>
          <cell r="L3174">
            <v>4.57219</v>
          </cell>
          <cell r="M3174">
            <v>1873.9</v>
          </cell>
          <cell r="N3174">
            <v>8.9125093813374576</v>
          </cell>
          <cell r="Q3174">
            <v>14</v>
          </cell>
        </row>
        <row r="3175">
          <cell r="D3175" t="str">
            <v>89-62-3</v>
          </cell>
          <cell r="E3175">
            <v>89623</v>
          </cell>
          <cell r="F3175">
            <v>991</v>
          </cell>
          <cell r="G3175" t="str">
            <v>Reach_347</v>
          </cell>
          <cell r="H3175">
            <v>3167</v>
          </cell>
          <cell r="J3175">
            <v>152.16</v>
          </cell>
          <cell r="K3175">
            <v>84.5</v>
          </cell>
          <cell r="L3175">
            <v>6.0118300000000006E-2</v>
          </cell>
          <cell r="M3175">
            <v>354.81</v>
          </cell>
          <cell r="N3175">
            <v>371.53522909717265</v>
          </cell>
          <cell r="P3175">
            <v>14</v>
          </cell>
          <cell r="Q3175">
            <v>0</v>
          </cell>
        </row>
        <row r="3176">
          <cell r="D3176" t="str">
            <v>52950-19-3</v>
          </cell>
          <cell r="E3176">
            <v>52950193</v>
          </cell>
          <cell r="F3176">
            <v>5918</v>
          </cell>
          <cell r="G3176" t="str">
            <v>Reach_4853</v>
          </cell>
          <cell r="H3176">
            <v>3168</v>
          </cell>
          <cell r="J3176">
            <v>373.19</v>
          </cell>
          <cell r="K3176">
            <v>0</v>
          </cell>
          <cell r="L3176">
            <v>0</v>
          </cell>
          <cell r="M3176">
            <v>0</v>
          </cell>
          <cell r="N3176">
            <v>0</v>
          </cell>
          <cell r="Q3176">
            <v>14</v>
          </cell>
        </row>
        <row r="3177">
          <cell r="D3177" t="str">
            <v>96-97-9</v>
          </cell>
          <cell r="E3177">
            <v>96979</v>
          </cell>
          <cell r="F3177">
            <v>4158</v>
          </cell>
          <cell r="G3177" t="str">
            <v>Reach_473</v>
          </cell>
          <cell r="H3177">
            <v>3169</v>
          </cell>
          <cell r="J3177">
            <v>183.12</v>
          </cell>
          <cell r="K3177">
            <v>146.94999999999999</v>
          </cell>
          <cell r="L3177">
            <v>1.6929100000000004E-5</v>
          </cell>
          <cell r="M3177">
            <v>7034</v>
          </cell>
          <cell r="N3177">
            <v>436.51583224016622</v>
          </cell>
          <cell r="Q3177">
            <v>14</v>
          </cell>
        </row>
        <row r="3178">
          <cell r="D3178" t="str">
            <v>925-21-3</v>
          </cell>
          <cell r="E3178">
            <v>925213</v>
          </cell>
          <cell r="F3178">
            <v>4038</v>
          </cell>
          <cell r="G3178" t="str">
            <v>Reach_1596</v>
          </cell>
          <cell r="H3178">
            <v>3170</v>
          </cell>
          <cell r="J3178">
            <v>172.18</v>
          </cell>
          <cell r="K3178">
            <v>71.040000000000006</v>
          </cell>
          <cell r="L3178">
            <v>0.18395400000000001</v>
          </cell>
          <cell r="M3178">
            <v>1602.2</v>
          </cell>
          <cell r="N3178">
            <v>251.18864315095806</v>
          </cell>
          <cell r="O3178">
            <v>3.3</v>
          </cell>
          <cell r="Q3178">
            <v>3.3</v>
          </cell>
        </row>
        <row r="3179">
          <cell r="D3179" t="str">
            <v>57-14-7</v>
          </cell>
          <cell r="E3179">
            <v>57147</v>
          </cell>
          <cell r="F3179">
            <v>720</v>
          </cell>
          <cell r="G3179" t="str">
            <v>Reach_40</v>
          </cell>
          <cell r="H3179">
            <v>3171</v>
          </cell>
          <cell r="J3179">
            <v>60.101999999999997</v>
          </cell>
          <cell r="K3179">
            <v>-61.29</v>
          </cell>
          <cell r="L3179">
            <v>22394.400000000001</v>
          </cell>
          <cell r="M3179">
            <v>639000</v>
          </cell>
          <cell r="N3179">
            <v>6.4565422903465536E-2</v>
          </cell>
          <cell r="P3179">
            <v>6</v>
          </cell>
          <cell r="Q3179">
            <v>8</v>
          </cell>
        </row>
        <row r="3180">
          <cell r="D3180" t="str">
            <v>628-89-7</v>
          </cell>
          <cell r="E3180">
            <v>628897</v>
          </cell>
          <cell r="F3180">
            <v>3380</v>
          </cell>
          <cell r="G3180" t="str">
            <v>Reach_1461</v>
          </cell>
          <cell r="H3180">
            <v>3172</v>
          </cell>
          <cell r="J3180">
            <v>124.57</v>
          </cell>
          <cell r="K3180">
            <v>-12.57</v>
          </cell>
          <cell r="L3180">
            <v>13.276680000000001</v>
          </cell>
          <cell r="M3180">
            <v>523000</v>
          </cell>
          <cell r="N3180">
            <v>0.69183097091893653</v>
          </cell>
          <cell r="O3180">
            <v>14.85</v>
          </cell>
          <cell r="Q3180">
            <v>14</v>
          </cell>
        </row>
        <row r="3181">
          <cell r="D3181" t="str">
            <v>56358-17-9</v>
          </cell>
          <cell r="E3181">
            <v>56358179</v>
          </cell>
          <cell r="F3181">
            <v>3192</v>
          </cell>
          <cell r="G3181" t="str">
            <v>Reach_2814</v>
          </cell>
          <cell r="H3181">
            <v>3173</v>
          </cell>
          <cell r="J3181">
            <v>255.41</v>
          </cell>
          <cell r="K3181">
            <v>114.09</v>
          </cell>
          <cell r="L3181">
            <v>1.0264100000000002E-3</v>
          </cell>
          <cell r="M3181">
            <v>3.5888999999999997E-2</v>
          </cell>
          <cell r="N3181">
            <v>1445439.7707459298</v>
          </cell>
          <cell r="Q3181">
            <v>14</v>
          </cell>
        </row>
        <row r="3182">
          <cell r="D3182" t="str">
            <v>932-64-9</v>
          </cell>
          <cell r="E3182">
            <v>932649</v>
          </cell>
          <cell r="F3182">
            <v>4066</v>
          </cell>
          <cell r="G3182" t="str">
            <v>Reach_1610</v>
          </cell>
          <cell r="H3182">
            <v>3174</v>
          </cell>
          <cell r="J3182">
            <v>130.07</v>
          </cell>
          <cell r="K3182">
            <v>161.19</v>
          </cell>
          <cell r="L3182">
            <v>7.7713900000000001E-5</v>
          </cell>
          <cell r="M3182">
            <v>139000</v>
          </cell>
          <cell r="N3182">
            <v>1.905460717963246E-3</v>
          </cell>
          <cell r="Q3182">
            <v>14</v>
          </cell>
        </row>
        <row r="3183">
          <cell r="D3183" t="str">
            <v>85-18-7</v>
          </cell>
          <cell r="E3183">
            <v>85187</v>
          </cell>
          <cell r="F3183">
            <v>3883</v>
          </cell>
          <cell r="G3183" t="str">
            <v>Reach_292</v>
          </cell>
          <cell r="H3183">
            <v>3175</v>
          </cell>
          <cell r="J3183">
            <v>214.62</v>
          </cell>
          <cell r="K3183">
            <v>202.01</v>
          </cell>
          <cell r="L3183">
            <v>1.54628E-8</v>
          </cell>
          <cell r="M3183">
            <v>20507</v>
          </cell>
          <cell r="N3183">
            <v>1.778279410038923</v>
          </cell>
          <cell r="O3183">
            <v>4.8499999999999996</v>
          </cell>
          <cell r="Q3183">
            <v>4.8499999999999996</v>
          </cell>
        </row>
        <row r="3184">
          <cell r="D3184" t="str">
            <v>2788-28-5</v>
          </cell>
          <cell r="E3184">
            <v>2788285</v>
          </cell>
          <cell r="F3184">
            <v>5814</v>
          </cell>
          <cell r="G3184" t="str">
            <v>Reach_4964</v>
          </cell>
          <cell r="H3184">
            <v>3176</v>
          </cell>
          <cell r="J3184">
            <v>178.66</v>
          </cell>
          <cell r="K3184">
            <v>0</v>
          </cell>
          <cell r="L3184">
            <v>0</v>
          </cell>
          <cell r="M3184">
            <v>0</v>
          </cell>
          <cell r="N3184">
            <v>0</v>
          </cell>
          <cell r="Q3184">
            <v>14</v>
          </cell>
        </row>
        <row r="3185">
          <cell r="D3185" t="str">
            <v>128-03-0</v>
          </cell>
          <cell r="E3185">
            <v>128030</v>
          </cell>
          <cell r="F3185">
            <v>1187</v>
          </cell>
          <cell r="G3185" t="str">
            <v>Reach_1104</v>
          </cell>
          <cell r="H3185">
            <v>3177</v>
          </cell>
          <cell r="J3185">
            <v>159.32</v>
          </cell>
          <cell r="K3185">
            <v>0</v>
          </cell>
          <cell r="L3185">
            <v>0</v>
          </cell>
          <cell r="M3185">
            <v>0</v>
          </cell>
          <cell r="N3185">
            <v>0</v>
          </cell>
          <cell r="Q3185">
            <v>14</v>
          </cell>
        </row>
        <row r="3186">
          <cell r="D3186" t="str">
            <v>74441-06-8</v>
          </cell>
          <cell r="E3186">
            <v>74441068</v>
          </cell>
          <cell r="F3186">
            <v>3636</v>
          </cell>
          <cell r="G3186" t="str">
            <v>Reach_2944</v>
          </cell>
          <cell r="H3186">
            <v>3178</v>
          </cell>
          <cell r="J3186">
            <v>255.28</v>
          </cell>
          <cell r="K3186">
            <v>227.79</v>
          </cell>
          <cell r="L3186">
            <v>3.6257600000000005E-9</v>
          </cell>
          <cell r="M3186">
            <v>15.093999999999999</v>
          </cell>
          <cell r="N3186">
            <v>3.3884415613920265</v>
          </cell>
          <cell r="O3186">
            <v>14.53</v>
          </cell>
          <cell r="P3186">
            <v>11.57</v>
          </cell>
          <cell r="Q3186">
            <v>2.4299999999999997</v>
          </cell>
        </row>
        <row r="3187">
          <cell r="D3187" t="str">
            <v>28535-81-1</v>
          </cell>
          <cell r="E3187">
            <v>28535811</v>
          </cell>
          <cell r="F3187">
            <v>2535</v>
          </cell>
          <cell r="G3187" t="str">
            <v>Reach_2620</v>
          </cell>
          <cell r="H3187">
            <v>3179</v>
          </cell>
          <cell r="J3187">
            <v>504.66</v>
          </cell>
          <cell r="K3187">
            <v>202.41</v>
          </cell>
          <cell r="L3187">
            <v>2.6526700000000004E-8</v>
          </cell>
          <cell r="M3187">
            <v>0.20127</v>
          </cell>
          <cell r="N3187">
            <v>398107.17055349716</v>
          </cell>
          <cell r="Q3187">
            <v>14</v>
          </cell>
        </row>
        <row r="3188">
          <cell r="D3188" t="str">
            <v>13863-31-5</v>
          </cell>
          <cell r="E3188">
            <v>13863315</v>
          </cell>
          <cell r="F3188">
            <v>1191</v>
          </cell>
          <cell r="G3188" t="str">
            <v>Reach_2350</v>
          </cell>
          <cell r="H3188">
            <v>3180</v>
          </cell>
          <cell r="J3188">
            <v>900.92</v>
          </cell>
          <cell r="K3188">
            <v>0</v>
          </cell>
          <cell r="L3188">
            <v>0</v>
          </cell>
          <cell r="M3188">
            <v>0</v>
          </cell>
          <cell r="N3188">
            <v>0</v>
          </cell>
          <cell r="Q3188">
            <v>14</v>
          </cell>
        </row>
        <row r="3189">
          <cell r="D3189" t="str">
            <v>71604-74-5</v>
          </cell>
          <cell r="E3189">
            <v>71604745</v>
          </cell>
          <cell r="F3189">
            <v>3586</v>
          </cell>
          <cell r="G3189" t="str">
            <v>Reach_2928</v>
          </cell>
          <cell r="H3189">
            <v>3181</v>
          </cell>
          <cell r="J3189">
            <v>277.32</v>
          </cell>
          <cell r="K3189">
            <v>127.53</v>
          </cell>
          <cell r="L3189">
            <v>7.5714400000000007E-4</v>
          </cell>
          <cell r="M3189">
            <v>1524.9</v>
          </cell>
          <cell r="N3189">
            <v>7.4131024130091765</v>
          </cell>
          <cell r="Q3189">
            <v>14</v>
          </cell>
        </row>
        <row r="3190">
          <cell r="D3190" t="str">
            <v>621-76-1</v>
          </cell>
          <cell r="E3190">
            <v>621761</v>
          </cell>
          <cell r="F3190">
            <v>3363</v>
          </cell>
          <cell r="G3190" t="str">
            <v>Reach_1443</v>
          </cell>
          <cell r="H3190">
            <v>3182</v>
          </cell>
          <cell r="J3190">
            <v>190.28</v>
          </cell>
          <cell r="K3190">
            <v>-3.37</v>
          </cell>
          <cell r="L3190">
            <v>105.57360000000001</v>
          </cell>
          <cell r="M3190">
            <v>521000</v>
          </cell>
          <cell r="N3190">
            <v>831.7637711026714</v>
          </cell>
          <cell r="Q3190">
            <v>14</v>
          </cell>
        </row>
        <row r="3191">
          <cell r="D3191" t="str">
            <v>27310-25-4</v>
          </cell>
          <cell r="E3191">
            <v>27310254</v>
          </cell>
          <cell r="F3191">
            <v>2500</v>
          </cell>
          <cell r="G3191" t="str">
            <v>Reach_2600</v>
          </cell>
          <cell r="H3191">
            <v>3183</v>
          </cell>
          <cell r="J3191">
            <v>383.37</v>
          </cell>
          <cell r="K3191">
            <v>307.2</v>
          </cell>
          <cell r="L3191">
            <v>2.3460800000000003E-19</v>
          </cell>
          <cell r="M3191">
            <v>0.28911999999999999</v>
          </cell>
          <cell r="N3191">
            <v>1.5848931924611134E-3</v>
          </cell>
          <cell r="O3191">
            <v>-2.17</v>
          </cell>
          <cell r="P3191">
            <v>11.69</v>
          </cell>
          <cell r="Q3191">
            <v>-2.17</v>
          </cell>
        </row>
        <row r="3192">
          <cell r="D3192" t="str">
            <v>99-93-4</v>
          </cell>
          <cell r="E3192">
            <v>99934</v>
          </cell>
          <cell r="F3192">
            <v>4222</v>
          </cell>
          <cell r="G3192" t="str">
            <v>Reach_542</v>
          </cell>
          <cell r="H3192">
            <v>3184</v>
          </cell>
          <cell r="J3192">
            <v>136.15</v>
          </cell>
          <cell r="K3192">
            <v>51.94</v>
          </cell>
          <cell r="L3192">
            <v>0.261268</v>
          </cell>
          <cell r="M3192">
            <v>13414</v>
          </cell>
          <cell r="N3192">
            <v>15.488166189124817</v>
          </cell>
          <cell r="O3192">
            <v>8.1</v>
          </cell>
          <cell r="Q3192">
            <v>8.1</v>
          </cell>
        </row>
        <row r="3193">
          <cell r="D3193" t="str">
            <v>1037184-07-8</v>
          </cell>
          <cell r="E3193">
            <v>1037184078</v>
          </cell>
          <cell r="F3193">
            <v>1377</v>
          </cell>
          <cell r="G3193" t="str">
            <v>Reach_4065</v>
          </cell>
          <cell r="H3193">
            <v>3185</v>
          </cell>
          <cell r="J3193">
            <v>288.22000000000003</v>
          </cell>
          <cell r="K3193">
            <v>164.19</v>
          </cell>
          <cell r="L3193">
            <v>1.03974E-5</v>
          </cell>
          <cell r="M3193">
            <v>3.96</v>
          </cell>
          <cell r="N3193">
            <v>6309.5734448019384</v>
          </cell>
          <cell r="O3193">
            <v>12.9</v>
          </cell>
          <cell r="Q3193">
            <v>12.9</v>
          </cell>
        </row>
        <row r="3194">
          <cell r="D3194" t="str">
            <v>90-17-5</v>
          </cell>
          <cell r="E3194">
            <v>90175</v>
          </cell>
          <cell r="F3194">
            <v>3992</v>
          </cell>
          <cell r="G3194" t="str">
            <v>Reach_360</v>
          </cell>
          <cell r="H3194">
            <v>3186</v>
          </cell>
          <cell r="J3194">
            <v>267.54000000000002</v>
          </cell>
          <cell r="K3194">
            <v>64.760000000000005</v>
          </cell>
          <cell r="L3194">
            <v>0.13010080000000002</v>
          </cell>
          <cell r="M3194">
            <v>29.777999999999999</v>
          </cell>
          <cell r="N3194">
            <v>7079.4578438413828</v>
          </cell>
          <cell r="Q3194">
            <v>14</v>
          </cell>
        </row>
        <row r="3195">
          <cell r="D3195" t="str">
            <v>6786-83-0</v>
          </cell>
          <cell r="E3195">
            <v>6786830</v>
          </cell>
          <cell r="F3195">
            <v>3502</v>
          </cell>
          <cell r="G3195" t="str">
            <v>Reach_2206</v>
          </cell>
          <cell r="H3195">
            <v>3187</v>
          </cell>
          <cell r="J3195">
            <v>487.65</v>
          </cell>
          <cell r="K3195">
            <v>275.57</v>
          </cell>
          <cell r="L3195">
            <v>2.6793300000000001E-15</v>
          </cell>
          <cell r="M3195">
            <v>5.7390000000000002E-4</v>
          </cell>
          <cell r="N3195">
            <v>16218100.973589335</v>
          </cell>
          <cell r="P3195">
            <v>8.09</v>
          </cell>
          <cell r="Q3195">
            <v>5.91</v>
          </cell>
        </row>
        <row r="3196">
          <cell r="D3196" t="str">
            <v>931-40-8</v>
          </cell>
          <cell r="E3196">
            <v>931408</v>
          </cell>
          <cell r="F3196">
            <v>4060</v>
          </cell>
          <cell r="G3196" t="str">
            <v>Reach_1608</v>
          </cell>
          <cell r="H3196">
            <v>3188</v>
          </cell>
          <cell r="J3196">
            <v>118.09</v>
          </cell>
          <cell r="K3196">
            <v>52.13</v>
          </cell>
          <cell r="L3196">
            <v>4.8387900000000005E-4</v>
          </cell>
          <cell r="M3196">
            <v>1230000</v>
          </cell>
          <cell r="N3196">
            <v>4.0738027780411273E-2</v>
          </cell>
          <cell r="O3196">
            <v>13.73</v>
          </cell>
          <cell r="Q3196">
            <v>13.73</v>
          </cell>
        </row>
        <row r="3197">
          <cell r="D3197" t="str">
            <v>52846-56-7</v>
          </cell>
          <cell r="E3197">
            <v>52846567</v>
          </cell>
          <cell r="F3197">
            <v>3078</v>
          </cell>
          <cell r="G3197" t="str">
            <v>Reach_2789</v>
          </cell>
          <cell r="H3197">
            <v>3189</v>
          </cell>
          <cell r="J3197">
            <v>382.34</v>
          </cell>
          <cell r="K3197">
            <v>275.52999999999997</v>
          </cell>
          <cell r="L3197">
            <v>2.0928099999999998E-12</v>
          </cell>
          <cell r="M3197">
            <v>81.704999999999998</v>
          </cell>
          <cell r="N3197">
            <v>398.10717055349761</v>
          </cell>
          <cell r="Q3197">
            <v>14</v>
          </cell>
        </row>
        <row r="3198">
          <cell r="D3198" t="str">
            <v>29920-31-8</v>
          </cell>
          <cell r="E3198">
            <v>29920318</v>
          </cell>
          <cell r="F3198">
            <v>2579</v>
          </cell>
          <cell r="G3198" t="str">
            <v>Reach_2638</v>
          </cell>
          <cell r="H3198">
            <v>3190</v>
          </cell>
          <cell r="J3198">
            <v>453.42</v>
          </cell>
          <cell r="K3198">
            <v>287.82</v>
          </cell>
          <cell r="L3198">
            <v>2.9592600000000005E-13</v>
          </cell>
          <cell r="M3198">
            <v>37.656999999999996</v>
          </cell>
          <cell r="N3198">
            <v>75.857757502918361</v>
          </cell>
          <cell r="O3198">
            <v>8.7100000000000009</v>
          </cell>
          <cell r="P3198">
            <v>12.06</v>
          </cell>
          <cell r="Q3198">
            <v>1.9399999999999995</v>
          </cell>
        </row>
        <row r="3199">
          <cell r="D3199" t="str">
            <v>79828-43-6</v>
          </cell>
          <cell r="E3199">
            <v>79828436</v>
          </cell>
          <cell r="F3199">
            <v>6041</v>
          </cell>
          <cell r="G3199" t="str">
            <v>Reach_2957</v>
          </cell>
          <cell r="H3199">
            <v>3191</v>
          </cell>
          <cell r="J3199">
            <v>1384.8</v>
          </cell>
          <cell r="K3199">
            <v>0</v>
          </cell>
          <cell r="L3199">
            <v>0</v>
          </cell>
          <cell r="M3199">
            <v>0</v>
          </cell>
          <cell r="N3199">
            <v>0</v>
          </cell>
          <cell r="Q3199">
            <v>14</v>
          </cell>
        </row>
        <row r="3200">
          <cell r="D3200" t="str">
            <v>147126-62-3</v>
          </cell>
          <cell r="E3200">
            <v>147126623</v>
          </cell>
          <cell r="F3200">
            <v>1996</v>
          </cell>
          <cell r="G3200" t="str">
            <v>Reach_4158</v>
          </cell>
          <cell r="H3200">
            <v>3192</v>
          </cell>
          <cell r="J3200">
            <v>288.41000000000003</v>
          </cell>
          <cell r="K3200">
            <v>125.46</v>
          </cell>
          <cell r="L3200">
            <v>1.89286E-5</v>
          </cell>
          <cell r="M3200">
            <v>292.26</v>
          </cell>
          <cell r="N3200">
            <v>95.499258602143655</v>
          </cell>
          <cell r="O3200">
            <v>12.18</v>
          </cell>
          <cell r="Q3200">
            <v>12.18</v>
          </cell>
        </row>
        <row r="3201">
          <cell r="D3201" t="str">
            <v>53651-69-7</v>
          </cell>
          <cell r="E3201">
            <v>53651697</v>
          </cell>
          <cell r="F3201">
            <v>3107</v>
          </cell>
          <cell r="G3201" t="str">
            <v>Reach_4346</v>
          </cell>
          <cell r="H3201">
            <v>3193</v>
          </cell>
          <cell r="J3201">
            <v>132.16</v>
          </cell>
          <cell r="K3201">
            <v>-16.010000000000002</v>
          </cell>
          <cell r="L3201">
            <v>21.194700000000001</v>
          </cell>
          <cell r="M3201">
            <v>17605</v>
          </cell>
          <cell r="N3201">
            <v>2.0417379446695296</v>
          </cell>
          <cell r="O3201">
            <v>12.62</v>
          </cell>
          <cell r="Q3201">
            <v>12.62</v>
          </cell>
        </row>
        <row r="3202">
          <cell r="D3202" t="str">
            <v>24124-40-1</v>
          </cell>
          <cell r="E3202">
            <v>24124401</v>
          </cell>
          <cell r="F3202">
            <v>2374</v>
          </cell>
          <cell r="G3202" t="str">
            <v>Reach_2539</v>
          </cell>
          <cell r="H3202">
            <v>3194</v>
          </cell>
          <cell r="J3202">
            <v>531.57000000000005</v>
          </cell>
          <cell r="K3202">
            <v>349.84</v>
          </cell>
          <cell r="L3202">
            <v>1.8128799999999999E-24</v>
          </cell>
          <cell r="M3202">
            <v>1.1620000000000001E-4</v>
          </cell>
          <cell r="N3202">
            <v>28.183829312644548</v>
          </cell>
          <cell r="O3202">
            <v>-1.72</v>
          </cell>
          <cell r="P3202">
            <v>8.51</v>
          </cell>
          <cell r="Q3202">
            <v>-1.72</v>
          </cell>
        </row>
        <row r="3203">
          <cell r="D3203" t="str">
            <v>3089-16-5</v>
          </cell>
          <cell r="E3203">
            <v>3089165</v>
          </cell>
          <cell r="F3203">
            <v>2614</v>
          </cell>
          <cell r="G3203" t="str">
            <v>Reach_1915</v>
          </cell>
          <cell r="H3203">
            <v>3195</v>
          </cell>
          <cell r="J3203">
            <v>381.22</v>
          </cell>
          <cell r="K3203">
            <v>253.72</v>
          </cell>
          <cell r="L3203">
            <v>5.95851E-13</v>
          </cell>
          <cell r="M3203">
            <v>5.1387999999999998E-3</v>
          </cell>
          <cell r="N3203">
            <v>93325.430079699145</v>
          </cell>
          <cell r="Q3203">
            <v>14</v>
          </cell>
        </row>
        <row r="3204">
          <cell r="D3204" t="str">
            <v>71809-65-9</v>
          </cell>
          <cell r="E3204">
            <v>71809659</v>
          </cell>
          <cell r="F3204">
            <v>6010</v>
          </cell>
          <cell r="G3204" t="str">
            <v>Reach_4415</v>
          </cell>
          <cell r="H3204">
            <v>3196</v>
          </cell>
          <cell r="J3204">
            <v>225.29</v>
          </cell>
          <cell r="K3204">
            <v>0</v>
          </cell>
          <cell r="L3204">
            <v>0</v>
          </cell>
          <cell r="M3204">
            <v>0</v>
          </cell>
          <cell r="N3204">
            <v>0</v>
          </cell>
          <cell r="Q3204">
            <v>14</v>
          </cell>
        </row>
        <row r="3205">
          <cell r="D3205" t="str">
            <v>53-43-0</v>
          </cell>
          <cell r="E3205">
            <v>53430</v>
          </cell>
          <cell r="F3205">
            <v>3101</v>
          </cell>
          <cell r="G3205" t="str">
            <v>Reach_20</v>
          </cell>
          <cell r="H3205">
            <v>3197</v>
          </cell>
          <cell r="J3205">
            <v>288.43</v>
          </cell>
          <cell r="K3205">
            <v>144.56</v>
          </cell>
          <cell r="L3205">
            <v>3.3458300000000002E-6</v>
          </cell>
          <cell r="M3205">
            <v>35.58</v>
          </cell>
          <cell r="N3205">
            <v>954.99258602143675</v>
          </cell>
          <cell r="O3205">
            <v>15.99</v>
          </cell>
          <cell r="Q3205">
            <v>14</v>
          </cell>
        </row>
        <row r="3206">
          <cell r="D3206" t="str">
            <v>13185-09-6</v>
          </cell>
          <cell r="E3206">
            <v>13185096</v>
          </cell>
          <cell r="F3206">
            <v>5663</v>
          </cell>
          <cell r="G3206" t="str">
            <v>Reach_2325</v>
          </cell>
          <cell r="H3206">
            <v>3198</v>
          </cell>
          <cell r="J3206">
            <v>247.26</v>
          </cell>
          <cell r="K3206">
            <v>0</v>
          </cell>
          <cell r="L3206">
            <v>0</v>
          </cell>
          <cell r="M3206">
            <v>0</v>
          </cell>
          <cell r="N3206">
            <v>0</v>
          </cell>
          <cell r="Q3206">
            <v>14</v>
          </cell>
        </row>
        <row r="3207">
          <cell r="D3207" t="str">
            <v>506-30-9</v>
          </cell>
          <cell r="E3207">
            <v>506309</v>
          </cell>
          <cell r="F3207">
            <v>3012</v>
          </cell>
          <cell r="G3207" t="str">
            <v>Reach_1310</v>
          </cell>
          <cell r="H3207">
            <v>3199</v>
          </cell>
          <cell r="J3207">
            <v>312.54000000000002</v>
          </cell>
          <cell r="K3207">
            <v>149.51</v>
          </cell>
          <cell r="L3207">
            <v>1.9328500000000002E-2</v>
          </cell>
          <cell r="M3207">
            <v>2.2154000000000002E-3</v>
          </cell>
          <cell r="N3207">
            <v>851138038.20237648</v>
          </cell>
          <cell r="O3207">
            <v>4.9000000000000004</v>
          </cell>
          <cell r="P3207">
            <v>0</v>
          </cell>
          <cell r="Q3207">
            <v>4.9000000000000004</v>
          </cell>
        </row>
        <row r="3208">
          <cell r="D3208" t="str">
            <v>84281-74-3</v>
          </cell>
          <cell r="E3208">
            <v>84281743</v>
          </cell>
          <cell r="F3208">
            <v>3859</v>
          </cell>
          <cell r="G3208" t="str">
            <v>Reach_2970</v>
          </cell>
          <cell r="H3208">
            <v>3200</v>
          </cell>
          <cell r="J3208">
            <v>346.41</v>
          </cell>
          <cell r="K3208">
            <v>252.36</v>
          </cell>
          <cell r="L3208">
            <v>8.0379900000000005E-11</v>
          </cell>
          <cell r="M3208">
            <v>35.298999999999999</v>
          </cell>
          <cell r="N3208">
            <v>181.9700858609983</v>
          </cell>
          <cell r="P3208">
            <v>8.8800000000000008</v>
          </cell>
          <cell r="Q3208">
            <v>5.1199999999999992</v>
          </cell>
        </row>
        <row r="3209">
          <cell r="D3209" t="str">
            <v>507-09-5</v>
          </cell>
          <cell r="E3209">
            <v>507095</v>
          </cell>
          <cell r="F3209">
            <v>3016</v>
          </cell>
          <cell r="G3209" t="str">
            <v>Reach_1315</v>
          </cell>
          <cell r="H3209">
            <v>3201</v>
          </cell>
          <cell r="J3209">
            <v>76.117000000000004</v>
          </cell>
          <cell r="K3209">
            <v>-30.2</v>
          </cell>
          <cell r="L3209">
            <v>614.51300000000015</v>
          </cell>
          <cell r="M3209">
            <v>119000</v>
          </cell>
          <cell r="N3209">
            <v>2.3988329190194908</v>
          </cell>
          <cell r="O3209">
            <v>3.4</v>
          </cell>
          <cell r="Q3209">
            <v>3.4</v>
          </cell>
        </row>
        <row r="3210">
          <cell r="D3210" t="str">
            <v>67075-37-0</v>
          </cell>
          <cell r="E3210">
            <v>67075370</v>
          </cell>
          <cell r="F3210">
            <v>3484</v>
          </cell>
          <cell r="G3210" t="str">
            <v>Reach_2884</v>
          </cell>
          <cell r="H3210">
            <v>3202</v>
          </cell>
          <cell r="J3210">
            <v>598.66</v>
          </cell>
          <cell r="K3210">
            <v>349.84</v>
          </cell>
          <cell r="L3210">
            <v>1.63959E-23</v>
          </cell>
          <cell r="M3210">
            <v>3.27E-7</v>
          </cell>
          <cell r="N3210">
            <v>380189396.32056242</v>
          </cell>
          <cell r="P3210">
            <v>12.94</v>
          </cell>
          <cell r="Q3210">
            <v>1.0600000000000005</v>
          </cell>
        </row>
        <row r="3211">
          <cell r="D3211" t="str">
            <v>58798-47-3</v>
          </cell>
          <cell r="E3211">
            <v>58798473</v>
          </cell>
          <cell r="F3211">
            <v>5941</v>
          </cell>
          <cell r="G3211" t="str">
            <v>Reach_2832</v>
          </cell>
          <cell r="H3211">
            <v>3203</v>
          </cell>
          <cell r="J3211">
            <v>381.48</v>
          </cell>
          <cell r="K3211">
            <v>0</v>
          </cell>
          <cell r="L3211">
            <v>0</v>
          </cell>
          <cell r="M3211">
            <v>0</v>
          </cell>
          <cell r="N3211">
            <v>0</v>
          </cell>
          <cell r="Q3211">
            <v>14</v>
          </cell>
        </row>
        <row r="3212">
          <cell r="D3212" t="str">
            <v>381-73-7</v>
          </cell>
          <cell r="E3212">
            <v>381737</v>
          </cell>
          <cell r="F3212">
            <v>2818</v>
          </cell>
          <cell r="G3212" t="str">
            <v>Reach_1262</v>
          </cell>
          <cell r="H3212">
            <v>3204</v>
          </cell>
          <cell r="J3212">
            <v>96.031999999999996</v>
          </cell>
          <cell r="K3212">
            <v>-30.94</v>
          </cell>
          <cell r="L3212">
            <v>1165.0420000000001</v>
          </cell>
          <cell r="M3212">
            <v>1730000</v>
          </cell>
          <cell r="N3212">
            <v>0.77624711662869172</v>
          </cell>
          <cell r="O3212">
            <v>1.6</v>
          </cell>
          <cell r="Q3212">
            <v>1.6</v>
          </cell>
        </row>
        <row r="3213">
          <cell r="D3213" t="str">
            <v>552-89-6</v>
          </cell>
          <cell r="E3213">
            <v>552896</v>
          </cell>
          <cell r="F3213">
            <v>697</v>
          </cell>
          <cell r="G3213" t="str">
            <v>Reach_1360</v>
          </cell>
          <cell r="H3213">
            <v>3205</v>
          </cell>
          <cell r="J3213">
            <v>151.12</v>
          </cell>
          <cell r="K3213">
            <v>69.48</v>
          </cell>
          <cell r="L3213">
            <v>0.83979000000000004</v>
          </cell>
          <cell r="M3213">
            <v>1094.5</v>
          </cell>
          <cell r="N3213">
            <v>33.884415613920268</v>
          </cell>
          <cell r="Q3213">
            <v>14</v>
          </cell>
        </row>
        <row r="3214">
          <cell r="D3214" t="str">
            <v>53-16-7</v>
          </cell>
          <cell r="E3214">
            <v>53167</v>
          </cell>
          <cell r="F3214">
            <v>61</v>
          </cell>
          <cell r="G3214" t="str">
            <v>Reach_19</v>
          </cell>
          <cell r="H3214">
            <v>3206</v>
          </cell>
          <cell r="J3214">
            <v>270.37</v>
          </cell>
          <cell r="K3214">
            <v>153.08000000000001</v>
          </cell>
          <cell r="L3214">
            <v>0.67849700000000002</v>
          </cell>
          <cell r="M3214">
            <v>8.2771000000000008</v>
          </cell>
          <cell r="N3214">
            <v>2691.5348039269184</v>
          </cell>
          <cell r="O3214">
            <v>9.92</v>
          </cell>
          <cell r="Q3214">
            <v>9.92</v>
          </cell>
        </row>
        <row r="3215">
          <cell r="D3215" t="str">
            <v>120-35-4</v>
          </cell>
          <cell r="E3215">
            <v>120354</v>
          </cell>
          <cell r="F3215">
            <v>1710</v>
          </cell>
          <cell r="G3215" t="str">
            <v>Reach_992</v>
          </cell>
          <cell r="H3215">
            <v>3207</v>
          </cell>
          <cell r="J3215">
            <v>242.28</v>
          </cell>
          <cell r="K3215">
            <v>186.77</v>
          </cell>
          <cell r="L3215">
            <v>1.7995500000000002E-6</v>
          </cell>
          <cell r="M3215">
            <v>47.917999999999999</v>
          </cell>
          <cell r="N3215">
            <v>72.443596007499067</v>
          </cell>
          <cell r="O3215">
            <v>15.04</v>
          </cell>
          <cell r="P3215">
            <v>10.67</v>
          </cell>
          <cell r="Q3215">
            <v>3.33</v>
          </cell>
        </row>
        <row r="3216">
          <cell r="D3216" t="str">
            <v>78952-61-1</v>
          </cell>
          <cell r="E3216">
            <v>78952611</v>
          </cell>
          <cell r="F3216">
            <v>6040</v>
          </cell>
          <cell r="G3216" t="str">
            <v>Reach_2955</v>
          </cell>
          <cell r="H3216">
            <v>3208</v>
          </cell>
          <cell r="J3216">
            <v>984.22</v>
          </cell>
          <cell r="K3216">
            <v>0</v>
          </cell>
          <cell r="L3216">
            <v>0</v>
          </cell>
          <cell r="M3216">
            <v>0</v>
          </cell>
          <cell r="N3216">
            <v>0</v>
          </cell>
          <cell r="Q3216">
            <v>14</v>
          </cell>
        </row>
        <row r="3217">
          <cell r="D3217" t="str">
            <v>27665-39-0</v>
          </cell>
          <cell r="E3217">
            <v>27665390</v>
          </cell>
          <cell r="F3217">
            <v>2514</v>
          </cell>
          <cell r="G3217" t="str">
            <v>Reach_4906</v>
          </cell>
          <cell r="H3217">
            <v>3209</v>
          </cell>
          <cell r="J3217">
            <v>218.25</v>
          </cell>
          <cell r="K3217">
            <v>160.59</v>
          </cell>
          <cell r="L3217">
            <v>1.2623510000000001E-7</v>
          </cell>
          <cell r="M3217">
            <v>218000</v>
          </cell>
          <cell r="N3217">
            <v>1.2302687708123809E-2</v>
          </cell>
          <cell r="Q3217">
            <v>14</v>
          </cell>
        </row>
        <row r="3218">
          <cell r="D3218" t="str">
            <v>83524-75-8</v>
          </cell>
          <cell r="E3218">
            <v>83524758</v>
          </cell>
          <cell r="F3218">
            <v>3848</v>
          </cell>
          <cell r="G3218" t="str">
            <v>Reach_2967</v>
          </cell>
          <cell r="H3218">
            <v>3210</v>
          </cell>
          <cell r="J3218">
            <v>630.66</v>
          </cell>
          <cell r="K3218">
            <v>349.84</v>
          </cell>
          <cell r="L3218">
            <v>3.3858200000000004E-24</v>
          </cell>
          <cell r="M3218">
            <v>9.6700000000000002E-7</v>
          </cell>
          <cell r="N3218">
            <v>57543993.73371572</v>
          </cell>
          <cell r="P3218">
            <v>12.98</v>
          </cell>
          <cell r="Q3218">
            <v>1.0199999999999996</v>
          </cell>
        </row>
        <row r="3219">
          <cell r="D3219" t="str">
            <v>1948-33-0</v>
          </cell>
          <cell r="E3219">
            <v>1948330</v>
          </cell>
          <cell r="F3219">
            <v>523</v>
          </cell>
          <cell r="G3219" t="str">
            <v>Reach_1737</v>
          </cell>
          <cell r="H3219">
            <v>3211</v>
          </cell>
          <cell r="J3219">
            <v>166.22</v>
          </cell>
          <cell r="K3219">
            <v>83.28</v>
          </cell>
          <cell r="L3219">
            <v>1.6529200000000001E-2</v>
          </cell>
          <cell r="M3219">
            <v>1025.8</v>
          </cell>
          <cell r="N3219">
            <v>870.96358995608091</v>
          </cell>
          <cell r="O3219">
            <v>10.1</v>
          </cell>
          <cell r="Q3219">
            <v>10.1</v>
          </cell>
        </row>
        <row r="3220">
          <cell r="D3220" t="str">
            <v>52671-72-4</v>
          </cell>
          <cell r="E3220">
            <v>52671724</v>
          </cell>
          <cell r="F3220">
            <v>3067</v>
          </cell>
          <cell r="G3220" t="str">
            <v>Reach_4548</v>
          </cell>
          <cell r="H3220">
            <v>3212</v>
          </cell>
          <cell r="J3220">
            <v>286.19</v>
          </cell>
          <cell r="K3220">
            <v>215.89</v>
          </cell>
          <cell r="L3220">
            <v>2.23944E-8</v>
          </cell>
          <cell r="M3220">
            <v>48.917000000000002</v>
          </cell>
          <cell r="N3220">
            <v>1023.2929922807547</v>
          </cell>
          <cell r="O3220">
            <v>2.13</v>
          </cell>
          <cell r="Q3220">
            <v>2.13</v>
          </cell>
        </row>
        <row r="3221">
          <cell r="D3221" t="str">
            <v>13223-43-3</v>
          </cell>
          <cell r="E3221">
            <v>13223433</v>
          </cell>
          <cell r="F3221">
            <v>1856</v>
          </cell>
          <cell r="G3221" t="str">
            <v>Reach_4124</v>
          </cell>
          <cell r="H3221">
            <v>3213</v>
          </cell>
          <cell r="J3221">
            <v>195.19</v>
          </cell>
          <cell r="K3221">
            <v>141.24</v>
          </cell>
          <cell r="L3221">
            <v>1.3729900000000001E-3</v>
          </cell>
          <cell r="M3221">
            <v>62163</v>
          </cell>
          <cell r="N3221">
            <v>19.054607179632477</v>
          </cell>
          <cell r="P3221">
            <v>9.4</v>
          </cell>
          <cell r="Q3221">
            <v>4.5999999999999996</v>
          </cell>
        </row>
        <row r="3222">
          <cell r="D3222" t="str">
            <v>5280-66-0</v>
          </cell>
          <cell r="E3222">
            <v>5280660</v>
          </cell>
          <cell r="F3222">
            <v>5916</v>
          </cell>
          <cell r="G3222" t="str">
            <v>Reach_2089</v>
          </cell>
          <cell r="H3222">
            <v>3214</v>
          </cell>
          <cell r="J3222">
            <v>475.77</v>
          </cell>
          <cell r="K3222">
            <v>0</v>
          </cell>
          <cell r="L3222">
            <v>0</v>
          </cell>
          <cell r="M3222">
            <v>0</v>
          </cell>
          <cell r="N3222">
            <v>0</v>
          </cell>
          <cell r="Q3222">
            <v>14</v>
          </cell>
        </row>
        <row r="3223">
          <cell r="D3223" t="str">
            <v>12225-08-0</v>
          </cell>
          <cell r="E3223">
            <v>12225080</v>
          </cell>
          <cell r="F3223">
            <v>1744</v>
          </cell>
          <cell r="G3223" t="str">
            <v>Reach_2304</v>
          </cell>
          <cell r="H3223">
            <v>3215</v>
          </cell>
          <cell r="J3223">
            <v>576.59</v>
          </cell>
          <cell r="K3223">
            <v>349.84</v>
          </cell>
          <cell r="L3223">
            <v>8.6778300000000007E-22</v>
          </cell>
          <cell r="M3223">
            <v>3.2321000000000003E-2</v>
          </cell>
          <cell r="N3223">
            <v>323593.65692962846</v>
          </cell>
          <cell r="O3223">
            <v>9.18</v>
          </cell>
          <cell r="P3223">
            <v>15.74</v>
          </cell>
          <cell r="Q3223">
            <v>-1.7400000000000002</v>
          </cell>
        </row>
        <row r="3224">
          <cell r="D3224" t="str">
            <v>174489-76-0</v>
          </cell>
          <cell r="E3224">
            <v>174489760</v>
          </cell>
          <cell r="F3224">
            <v>2138</v>
          </cell>
          <cell r="G3224" t="str">
            <v>Reach_4713</v>
          </cell>
          <cell r="H3224">
            <v>3216</v>
          </cell>
          <cell r="J3224">
            <v>327.72</v>
          </cell>
          <cell r="K3224">
            <v>122.47</v>
          </cell>
          <cell r="L3224">
            <v>4.3189200000000002E-4</v>
          </cell>
          <cell r="M3224">
            <v>7.3655999999999997</v>
          </cell>
          <cell r="N3224">
            <v>3548.1338923357539</v>
          </cell>
          <cell r="O3224">
            <v>0</v>
          </cell>
          <cell r="P3224">
            <v>0</v>
          </cell>
          <cell r="Q3224">
            <v>0</v>
          </cell>
        </row>
        <row r="3225">
          <cell r="D3225" t="str">
            <v>31098-20-1</v>
          </cell>
          <cell r="E3225">
            <v>31098201</v>
          </cell>
          <cell r="F3225">
            <v>5837</v>
          </cell>
          <cell r="G3225" t="str">
            <v>Reach_2652</v>
          </cell>
          <cell r="H3225">
            <v>3217</v>
          </cell>
          <cell r="J3225">
            <v>232.3</v>
          </cell>
          <cell r="K3225">
            <v>0</v>
          </cell>
          <cell r="L3225">
            <v>0</v>
          </cell>
          <cell r="M3225">
            <v>0</v>
          </cell>
          <cell r="N3225">
            <v>0</v>
          </cell>
          <cell r="Q3225">
            <v>14</v>
          </cell>
        </row>
        <row r="3226">
          <cell r="D3226" t="str">
            <v>35052-92-7</v>
          </cell>
          <cell r="E3226">
            <v>35052927</v>
          </cell>
          <cell r="F3226">
            <v>5854</v>
          </cell>
          <cell r="G3226" t="str">
            <v>Reach_4287</v>
          </cell>
          <cell r="H3226">
            <v>3218</v>
          </cell>
          <cell r="J3226">
            <v>239.32</v>
          </cell>
          <cell r="K3226">
            <v>0</v>
          </cell>
          <cell r="L3226">
            <v>0</v>
          </cell>
          <cell r="M3226">
            <v>0</v>
          </cell>
          <cell r="N3226">
            <v>0</v>
          </cell>
          <cell r="O3226">
            <v>0</v>
          </cell>
          <cell r="P3226">
            <v>0</v>
          </cell>
          <cell r="Q3226">
            <v>0</v>
          </cell>
        </row>
        <row r="3227">
          <cell r="D3227" t="str">
            <v>3179-80-4</v>
          </cell>
          <cell r="E3227">
            <v>3179804</v>
          </cell>
          <cell r="F3227">
            <v>2638</v>
          </cell>
          <cell r="G3227" t="str">
            <v>Reach_1930</v>
          </cell>
          <cell r="H3227">
            <v>3219</v>
          </cell>
          <cell r="J3227">
            <v>284.49</v>
          </cell>
          <cell r="K3227">
            <v>150.12</v>
          </cell>
          <cell r="L3227">
            <v>3.9590100000000006E-5</v>
          </cell>
          <cell r="M3227">
            <v>0.87446999999999997</v>
          </cell>
          <cell r="N3227">
            <v>25118.86431509586</v>
          </cell>
          <cell r="O3227">
            <v>14.77</v>
          </cell>
          <cell r="P3227">
            <v>4.8</v>
          </cell>
          <cell r="Q3227">
            <v>9.1999999999999993</v>
          </cell>
        </row>
        <row r="3228">
          <cell r="D3228" t="str">
            <v>598-50-5</v>
          </cell>
          <cell r="E3228">
            <v>598505</v>
          </cell>
          <cell r="F3228">
            <v>3289</v>
          </cell>
          <cell r="G3228" t="str">
            <v>Reach_1402</v>
          </cell>
          <cell r="H3228">
            <v>3220</v>
          </cell>
          <cell r="J3228">
            <v>74.084999999999994</v>
          </cell>
          <cell r="K3228">
            <v>11.01</v>
          </cell>
          <cell r="L3228">
            <v>22.927600000000002</v>
          </cell>
          <cell r="M3228">
            <v>369000</v>
          </cell>
          <cell r="N3228">
            <v>8.1283051616409904E-2</v>
          </cell>
          <cell r="O3228">
            <v>14.3</v>
          </cell>
          <cell r="Q3228">
            <v>14</v>
          </cell>
        </row>
        <row r="3229">
          <cell r="D3229" t="str">
            <v>12238-31-2</v>
          </cell>
          <cell r="E3229">
            <v>12238312</v>
          </cell>
          <cell r="F3229">
            <v>5629</v>
          </cell>
          <cell r="G3229" t="str">
            <v>Reach_2310</v>
          </cell>
          <cell r="H3229">
            <v>3221</v>
          </cell>
          <cell r="J3229">
            <v>475.77</v>
          </cell>
          <cell r="K3229">
            <v>0</v>
          </cell>
          <cell r="L3229">
            <v>0</v>
          </cell>
          <cell r="M3229">
            <v>0</v>
          </cell>
          <cell r="N3229">
            <v>0</v>
          </cell>
          <cell r="Q3229">
            <v>14</v>
          </cell>
        </row>
        <row r="3230">
          <cell r="D3230" t="str">
            <v>91-96-3</v>
          </cell>
          <cell r="E3230">
            <v>91963</v>
          </cell>
          <cell r="F3230">
            <v>4024</v>
          </cell>
          <cell r="G3230" t="str">
            <v>Reach_381</v>
          </cell>
          <cell r="H3230">
            <v>3222</v>
          </cell>
          <cell r="J3230">
            <v>380.45</v>
          </cell>
          <cell r="K3230">
            <v>277.32</v>
          </cell>
          <cell r="L3230">
            <v>1.50629E-4</v>
          </cell>
          <cell r="M3230">
            <v>24.661999999999999</v>
          </cell>
          <cell r="N3230">
            <v>56.234132519034915</v>
          </cell>
          <cell r="O3230">
            <v>10.36</v>
          </cell>
          <cell r="P3230">
            <v>13.07</v>
          </cell>
          <cell r="Q3230">
            <v>0.92999999999999972</v>
          </cell>
        </row>
        <row r="3231">
          <cell r="D3231" t="str">
            <v>19223-55-3</v>
          </cell>
          <cell r="E3231">
            <v>19223553</v>
          </cell>
          <cell r="F3231">
            <v>5755</v>
          </cell>
          <cell r="G3231" t="str">
            <v>Reach_2475</v>
          </cell>
          <cell r="H3231">
            <v>3223</v>
          </cell>
          <cell r="J3231">
            <v>440.65</v>
          </cell>
          <cell r="K3231">
            <v>0</v>
          </cell>
          <cell r="L3231">
            <v>0</v>
          </cell>
          <cell r="M3231">
            <v>0</v>
          </cell>
          <cell r="N3231">
            <v>0</v>
          </cell>
          <cell r="Q3231">
            <v>14</v>
          </cell>
        </row>
        <row r="3232">
          <cell r="D3232" t="str">
            <v>34206-40-1</v>
          </cell>
          <cell r="E3232">
            <v>34206401</v>
          </cell>
          <cell r="F3232">
            <v>2694</v>
          </cell>
          <cell r="G3232" t="str">
            <v>Reach_2673</v>
          </cell>
          <cell r="H3232">
            <v>3224</v>
          </cell>
          <cell r="J3232">
            <v>372.55</v>
          </cell>
          <cell r="K3232">
            <v>42.14</v>
          </cell>
          <cell r="L3232">
            <v>1.3196700000000002E-3</v>
          </cell>
          <cell r="M3232">
            <v>0.78744999999999998</v>
          </cell>
          <cell r="N3232">
            <v>1202264434617.415</v>
          </cell>
          <cell r="Q3232">
            <v>14</v>
          </cell>
        </row>
        <row r="3233">
          <cell r="D3233" t="str">
            <v>35636-63-6</v>
          </cell>
          <cell r="E3233">
            <v>35636636</v>
          </cell>
          <cell r="F3233">
            <v>2742</v>
          </cell>
          <cell r="G3233" t="str">
            <v>Reach_2692</v>
          </cell>
          <cell r="H3233">
            <v>3225</v>
          </cell>
          <cell r="J3233">
            <v>453.42</v>
          </cell>
          <cell r="K3233">
            <v>287.82</v>
          </cell>
          <cell r="L3233">
            <v>2.9592600000000005E-13</v>
          </cell>
          <cell r="M3233">
            <v>37.656999999999996</v>
          </cell>
          <cell r="N3233">
            <v>75.857757502918361</v>
          </cell>
          <cell r="O3233">
            <v>8.57</v>
          </cell>
          <cell r="P3233">
            <v>12.04</v>
          </cell>
          <cell r="Q3233">
            <v>1.9600000000000009</v>
          </cell>
        </row>
        <row r="3234">
          <cell r="D3234" t="str">
            <v>107-58-4</v>
          </cell>
          <cell r="E3234">
            <v>107584</v>
          </cell>
          <cell r="F3234">
            <v>1466</v>
          </cell>
          <cell r="G3234" t="str">
            <v>Reach_712</v>
          </cell>
          <cell r="H3234">
            <v>3226</v>
          </cell>
          <cell r="J3234">
            <v>127.19</v>
          </cell>
          <cell r="K3234">
            <v>57.04</v>
          </cell>
          <cell r="L3234">
            <v>0.38523700000000005</v>
          </cell>
          <cell r="M3234">
            <v>6564</v>
          </cell>
          <cell r="N3234">
            <v>10.471285480509</v>
          </cell>
          <cell r="O3234">
            <v>15.1</v>
          </cell>
          <cell r="P3234">
            <v>14.4</v>
          </cell>
          <cell r="Q3234">
            <v>-0.40000000000000036</v>
          </cell>
        </row>
        <row r="3235">
          <cell r="D3235" t="str">
            <v>90268-23-8</v>
          </cell>
          <cell r="E3235">
            <v>90268238</v>
          </cell>
          <cell r="F3235">
            <v>3995</v>
          </cell>
          <cell r="G3235" t="str">
            <v>Reach_2991</v>
          </cell>
          <cell r="H3235">
            <v>3227</v>
          </cell>
          <cell r="J3235">
            <v>659.54</v>
          </cell>
          <cell r="K3235">
            <v>349.84</v>
          </cell>
          <cell r="L3235">
            <v>2.65267E-20</v>
          </cell>
          <cell r="M3235">
            <v>1.0170000000000001E-4</v>
          </cell>
          <cell r="N3235">
            <v>13489628.825916575</v>
          </cell>
          <cell r="Q3235">
            <v>14</v>
          </cell>
        </row>
        <row r="3236">
          <cell r="D3236" t="str">
            <v>174489-43-1</v>
          </cell>
          <cell r="E3236">
            <v>174489431</v>
          </cell>
          <cell r="F3236">
            <v>2137</v>
          </cell>
          <cell r="G3236" t="str">
            <v>Reach_4714</v>
          </cell>
          <cell r="H3236">
            <v>3228</v>
          </cell>
          <cell r="J3236">
            <v>297.74</v>
          </cell>
          <cell r="K3236">
            <v>96.52</v>
          </cell>
          <cell r="L3236">
            <v>1.6795800000000002E-3</v>
          </cell>
          <cell r="M3236">
            <v>49.881</v>
          </cell>
          <cell r="N3236">
            <v>1621.8100973589308</v>
          </cell>
          <cell r="P3236">
            <v>11.33</v>
          </cell>
          <cell r="Q3236">
            <v>2.67</v>
          </cell>
        </row>
        <row r="3237">
          <cell r="D3237" t="str">
            <v>101-80-4</v>
          </cell>
          <cell r="E3237">
            <v>101804</v>
          </cell>
          <cell r="F3237">
            <v>1329</v>
          </cell>
          <cell r="G3237" t="str">
            <v>Reach_583</v>
          </cell>
          <cell r="H3237">
            <v>3229</v>
          </cell>
          <cell r="J3237">
            <v>200.24</v>
          </cell>
          <cell r="K3237">
            <v>130.46</v>
          </cell>
          <cell r="L3237">
            <v>3.3724900000000002E-4</v>
          </cell>
          <cell r="M3237">
            <v>3169.8</v>
          </cell>
          <cell r="N3237">
            <v>165.95869074375622</v>
          </cell>
          <cell r="P3237">
            <v>8.6199999999999992</v>
          </cell>
          <cell r="Q3237">
            <v>5.3800000000000008</v>
          </cell>
        </row>
        <row r="3238">
          <cell r="D3238" t="str">
            <v>36589-61-4</v>
          </cell>
          <cell r="E3238">
            <v>36589614</v>
          </cell>
          <cell r="F3238">
            <v>5860</v>
          </cell>
          <cell r="G3238" t="str">
            <v>Reach_4295</v>
          </cell>
          <cell r="H3238">
            <v>3230</v>
          </cell>
          <cell r="J3238">
            <v>240.23</v>
          </cell>
          <cell r="K3238">
            <v>0</v>
          </cell>
          <cell r="L3238">
            <v>0</v>
          </cell>
          <cell r="M3238">
            <v>0</v>
          </cell>
          <cell r="N3238">
            <v>0</v>
          </cell>
          <cell r="Q3238">
            <v>14</v>
          </cell>
        </row>
        <row r="3239">
          <cell r="D3239" t="str">
            <v>68684-63-9</v>
          </cell>
          <cell r="E3239">
            <v>68684639</v>
          </cell>
          <cell r="F3239">
            <v>3524</v>
          </cell>
          <cell r="G3239" t="str">
            <v>Reach_4400</v>
          </cell>
          <cell r="H3239">
            <v>3231</v>
          </cell>
          <cell r="J3239">
            <v>300.39999999999998</v>
          </cell>
          <cell r="K3239">
            <v>160.13</v>
          </cell>
          <cell r="L3239">
            <v>1.254353E-6</v>
          </cell>
          <cell r="M3239">
            <v>0.13300000000000001</v>
          </cell>
          <cell r="N3239">
            <v>1096478.196143186</v>
          </cell>
          <cell r="O3239">
            <v>10.01</v>
          </cell>
          <cell r="Q3239">
            <v>10.01</v>
          </cell>
        </row>
        <row r="3240">
          <cell r="D3240" t="str">
            <v>1054448-65-5</v>
          </cell>
          <cell r="E3240">
            <v>1054448655</v>
          </cell>
          <cell r="F3240">
            <v>5595</v>
          </cell>
          <cell r="G3240" t="str">
            <v>Reach_4975</v>
          </cell>
          <cell r="H3240">
            <v>3232</v>
          </cell>
          <cell r="J3240">
            <v>798.91</v>
          </cell>
          <cell r="K3240">
            <v>0</v>
          </cell>
          <cell r="L3240">
            <v>0</v>
          </cell>
          <cell r="M3240">
            <v>0</v>
          </cell>
          <cell r="N3240">
            <v>0</v>
          </cell>
          <cell r="Q3240">
            <v>14</v>
          </cell>
        </row>
        <row r="3241">
          <cell r="D3241" t="str">
            <v>136890-21-6</v>
          </cell>
          <cell r="E3241">
            <v>136890216</v>
          </cell>
          <cell r="F3241">
            <v>1904</v>
          </cell>
          <cell r="G3241" t="str">
            <v>Reach_4136</v>
          </cell>
          <cell r="H3241">
            <v>3233</v>
          </cell>
          <cell r="J3241">
            <v>352.56</v>
          </cell>
          <cell r="K3241">
            <v>188.2</v>
          </cell>
          <cell r="L3241">
            <v>1.5862700000000001E-9</v>
          </cell>
          <cell r="M3241">
            <v>5.9255000000000002E-2</v>
          </cell>
          <cell r="N3241">
            <v>26302679.918953825</v>
          </cell>
          <cell r="O3241">
            <v>13</v>
          </cell>
          <cell r="Q3241">
            <v>13</v>
          </cell>
        </row>
        <row r="3242">
          <cell r="D3242" t="str">
            <v>976-71-6</v>
          </cell>
          <cell r="E3242">
            <v>976716</v>
          </cell>
          <cell r="F3242">
            <v>4170</v>
          </cell>
          <cell r="G3242" t="str">
            <v>Reach_1623</v>
          </cell>
          <cell r="H3242">
            <v>3234</v>
          </cell>
          <cell r="J3242">
            <v>340.46</v>
          </cell>
          <cell r="K3242">
            <v>188.44</v>
          </cell>
          <cell r="L3242">
            <v>2.5060400000000001E-6</v>
          </cell>
          <cell r="M3242">
            <v>40.945</v>
          </cell>
          <cell r="N3242">
            <v>10715.193052376071</v>
          </cell>
          <cell r="Q3242">
            <v>14</v>
          </cell>
        </row>
        <row r="3243">
          <cell r="D3243" t="str">
            <v>90341-71-2</v>
          </cell>
          <cell r="E3243">
            <v>90341712</v>
          </cell>
          <cell r="F3243">
            <v>6079</v>
          </cell>
          <cell r="G3243" t="str">
            <v>Reach_2993</v>
          </cell>
          <cell r="H3243">
            <v>3235</v>
          </cell>
          <cell r="J3243">
            <v>858.13</v>
          </cell>
          <cell r="K3243">
            <v>0</v>
          </cell>
          <cell r="L3243">
            <v>0</v>
          </cell>
          <cell r="M3243">
            <v>0</v>
          </cell>
          <cell r="N3243">
            <v>0</v>
          </cell>
          <cell r="Q3243">
            <v>14</v>
          </cell>
        </row>
        <row r="3244">
          <cell r="D3244" t="str">
            <v>112-95-8</v>
          </cell>
          <cell r="E3244">
            <v>112958</v>
          </cell>
          <cell r="F3244">
            <v>1613</v>
          </cell>
          <cell r="G3244" t="str">
            <v>Reach_931</v>
          </cell>
          <cell r="H3244">
            <v>3236</v>
          </cell>
          <cell r="J3244">
            <v>282.56</v>
          </cell>
          <cell r="K3244">
            <v>51.84</v>
          </cell>
          <cell r="L3244">
            <v>4.1323000000000006E-2</v>
          </cell>
          <cell r="M3244">
            <v>1.078E-4</v>
          </cell>
          <cell r="N3244">
            <v>14454397707.459311</v>
          </cell>
          <cell r="Q3244">
            <v>14</v>
          </cell>
        </row>
        <row r="3245">
          <cell r="D3245" t="str">
            <v>669005-94-1</v>
          </cell>
          <cell r="E3245">
            <v>669005941</v>
          </cell>
          <cell r="F3245">
            <v>3483</v>
          </cell>
          <cell r="G3245" t="str">
            <v>Reach_3737</v>
          </cell>
          <cell r="H3245">
            <v>3237</v>
          </cell>
          <cell r="J3245">
            <v>500.53</v>
          </cell>
          <cell r="K3245">
            <v>260.61</v>
          </cell>
          <cell r="L3245">
            <v>2.1994500000000003E-11</v>
          </cell>
          <cell r="M3245">
            <v>2.05E-5</v>
          </cell>
          <cell r="N3245">
            <v>2570395782.7688704</v>
          </cell>
          <cell r="Q3245">
            <v>14</v>
          </cell>
        </row>
        <row r="3246">
          <cell r="D3246" t="str">
            <v>41672-81-5</v>
          </cell>
          <cell r="E3246">
            <v>41672815</v>
          </cell>
          <cell r="F3246">
            <v>2882</v>
          </cell>
          <cell r="G3246" t="str">
            <v>Reach_2746</v>
          </cell>
          <cell r="H3246">
            <v>3238</v>
          </cell>
          <cell r="J3246">
            <v>607.96</v>
          </cell>
          <cell r="K3246">
            <v>298.58999999999997</v>
          </cell>
          <cell r="L3246">
            <v>5.2653500000000009E-14</v>
          </cell>
          <cell r="M3246">
            <v>2.9099999999999999E-8</v>
          </cell>
          <cell r="N3246">
            <v>15848931924611.164</v>
          </cell>
          <cell r="O3246">
            <v>2.99</v>
          </cell>
          <cell r="Q3246">
            <v>2.99</v>
          </cell>
        </row>
        <row r="3247">
          <cell r="D3247" t="str">
            <v>100556-82-9</v>
          </cell>
          <cell r="E3247">
            <v>100556829</v>
          </cell>
          <cell r="F3247">
            <v>5591</v>
          </cell>
          <cell r="G3247" t="str">
            <v>Reach_4699</v>
          </cell>
          <cell r="H3247">
            <v>3239</v>
          </cell>
          <cell r="J3247">
            <v>751.71</v>
          </cell>
          <cell r="K3247">
            <v>0</v>
          </cell>
          <cell r="L3247">
            <v>0</v>
          </cell>
          <cell r="M3247">
            <v>0</v>
          </cell>
          <cell r="N3247">
            <v>0</v>
          </cell>
          <cell r="Q3247">
            <v>14</v>
          </cell>
        </row>
        <row r="3248">
          <cell r="D3248" t="str">
            <v>160232-08-6</v>
          </cell>
          <cell r="E3248">
            <v>160232086</v>
          </cell>
          <cell r="F3248">
            <v>2072</v>
          </cell>
          <cell r="G3248" t="str">
            <v>Reach_4170</v>
          </cell>
          <cell r="H3248">
            <v>3240</v>
          </cell>
          <cell r="J3248">
            <v>336.48</v>
          </cell>
          <cell r="K3248">
            <v>151.83000000000001</v>
          </cell>
          <cell r="L3248">
            <v>4.8654499999999999E-7</v>
          </cell>
          <cell r="M3248">
            <v>6.8876999999999997</v>
          </cell>
          <cell r="N3248">
            <v>1905.4607179632485</v>
          </cell>
          <cell r="O3248">
            <v>10.88</v>
          </cell>
          <cell r="P3248">
            <v>4.46</v>
          </cell>
          <cell r="Q3248">
            <v>9.5399999999999991</v>
          </cell>
        </row>
        <row r="3249">
          <cell r="D3249" t="str">
            <v>41078-06-2</v>
          </cell>
          <cell r="E3249">
            <v>41078062</v>
          </cell>
          <cell r="F3249">
            <v>2869</v>
          </cell>
          <cell r="G3249" t="str">
            <v>Reach_2734</v>
          </cell>
          <cell r="H3249">
            <v>3241</v>
          </cell>
          <cell r="J3249">
            <v>155.16</v>
          </cell>
          <cell r="K3249">
            <v>171.02</v>
          </cell>
          <cell r="L3249">
            <v>1.8528700000000001E-5</v>
          </cell>
          <cell r="M3249">
            <v>39128</v>
          </cell>
          <cell r="N3249">
            <v>1.5848931924611136</v>
          </cell>
          <cell r="O3249">
            <v>7.11</v>
          </cell>
          <cell r="P3249">
            <v>15.13</v>
          </cell>
          <cell r="Q3249">
            <v>-1.1300000000000008</v>
          </cell>
        </row>
        <row r="3250">
          <cell r="D3250" t="str">
            <v>4431-83-8</v>
          </cell>
          <cell r="E3250">
            <v>4431838</v>
          </cell>
          <cell r="F3250">
            <v>2921</v>
          </cell>
          <cell r="G3250" t="str">
            <v>Reach_2034</v>
          </cell>
          <cell r="H3250">
            <v>3242</v>
          </cell>
          <cell r="J3250">
            <v>164.2</v>
          </cell>
          <cell r="K3250">
            <v>-9.51</v>
          </cell>
          <cell r="L3250">
            <v>117.03740000000001</v>
          </cell>
          <cell r="M3250">
            <v>86730</v>
          </cell>
          <cell r="N3250">
            <v>0.18197008586099833</v>
          </cell>
          <cell r="O3250">
            <v>0</v>
          </cell>
          <cell r="Q3250">
            <v>0</v>
          </cell>
        </row>
        <row r="3251">
          <cell r="D3251" t="str">
            <v>617-94-7</v>
          </cell>
          <cell r="E3251">
            <v>617947</v>
          </cell>
          <cell r="F3251">
            <v>3354</v>
          </cell>
          <cell r="G3251" t="str">
            <v>Reach_1437</v>
          </cell>
          <cell r="H3251">
            <v>3243</v>
          </cell>
          <cell r="J3251">
            <v>136.19</v>
          </cell>
          <cell r="K3251">
            <v>8.26</v>
          </cell>
          <cell r="L3251">
            <v>6.2384400000000007</v>
          </cell>
          <cell r="M3251">
            <v>40925</v>
          </cell>
          <cell r="N3251">
            <v>89.125093813374562</v>
          </cell>
          <cell r="O3251">
            <v>14.89</v>
          </cell>
          <cell r="Q3251">
            <v>14</v>
          </cell>
        </row>
        <row r="3252">
          <cell r="D3252" t="str">
            <v>134652-60-1</v>
          </cell>
          <cell r="E3252">
            <v>134652601</v>
          </cell>
          <cell r="F3252">
            <v>1880</v>
          </cell>
          <cell r="G3252" t="str">
            <v>Reach_4795</v>
          </cell>
          <cell r="H3252">
            <v>3244</v>
          </cell>
          <cell r="J3252">
            <v>242.44</v>
          </cell>
          <cell r="K3252">
            <v>-14.46</v>
          </cell>
          <cell r="L3252">
            <v>12.596850000000002</v>
          </cell>
          <cell r="M3252">
            <v>0</v>
          </cell>
          <cell r="N3252">
            <v>602559.58607435878</v>
          </cell>
          <cell r="Q3252">
            <v>14</v>
          </cell>
        </row>
        <row r="3253">
          <cell r="D3253" t="str">
            <v>109-75-1</v>
          </cell>
          <cell r="E3253">
            <v>109751</v>
          </cell>
          <cell r="F3253">
            <v>264</v>
          </cell>
          <cell r="G3253" t="str">
            <v>Reach_789</v>
          </cell>
          <cell r="H3253">
            <v>3245</v>
          </cell>
          <cell r="J3253">
            <v>67.091999999999999</v>
          </cell>
          <cell r="K3253">
            <v>-59.8</v>
          </cell>
          <cell r="L3253">
            <v>2186.12</v>
          </cell>
          <cell r="M3253">
            <v>36376</v>
          </cell>
          <cell r="N3253">
            <v>5.0118723362727229</v>
          </cell>
          <cell r="Q3253">
            <v>14</v>
          </cell>
        </row>
        <row r="3254">
          <cell r="D3254" t="str">
            <v>12286-65-6</v>
          </cell>
          <cell r="E3254">
            <v>12286656</v>
          </cell>
          <cell r="F3254">
            <v>5631</v>
          </cell>
          <cell r="G3254" t="str">
            <v>Reach_2311</v>
          </cell>
          <cell r="H3254">
            <v>3246</v>
          </cell>
          <cell r="J3254">
            <v>850.82</v>
          </cell>
          <cell r="K3254">
            <v>0</v>
          </cell>
          <cell r="L3254">
            <v>0</v>
          </cell>
          <cell r="M3254">
            <v>0</v>
          </cell>
          <cell r="N3254">
            <v>0</v>
          </cell>
          <cell r="Q3254">
            <v>14</v>
          </cell>
        </row>
        <row r="3255">
          <cell r="D3255" t="str">
            <v>1254333-41-9</v>
          </cell>
          <cell r="E3255">
            <v>1254333419</v>
          </cell>
          <cell r="F3255">
            <v>5642</v>
          </cell>
          <cell r="G3255" t="str">
            <v>Reach_4639</v>
          </cell>
          <cell r="H3255">
            <v>3247</v>
          </cell>
          <cell r="J3255">
            <v>1043.8</v>
          </cell>
          <cell r="K3255">
            <v>0</v>
          </cell>
          <cell r="L3255">
            <v>0</v>
          </cell>
          <cell r="M3255">
            <v>0</v>
          </cell>
          <cell r="N3255">
            <v>0</v>
          </cell>
          <cell r="P3255">
            <v>0</v>
          </cell>
          <cell r="Q3255">
            <v>14</v>
          </cell>
        </row>
        <row r="3256">
          <cell r="D3256" t="str">
            <v>102687-65-0</v>
          </cell>
          <cell r="E3256">
            <v>102687650</v>
          </cell>
          <cell r="F3256">
            <v>1351</v>
          </cell>
          <cell r="G3256" t="str">
            <v>Reach_4909</v>
          </cell>
          <cell r="H3256">
            <v>3248</v>
          </cell>
          <cell r="J3256">
            <v>130.5</v>
          </cell>
          <cell r="K3256">
            <v>-110.6</v>
          </cell>
          <cell r="L3256">
            <v>111305.50000000001</v>
          </cell>
          <cell r="M3256">
            <v>4342.5</v>
          </cell>
          <cell r="N3256">
            <v>281.83829312644554</v>
          </cell>
          <cell r="Q3256">
            <v>14</v>
          </cell>
        </row>
        <row r="3257">
          <cell r="D3257" t="str">
            <v>307-35-7</v>
          </cell>
          <cell r="E3257">
            <v>307357</v>
          </cell>
          <cell r="F3257">
            <v>2611</v>
          </cell>
          <cell r="G3257" t="str">
            <v>Reach_1232</v>
          </cell>
          <cell r="H3257">
            <v>3249</v>
          </cell>
          <cell r="J3257">
            <v>502.11</v>
          </cell>
          <cell r="K3257">
            <v>27.23</v>
          </cell>
          <cell r="L3257">
            <v>766.47500000000002</v>
          </cell>
          <cell r="M3257">
            <v>7.8992000000000007E-2</v>
          </cell>
          <cell r="N3257">
            <v>69183097.091893628</v>
          </cell>
          <cell r="Q3257">
            <v>14</v>
          </cell>
        </row>
        <row r="3258">
          <cell r="D3258" t="str">
            <v>39716-58-0</v>
          </cell>
          <cell r="E3258">
            <v>39716580</v>
          </cell>
          <cell r="F3258">
            <v>2848</v>
          </cell>
          <cell r="G3258" t="str">
            <v>Reach_4762</v>
          </cell>
          <cell r="H3258">
            <v>3250</v>
          </cell>
          <cell r="J3258">
            <v>118.56</v>
          </cell>
          <cell r="K3258">
            <v>-43.76</v>
          </cell>
          <cell r="L3258">
            <v>1732.9</v>
          </cell>
          <cell r="M3258">
            <v>4319</v>
          </cell>
          <cell r="N3258">
            <v>7.2443596007499025</v>
          </cell>
          <cell r="O3258">
            <v>0</v>
          </cell>
          <cell r="P3258">
            <v>0</v>
          </cell>
          <cell r="Q3258">
            <v>0</v>
          </cell>
        </row>
        <row r="3259">
          <cell r="D3259" t="str">
            <v>59487-23-9</v>
          </cell>
          <cell r="E3259">
            <v>59487239</v>
          </cell>
          <cell r="F3259">
            <v>3279</v>
          </cell>
          <cell r="G3259" t="str">
            <v>Reach_2837</v>
          </cell>
          <cell r="H3259">
            <v>3251</v>
          </cell>
          <cell r="J3259">
            <v>654.08000000000004</v>
          </cell>
          <cell r="K3259">
            <v>349.84</v>
          </cell>
          <cell r="L3259">
            <v>3.8390400000000003E-25</v>
          </cell>
          <cell r="M3259">
            <v>8.5879999999999995E-4</v>
          </cell>
          <cell r="N3259">
            <v>11748975.549395336</v>
          </cell>
          <cell r="O3259">
            <v>9.39</v>
          </cell>
          <cell r="P3259">
            <v>13.7</v>
          </cell>
          <cell r="Q3259">
            <v>0.30000000000000071</v>
          </cell>
        </row>
        <row r="3260">
          <cell r="D3260" t="str">
            <v>134568-16-4</v>
          </cell>
          <cell r="E3260">
            <v>134568164</v>
          </cell>
          <cell r="F3260">
            <v>1879</v>
          </cell>
          <cell r="G3260" t="str">
            <v>Reach_4130</v>
          </cell>
          <cell r="H3260">
            <v>3252</v>
          </cell>
          <cell r="J3260">
            <v>184.21</v>
          </cell>
          <cell r="K3260">
            <v>67.010000000000005</v>
          </cell>
          <cell r="L3260">
            <v>0.36524200000000001</v>
          </cell>
          <cell r="M3260">
            <v>3398.1</v>
          </cell>
          <cell r="N3260">
            <v>10.715193052376069</v>
          </cell>
          <cell r="Q3260">
            <v>14</v>
          </cell>
        </row>
        <row r="3261">
          <cell r="D3261" t="str">
            <v>101238-01-1</v>
          </cell>
          <cell r="E3261">
            <v>101238011</v>
          </cell>
          <cell r="F3261">
            <v>1317</v>
          </cell>
          <cell r="G3261" t="str">
            <v>Reach_4913</v>
          </cell>
          <cell r="H3261">
            <v>3253</v>
          </cell>
          <cell r="J3261">
            <v>339.57</v>
          </cell>
          <cell r="K3261">
            <v>146.81</v>
          </cell>
          <cell r="L3261">
            <v>1.2076980000000001E-4</v>
          </cell>
          <cell r="M3261">
            <v>1.4007E-2</v>
          </cell>
          <cell r="N3261">
            <v>7244359.6007499145</v>
          </cell>
          <cell r="P3261">
            <v>4.4000000000000004</v>
          </cell>
          <cell r="Q3261">
            <v>9.6</v>
          </cell>
        </row>
        <row r="3262">
          <cell r="D3262" t="str">
            <v>115241-16-2</v>
          </cell>
          <cell r="E3262">
            <v>115241162</v>
          </cell>
          <cell r="F3262">
            <v>1634</v>
          </cell>
          <cell r="G3262" t="str">
            <v>Reach_4086</v>
          </cell>
          <cell r="H3262">
            <v>3254</v>
          </cell>
          <cell r="J3262">
            <v>207.18</v>
          </cell>
          <cell r="K3262">
            <v>186.96</v>
          </cell>
          <cell r="L3262">
            <v>3.2125300000000003E-9</v>
          </cell>
          <cell r="M3262">
            <v>510000</v>
          </cell>
          <cell r="N3262">
            <v>2.6915348039269148E-3</v>
          </cell>
          <cell r="O3262">
            <v>11.89</v>
          </cell>
          <cell r="P3262">
            <v>14.93</v>
          </cell>
          <cell r="Q3262">
            <v>-0.92999999999999972</v>
          </cell>
        </row>
        <row r="3263">
          <cell r="D3263" t="str">
            <v>52602-39-8</v>
          </cell>
          <cell r="E3263">
            <v>52602398</v>
          </cell>
          <cell r="F3263">
            <v>3064</v>
          </cell>
          <cell r="G3263" t="str">
            <v>Reach_2784</v>
          </cell>
          <cell r="H3263">
            <v>3255</v>
          </cell>
          <cell r="J3263">
            <v>183.21</v>
          </cell>
          <cell r="K3263">
            <v>139.63</v>
          </cell>
          <cell r="L3263">
            <v>7.35816E-5</v>
          </cell>
          <cell r="M3263">
            <v>71.073999999999998</v>
          </cell>
          <cell r="N3263">
            <v>562.34132519034927</v>
          </cell>
          <cell r="O3263">
            <v>10</v>
          </cell>
          <cell r="Q3263">
            <v>10</v>
          </cell>
        </row>
        <row r="3264">
          <cell r="D3264" t="str">
            <v>38888-98-1</v>
          </cell>
          <cell r="E3264">
            <v>38888981</v>
          </cell>
          <cell r="F3264">
            <v>2828</v>
          </cell>
          <cell r="G3264" t="str">
            <v>Reach_2720</v>
          </cell>
          <cell r="H3264">
            <v>3256</v>
          </cell>
          <cell r="J3264">
            <v>182.27</v>
          </cell>
          <cell r="K3264">
            <v>29.71</v>
          </cell>
          <cell r="L3264">
            <v>1.0664</v>
          </cell>
          <cell r="M3264">
            <v>6.3037999999999998</v>
          </cell>
          <cell r="N3264">
            <v>14125.375446227561</v>
          </cell>
          <cell r="O3264">
            <v>0</v>
          </cell>
          <cell r="P3264">
            <v>0</v>
          </cell>
          <cell r="Q3264">
            <v>0</v>
          </cell>
        </row>
        <row r="3265">
          <cell r="D3265" t="str">
            <v>99-75-2</v>
          </cell>
          <cell r="E3265">
            <v>99752</v>
          </cell>
          <cell r="F3265">
            <v>4215</v>
          </cell>
          <cell r="G3265" t="str">
            <v>Reach_537</v>
          </cell>
          <cell r="H3265">
            <v>3257</v>
          </cell>
          <cell r="J3265">
            <v>150.18</v>
          </cell>
          <cell r="K3265">
            <v>5.75</v>
          </cell>
          <cell r="L3265">
            <v>13.729900000000001</v>
          </cell>
          <cell r="M3265">
            <v>1057.2</v>
          </cell>
          <cell r="N3265">
            <v>239.88329190194912</v>
          </cell>
          <cell r="Q3265">
            <v>14</v>
          </cell>
        </row>
        <row r="3266">
          <cell r="D3266" t="str">
            <v>67953-76-8</v>
          </cell>
          <cell r="E3266">
            <v>67953768</v>
          </cell>
          <cell r="F3266">
            <v>5990</v>
          </cell>
          <cell r="G3266" t="str">
            <v>Reach_2893</v>
          </cell>
          <cell r="H3266">
            <v>3258</v>
          </cell>
          <cell r="J3266">
            <v>358.39</v>
          </cell>
          <cell r="K3266">
            <v>0</v>
          </cell>
          <cell r="L3266">
            <v>0</v>
          </cell>
          <cell r="M3266">
            <v>0</v>
          </cell>
          <cell r="N3266">
            <v>0</v>
          </cell>
          <cell r="Q3266">
            <v>14</v>
          </cell>
        </row>
        <row r="3267">
          <cell r="D3267" t="str">
            <v>134605-64-4</v>
          </cell>
          <cell r="E3267">
            <v>134605644</v>
          </cell>
          <cell r="F3267">
            <v>433</v>
          </cell>
          <cell r="G3267" t="str">
            <v>Reach_4131</v>
          </cell>
          <cell r="H3267">
            <v>3259</v>
          </cell>
          <cell r="J3267">
            <v>474.82</v>
          </cell>
          <cell r="K3267">
            <v>228.81</v>
          </cell>
          <cell r="L3267">
            <v>3.1058900000000003E-9</v>
          </cell>
          <cell r="M3267">
            <v>0.25552000000000002</v>
          </cell>
          <cell r="N3267">
            <v>1122.0184543019636</v>
          </cell>
          <cell r="Q3267">
            <v>14</v>
          </cell>
        </row>
        <row r="3268">
          <cell r="D3268" t="str">
            <v>640-67-5</v>
          </cell>
          <cell r="E3268">
            <v>640675</v>
          </cell>
          <cell r="F3268">
            <v>5965</v>
          </cell>
          <cell r="G3268" t="str">
            <v>Reach_1478</v>
          </cell>
          <cell r="H3268">
            <v>3260</v>
          </cell>
          <cell r="J3268">
            <v>142.96</v>
          </cell>
          <cell r="K3268">
            <v>0</v>
          </cell>
          <cell r="L3268">
            <v>0</v>
          </cell>
          <cell r="M3268">
            <v>0</v>
          </cell>
          <cell r="N3268">
            <v>0</v>
          </cell>
          <cell r="Q3268">
            <v>14</v>
          </cell>
        </row>
        <row r="3269">
          <cell r="D3269" t="str">
            <v>897-06-3</v>
          </cell>
          <cell r="E3269">
            <v>897063</v>
          </cell>
          <cell r="F3269">
            <v>3983</v>
          </cell>
          <cell r="G3269" t="str">
            <v>Reach_1587</v>
          </cell>
          <cell r="H3269">
            <v>3261</v>
          </cell>
          <cell r="J3269">
            <v>284.39999999999998</v>
          </cell>
          <cell r="K3269">
            <v>146.07</v>
          </cell>
          <cell r="L3269">
            <v>2.9592600000000001E-4</v>
          </cell>
          <cell r="M3269">
            <v>19.32</v>
          </cell>
          <cell r="N3269">
            <v>346.73685045253183</v>
          </cell>
          <cell r="Q3269">
            <v>14</v>
          </cell>
        </row>
        <row r="3270">
          <cell r="D3270" t="str">
            <v>371756-75-1</v>
          </cell>
          <cell r="E3270">
            <v>371756751</v>
          </cell>
          <cell r="F3270">
            <v>5863</v>
          </cell>
          <cell r="G3270" t="str">
            <v>Reach_5038</v>
          </cell>
          <cell r="H3270">
            <v>3262</v>
          </cell>
          <cell r="J3270">
            <v>1425.3</v>
          </cell>
          <cell r="K3270">
            <v>0</v>
          </cell>
          <cell r="L3270">
            <v>0</v>
          </cell>
          <cell r="M3270">
            <v>0</v>
          </cell>
          <cell r="N3270">
            <v>0</v>
          </cell>
          <cell r="Q3270">
            <v>14</v>
          </cell>
        </row>
        <row r="3271">
          <cell r="D3271" t="str">
            <v>860035-07-0</v>
          </cell>
          <cell r="E3271">
            <v>860035070</v>
          </cell>
          <cell r="F3271">
            <v>3899</v>
          </cell>
          <cell r="G3271" t="str">
            <v>Reach_4739</v>
          </cell>
          <cell r="H3271">
            <v>3263</v>
          </cell>
          <cell r="J3271">
            <v>192.23</v>
          </cell>
          <cell r="K3271">
            <v>-62.36</v>
          </cell>
          <cell r="L3271">
            <v>43.189200000000007</v>
          </cell>
          <cell r="M3271">
            <v>8014.7</v>
          </cell>
          <cell r="N3271">
            <v>1.9498445997580454</v>
          </cell>
          <cell r="Q3271">
            <v>14</v>
          </cell>
        </row>
        <row r="3272">
          <cell r="D3272" t="str">
            <v>133-91-5</v>
          </cell>
          <cell r="E3272">
            <v>133915</v>
          </cell>
          <cell r="F3272">
            <v>1872</v>
          </cell>
          <cell r="G3272" t="str">
            <v>Reach_1125</v>
          </cell>
          <cell r="H3272">
            <v>3264</v>
          </cell>
          <cell r="J3272">
            <v>389.91</v>
          </cell>
          <cell r="K3272">
            <v>163.77000000000001</v>
          </cell>
          <cell r="L3272">
            <v>1.1343830000000001E-6</v>
          </cell>
          <cell r="M3272">
            <v>43.287999999999997</v>
          </cell>
          <cell r="N3272">
            <v>38018.939632056143</v>
          </cell>
          <cell r="O3272">
            <v>2.15</v>
          </cell>
          <cell r="Q3272">
            <v>2.15</v>
          </cell>
        </row>
        <row r="3273">
          <cell r="D3273" t="str">
            <v>1217271-02-7</v>
          </cell>
          <cell r="E3273">
            <v>1217271027</v>
          </cell>
          <cell r="F3273">
            <v>1735</v>
          </cell>
          <cell r="G3273" t="str">
            <v>Reach_4940</v>
          </cell>
          <cell r="H3273">
            <v>3265</v>
          </cell>
          <cell r="J3273">
            <v>476.75</v>
          </cell>
          <cell r="K3273">
            <v>211.43</v>
          </cell>
          <cell r="L3273">
            <v>4.4255600000000001E-8</v>
          </cell>
          <cell r="M3273">
            <v>0.20954</v>
          </cell>
          <cell r="N3273">
            <v>512861.38399136515</v>
          </cell>
          <cell r="P3273">
            <v>6.18</v>
          </cell>
          <cell r="Q3273">
            <v>7.82</v>
          </cell>
        </row>
        <row r="3274">
          <cell r="D3274" t="str">
            <v>71077-34-4</v>
          </cell>
          <cell r="E3274">
            <v>71077344</v>
          </cell>
          <cell r="F3274">
            <v>6008</v>
          </cell>
          <cell r="G3274" t="str">
            <v>Reach_2926</v>
          </cell>
          <cell r="H3274">
            <v>3266</v>
          </cell>
          <cell r="J3274">
            <v>328.32</v>
          </cell>
          <cell r="K3274">
            <v>0</v>
          </cell>
          <cell r="L3274">
            <v>0</v>
          </cell>
          <cell r="M3274">
            <v>0</v>
          </cell>
          <cell r="N3274">
            <v>0</v>
          </cell>
          <cell r="Q3274">
            <v>14</v>
          </cell>
        </row>
        <row r="3275">
          <cell r="D3275" t="str">
            <v>1119-34-2</v>
          </cell>
          <cell r="E3275">
            <v>1119342</v>
          </cell>
          <cell r="F3275">
            <v>5608</v>
          </cell>
          <cell r="G3275" t="str">
            <v>Reach_1653</v>
          </cell>
          <cell r="H3275">
            <v>3267</v>
          </cell>
          <cell r="J3275">
            <v>210.67</v>
          </cell>
          <cell r="K3275">
            <v>0</v>
          </cell>
          <cell r="L3275">
            <v>0</v>
          </cell>
          <cell r="M3275">
            <v>0</v>
          </cell>
          <cell r="N3275">
            <v>0</v>
          </cell>
          <cell r="O3275">
            <v>0</v>
          </cell>
          <cell r="P3275">
            <v>0</v>
          </cell>
          <cell r="Q3275">
            <v>0</v>
          </cell>
        </row>
        <row r="3276">
          <cell r="D3276" t="str">
            <v>115-96-8</v>
          </cell>
          <cell r="E3276">
            <v>115968</v>
          </cell>
          <cell r="F3276">
            <v>10</v>
          </cell>
          <cell r="G3276" t="str">
            <v>Reach_948</v>
          </cell>
          <cell r="H3276">
            <v>3268</v>
          </cell>
          <cell r="J3276">
            <v>285.49</v>
          </cell>
          <cell r="K3276">
            <v>82.99</v>
          </cell>
          <cell r="L3276">
            <v>5.2120300000000008E-2</v>
          </cell>
          <cell r="M3276">
            <v>466.55</v>
          </cell>
          <cell r="N3276">
            <v>42.657951880159267</v>
          </cell>
          <cell r="Q3276">
            <v>14</v>
          </cell>
        </row>
        <row r="3277">
          <cell r="D3277" t="str">
            <v>104366-82-7</v>
          </cell>
          <cell r="E3277">
            <v>104366827</v>
          </cell>
          <cell r="F3277">
            <v>1391</v>
          </cell>
          <cell r="G3277" t="str">
            <v>Reach_4603</v>
          </cell>
          <cell r="H3277">
            <v>3269</v>
          </cell>
          <cell r="J3277">
            <v>210.28</v>
          </cell>
          <cell r="K3277">
            <v>136.56</v>
          </cell>
          <cell r="L3277">
            <v>1.0410730000000002E-5</v>
          </cell>
          <cell r="M3277">
            <v>2566.1</v>
          </cell>
          <cell r="N3277">
            <v>0.63095734448019325</v>
          </cell>
          <cell r="O3277">
            <v>3.73</v>
          </cell>
          <cell r="P3277">
            <v>3.8</v>
          </cell>
          <cell r="Q3277">
            <v>3.73</v>
          </cell>
        </row>
        <row r="3278">
          <cell r="D3278" t="str">
            <v>35077-00-0</v>
          </cell>
          <cell r="E3278">
            <v>35077000</v>
          </cell>
          <cell r="F3278">
            <v>2721</v>
          </cell>
          <cell r="G3278" t="str">
            <v>Reach_4740</v>
          </cell>
          <cell r="H3278">
            <v>3270</v>
          </cell>
          <cell r="J3278">
            <v>235.4</v>
          </cell>
          <cell r="K3278">
            <v>32.67</v>
          </cell>
          <cell r="L3278">
            <v>4.0389900000000001</v>
          </cell>
          <cell r="M3278">
            <v>246.38</v>
          </cell>
          <cell r="N3278">
            <v>3.1622776601683795</v>
          </cell>
          <cell r="P3278">
            <v>12.46</v>
          </cell>
          <cell r="Q3278">
            <v>1.5399999999999991</v>
          </cell>
        </row>
        <row r="3279">
          <cell r="D3279" t="str">
            <v>29736-24-1</v>
          </cell>
          <cell r="E3279">
            <v>29736241</v>
          </cell>
          <cell r="F3279">
            <v>5824</v>
          </cell>
          <cell r="G3279" t="str">
            <v>Reach_4275</v>
          </cell>
          <cell r="H3279">
            <v>3271</v>
          </cell>
          <cell r="J3279">
            <v>178.1</v>
          </cell>
          <cell r="K3279">
            <v>0</v>
          </cell>
          <cell r="L3279">
            <v>0</v>
          </cell>
          <cell r="M3279">
            <v>0</v>
          </cell>
          <cell r="N3279">
            <v>0</v>
          </cell>
          <cell r="Q3279">
            <v>14</v>
          </cell>
        </row>
        <row r="3280">
          <cell r="D3280" t="str">
            <v>22094-93-5</v>
          </cell>
          <cell r="E3280">
            <v>22094935</v>
          </cell>
          <cell r="F3280">
            <v>2317</v>
          </cell>
          <cell r="G3280" t="str">
            <v>Reach_2516</v>
          </cell>
          <cell r="H3280">
            <v>3272</v>
          </cell>
          <cell r="J3280">
            <v>754.51</v>
          </cell>
          <cell r="K3280">
            <v>349.84</v>
          </cell>
          <cell r="L3280">
            <v>5.51862E-22</v>
          </cell>
          <cell r="M3280">
            <v>4.6299999999999998E-8</v>
          </cell>
          <cell r="N3280">
            <v>2511886431.5095868</v>
          </cell>
          <cell r="O3280">
            <v>8.3800000000000008</v>
          </cell>
          <cell r="P3280">
            <v>13.46</v>
          </cell>
          <cell r="Q3280">
            <v>0.53999999999999915</v>
          </cell>
        </row>
        <row r="3281">
          <cell r="D3281" t="str">
            <v>6358-87-8</v>
          </cell>
          <cell r="E3281">
            <v>6358878</v>
          </cell>
          <cell r="F3281">
            <v>3411</v>
          </cell>
          <cell r="G3281" t="str">
            <v>Reach_2172</v>
          </cell>
          <cell r="H3281">
            <v>3273</v>
          </cell>
          <cell r="J3281">
            <v>739.58</v>
          </cell>
          <cell r="K3281">
            <v>349.84</v>
          </cell>
          <cell r="L3281">
            <v>5.3586600000000005E-21</v>
          </cell>
          <cell r="M3281">
            <v>3.9500000000000003E-6</v>
          </cell>
          <cell r="N3281">
            <v>1737800828.7493825</v>
          </cell>
          <cell r="O3281">
            <v>0</v>
          </cell>
          <cell r="P3281">
            <v>0</v>
          </cell>
          <cell r="Q3281">
            <v>0</v>
          </cell>
        </row>
        <row r="3282">
          <cell r="D3282" t="str">
            <v>93857-00-2</v>
          </cell>
          <cell r="E3282">
            <v>93857002</v>
          </cell>
          <cell r="F3282">
            <v>6085</v>
          </cell>
          <cell r="G3282" t="str">
            <v>Reach_3002</v>
          </cell>
          <cell r="H3282">
            <v>3274</v>
          </cell>
          <cell r="J3282">
            <v>236.47</v>
          </cell>
          <cell r="K3282">
            <v>0</v>
          </cell>
          <cell r="L3282">
            <v>0</v>
          </cell>
          <cell r="M3282">
            <v>0</v>
          </cell>
          <cell r="N3282">
            <v>0</v>
          </cell>
          <cell r="O3282">
            <v>0</v>
          </cell>
          <cell r="P3282">
            <v>0</v>
          </cell>
          <cell r="Q3282">
            <v>0</v>
          </cell>
        </row>
        <row r="3283">
          <cell r="D3283" t="str">
            <v>98967-40-9</v>
          </cell>
          <cell r="E3283">
            <v>98967409</v>
          </cell>
          <cell r="F3283">
            <v>1081</v>
          </cell>
          <cell r="G3283" t="str">
            <v>Reach_4516</v>
          </cell>
          <cell r="H3283">
            <v>3275</v>
          </cell>
          <cell r="J3283">
            <v>325.3</v>
          </cell>
          <cell r="K3283">
            <v>190.02</v>
          </cell>
          <cell r="L3283">
            <v>2.0128300000000002E-7</v>
          </cell>
          <cell r="M3283">
            <v>291.85000000000002</v>
          </cell>
          <cell r="N3283">
            <v>31.622776601683803</v>
          </cell>
          <cell r="O3283">
            <v>5.0199999999999996</v>
          </cell>
          <cell r="P3283">
            <v>12</v>
          </cell>
          <cell r="Q3283">
            <v>2</v>
          </cell>
        </row>
        <row r="3284">
          <cell r="D3284" t="str">
            <v>87135-01-1</v>
          </cell>
          <cell r="E3284">
            <v>87135011</v>
          </cell>
          <cell r="F3284">
            <v>3918</v>
          </cell>
          <cell r="G3284" t="str">
            <v>Reach_4482</v>
          </cell>
          <cell r="H3284">
            <v>3276</v>
          </cell>
          <cell r="J3284">
            <v>326.54000000000002</v>
          </cell>
          <cell r="K3284">
            <v>73.739999999999995</v>
          </cell>
          <cell r="L3284">
            <v>6.8649500000000016E-2</v>
          </cell>
          <cell r="M3284">
            <v>112.33</v>
          </cell>
          <cell r="N3284">
            <v>1.9054607179632475</v>
          </cell>
          <cell r="Q3284">
            <v>14</v>
          </cell>
        </row>
        <row r="3285">
          <cell r="D3285" t="str">
            <v>119895-68-0</v>
          </cell>
          <cell r="E3285">
            <v>119895680</v>
          </cell>
          <cell r="F3285">
            <v>1701</v>
          </cell>
          <cell r="G3285" t="str">
            <v>Reach_4908</v>
          </cell>
          <cell r="H3285">
            <v>3277</v>
          </cell>
          <cell r="J3285">
            <v>186.11</v>
          </cell>
          <cell r="K3285">
            <v>52.16</v>
          </cell>
          <cell r="L3285">
            <v>2.4260600000000001</v>
          </cell>
          <cell r="M3285">
            <v>833.17</v>
          </cell>
          <cell r="N3285">
            <v>2238.7211385683418</v>
          </cell>
          <cell r="Q3285">
            <v>14</v>
          </cell>
        </row>
        <row r="3286">
          <cell r="D3286" t="str">
            <v>943516-53-8</v>
          </cell>
          <cell r="E3286">
            <v>943516538</v>
          </cell>
          <cell r="F3286">
            <v>4101</v>
          </cell>
          <cell r="G3286" t="str">
            <v>Reach_4507</v>
          </cell>
          <cell r="H3286">
            <v>3278</v>
          </cell>
          <cell r="J3286">
            <v>229.28</v>
          </cell>
          <cell r="K3286">
            <v>174.76</v>
          </cell>
          <cell r="L3286">
            <v>1.0677330000000001E-5</v>
          </cell>
          <cell r="M3286">
            <v>1364.3</v>
          </cell>
          <cell r="N3286">
            <v>147.91083881682084</v>
          </cell>
          <cell r="P3286">
            <v>14.83</v>
          </cell>
          <cell r="Q3286">
            <v>-0.83000000000000007</v>
          </cell>
        </row>
        <row r="3287">
          <cell r="D3287" t="str">
            <v>507448-65-9</v>
          </cell>
          <cell r="E3287">
            <v>507448659</v>
          </cell>
          <cell r="F3287">
            <v>3018</v>
          </cell>
          <cell r="G3287" t="str">
            <v>Reach_5055</v>
          </cell>
          <cell r="H3287">
            <v>3279</v>
          </cell>
          <cell r="J3287">
            <v>197.16</v>
          </cell>
          <cell r="K3287">
            <v>-18.14</v>
          </cell>
          <cell r="L3287">
            <v>169.29100000000003</v>
          </cell>
          <cell r="M3287">
            <v>25218</v>
          </cell>
          <cell r="N3287">
            <v>12.58925411794168</v>
          </cell>
          <cell r="Q3287">
            <v>14</v>
          </cell>
        </row>
        <row r="3288">
          <cell r="D3288" t="str">
            <v>73-22-3</v>
          </cell>
          <cell r="E3288">
            <v>73223</v>
          </cell>
          <cell r="F3288">
            <v>3616</v>
          </cell>
          <cell r="G3288" t="str">
            <v>Reach_106</v>
          </cell>
          <cell r="H3288">
            <v>3280</v>
          </cell>
          <cell r="J3288">
            <v>204.23</v>
          </cell>
          <cell r="K3288">
            <v>278.99</v>
          </cell>
          <cell r="L3288">
            <v>2.58602E-7</v>
          </cell>
          <cell r="M3288">
            <v>5191</v>
          </cell>
          <cell r="N3288">
            <v>6.0255958607435746E-2</v>
          </cell>
          <cell r="Q3288">
            <v>14</v>
          </cell>
        </row>
        <row r="3289">
          <cell r="D3289" t="str">
            <v>204918-22-9</v>
          </cell>
          <cell r="E3289">
            <v>204918229</v>
          </cell>
          <cell r="F3289">
            <v>2267</v>
          </cell>
          <cell r="G3289" t="str">
            <v>Reach_4698</v>
          </cell>
          <cell r="H3289">
            <v>3281</v>
          </cell>
          <cell r="J3289">
            <v>323.73</v>
          </cell>
          <cell r="K3289">
            <v>58.06</v>
          </cell>
          <cell r="L3289">
            <v>8.9977500000000005E-3</v>
          </cell>
          <cell r="M3289">
            <v>19.483000000000001</v>
          </cell>
          <cell r="N3289">
            <v>21379.620895022348</v>
          </cell>
          <cell r="Q3289">
            <v>14</v>
          </cell>
        </row>
        <row r="3290">
          <cell r="D3290" t="str">
            <v>130198-05-9</v>
          </cell>
          <cell r="E3290">
            <v>130198059</v>
          </cell>
          <cell r="F3290">
            <v>5658</v>
          </cell>
          <cell r="G3290" t="str">
            <v>Reach_4118</v>
          </cell>
          <cell r="H3290">
            <v>3282</v>
          </cell>
          <cell r="J3290">
            <v>285.82</v>
          </cell>
          <cell r="K3290">
            <v>0</v>
          </cell>
          <cell r="L3290">
            <v>0</v>
          </cell>
          <cell r="M3290">
            <v>0</v>
          </cell>
          <cell r="N3290">
            <v>0</v>
          </cell>
          <cell r="Q3290">
            <v>14</v>
          </cell>
        </row>
        <row r="3291">
          <cell r="D3291" t="str">
            <v>1001164-15-3</v>
          </cell>
          <cell r="E3291">
            <v>1001164153</v>
          </cell>
          <cell r="F3291">
            <v>1293</v>
          </cell>
          <cell r="G3291" t="str">
            <v>Reach_4804</v>
          </cell>
          <cell r="H3291">
            <v>3283</v>
          </cell>
          <cell r="J3291">
            <v>435.65</v>
          </cell>
          <cell r="K3291">
            <v>198.18</v>
          </cell>
          <cell r="L3291">
            <v>1.2596849999999999E-7</v>
          </cell>
          <cell r="M3291">
            <v>6.1988E-3</v>
          </cell>
          <cell r="N3291">
            <v>776247116.62869477</v>
          </cell>
          <cell r="P3291">
            <v>7.89</v>
          </cell>
          <cell r="Q3291">
            <v>6.11</v>
          </cell>
        </row>
        <row r="3292">
          <cell r="D3292" t="str">
            <v>68-22-4</v>
          </cell>
          <cell r="E3292">
            <v>68224</v>
          </cell>
          <cell r="F3292">
            <v>800</v>
          </cell>
          <cell r="G3292" t="str">
            <v>Reach_92</v>
          </cell>
          <cell r="H3292">
            <v>3284</v>
          </cell>
          <cell r="J3292">
            <v>298.43</v>
          </cell>
          <cell r="K3292">
            <v>161</v>
          </cell>
          <cell r="L3292">
            <v>3.1458800000000006E-7</v>
          </cell>
          <cell r="M3292">
            <v>4.7259000000000002</v>
          </cell>
          <cell r="N3292">
            <v>977.23722095581138</v>
          </cell>
          <cell r="O3292">
            <v>13.59</v>
          </cell>
          <cell r="P3292">
            <v>0</v>
          </cell>
          <cell r="Q3292">
            <v>13.59</v>
          </cell>
        </row>
        <row r="3293">
          <cell r="D3293" t="str">
            <v>20325-40-0</v>
          </cell>
          <cell r="E3293">
            <v>20325400</v>
          </cell>
          <cell r="F3293">
            <v>5767</v>
          </cell>
          <cell r="G3293" t="str">
            <v>Reach_2493</v>
          </cell>
          <cell r="H3293">
            <v>3285</v>
          </cell>
          <cell r="J3293">
            <v>317.22000000000003</v>
          </cell>
          <cell r="K3293">
            <v>0</v>
          </cell>
          <cell r="L3293">
            <v>0</v>
          </cell>
          <cell r="M3293">
            <v>0</v>
          </cell>
          <cell r="N3293">
            <v>0</v>
          </cell>
          <cell r="O3293">
            <v>0</v>
          </cell>
          <cell r="P3293">
            <v>0</v>
          </cell>
          <cell r="Q3293">
            <v>0</v>
          </cell>
        </row>
        <row r="3294">
          <cell r="D3294" t="str">
            <v>85536-87-4</v>
          </cell>
          <cell r="E3294">
            <v>85536874</v>
          </cell>
          <cell r="F3294">
            <v>6061</v>
          </cell>
          <cell r="G3294" t="str">
            <v>Reach_2986</v>
          </cell>
          <cell r="H3294">
            <v>3286</v>
          </cell>
          <cell r="J3294">
            <v>617.54</v>
          </cell>
          <cell r="K3294">
            <v>0</v>
          </cell>
          <cell r="L3294">
            <v>0</v>
          </cell>
          <cell r="M3294">
            <v>0</v>
          </cell>
          <cell r="N3294">
            <v>0</v>
          </cell>
          <cell r="Q3294">
            <v>14</v>
          </cell>
        </row>
        <row r="3295">
          <cell r="D3295" t="str">
            <v>5638-76-6</v>
          </cell>
          <cell r="E3295">
            <v>5638766</v>
          </cell>
          <cell r="F3295">
            <v>3195</v>
          </cell>
          <cell r="G3295" t="str">
            <v>Reach_2130</v>
          </cell>
          <cell r="H3295">
            <v>3287</v>
          </cell>
          <cell r="J3295">
            <v>136.19999999999999</v>
          </cell>
          <cell r="K3295">
            <v>27.88</v>
          </cell>
          <cell r="L3295">
            <v>17.728900000000003</v>
          </cell>
          <cell r="M3295">
            <v>555.49</v>
          </cell>
          <cell r="N3295">
            <v>3.0199517204020165</v>
          </cell>
          <cell r="P3295">
            <v>4.2</v>
          </cell>
          <cell r="Q3295">
            <v>9.8000000000000007</v>
          </cell>
        </row>
        <row r="3296">
          <cell r="D3296" t="str">
            <v>646-24-2</v>
          </cell>
          <cell r="E3296">
            <v>646242</v>
          </cell>
          <cell r="F3296">
            <v>3439</v>
          </cell>
          <cell r="G3296" t="str">
            <v>Reach_1483</v>
          </cell>
          <cell r="H3296">
            <v>3288</v>
          </cell>
          <cell r="J3296">
            <v>158.29</v>
          </cell>
          <cell r="K3296">
            <v>49.17</v>
          </cell>
          <cell r="L3296">
            <v>2.2927600000000004</v>
          </cell>
          <cell r="M3296">
            <v>1279.4000000000001</v>
          </cell>
          <cell r="N3296">
            <v>66.069344800759623</v>
          </cell>
          <cell r="P3296">
            <v>3.2</v>
          </cell>
          <cell r="Q3296">
            <v>10.8</v>
          </cell>
        </row>
        <row r="3297">
          <cell r="D3297" t="str">
            <v>902146-43-4</v>
          </cell>
          <cell r="E3297">
            <v>902146434</v>
          </cell>
          <cell r="F3297">
            <v>3994</v>
          </cell>
          <cell r="G3297" t="str">
            <v>Reach_4563</v>
          </cell>
          <cell r="H3297">
            <v>3289</v>
          </cell>
          <cell r="J3297">
            <v>240.33</v>
          </cell>
          <cell r="K3297">
            <v>129.46</v>
          </cell>
          <cell r="L3297">
            <v>1.3076730000000001E-3</v>
          </cell>
          <cell r="M3297">
            <v>2211.4</v>
          </cell>
          <cell r="N3297">
            <v>38.018939632056139</v>
          </cell>
          <cell r="Q3297">
            <v>14</v>
          </cell>
        </row>
        <row r="3298">
          <cell r="D3298" t="str">
            <v>1254469-57-2</v>
          </cell>
          <cell r="E3298">
            <v>1254469572</v>
          </cell>
          <cell r="F3298">
            <v>5643</v>
          </cell>
          <cell r="G3298" t="str">
            <v>Reach_4977</v>
          </cell>
          <cell r="H3298">
            <v>3290</v>
          </cell>
          <cell r="J3298">
            <v>313.79000000000002</v>
          </cell>
          <cell r="K3298">
            <v>0</v>
          </cell>
          <cell r="L3298">
            <v>0</v>
          </cell>
          <cell r="M3298">
            <v>0</v>
          </cell>
          <cell r="N3298">
            <v>0</v>
          </cell>
          <cell r="Q3298">
            <v>14</v>
          </cell>
        </row>
        <row r="3299">
          <cell r="D3299" t="str">
            <v>173904-11-5</v>
          </cell>
          <cell r="E3299">
            <v>173904115</v>
          </cell>
          <cell r="F3299">
            <v>2133</v>
          </cell>
          <cell r="G3299" t="str">
            <v>Reach_4543</v>
          </cell>
          <cell r="H3299">
            <v>3291</v>
          </cell>
          <cell r="J3299">
            <v>250.43</v>
          </cell>
          <cell r="K3299">
            <v>14.74</v>
          </cell>
          <cell r="L3299">
            <v>0.19861700000000002</v>
          </cell>
          <cell r="M3299">
            <v>8.3938000000000006</v>
          </cell>
          <cell r="N3299">
            <v>134896.28825916545</v>
          </cell>
          <cell r="P3299">
            <v>6.8</v>
          </cell>
          <cell r="Q3299">
            <v>7.2</v>
          </cell>
        </row>
        <row r="3300">
          <cell r="D3300" t="str">
            <v>19444-21-4</v>
          </cell>
          <cell r="E3300">
            <v>19444214</v>
          </cell>
          <cell r="F3300">
            <v>2233</v>
          </cell>
          <cell r="G3300" t="str">
            <v>Reach_5024</v>
          </cell>
          <cell r="H3300">
            <v>3292</v>
          </cell>
          <cell r="J3300">
            <v>144.16999999999999</v>
          </cell>
          <cell r="K3300">
            <v>-2.1800000000000002</v>
          </cell>
          <cell r="L3300">
            <v>19.728400000000001</v>
          </cell>
          <cell r="M3300">
            <v>98945</v>
          </cell>
          <cell r="N3300">
            <v>4.2657951880159271</v>
          </cell>
          <cell r="O3300">
            <v>12.62</v>
          </cell>
          <cell r="Q3300">
            <v>12.62</v>
          </cell>
        </row>
        <row r="3301">
          <cell r="D3301" t="str">
            <v>89-33-8</v>
          </cell>
          <cell r="E3301">
            <v>89338</v>
          </cell>
          <cell r="F3301">
            <v>3971</v>
          </cell>
          <cell r="G3301" t="str">
            <v>Reach_340</v>
          </cell>
          <cell r="H3301">
            <v>3293</v>
          </cell>
          <cell r="J3301">
            <v>232.24</v>
          </cell>
          <cell r="K3301">
            <v>142.97</v>
          </cell>
          <cell r="L3301">
            <v>2.0661500000000003E-4</v>
          </cell>
          <cell r="M3301">
            <v>257000</v>
          </cell>
          <cell r="N3301">
            <v>125.89254117941677</v>
          </cell>
          <cell r="Q3301">
            <v>14</v>
          </cell>
        </row>
        <row r="3302">
          <cell r="D3302" t="str">
            <v>117-21-5</v>
          </cell>
          <cell r="E3302">
            <v>117215</v>
          </cell>
          <cell r="F3302">
            <v>1657</v>
          </cell>
          <cell r="G3302" t="str">
            <v>Reach_958</v>
          </cell>
          <cell r="H3302">
            <v>3294</v>
          </cell>
          <cell r="J3302">
            <v>182.56</v>
          </cell>
          <cell r="K3302">
            <v>50.82</v>
          </cell>
          <cell r="L3302">
            <v>0.437224</v>
          </cell>
          <cell r="M3302">
            <v>85.168999999999997</v>
          </cell>
          <cell r="N3302">
            <v>512.86138399136519</v>
          </cell>
          <cell r="O3302">
            <v>0</v>
          </cell>
          <cell r="P3302">
            <v>0</v>
          </cell>
          <cell r="Q3302">
            <v>0</v>
          </cell>
        </row>
        <row r="3303">
          <cell r="D3303" t="str">
            <v>467430-13-3</v>
          </cell>
          <cell r="E3303">
            <v>467430133</v>
          </cell>
          <cell r="F3303">
            <v>5892</v>
          </cell>
          <cell r="G3303" t="str">
            <v>Reach_4792</v>
          </cell>
          <cell r="H3303">
            <v>3295</v>
          </cell>
          <cell r="J3303">
            <v>678.81</v>
          </cell>
          <cell r="K3303">
            <v>0</v>
          </cell>
          <cell r="L3303">
            <v>0</v>
          </cell>
          <cell r="M3303">
            <v>0</v>
          </cell>
          <cell r="N3303">
            <v>0</v>
          </cell>
          <cell r="Q3303">
            <v>14</v>
          </cell>
        </row>
        <row r="3304">
          <cell r="D3304" t="str">
            <v>10016-20-3</v>
          </cell>
          <cell r="E3304">
            <v>10016203</v>
          </cell>
          <cell r="F3304">
            <v>1295</v>
          </cell>
          <cell r="G3304" t="str">
            <v>Reach_2277</v>
          </cell>
          <cell r="H3304">
            <v>3296</v>
          </cell>
          <cell r="J3304">
            <v>972.85</v>
          </cell>
          <cell r="K3304">
            <v>349.84</v>
          </cell>
          <cell r="L3304">
            <v>0</v>
          </cell>
          <cell r="M3304">
            <v>1000000</v>
          </cell>
          <cell r="N3304">
            <v>1.6982436524617439E-8</v>
          </cell>
          <cell r="O3304">
            <v>11.78</v>
          </cell>
          <cell r="Q3304">
            <v>11.78</v>
          </cell>
        </row>
        <row r="3305">
          <cell r="D3305" t="str">
            <v>12236-64-5</v>
          </cell>
          <cell r="E3305">
            <v>12236645</v>
          </cell>
          <cell r="F3305">
            <v>1748</v>
          </cell>
          <cell r="G3305" t="str">
            <v>Reach_2308</v>
          </cell>
          <cell r="H3305">
            <v>3297</v>
          </cell>
          <cell r="J3305">
            <v>501.94</v>
          </cell>
          <cell r="K3305">
            <v>349.84</v>
          </cell>
          <cell r="L3305">
            <v>8.6911600000000004E-21</v>
          </cell>
          <cell r="M3305">
            <v>0.11216</v>
          </cell>
          <cell r="N3305">
            <v>616595.00186148309</v>
          </cell>
          <cell r="Q3305">
            <v>14</v>
          </cell>
        </row>
        <row r="3306">
          <cell r="D3306" t="str">
            <v>31251-41-9</v>
          </cell>
          <cell r="E3306">
            <v>31251419</v>
          </cell>
          <cell r="F3306">
            <v>2622</v>
          </cell>
          <cell r="G3306" t="str">
            <v>Reach_4826</v>
          </cell>
          <cell r="H3306">
            <v>3298</v>
          </cell>
          <cell r="J3306">
            <v>243.69</v>
          </cell>
          <cell r="K3306">
            <v>132.13999999999999</v>
          </cell>
          <cell r="L3306">
            <v>5.6252600000000004E-4</v>
          </cell>
          <cell r="M3306">
            <v>1.5173000000000001</v>
          </cell>
          <cell r="N3306">
            <v>9772.3722095581161</v>
          </cell>
          <cell r="Q3306">
            <v>14</v>
          </cell>
        </row>
        <row r="3307">
          <cell r="D3307" t="str">
            <v>1072896-13-9</v>
          </cell>
          <cell r="E3307">
            <v>1072896139</v>
          </cell>
          <cell r="F3307">
            <v>1458</v>
          </cell>
          <cell r="G3307" t="str">
            <v>Reach_4790</v>
          </cell>
          <cell r="H3307">
            <v>3299</v>
          </cell>
          <cell r="J3307">
            <v>262.36</v>
          </cell>
          <cell r="K3307">
            <v>160.09</v>
          </cell>
          <cell r="L3307">
            <v>3.6790800000000001E-7</v>
          </cell>
          <cell r="M3307">
            <v>110.85</v>
          </cell>
          <cell r="N3307">
            <v>269.15348039269179</v>
          </cell>
          <cell r="P3307">
            <v>14.64</v>
          </cell>
          <cell r="Q3307">
            <v>-0.64000000000000057</v>
          </cell>
        </row>
        <row r="3308">
          <cell r="D3308" t="str">
            <v>13349-82-1</v>
          </cell>
          <cell r="E3308">
            <v>13349821</v>
          </cell>
          <cell r="F3308">
            <v>1867</v>
          </cell>
          <cell r="G3308" t="str">
            <v>Reach_4127</v>
          </cell>
          <cell r="H3308">
            <v>3300</v>
          </cell>
          <cell r="J3308">
            <v>174.25</v>
          </cell>
          <cell r="K3308">
            <v>89.54</v>
          </cell>
          <cell r="L3308">
            <v>5.1587100000000004E-3</v>
          </cell>
          <cell r="M3308">
            <v>1000000</v>
          </cell>
          <cell r="N3308">
            <v>1.4454397707459272E-2</v>
          </cell>
          <cell r="O3308">
            <v>14.85</v>
          </cell>
          <cell r="Q3308">
            <v>14</v>
          </cell>
        </row>
        <row r="3309">
          <cell r="D3309" t="str">
            <v>124750-51-2</v>
          </cell>
          <cell r="E3309">
            <v>124750512</v>
          </cell>
          <cell r="F3309">
            <v>1794</v>
          </cell>
          <cell r="G3309" t="str">
            <v>Reach_4110</v>
          </cell>
          <cell r="H3309">
            <v>3301</v>
          </cell>
          <cell r="J3309">
            <v>557.51</v>
          </cell>
          <cell r="K3309">
            <v>302.13</v>
          </cell>
          <cell r="L3309">
            <v>2.9725900000000003E-14</v>
          </cell>
          <cell r="M3309">
            <v>1.7499999999999999E-7</v>
          </cell>
          <cell r="N3309">
            <v>251188643.15095839</v>
          </cell>
          <cell r="O3309">
            <v>0</v>
          </cell>
          <cell r="Q3309">
            <v>0</v>
          </cell>
        </row>
        <row r="3310">
          <cell r="D3310" t="str">
            <v>2668-75-9</v>
          </cell>
          <cell r="E3310">
            <v>2668759</v>
          </cell>
          <cell r="F3310">
            <v>2484</v>
          </cell>
          <cell r="G3310" t="str">
            <v>Reach_4258</v>
          </cell>
          <cell r="H3310">
            <v>3302</v>
          </cell>
          <cell r="J3310">
            <v>368.47</v>
          </cell>
          <cell r="K3310">
            <v>185.74</v>
          </cell>
          <cell r="L3310">
            <v>2.1061399999999999E-6</v>
          </cell>
          <cell r="M3310">
            <v>24.207999999999998</v>
          </cell>
          <cell r="N3310">
            <v>1737.8008287493772</v>
          </cell>
          <cell r="Q3310">
            <v>14</v>
          </cell>
        </row>
        <row r="3311">
          <cell r="D3311" t="str">
            <v>394735-17-2</v>
          </cell>
          <cell r="E3311">
            <v>394735172</v>
          </cell>
          <cell r="F3311">
            <v>2840</v>
          </cell>
          <cell r="G3311" t="str">
            <v>Reach_4307</v>
          </cell>
          <cell r="H3311">
            <v>3303</v>
          </cell>
          <cell r="J3311">
            <v>171.24</v>
          </cell>
          <cell r="K3311">
            <v>33.409999999999997</v>
          </cell>
          <cell r="L3311">
            <v>6.29176</v>
          </cell>
          <cell r="M3311">
            <v>77718</v>
          </cell>
          <cell r="N3311">
            <v>38.904514499428075</v>
          </cell>
          <cell r="P3311">
            <v>6.3</v>
          </cell>
          <cell r="Q3311">
            <v>7.7</v>
          </cell>
        </row>
        <row r="3312">
          <cell r="D3312" t="str">
            <v>42036-65-7</v>
          </cell>
          <cell r="E3312">
            <v>42036657</v>
          </cell>
          <cell r="F3312">
            <v>5884</v>
          </cell>
          <cell r="G3312" t="str">
            <v>Reach_4873</v>
          </cell>
          <cell r="H3312">
            <v>3304</v>
          </cell>
          <cell r="J3312">
            <v>191.7</v>
          </cell>
          <cell r="K3312">
            <v>0</v>
          </cell>
          <cell r="L3312">
            <v>0</v>
          </cell>
          <cell r="M3312">
            <v>0</v>
          </cell>
          <cell r="N3312">
            <v>0</v>
          </cell>
          <cell r="O3312">
            <v>0</v>
          </cell>
          <cell r="Q3312">
            <v>0</v>
          </cell>
        </row>
        <row r="3313">
          <cell r="D3313" t="str">
            <v>117-61-3</v>
          </cell>
          <cell r="E3313">
            <v>117613</v>
          </cell>
          <cell r="F3313">
            <v>1661</v>
          </cell>
          <cell r="G3313" t="str">
            <v>Reach_959</v>
          </cell>
          <cell r="H3313">
            <v>3305</v>
          </cell>
          <cell r="J3313">
            <v>344.37</v>
          </cell>
          <cell r="K3313">
            <v>277.18</v>
          </cell>
          <cell r="L3313">
            <v>4.3189200000000004E-16</v>
          </cell>
          <cell r="M3313">
            <v>2484.6999999999998</v>
          </cell>
          <cell r="N3313">
            <v>6.6069344800759565E-3</v>
          </cell>
          <cell r="Q3313">
            <v>14</v>
          </cell>
        </row>
        <row r="3314">
          <cell r="D3314" t="str">
            <v>51336-95-9</v>
          </cell>
          <cell r="E3314">
            <v>51336959</v>
          </cell>
          <cell r="F3314">
            <v>3035</v>
          </cell>
          <cell r="G3314" t="str">
            <v>Reach_4333</v>
          </cell>
          <cell r="H3314">
            <v>3306</v>
          </cell>
          <cell r="J3314">
            <v>190.58</v>
          </cell>
          <cell r="K3314">
            <v>30.75</v>
          </cell>
          <cell r="L3314">
            <v>7.5981000000000005</v>
          </cell>
          <cell r="M3314">
            <v>453.39</v>
          </cell>
          <cell r="N3314">
            <v>213.79620895022339</v>
          </cell>
          <cell r="Q3314">
            <v>14</v>
          </cell>
        </row>
        <row r="3315">
          <cell r="D3315" t="str">
            <v>6410-41-9</v>
          </cell>
          <cell r="E3315">
            <v>6410419</v>
          </cell>
          <cell r="F3315">
            <v>3425</v>
          </cell>
          <cell r="G3315" t="str">
            <v>Reach_2179</v>
          </cell>
          <cell r="H3315">
            <v>3307</v>
          </cell>
          <cell r="J3315">
            <v>627.12</v>
          </cell>
          <cell r="K3315">
            <v>349.84</v>
          </cell>
          <cell r="L3315">
            <v>3.4524700000000002E-20</v>
          </cell>
          <cell r="M3315">
            <v>4.571E-4</v>
          </cell>
          <cell r="N3315">
            <v>44668359.215096377</v>
          </cell>
          <cell r="O3315">
            <v>9.27</v>
          </cell>
          <cell r="Q3315">
            <v>9.27</v>
          </cell>
        </row>
        <row r="3316">
          <cell r="D3316" t="str">
            <v>89-57-6</v>
          </cell>
          <cell r="E3316">
            <v>89576</v>
          </cell>
          <cell r="F3316">
            <v>3980</v>
          </cell>
          <cell r="G3316" t="str">
            <v>Reach_345</v>
          </cell>
          <cell r="H3316">
            <v>3308</v>
          </cell>
          <cell r="J3316">
            <v>153.13999999999999</v>
          </cell>
          <cell r="K3316">
            <v>128.86000000000001</v>
          </cell>
          <cell r="L3316">
            <v>8.1313000000000012E-6</v>
          </cell>
          <cell r="M3316">
            <v>14218</v>
          </cell>
          <cell r="N3316">
            <v>9.5499258602143584</v>
          </cell>
          <cell r="Q3316">
            <v>14</v>
          </cell>
        </row>
        <row r="3317">
          <cell r="D3317" t="str">
            <v>26919-50-6</v>
          </cell>
          <cell r="E3317">
            <v>26919506</v>
          </cell>
          <cell r="F3317">
            <v>5807</v>
          </cell>
          <cell r="G3317" t="str">
            <v>Reach_2596</v>
          </cell>
          <cell r="H3317">
            <v>3309</v>
          </cell>
          <cell r="J3317">
            <v>434.55</v>
          </cell>
          <cell r="K3317">
            <v>0</v>
          </cell>
          <cell r="L3317">
            <v>0</v>
          </cell>
          <cell r="M3317">
            <v>0</v>
          </cell>
          <cell r="N3317">
            <v>0</v>
          </cell>
          <cell r="Q3317">
            <v>14</v>
          </cell>
        </row>
        <row r="3318">
          <cell r="D3318" t="str">
            <v>76201-56-4</v>
          </cell>
          <cell r="E3318">
            <v>76201564</v>
          </cell>
          <cell r="F3318">
            <v>3704</v>
          </cell>
          <cell r="G3318" t="str">
            <v>Reach_4989</v>
          </cell>
          <cell r="H3318">
            <v>3310</v>
          </cell>
          <cell r="J3318">
            <v>650.47</v>
          </cell>
          <cell r="K3318">
            <v>289.55</v>
          </cell>
          <cell r="L3318">
            <v>3.9990000000000004E-17</v>
          </cell>
          <cell r="M3318">
            <v>9.4720999999999993</v>
          </cell>
          <cell r="N3318">
            <v>0.75857757502918366</v>
          </cell>
          <cell r="O3318">
            <v>-0.16</v>
          </cell>
          <cell r="Q3318">
            <v>-0.16</v>
          </cell>
        </row>
        <row r="3319">
          <cell r="D3319" t="str">
            <v>939961-06-5</v>
          </cell>
          <cell r="E3319">
            <v>939961065</v>
          </cell>
          <cell r="F3319">
            <v>6087</v>
          </cell>
          <cell r="G3319" t="str">
            <v>Reach_4506</v>
          </cell>
          <cell r="H3319">
            <v>3311</v>
          </cell>
          <cell r="J3319">
            <v>321.77</v>
          </cell>
          <cell r="K3319">
            <v>0</v>
          </cell>
          <cell r="L3319">
            <v>0</v>
          </cell>
          <cell r="M3319">
            <v>0</v>
          </cell>
          <cell r="N3319">
            <v>0</v>
          </cell>
          <cell r="Q3319">
            <v>14</v>
          </cell>
        </row>
        <row r="3320">
          <cell r="D3320" t="str">
            <v>58190-57-1</v>
          </cell>
          <cell r="E3320">
            <v>58190571</v>
          </cell>
          <cell r="F3320">
            <v>3242</v>
          </cell>
          <cell r="G3320" t="str">
            <v>Reach_4363</v>
          </cell>
          <cell r="H3320">
            <v>3312</v>
          </cell>
          <cell r="J3320">
            <v>273.41000000000003</v>
          </cell>
          <cell r="K3320">
            <v>14.1</v>
          </cell>
          <cell r="L3320">
            <v>0.23594100000000004</v>
          </cell>
          <cell r="M3320">
            <v>4.2823000000000002</v>
          </cell>
          <cell r="N3320">
            <v>707945784.38413846</v>
          </cell>
          <cell r="Q3320">
            <v>14</v>
          </cell>
        </row>
        <row r="3321">
          <cell r="D3321" t="str">
            <v>50-28-2</v>
          </cell>
          <cell r="E3321">
            <v>50282</v>
          </cell>
          <cell r="F3321">
            <v>55</v>
          </cell>
          <cell r="G3321" t="str">
            <v>Reach_7</v>
          </cell>
          <cell r="H3321">
            <v>3313</v>
          </cell>
          <cell r="J3321">
            <v>272.39</v>
          </cell>
          <cell r="K3321">
            <v>152.43</v>
          </cell>
          <cell r="L3321">
            <v>2.6526700000000002E-7</v>
          </cell>
          <cell r="M3321">
            <v>8.8080999999999996</v>
          </cell>
          <cell r="N3321">
            <v>8709.6358995608189</v>
          </cell>
          <cell r="O3321">
            <v>10</v>
          </cell>
          <cell r="Q3321">
            <v>10</v>
          </cell>
        </row>
        <row r="3322">
          <cell r="D3322" t="str">
            <v>111-83-1</v>
          </cell>
          <cell r="E3322">
            <v>111831</v>
          </cell>
          <cell r="F3322">
            <v>312</v>
          </cell>
          <cell r="G3322" t="str">
            <v>Reach_874</v>
          </cell>
          <cell r="H3322">
            <v>3314</v>
          </cell>
          <cell r="J3322">
            <v>193.13</v>
          </cell>
          <cell r="K3322">
            <v>-17.920000000000002</v>
          </cell>
          <cell r="L3322">
            <v>69.049400000000006</v>
          </cell>
          <cell r="M3322">
            <v>2.4771000000000001</v>
          </cell>
          <cell r="N3322">
            <v>40738.027780411358</v>
          </cell>
          <cell r="Q3322">
            <v>14</v>
          </cell>
        </row>
        <row r="3323">
          <cell r="D3323" t="str">
            <v>80675-49-6</v>
          </cell>
          <cell r="E3323">
            <v>80675496</v>
          </cell>
          <cell r="F3323">
            <v>3796</v>
          </cell>
          <cell r="G3323" t="str">
            <v>Reach_4446</v>
          </cell>
          <cell r="H3323">
            <v>3315</v>
          </cell>
          <cell r="J3323">
            <v>386.37</v>
          </cell>
          <cell r="K3323">
            <v>241.55</v>
          </cell>
          <cell r="L3323">
            <v>4.3322500000000007E-10</v>
          </cell>
          <cell r="M3323">
            <v>8.0213999999999999</v>
          </cell>
          <cell r="N3323">
            <v>977.23722095581138</v>
          </cell>
          <cell r="Q3323">
            <v>14</v>
          </cell>
        </row>
        <row r="3324">
          <cell r="D3324" t="str">
            <v>88-19-7</v>
          </cell>
          <cell r="E3324">
            <v>88197</v>
          </cell>
          <cell r="F3324">
            <v>3951</v>
          </cell>
          <cell r="G3324" t="str">
            <v>Reach_319</v>
          </cell>
          <cell r="H3324">
            <v>3316</v>
          </cell>
          <cell r="J3324">
            <v>171.22</v>
          </cell>
          <cell r="K3324">
            <v>91.19</v>
          </cell>
          <cell r="L3324">
            <v>8.0779800000000002E-3</v>
          </cell>
          <cell r="M3324">
            <v>2300.6</v>
          </cell>
          <cell r="N3324">
            <v>8.3176377110267108</v>
          </cell>
          <cell r="O3324">
            <v>10.1</v>
          </cell>
          <cell r="Q3324">
            <v>10.1</v>
          </cell>
        </row>
        <row r="3325">
          <cell r="D3325" t="str">
            <v>76-74-4</v>
          </cell>
          <cell r="E3325">
            <v>76744</v>
          </cell>
          <cell r="F3325">
            <v>876</v>
          </cell>
          <cell r="G3325" t="str">
            <v>Reach_176</v>
          </cell>
          <cell r="H3325">
            <v>3317</v>
          </cell>
          <cell r="J3325">
            <v>226.28</v>
          </cell>
          <cell r="K3325">
            <v>229.26</v>
          </cell>
          <cell r="L3325">
            <v>4.0789799999999999E-8</v>
          </cell>
          <cell r="M3325">
            <v>676.28</v>
          </cell>
          <cell r="N3325">
            <v>100</v>
          </cell>
          <cell r="Q3325">
            <v>14</v>
          </cell>
        </row>
        <row r="3326">
          <cell r="D3326" t="str">
            <v>860035-10-5</v>
          </cell>
          <cell r="E3326">
            <v>860035105</v>
          </cell>
          <cell r="F3326">
            <v>3900</v>
          </cell>
          <cell r="G3326" t="str">
            <v>Reach_4888</v>
          </cell>
          <cell r="H3326">
            <v>3318</v>
          </cell>
          <cell r="J3326">
            <v>273.24</v>
          </cell>
          <cell r="K3326">
            <v>168.67</v>
          </cell>
          <cell r="L3326">
            <v>3.3991500000000003E-6</v>
          </cell>
          <cell r="M3326">
            <v>18973</v>
          </cell>
          <cell r="N3326">
            <v>3.8904514499428049E-2</v>
          </cell>
          <cell r="Q3326">
            <v>14</v>
          </cell>
        </row>
        <row r="3327">
          <cell r="D3327" t="str">
            <v>1261240-30-5</v>
          </cell>
          <cell r="E3327">
            <v>1261240305</v>
          </cell>
          <cell r="F3327">
            <v>1802</v>
          </cell>
          <cell r="G3327" t="str">
            <v>Reach_4957</v>
          </cell>
          <cell r="H3327">
            <v>3319</v>
          </cell>
          <cell r="J3327">
            <v>570.77</v>
          </cell>
          <cell r="K3327">
            <v>287.69</v>
          </cell>
          <cell r="L3327">
            <v>1.7329000000000001E-14</v>
          </cell>
          <cell r="M3327">
            <v>1.3400000000000001E-6</v>
          </cell>
          <cell r="N3327">
            <v>13182567385.56406</v>
          </cell>
          <cell r="O3327">
            <v>8.4700000000000006</v>
          </cell>
          <cell r="Q3327">
            <v>8.4700000000000006</v>
          </cell>
        </row>
        <row r="3328">
          <cell r="D3328" t="str">
            <v>62-55-5</v>
          </cell>
          <cell r="E3328">
            <v>62555</v>
          </cell>
          <cell r="F3328">
            <v>766</v>
          </cell>
          <cell r="G3328" t="str">
            <v>Reach_65</v>
          </cell>
          <cell r="H3328">
            <v>3320</v>
          </cell>
          <cell r="J3328">
            <v>75.134</v>
          </cell>
          <cell r="K3328">
            <v>-21.02</v>
          </cell>
          <cell r="L3328">
            <v>239.94000000000003</v>
          </cell>
          <cell r="M3328">
            <v>148000</v>
          </cell>
          <cell r="N3328">
            <v>0.14791083881682074</v>
          </cell>
          <cell r="O3328">
            <v>13.4</v>
          </cell>
          <cell r="Q3328">
            <v>13.4</v>
          </cell>
        </row>
        <row r="3329">
          <cell r="D3329" t="str">
            <v>93924-07-3</v>
          </cell>
          <cell r="E3329">
            <v>93924073</v>
          </cell>
          <cell r="F3329">
            <v>4092</v>
          </cell>
          <cell r="G3329" t="str">
            <v>Reach_3004</v>
          </cell>
          <cell r="H3329">
            <v>3321</v>
          </cell>
          <cell r="J3329">
            <v>170.34</v>
          </cell>
          <cell r="K3329">
            <v>-20.85</v>
          </cell>
          <cell r="L3329">
            <v>31.4588</v>
          </cell>
          <cell r="M3329">
            <v>3.5352000000000001E-2</v>
          </cell>
          <cell r="N3329">
            <v>1698243.6524617488</v>
          </cell>
          <cell r="Q3329">
            <v>14</v>
          </cell>
        </row>
        <row r="3330">
          <cell r="D3330" t="str">
            <v>96-12-8</v>
          </cell>
          <cell r="E3330">
            <v>96128</v>
          </cell>
          <cell r="F3330">
            <v>1045</v>
          </cell>
          <cell r="G3330" t="str">
            <v>Reach_451</v>
          </cell>
          <cell r="H3330">
            <v>3322</v>
          </cell>
          <cell r="J3330">
            <v>236.35</v>
          </cell>
          <cell r="K3330">
            <v>-6.86</v>
          </cell>
          <cell r="L3330">
            <v>58.652000000000008</v>
          </cell>
          <cell r="M3330">
            <v>262.04000000000002</v>
          </cell>
          <cell r="N3330">
            <v>478.63009232263886</v>
          </cell>
          <cell r="O3330">
            <v>0</v>
          </cell>
          <cell r="P3330">
            <v>0</v>
          </cell>
          <cell r="Q3330">
            <v>0</v>
          </cell>
        </row>
        <row r="3331">
          <cell r="D3331" t="str">
            <v>1048649-80-4</v>
          </cell>
          <cell r="E3331">
            <v>1048649804</v>
          </cell>
          <cell r="F3331">
            <v>5594</v>
          </cell>
          <cell r="G3331" t="str">
            <v>Reach_4686</v>
          </cell>
          <cell r="H3331">
            <v>3323</v>
          </cell>
          <cell r="J3331">
            <v>296.24</v>
          </cell>
          <cell r="K3331">
            <v>0</v>
          </cell>
          <cell r="L3331">
            <v>0</v>
          </cell>
          <cell r="M3331">
            <v>0</v>
          </cell>
          <cell r="N3331">
            <v>0</v>
          </cell>
          <cell r="Q3331">
            <v>14</v>
          </cell>
        </row>
        <row r="3332">
          <cell r="D3332" t="str">
            <v>17465-86-0</v>
          </cell>
          <cell r="E3332">
            <v>17465860</v>
          </cell>
          <cell r="F3332">
            <v>6398</v>
          </cell>
          <cell r="G3332" t="str">
            <v>Reach_2434</v>
          </cell>
          <cell r="H3332">
            <v>3324</v>
          </cell>
          <cell r="J3332">
            <v>1297.0999999999999</v>
          </cell>
          <cell r="K3332">
            <v>0</v>
          </cell>
          <cell r="L3332">
            <v>0</v>
          </cell>
          <cell r="M3332">
            <v>0</v>
          </cell>
          <cell r="N3332">
            <v>0</v>
          </cell>
          <cell r="Q3332">
            <v>14</v>
          </cell>
        </row>
        <row r="3333">
          <cell r="D3333" t="str">
            <v>82203-23-4</v>
          </cell>
          <cell r="E3333">
            <v>82203234</v>
          </cell>
          <cell r="F3333">
            <v>3821</v>
          </cell>
          <cell r="G3333" t="str">
            <v>Reach_4943</v>
          </cell>
          <cell r="H3333">
            <v>3325</v>
          </cell>
          <cell r="J3333">
            <v>427.28</v>
          </cell>
          <cell r="K3333">
            <v>228.52</v>
          </cell>
          <cell r="L3333">
            <v>4.2656000000000007E-12</v>
          </cell>
          <cell r="M3333">
            <v>3.4586000000000001</v>
          </cell>
          <cell r="N3333">
            <v>467.7351412871983</v>
          </cell>
          <cell r="Q3333">
            <v>14</v>
          </cell>
        </row>
        <row r="3334">
          <cell r="D3334" t="str">
            <v>950773-38-3</v>
          </cell>
          <cell r="E3334">
            <v>950773383</v>
          </cell>
          <cell r="F3334">
            <v>4119</v>
          </cell>
          <cell r="G3334" t="str">
            <v>Reach_4961</v>
          </cell>
          <cell r="H3334">
            <v>3326</v>
          </cell>
          <cell r="J3334">
            <v>480.5</v>
          </cell>
          <cell r="K3334">
            <v>205.64</v>
          </cell>
          <cell r="L3334">
            <v>3.5724400000000005E-8</v>
          </cell>
          <cell r="M3334">
            <v>1.91E-5</v>
          </cell>
          <cell r="N3334">
            <v>218776162.39495569</v>
          </cell>
          <cell r="Q3334">
            <v>14</v>
          </cell>
        </row>
        <row r="3335">
          <cell r="D3335" t="str">
            <v>123348-27-6</v>
          </cell>
          <cell r="E3335">
            <v>123348276</v>
          </cell>
          <cell r="F3335">
            <v>1769</v>
          </cell>
          <cell r="G3335" t="str">
            <v>Reach_4703</v>
          </cell>
          <cell r="H3335">
            <v>3327</v>
          </cell>
          <cell r="J3335">
            <v>371.02</v>
          </cell>
          <cell r="K3335">
            <v>134.09</v>
          </cell>
          <cell r="L3335">
            <v>2.8392900000000004E-4</v>
          </cell>
          <cell r="M3335">
            <v>1.1786E-2</v>
          </cell>
          <cell r="N3335">
            <v>1174897.5549395324</v>
          </cell>
          <cell r="O3335">
            <v>0</v>
          </cell>
          <cell r="P3335">
            <v>0</v>
          </cell>
          <cell r="Q3335">
            <v>0</v>
          </cell>
        </row>
        <row r="3336">
          <cell r="D3336" t="str">
            <v>707-36-8</v>
          </cell>
          <cell r="E3336">
            <v>707368</v>
          </cell>
          <cell r="F3336">
            <v>3568</v>
          </cell>
          <cell r="G3336" t="str">
            <v>Reach_4411</v>
          </cell>
          <cell r="H3336">
            <v>3328</v>
          </cell>
          <cell r="J3336">
            <v>198.74</v>
          </cell>
          <cell r="K3336">
            <v>32.43</v>
          </cell>
          <cell r="L3336">
            <v>20.928100000000001</v>
          </cell>
          <cell r="M3336">
            <v>4.8106999999999998</v>
          </cell>
          <cell r="N3336">
            <v>114815.36214968823</v>
          </cell>
          <cell r="Q3336">
            <v>14</v>
          </cell>
        </row>
        <row r="3337">
          <cell r="D3337" t="str">
            <v>94158-79-9</v>
          </cell>
          <cell r="E3337">
            <v>94158799</v>
          </cell>
          <cell r="F3337">
            <v>6089</v>
          </cell>
          <cell r="G3337" t="str">
            <v>Reach_3007</v>
          </cell>
          <cell r="H3337">
            <v>3329</v>
          </cell>
          <cell r="J3337">
            <v>1466.6</v>
          </cell>
          <cell r="K3337">
            <v>0</v>
          </cell>
          <cell r="L3337">
            <v>0</v>
          </cell>
          <cell r="M3337">
            <v>0</v>
          </cell>
          <cell r="N3337">
            <v>0</v>
          </cell>
          <cell r="Q3337">
            <v>14</v>
          </cell>
        </row>
        <row r="3338">
          <cell r="D3338" t="str">
            <v>93771-36-9</v>
          </cell>
          <cell r="E3338">
            <v>93771369</v>
          </cell>
          <cell r="F3338">
            <v>4082</v>
          </cell>
          <cell r="G3338" t="str">
            <v>Reach_4505</v>
          </cell>
          <cell r="H3338">
            <v>3330</v>
          </cell>
          <cell r="J3338">
            <v>370.49</v>
          </cell>
          <cell r="K3338">
            <v>191.76</v>
          </cell>
          <cell r="L3338">
            <v>9.9575099999999999E-9</v>
          </cell>
          <cell r="M3338">
            <v>3.1682000000000001</v>
          </cell>
          <cell r="N3338">
            <v>15488.166189124853</v>
          </cell>
          <cell r="O3338">
            <v>14.08</v>
          </cell>
          <cell r="Q3338">
            <v>14</v>
          </cell>
        </row>
        <row r="3339">
          <cell r="D3339" t="str">
            <v>1196069-20-1</v>
          </cell>
          <cell r="E3339">
            <v>1196069201</v>
          </cell>
          <cell r="F3339">
            <v>1696</v>
          </cell>
          <cell r="G3339" t="str">
            <v>Reach_4899</v>
          </cell>
          <cell r="H3339">
            <v>3331</v>
          </cell>
          <cell r="J3339">
            <v>331.5</v>
          </cell>
          <cell r="K3339">
            <v>147.36000000000001</v>
          </cell>
          <cell r="L3339">
            <v>7.7447300000000013E-5</v>
          </cell>
          <cell r="M3339">
            <v>25.248999999999999</v>
          </cell>
          <cell r="N3339">
            <v>6025595.8607435944</v>
          </cell>
          <cell r="P3339">
            <v>7.55</v>
          </cell>
          <cell r="Q3339">
            <v>6.45</v>
          </cell>
        </row>
        <row r="3340">
          <cell r="D3340" t="str">
            <v>93-07-2</v>
          </cell>
          <cell r="E3340">
            <v>93072</v>
          </cell>
          <cell r="F3340">
            <v>4058</v>
          </cell>
          <cell r="G3340" t="str">
            <v>Reach_398</v>
          </cell>
          <cell r="H3340">
            <v>3332</v>
          </cell>
          <cell r="J3340">
            <v>182.18</v>
          </cell>
          <cell r="K3340">
            <v>95.65</v>
          </cell>
          <cell r="L3340">
            <v>3.1058900000000005E-3</v>
          </cell>
          <cell r="M3340">
            <v>3455.9</v>
          </cell>
          <cell r="N3340">
            <v>33.113112148259127</v>
          </cell>
          <cell r="O3340">
            <v>4.28</v>
          </cell>
          <cell r="P3340">
            <v>0</v>
          </cell>
          <cell r="Q3340">
            <v>4.28</v>
          </cell>
        </row>
        <row r="3341">
          <cell r="D3341" t="str">
            <v>52-90-4</v>
          </cell>
          <cell r="E3341">
            <v>52904</v>
          </cell>
          <cell r="F3341">
            <v>3080</v>
          </cell>
          <cell r="G3341" t="str">
            <v>Reach_18</v>
          </cell>
          <cell r="H3341">
            <v>3333</v>
          </cell>
          <cell r="J3341">
            <v>121.16</v>
          </cell>
          <cell r="K3341">
            <v>199.27</v>
          </cell>
          <cell r="L3341">
            <v>8.9710900000000002E-5</v>
          </cell>
          <cell r="M3341">
            <v>80449</v>
          </cell>
          <cell r="N3341">
            <v>8.9125093813374539E-4</v>
          </cell>
          <cell r="O3341">
            <v>2</v>
          </cell>
          <cell r="P3341">
            <v>5.55</v>
          </cell>
          <cell r="Q3341">
            <v>2</v>
          </cell>
        </row>
        <row r="3342">
          <cell r="D3342" t="str">
            <v>2422-91-5</v>
          </cell>
          <cell r="E3342">
            <v>2422915</v>
          </cell>
          <cell r="F3342">
            <v>2380</v>
          </cell>
          <cell r="G3342" t="str">
            <v>Reach_1804</v>
          </cell>
          <cell r="H3342">
            <v>3334</v>
          </cell>
          <cell r="J3342">
            <v>367.37</v>
          </cell>
          <cell r="K3342">
            <v>169.52</v>
          </cell>
          <cell r="L3342">
            <v>2.9592600000000004E-6</v>
          </cell>
          <cell r="M3342">
            <v>0.94311999999999996</v>
          </cell>
          <cell r="N3342">
            <v>14791083.881682113</v>
          </cell>
          <cell r="O3342">
            <v>0</v>
          </cell>
          <cell r="P3342">
            <v>0</v>
          </cell>
          <cell r="Q3342">
            <v>0</v>
          </cell>
        </row>
        <row r="3343">
          <cell r="D3343" t="str">
            <v>1037197-98-0</v>
          </cell>
          <cell r="E3343">
            <v>1037197980</v>
          </cell>
          <cell r="F3343">
            <v>1379</v>
          </cell>
          <cell r="G3343" t="str">
            <v>Reach_4066</v>
          </cell>
          <cell r="H3343">
            <v>3335</v>
          </cell>
          <cell r="J3343">
            <v>334.85</v>
          </cell>
          <cell r="K3343">
            <v>160.5</v>
          </cell>
          <cell r="L3343">
            <v>3.5991000000000004E-6</v>
          </cell>
          <cell r="M3343">
            <v>6.6242999999999996E-2</v>
          </cell>
          <cell r="N3343">
            <v>2041737.9446695296</v>
          </cell>
          <cell r="P3343">
            <v>0</v>
          </cell>
          <cell r="Q3343">
            <v>14</v>
          </cell>
        </row>
        <row r="3344">
          <cell r="D3344" t="str">
            <v>17183-98-1</v>
          </cell>
          <cell r="E3344">
            <v>17183981</v>
          </cell>
          <cell r="F3344">
            <v>2124</v>
          </cell>
          <cell r="G3344" t="str">
            <v>Reach_4180</v>
          </cell>
          <cell r="H3344">
            <v>3336</v>
          </cell>
          <cell r="J3344">
            <v>453.41</v>
          </cell>
          <cell r="K3344">
            <v>211.05</v>
          </cell>
          <cell r="L3344">
            <v>4.6788299999999998E-8</v>
          </cell>
          <cell r="M3344">
            <v>0.58323999999999998</v>
          </cell>
          <cell r="N3344">
            <v>41686.938347033625</v>
          </cell>
          <cell r="Q3344">
            <v>14</v>
          </cell>
        </row>
        <row r="3345">
          <cell r="D3345" t="str">
            <v>654-70-6</v>
          </cell>
          <cell r="E3345">
            <v>654706</v>
          </cell>
          <cell r="F3345">
            <v>3454</v>
          </cell>
          <cell r="G3345" t="str">
            <v>Reach_4847</v>
          </cell>
          <cell r="H3345">
            <v>3337</v>
          </cell>
          <cell r="J3345">
            <v>186.14</v>
          </cell>
          <cell r="K3345">
            <v>64.17</v>
          </cell>
          <cell r="L3345">
            <v>0.71182200000000007</v>
          </cell>
          <cell r="M3345">
            <v>1053.9000000000001</v>
          </cell>
          <cell r="N3345">
            <v>138.0384264602886</v>
          </cell>
          <cell r="P3345">
            <v>13.52</v>
          </cell>
          <cell r="Q3345">
            <v>0.48000000000000043</v>
          </cell>
        </row>
        <row r="3346">
          <cell r="D3346" t="str">
            <v>1219086-87-9</v>
          </cell>
          <cell r="E3346">
            <v>1219086879</v>
          </cell>
          <cell r="F3346">
            <v>1738</v>
          </cell>
          <cell r="G3346" t="str">
            <v>Reach_5075</v>
          </cell>
          <cell r="H3346">
            <v>3338</v>
          </cell>
          <cell r="J3346">
            <v>310.13</v>
          </cell>
          <cell r="K3346">
            <v>128.84</v>
          </cell>
          <cell r="L3346">
            <v>3.02591E-4</v>
          </cell>
          <cell r="M3346">
            <v>0.12584000000000001</v>
          </cell>
          <cell r="N3346">
            <v>338844.15613920329</v>
          </cell>
          <cell r="O3346">
            <v>0</v>
          </cell>
          <cell r="P3346">
            <v>0</v>
          </cell>
          <cell r="Q3346">
            <v>0</v>
          </cell>
        </row>
        <row r="3347">
          <cell r="D3347" t="str">
            <v>1238449-42-7</v>
          </cell>
          <cell r="E3347">
            <v>1238449427</v>
          </cell>
          <cell r="F3347">
            <v>1776</v>
          </cell>
          <cell r="G3347" t="str">
            <v>Reach_4584</v>
          </cell>
          <cell r="H3347">
            <v>3339</v>
          </cell>
          <cell r="J3347">
            <v>342.56</v>
          </cell>
          <cell r="K3347">
            <v>8.9600000000000009</v>
          </cell>
          <cell r="L3347">
            <v>3.5324500000000003E-3</v>
          </cell>
          <cell r="M3347">
            <v>2.1021999999999998E-3</v>
          </cell>
          <cell r="N3347">
            <v>851138038.20237648</v>
          </cell>
          <cell r="P3347">
            <v>0</v>
          </cell>
          <cell r="Q3347">
            <v>14</v>
          </cell>
        </row>
        <row r="3348">
          <cell r="D3348" t="str">
            <v>92-72-8</v>
          </cell>
          <cell r="E3348">
            <v>92728</v>
          </cell>
          <cell r="F3348">
            <v>4047</v>
          </cell>
          <cell r="G3348" t="str">
            <v>Reach_390</v>
          </cell>
          <cell r="H3348">
            <v>3340</v>
          </cell>
          <cell r="J3348">
            <v>357.79</v>
          </cell>
          <cell r="K3348">
            <v>236.06</v>
          </cell>
          <cell r="L3348">
            <v>1.023744E-10</v>
          </cell>
          <cell r="M3348">
            <v>0.10125000000000001</v>
          </cell>
          <cell r="N3348">
            <v>52480.746024977314</v>
          </cell>
          <cell r="O3348">
            <v>10.16</v>
          </cell>
          <cell r="Q3348">
            <v>10.16</v>
          </cell>
        </row>
        <row r="3349">
          <cell r="D3349" t="str">
            <v>81653-77-2</v>
          </cell>
          <cell r="E3349">
            <v>81653772</v>
          </cell>
          <cell r="F3349">
            <v>3810</v>
          </cell>
          <cell r="G3349" t="str">
            <v>Reach_4449</v>
          </cell>
          <cell r="H3349">
            <v>3341</v>
          </cell>
          <cell r="J3349">
            <v>223.29</v>
          </cell>
          <cell r="K3349">
            <v>300.58</v>
          </cell>
          <cell r="L3349">
            <v>3.8257100000000002E-8</v>
          </cell>
          <cell r="M3349">
            <v>659.95</v>
          </cell>
          <cell r="N3349">
            <v>0.34673685045253166</v>
          </cell>
          <cell r="O3349">
            <v>1.69</v>
          </cell>
          <cell r="Q3349">
            <v>1.69</v>
          </cell>
        </row>
        <row r="3350">
          <cell r="D3350" t="str">
            <v>247569-56-8</v>
          </cell>
          <cell r="E3350">
            <v>247569568</v>
          </cell>
          <cell r="F3350">
            <v>2403</v>
          </cell>
          <cell r="G3350" t="str">
            <v>Reach_4647</v>
          </cell>
          <cell r="H3350">
            <v>3342</v>
          </cell>
          <cell r="J3350">
            <v>218.2</v>
          </cell>
          <cell r="K3350">
            <v>131.15</v>
          </cell>
          <cell r="L3350">
            <v>8.7578100000000006E-4</v>
          </cell>
          <cell r="M3350">
            <v>1188.7</v>
          </cell>
          <cell r="N3350">
            <v>1.9952623149688797</v>
          </cell>
          <cell r="O3350">
            <v>2.66</v>
          </cell>
          <cell r="Q3350">
            <v>2.66</v>
          </cell>
        </row>
        <row r="3351">
          <cell r="D3351" t="str">
            <v>77-09-8</v>
          </cell>
          <cell r="E3351">
            <v>77098</v>
          </cell>
          <cell r="F3351">
            <v>879</v>
          </cell>
          <cell r="G3351" t="str">
            <v>Reach_179</v>
          </cell>
          <cell r="H3351">
            <v>3343</v>
          </cell>
          <cell r="J3351">
            <v>318.33</v>
          </cell>
          <cell r="K3351">
            <v>218.41</v>
          </cell>
          <cell r="L3351">
            <v>8.3712400000000016E-11</v>
          </cell>
          <cell r="M3351">
            <v>31.92</v>
          </cell>
          <cell r="N3351">
            <v>1148.1536214968839</v>
          </cell>
          <cell r="O3351">
            <v>9.43</v>
          </cell>
          <cell r="Q3351">
            <v>9.43</v>
          </cell>
        </row>
        <row r="3352">
          <cell r="D3352" t="str">
            <v>12567-73-6</v>
          </cell>
          <cell r="E3352">
            <v>12567736</v>
          </cell>
          <cell r="F3352">
            <v>5644</v>
          </cell>
          <cell r="G3352" t="str">
            <v>Reach_4533</v>
          </cell>
          <cell r="H3352">
            <v>3344</v>
          </cell>
          <cell r="J3352">
            <v>439.61</v>
          </cell>
          <cell r="K3352">
            <v>0</v>
          </cell>
          <cell r="L3352">
            <v>0</v>
          </cell>
          <cell r="M3352">
            <v>0</v>
          </cell>
          <cell r="N3352">
            <v>0</v>
          </cell>
          <cell r="Q3352">
            <v>14</v>
          </cell>
        </row>
        <row r="3353">
          <cell r="D3353" t="str">
            <v>122-09-8</v>
          </cell>
          <cell r="E3353">
            <v>122098</v>
          </cell>
          <cell r="F3353">
            <v>1742</v>
          </cell>
          <cell r="G3353" t="str">
            <v>Reach_1026</v>
          </cell>
          <cell r="H3353">
            <v>3345</v>
          </cell>
          <cell r="J3353">
            <v>149.24</v>
          </cell>
          <cell r="K3353">
            <v>29.01</v>
          </cell>
          <cell r="L3353">
            <v>31.592100000000002</v>
          </cell>
          <cell r="M3353">
            <v>14.298</v>
          </cell>
          <cell r="N3353">
            <v>162.18100973589304</v>
          </cell>
          <cell r="O3353">
            <v>0</v>
          </cell>
          <cell r="P3353">
            <v>4.0999999999999996</v>
          </cell>
          <cell r="Q3353">
            <v>0</v>
          </cell>
        </row>
        <row r="3354">
          <cell r="D3354" t="str">
            <v>54761-87-4</v>
          </cell>
          <cell r="E3354">
            <v>54761874</v>
          </cell>
          <cell r="F3354">
            <v>690</v>
          </cell>
          <cell r="G3354" t="str">
            <v>Reach_4946</v>
          </cell>
          <cell r="H3354">
            <v>3346</v>
          </cell>
          <cell r="J3354">
            <v>306.37</v>
          </cell>
          <cell r="K3354">
            <v>206.76</v>
          </cell>
          <cell r="L3354">
            <v>8.9710899999999996E-8</v>
          </cell>
          <cell r="M3354">
            <v>132.12</v>
          </cell>
          <cell r="N3354">
            <v>23.442288153199236</v>
          </cell>
          <cell r="O3354">
            <v>0</v>
          </cell>
          <cell r="Q3354">
            <v>0</v>
          </cell>
        </row>
        <row r="3355">
          <cell r="D3355" t="str">
            <v>127-47-9</v>
          </cell>
          <cell r="E3355">
            <v>127479</v>
          </cell>
          <cell r="F3355">
            <v>1812</v>
          </cell>
          <cell r="G3355" t="str">
            <v>Reach_1098</v>
          </cell>
          <cell r="H3355">
            <v>3347</v>
          </cell>
          <cell r="J3355">
            <v>328.5</v>
          </cell>
          <cell r="K3355">
            <v>114.98</v>
          </cell>
          <cell r="L3355">
            <v>2.4527199999999999E-4</v>
          </cell>
          <cell r="M3355">
            <v>3.0084E-2</v>
          </cell>
          <cell r="N3355">
            <v>426579518.80159384</v>
          </cell>
          <cell r="Q3355">
            <v>14</v>
          </cell>
        </row>
        <row r="3356">
          <cell r="D3356" t="str">
            <v>6001-74-7</v>
          </cell>
          <cell r="E3356">
            <v>6001747</v>
          </cell>
          <cell r="F3356">
            <v>5944</v>
          </cell>
          <cell r="G3356" t="str">
            <v>Reach_4369</v>
          </cell>
          <cell r="H3356">
            <v>3348</v>
          </cell>
          <cell r="J3356">
            <v>198.12</v>
          </cell>
          <cell r="K3356">
            <v>0</v>
          </cell>
          <cell r="L3356">
            <v>0</v>
          </cell>
          <cell r="M3356">
            <v>0</v>
          </cell>
          <cell r="N3356">
            <v>0</v>
          </cell>
          <cell r="O3356">
            <v>0</v>
          </cell>
          <cell r="P3356">
            <v>0</v>
          </cell>
          <cell r="Q3356">
            <v>0</v>
          </cell>
        </row>
        <row r="3357">
          <cell r="D3357" t="str">
            <v>119532-26-2</v>
          </cell>
          <cell r="E3357">
            <v>119532262</v>
          </cell>
          <cell r="F3357">
            <v>5623</v>
          </cell>
          <cell r="G3357" t="str">
            <v>Reach_4096</v>
          </cell>
          <cell r="H3357">
            <v>3349</v>
          </cell>
          <cell r="J3357">
            <v>267.58999999999997</v>
          </cell>
          <cell r="K3357">
            <v>0</v>
          </cell>
          <cell r="L3357">
            <v>0</v>
          </cell>
          <cell r="M3357">
            <v>0</v>
          </cell>
          <cell r="N3357">
            <v>0</v>
          </cell>
          <cell r="Q3357">
            <v>14</v>
          </cell>
        </row>
        <row r="3358">
          <cell r="D3358" t="str">
            <v>2051-49-2</v>
          </cell>
          <cell r="E3358">
            <v>2051492</v>
          </cell>
          <cell r="F3358">
            <v>2270</v>
          </cell>
          <cell r="G3358" t="str">
            <v>Reach_1753</v>
          </cell>
          <cell r="H3358">
            <v>3350</v>
          </cell>
          <cell r="J3358">
            <v>214.31</v>
          </cell>
          <cell r="K3358">
            <v>1.67</v>
          </cell>
          <cell r="L3358">
            <v>10.59735</v>
          </cell>
          <cell r="M3358">
            <v>8.7843</v>
          </cell>
          <cell r="N3358">
            <v>2238.7211385683418</v>
          </cell>
          <cell r="O3358">
            <v>0</v>
          </cell>
          <cell r="Q3358">
            <v>0</v>
          </cell>
        </row>
        <row r="3359">
          <cell r="D3359" t="str">
            <v>434-03-7</v>
          </cell>
          <cell r="E3359">
            <v>434037</v>
          </cell>
          <cell r="F3359">
            <v>2911</v>
          </cell>
          <cell r="G3359" t="str">
            <v>Reach_1272</v>
          </cell>
          <cell r="H3359">
            <v>3351</v>
          </cell>
          <cell r="J3359">
            <v>312.45</v>
          </cell>
          <cell r="K3359">
            <v>168.58</v>
          </cell>
          <cell r="L3359">
            <v>3.1992E-8</v>
          </cell>
          <cell r="M3359">
            <v>5.7605000000000004</v>
          </cell>
          <cell r="N3359">
            <v>2754.228703338169</v>
          </cell>
          <cell r="P3359">
            <v>0</v>
          </cell>
          <cell r="Q3359">
            <v>14</v>
          </cell>
        </row>
        <row r="3360">
          <cell r="D3360" t="str">
            <v>100485-51-6</v>
          </cell>
          <cell r="E3360">
            <v>100485516</v>
          </cell>
          <cell r="F3360">
            <v>1307</v>
          </cell>
          <cell r="G3360" t="str">
            <v>Reach_4987</v>
          </cell>
          <cell r="H3360">
            <v>3352</v>
          </cell>
          <cell r="J3360">
            <v>185.23</v>
          </cell>
          <cell r="K3360">
            <v>78.150000000000006</v>
          </cell>
          <cell r="L3360">
            <v>2.78597E-4</v>
          </cell>
          <cell r="M3360">
            <v>84.603999999999999</v>
          </cell>
          <cell r="N3360">
            <v>3890.451449942811</v>
          </cell>
          <cell r="O3360">
            <v>11.1</v>
          </cell>
          <cell r="Q3360">
            <v>11.1</v>
          </cell>
        </row>
        <row r="3361">
          <cell r="D3361" t="str">
            <v>542-92-7</v>
          </cell>
          <cell r="E3361">
            <v>542927</v>
          </cell>
          <cell r="F3361">
            <v>3137</v>
          </cell>
          <cell r="G3361" t="str">
            <v>Reach_1348</v>
          </cell>
          <cell r="H3361">
            <v>3353</v>
          </cell>
          <cell r="J3361">
            <v>66.102999999999994</v>
          </cell>
          <cell r="K3361">
            <v>-91.83</v>
          </cell>
          <cell r="L3361">
            <v>56919.100000000006</v>
          </cell>
          <cell r="M3361">
            <v>1694.3</v>
          </cell>
          <cell r="N3361">
            <v>177.82794100389242</v>
          </cell>
          <cell r="P3361">
            <v>0</v>
          </cell>
          <cell r="Q3361">
            <v>14</v>
          </cell>
        </row>
        <row r="3362">
          <cell r="D3362" t="str">
            <v>1217271-49-2</v>
          </cell>
          <cell r="E3362">
            <v>1217271492</v>
          </cell>
          <cell r="F3362">
            <v>1736</v>
          </cell>
          <cell r="G3362" t="str">
            <v>Reach_4938</v>
          </cell>
          <cell r="H3362">
            <v>3354</v>
          </cell>
          <cell r="J3362">
            <v>422.66</v>
          </cell>
          <cell r="K3362">
            <v>187.73</v>
          </cell>
          <cell r="L3362">
            <v>5.5319500000000002E-7</v>
          </cell>
          <cell r="M3362">
            <v>1.7024999999999999</v>
          </cell>
          <cell r="N3362">
            <v>891.25093813374656</v>
          </cell>
          <cell r="P3362">
            <v>6.18</v>
          </cell>
          <cell r="Q3362">
            <v>7.82</v>
          </cell>
        </row>
        <row r="3363">
          <cell r="D3363" t="str">
            <v>959-14-8</v>
          </cell>
          <cell r="E3363">
            <v>959148</v>
          </cell>
          <cell r="F3363">
            <v>4137</v>
          </cell>
          <cell r="G3363" t="str">
            <v>Reach_1618</v>
          </cell>
          <cell r="H3363">
            <v>3355</v>
          </cell>
          <cell r="J3363">
            <v>245.33</v>
          </cell>
          <cell r="K3363">
            <v>131.97</v>
          </cell>
          <cell r="L3363">
            <v>1.2423560000000002E-2</v>
          </cell>
          <cell r="M3363">
            <v>793.82</v>
          </cell>
          <cell r="N3363">
            <v>229.08676527677744</v>
          </cell>
          <cell r="O3363">
            <v>0</v>
          </cell>
          <cell r="Q3363">
            <v>0</v>
          </cell>
        </row>
        <row r="3364">
          <cell r="D3364" t="str">
            <v>5958-24-7</v>
          </cell>
          <cell r="E3364">
            <v>5958247</v>
          </cell>
          <cell r="F3364">
            <v>3280</v>
          </cell>
          <cell r="G3364" t="str">
            <v>Reach_4562</v>
          </cell>
          <cell r="H3364">
            <v>3356</v>
          </cell>
          <cell r="J3364">
            <v>305.17</v>
          </cell>
          <cell r="K3364">
            <v>203.53</v>
          </cell>
          <cell r="L3364">
            <v>1.4663000000000001E-7</v>
          </cell>
          <cell r="M3364">
            <v>0.16087000000000001</v>
          </cell>
          <cell r="N3364">
            <v>6918.3097091893687</v>
          </cell>
          <cell r="P3364">
            <v>0</v>
          </cell>
          <cell r="Q3364">
            <v>14</v>
          </cell>
        </row>
        <row r="3365">
          <cell r="D3365" t="str">
            <v>704-10-9</v>
          </cell>
          <cell r="E3365">
            <v>704109</v>
          </cell>
          <cell r="F3365">
            <v>3562</v>
          </cell>
          <cell r="G3365" t="str">
            <v>Reach_4409</v>
          </cell>
          <cell r="H3365">
            <v>3357</v>
          </cell>
          <cell r="J3365">
            <v>207.03</v>
          </cell>
          <cell r="K3365">
            <v>47.29</v>
          </cell>
          <cell r="L3365">
            <v>2.62601</v>
          </cell>
          <cell r="M3365">
            <v>82.275000000000006</v>
          </cell>
          <cell r="N3365">
            <v>1445.4397707459289</v>
          </cell>
          <cell r="Q3365">
            <v>14</v>
          </cell>
        </row>
        <row r="3366">
          <cell r="D3366" t="str">
            <v>756-12-7</v>
          </cell>
          <cell r="E3366">
            <v>756127</v>
          </cell>
          <cell r="F3366">
            <v>3677</v>
          </cell>
          <cell r="G3366" t="str">
            <v>Reach_4663</v>
          </cell>
          <cell r="H3366">
            <v>3358</v>
          </cell>
          <cell r="J3366">
            <v>266.02999999999997</v>
          </cell>
          <cell r="K3366">
            <v>-71.150000000000006</v>
          </cell>
          <cell r="L3366">
            <v>32125.300000000003</v>
          </cell>
          <cell r="M3366">
            <v>35.704000000000001</v>
          </cell>
          <cell r="N3366">
            <v>66.069344800759623</v>
          </cell>
          <cell r="Q3366">
            <v>14</v>
          </cell>
        </row>
        <row r="3367">
          <cell r="D3367" t="str">
            <v>147770-06-7</v>
          </cell>
          <cell r="E3367">
            <v>147770067</v>
          </cell>
          <cell r="F3367">
            <v>1998</v>
          </cell>
          <cell r="G3367" t="str">
            <v>Reach_4159</v>
          </cell>
          <cell r="H3367">
            <v>3359</v>
          </cell>
          <cell r="J3367">
            <v>480.65</v>
          </cell>
          <cell r="K3367">
            <v>264.2</v>
          </cell>
          <cell r="L3367">
            <v>1.2530200000000002E-11</v>
          </cell>
          <cell r="M3367">
            <v>2.0639000000000001E-2</v>
          </cell>
          <cell r="N3367">
            <v>9332543.0079699196</v>
          </cell>
          <cell r="O3367">
            <v>14.31</v>
          </cell>
          <cell r="Q3367">
            <v>14</v>
          </cell>
        </row>
        <row r="3368">
          <cell r="D3368" t="str">
            <v>66212-25-7</v>
          </cell>
          <cell r="E3368">
            <v>66212257</v>
          </cell>
          <cell r="F3368">
            <v>3467</v>
          </cell>
          <cell r="G3368" t="str">
            <v>Reach_4390</v>
          </cell>
          <cell r="H3368">
            <v>3360</v>
          </cell>
          <cell r="J3368">
            <v>326.44</v>
          </cell>
          <cell r="K3368">
            <v>178.68</v>
          </cell>
          <cell r="L3368">
            <v>9.6775800000000008E-8</v>
          </cell>
          <cell r="M3368">
            <v>1.0034000000000001</v>
          </cell>
          <cell r="N3368">
            <v>446.68359215096331</v>
          </cell>
          <cell r="O3368">
            <v>13.86</v>
          </cell>
          <cell r="Q3368">
            <v>13.86</v>
          </cell>
        </row>
        <row r="3369">
          <cell r="D3369" t="str">
            <v>18143-33-4</v>
          </cell>
          <cell r="E3369">
            <v>18143334</v>
          </cell>
          <cell r="F3369">
            <v>2167</v>
          </cell>
          <cell r="G3369" t="str">
            <v>Reach_4831</v>
          </cell>
          <cell r="H3369">
            <v>3361</v>
          </cell>
          <cell r="J3369">
            <v>138.66999999999999</v>
          </cell>
          <cell r="K3369">
            <v>-63.08</v>
          </cell>
          <cell r="L3369">
            <v>2879.2800000000007</v>
          </cell>
          <cell r="M3369">
            <v>0</v>
          </cell>
          <cell r="N3369">
            <v>125.89254117941677</v>
          </cell>
          <cell r="Q3369">
            <v>14</v>
          </cell>
        </row>
        <row r="3370">
          <cell r="D3370" t="str">
            <v>873055-55-1</v>
          </cell>
          <cell r="E3370">
            <v>873055551</v>
          </cell>
          <cell r="F3370">
            <v>3925</v>
          </cell>
          <cell r="G3370" t="str">
            <v>Reach_4567</v>
          </cell>
          <cell r="H3370">
            <v>3362</v>
          </cell>
          <cell r="J3370">
            <v>309.36</v>
          </cell>
          <cell r="K3370">
            <v>131.43</v>
          </cell>
          <cell r="L3370">
            <v>2.5593600000000001E-4</v>
          </cell>
          <cell r="M3370">
            <v>2.9758</v>
          </cell>
          <cell r="N3370">
            <v>123026.87708123829</v>
          </cell>
          <cell r="Q3370">
            <v>14</v>
          </cell>
        </row>
        <row r="3371">
          <cell r="D3371" t="str">
            <v>877397-65-4</v>
          </cell>
          <cell r="E3371">
            <v>877397654</v>
          </cell>
          <cell r="F3371">
            <v>3940</v>
          </cell>
          <cell r="G3371" t="str">
            <v>Reach_4972</v>
          </cell>
          <cell r="H3371">
            <v>3363</v>
          </cell>
          <cell r="J3371">
            <v>209.05</v>
          </cell>
          <cell r="K3371">
            <v>58.05</v>
          </cell>
          <cell r="L3371">
            <v>0.10064150000000001</v>
          </cell>
          <cell r="M3371">
            <v>524.64</v>
          </cell>
          <cell r="N3371">
            <v>954.99258602143675</v>
          </cell>
          <cell r="Q3371">
            <v>14</v>
          </cell>
        </row>
        <row r="3372">
          <cell r="D3372" t="str">
            <v>89-41-8</v>
          </cell>
          <cell r="E3372">
            <v>89418</v>
          </cell>
          <cell r="F3372">
            <v>3975</v>
          </cell>
          <cell r="G3372" t="str">
            <v>Reach_343</v>
          </cell>
          <cell r="H3372">
            <v>3364</v>
          </cell>
          <cell r="J3372">
            <v>197.15</v>
          </cell>
          <cell r="K3372">
            <v>128.69</v>
          </cell>
          <cell r="L3372">
            <v>1.7728900000000001E-3</v>
          </cell>
          <cell r="M3372">
            <v>1072.3</v>
          </cell>
          <cell r="N3372">
            <v>58.884365535558949</v>
          </cell>
          <cell r="O3372">
            <v>3.66</v>
          </cell>
          <cell r="Q3372">
            <v>3.66</v>
          </cell>
        </row>
        <row r="3373">
          <cell r="D3373" t="str">
            <v>56519-71-2</v>
          </cell>
          <cell r="E3373">
            <v>56519712</v>
          </cell>
          <cell r="F3373">
            <v>3200</v>
          </cell>
          <cell r="G3373" t="str">
            <v>Reach_4721</v>
          </cell>
          <cell r="H3373">
            <v>3365</v>
          </cell>
          <cell r="J3373">
            <v>328.49</v>
          </cell>
          <cell r="K3373">
            <v>3.76</v>
          </cell>
          <cell r="L3373">
            <v>1.1117220000000001E-2</v>
          </cell>
          <cell r="M3373">
            <v>0.25173000000000001</v>
          </cell>
          <cell r="N3373">
            <v>6165950.0186148267</v>
          </cell>
          <cell r="O3373">
            <v>0</v>
          </cell>
          <cell r="P3373">
            <v>0</v>
          </cell>
          <cell r="Q3373">
            <v>0</v>
          </cell>
        </row>
        <row r="3374">
          <cell r="D3374" t="str">
            <v>5580-58-5</v>
          </cell>
          <cell r="E3374">
            <v>5580585</v>
          </cell>
          <cell r="F3374">
            <v>3179</v>
          </cell>
          <cell r="G3374" t="str">
            <v>Reach_2127</v>
          </cell>
          <cell r="H3374">
            <v>3366</v>
          </cell>
          <cell r="J3374">
            <v>957.49</v>
          </cell>
          <cell r="K3374">
            <v>349.84</v>
          </cell>
          <cell r="L3374">
            <v>1.089061E-28</v>
          </cell>
          <cell r="M3374">
            <v>3.1699999999999999E-10</v>
          </cell>
          <cell r="N3374">
            <v>56234132.519034937</v>
          </cell>
          <cell r="P3374">
            <v>10.94</v>
          </cell>
          <cell r="Q3374">
            <v>3.0600000000000005</v>
          </cell>
        </row>
        <row r="3375">
          <cell r="D3375" t="str">
            <v>93820-33-8</v>
          </cell>
          <cell r="E3375">
            <v>93820338</v>
          </cell>
          <cell r="F3375">
            <v>4086</v>
          </cell>
          <cell r="G3375" t="str">
            <v>Reach_2998</v>
          </cell>
          <cell r="H3375">
            <v>3367</v>
          </cell>
          <cell r="J3375">
            <v>269.47000000000003</v>
          </cell>
          <cell r="K3375">
            <v>129.96</v>
          </cell>
          <cell r="L3375">
            <v>2.70599E-4</v>
          </cell>
          <cell r="M3375">
            <v>3.8124999999999999E-2</v>
          </cell>
          <cell r="N3375">
            <v>1071519.3052376076</v>
          </cell>
          <cell r="Q3375">
            <v>14</v>
          </cell>
        </row>
        <row r="3376">
          <cell r="D3376" t="str">
            <v>94213-23-7</v>
          </cell>
          <cell r="E3376">
            <v>94213237</v>
          </cell>
          <cell r="F3376">
            <v>4099</v>
          </cell>
          <cell r="G3376" t="str">
            <v>Reach_3009</v>
          </cell>
          <cell r="H3376">
            <v>3368</v>
          </cell>
          <cell r="J3376">
            <v>256.10000000000002</v>
          </cell>
          <cell r="K3376">
            <v>155.32</v>
          </cell>
          <cell r="L3376">
            <v>3.6524200000000005E-5</v>
          </cell>
          <cell r="M3376">
            <v>26.952000000000002</v>
          </cell>
          <cell r="N3376">
            <v>234.42288153199232</v>
          </cell>
          <cell r="P3376">
            <v>8.51</v>
          </cell>
          <cell r="Q3376">
            <v>5.49</v>
          </cell>
        </row>
        <row r="3377">
          <cell r="D3377" t="str">
            <v>605-50-5</v>
          </cell>
          <cell r="E3377">
            <v>605505</v>
          </cell>
          <cell r="F3377">
            <v>3311</v>
          </cell>
          <cell r="G3377" t="str">
            <v>Reach_1413</v>
          </cell>
          <cell r="H3377">
            <v>3369</v>
          </cell>
          <cell r="J3377">
            <v>306.39999999999998</v>
          </cell>
          <cell r="K3377">
            <v>0.74</v>
          </cell>
          <cell r="L3377">
            <v>6.3717400000000006E-6</v>
          </cell>
          <cell r="M3377">
            <v>1.2161999999999999</v>
          </cell>
          <cell r="N3377">
            <v>281838.29312644573</v>
          </cell>
          <cell r="Q3377">
            <v>14</v>
          </cell>
        </row>
        <row r="3378">
          <cell r="D3378" t="str">
            <v>82784-24-5</v>
          </cell>
          <cell r="E3378">
            <v>82784245</v>
          </cell>
          <cell r="F3378">
            <v>6045</v>
          </cell>
          <cell r="G3378" t="str">
            <v>Reach_4459</v>
          </cell>
          <cell r="H3378">
            <v>3370</v>
          </cell>
          <cell r="J3378">
            <v>638.47</v>
          </cell>
          <cell r="K3378">
            <v>0</v>
          </cell>
          <cell r="L3378">
            <v>0</v>
          </cell>
          <cell r="M3378">
            <v>0</v>
          </cell>
          <cell r="N3378">
            <v>0</v>
          </cell>
          <cell r="O3378">
            <v>0</v>
          </cell>
          <cell r="P3378">
            <v>0</v>
          </cell>
          <cell r="Q3378">
            <v>0</v>
          </cell>
        </row>
        <row r="3379">
          <cell r="D3379" t="str">
            <v>1101184-94-4</v>
          </cell>
          <cell r="E3379">
            <v>1101184944</v>
          </cell>
          <cell r="F3379">
            <v>5605</v>
          </cell>
          <cell r="G3379" t="str">
            <v>Reach_4673</v>
          </cell>
          <cell r="H3379">
            <v>3371</v>
          </cell>
          <cell r="J3379">
            <v>243.18</v>
          </cell>
          <cell r="K3379">
            <v>0</v>
          </cell>
          <cell r="L3379">
            <v>0</v>
          </cell>
          <cell r="M3379">
            <v>0</v>
          </cell>
          <cell r="N3379">
            <v>0</v>
          </cell>
          <cell r="Q3379">
            <v>14</v>
          </cell>
        </row>
        <row r="3380">
          <cell r="D3380" t="str">
            <v>19478-81-0</v>
          </cell>
          <cell r="E3380">
            <v>19478810</v>
          </cell>
          <cell r="F3380">
            <v>5760</v>
          </cell>
          <cell r="G3380" t="str">
            <v>Reach_4204</v>
          </cell>
          <cell r="H3380">
            <v>3372</v>
          </cell>
          <cell r="J3380">
            <v>235.72</v>
          </cell>
          <cell r="K3380">
            <v>0</v>
          </cell>
          <cell r="L3380">
            <v>0</v>
          </cell>
          <cell r="M3380">
            <v>0</v>
          </cell>
          <cell r="N3380">
            <v>0</v>
          </cell>
          <cell r="Q3380">
            <v>14</v>
          </cell>
        </row>
        <row r="3381">
          <cell r="D3381" t="str">
            <v>119812-29-2</v>
          </cell>
          <cell r="E3381">
            <v>119812292</v>
          </cell>
          <cell r="F3381">
            <v>5624</v>
          </cell>
          <cell r="G3381" t="str">
            <v>Reach_4097</v>
          </cell>
          <cell r="H3381">
            <v>3373</v>
          </cell>
          <cell r="J3381">
            <v>292.81</v>
          </cell>
          <cell r="K3381">
            <v>0</v>
          </cell>
          <cell r="L3381">
            <v>0</v>
          </cell>
          <cell r="M3381">
            <v>0</v>
          </cell>
          <cell r="N3381">
            <v>0</v>
          </cell>
          <cell r="Q3381">
            <v>14</v>
          </cell>
        </row>
        <row r="3382">
          <cell r="D3382" t="str">
            <v>917805-85-7</v>
          </cell>
          <cell r="E3382">
            <v>917805857</v>
          </cell>
          <cell r="F3382">
            <v>6082</v>
          </cell>
          <cell r="G3382" t="str">
            <v>Reach_5082</v>
          </cell>
          <cell r="H3382">
            <v>3374</v>
          </cell>
          <cell r="J3382">
            <v>610.79</v>
          </cell>
          <cell r="K3382">
            <v>0</v>
          </cell>
          <cell r="L3382">
            <v>0</v>
          </cell>
          <cell r="M3382">
            <v>0</v>
          </cell>
          <cell r="N3382">
            <v>0</v>
          </cell>
          <cell r="Q3382">
            <v>14</v>
          </cell>
        </row>
        <row r="3383">
          <cell r="D3383" t="str">
            <v>145022-45-3</v>
          </cell>
          <cell r="E3383">
            <v>145022453</v>
          </cell>
          <cell r="F3383">
            <v>5700</v>
          </cell>
          <cell r="G3383" t="str">
            <v>Reach_4154</v>
          </cell>
          <cell r="H3383">
            <v>3375</v>
          </cell>
          <cell r="J3383">
            <v>208.28</v>
          </cell>
          <cell r="K3383">
            <v>0</v>
          </cell>
          <cell r="L3383">
            <v>0</v>
          </cell>
          <cell r="M3383">
            <v>0</v>
          </cell>
          <cell r="N3383">
            <v>0</v>
          </cell>
          <cell r="O3383">
            <v>0</v>
          </cell>
          <cell r="Q3383">
            <v>0</v>
          </cell>
        </row>
        <row r="3384">
          <cell r="D3384" t="str">
            <v>41965-95-1</v>
          </cell>
          <cell r="E3384">
            <v>41965951</v>
          </cell>
          <cell r="F3384">
            <v>5883</v>
          </cell>
          <cell r="G3384" t="str">
            <v>Reach_4318</v>
          </cell>
          <cell r="H3384">
            <v>3376</v>
          </cell>
          <cell r="J3384">
            <v>208.09</v>
          </cell>
          <cell r="K3384">
            <v>0</v>
          </cell>
          <cell r="L3384">
            <v>0</v>
          </cell>
          <cell r="M3384">
            <v>0</v>
          </cell>
          <cell r="N3384">
            <v>0</v>
          </cell>
          <cell r="O3384">
            <v>0</v>
          </cell>
          <cell r="Q3384">
            <v>0</v>
          </cell>
        </row>
        <row r="3385">
          <cell r="D3385" t="str">
            <v>130198-05-9</v>
          </cell>
          <cell r="E3385">
            <v>130198059</v>
          </cell>
          <cell r="F3385">
            <v>5658</v>
          </cell>
          <cell r="G3385" t="str">
            <v>Reach_4118</v>
          </cell>
          <cell r="H3385">
            <v>3377</v>
          </cell>
          <cell r="J3385">
            <v>285.82</v>
          </cell>
          <cell r="K3385">
            <v>0</v>
          </cell>
          <cell r="L3385">
            <v>0</v>
          </cell>
          <cell r="M3385">
            <v>0</v>
          </cell>
          <cell r="N3385">
            <v>0</v>
          </cell>
          <cell r="P3385">
            <v>0</v>
          </cell>
          <cell r="Q3385">
            <v>14</v>
          </cell>
        </row>
        <row r="3386">
          <cell r="D3386" t="str">
            <v>30392-50-8</v>
          </cell>
          <cell r="E3386">
            <v>30392508</v>
          </cell>
          <cell r="F3386">
            <v>5831</v>
          </cell>
          <cell r="G3386" t="str">
            <v>Reach_4939</v>
          </cell>
          <cell r="H3386">
            <v>3378</v>
          </cell>
          <cell r="J3386">
            <v>383.88</v>
          </cell>
          <cell r="K3386">
            <v>0</v>
          </cell>
          <cell r="L3386">
            <v>0</v>
          </cell>
          <cell r="M3386">
            <v>0</v>
          </cell>
          <cell r="N3386">
            <v>0</v>
          </cell>
          <cell r="O3386">
            <v>0</v>
          </cell>
          <cell r="Q3386">
            <v>0</v>
          </cell>
        </row>
        <row r="3387">
          <cell r="D3387" t="str">
            <v>1246610-75-2</v>
          </cell>
          <cell r="E3387">
            <v>1246610752</v>
          </cell>
          <cell r="F3387">
            <v>5638</v>
          </cell>
          <cell r="G3387" t="str">
            <v>Reach_4638</v>
          </cell>
          <cell r="H3387">
            <v>3379</v>
          </cell>
          <cell r="J3387">
            <v>375.87</v>
          </cell>
          <cell r="K3387">
            <v>0</v>
          </cell>
          <cell r="L3387">
            <v>0</v>
          </cell>
          <cell r="M3387">
            <v>0</v>
          </cell>
          <cell r="N3387">
            <v>0</v>
          </cell>
          <cell r="Q3387">
            <v>14</v>
          </cell>
        </row>
        <row r="3388">
          <cell r="D3388" t="str">
            <v>14264-16-5</v>
          </cell>
          <cell r="E3388">
            <v>14264165</v>
          </cell>
          <cell r="F3388">
            <v>6395</v>
          </cell>
          <cell r="G3388" t="str">
            <v>Reach_2362</v>
          </cell>
          <cell r="H3388">
            <v>3380</v>
          </cell>
          <cell r="J3388">
            <v>690.49</v>
          </cell>
          <cell r="K3388">
            <v>0</v>
          </cell>
          <cell r="L3388">
            <v>0</v>
          </cell>
          <cell r="M3388">
            <v>0</v>
          </cell>
          <cell r="N3388">
            <v>0</v>
          </cell>
          <cell r="Q3388">
            <v>14</v>
          </cell>
        </row>
        <row r="3389">
          <cell r="D3389" t="str">
            <v>879671-67-7</v>
          </cell>
          <cell r="E3389">
            <v>879671677</v>
          </cell>
          <cell r="F3389">
            <v>6073</v>
          </cell>
          <cell r="G3389" t="str">
            <v>Reach_4858</v>
          </cell>
          <cell r="H3389">
            <v>3381</v>
          </cell>
          <cell r="J3389">
            <v>216.13</v>
          </cell>
          <cell r="K3389">
            <v>0</v>
          </cell>
          <cell r="L3389">
            <v>0</v>
          </cell>
          <cell r="M3389">
            <v>0</v>
          </cell>
          <cell r="N3389">
            <v>0</v>
          </cell>
          <cell r="O3389">
            <v>0</v>
          </cell>
          <cell r="Q3389">
            <v>0</v>
          </cell>
        </row>
        <row r="3390">
          <cell r="D3390" t="str">
            <v>1062580-52-2</v>
          </cell>
          <cell r="E3390">
            <v>1062580522</v>
          </cell>
          <cell r="F3390">
            <v>5597</v>
          </cell>
          <cell r="G3390" t="str">
            <v>Reach_4971</v>
          </cell>
          <cell r="H3390">
            <v>3382</v>
          </cell>
          <cell r="J3390">
            <v>291.27</v>
          </cell>
          <cell r="K3390">
            <v>0</v>
          </cell>
          <cell r="L3390">
            <v>0</v>
          </cell>
          <cell r="M3390">
            <v>0</v>
          </cell>
          <cell r="N3390">
            <v>0</v>
          </cell>
          <cell r="P3390">
            <v>0</v>
          </cell>
          <cell r="Q3390">
            <v>14</v>
          </cell>
        </row>
        <row r="3391">
          <cell r="D3391" t="str">
            <v>850348-10-6</v>
          </cell>
          <cell r="E3391">
            <v>850348106</v>
          </cell>
          <cell r="F3391">
            <v>6057</v>
          </cell>
          <cell r="G3391" t="str">
            <v>Reach_4631</v>
          </cell>
          <cell r="H3391">
            <v>3383</v>
          </cell>
          <cell r="J3391">
            <v>1251.5</v>
          </cell>
          <cell r="K3391">
            <v>0</v>
          </cell>
          <cell r="L3391">
            <v>0</v>
          </cell>
          <cell r="M3391">
            <v>0</v>
          </cell>
          <cell r="N3391">
            <v>0</v>
          </cell>
          <cell r="O3391">
            <v>0</v>
          </cell>
          <cell r="P3391">
            <v>0</v>
          </cell>
          <cell r="Q3391">
            <v>0</v>
          </cell>
        </row>
        <row r="3392">
          <cell r="D3392" t="str">
            <v>6953-28-2</v>
          </cell>
          <cell r="E3392">
            <v>6953282</v>
          </cell>
          <cell r="F3392">
            <v>6003</v>
          </cell>
          <cell r="G3392" t="str">
            <v>Reach_4885</v>
          </cell>
          <cell r="H3392">
            <v>3384</v>
          </cell>
          <cell r="J3392">
            <v>244.7</v>
          </cell>
          <cell r="K3392">
            <v>0</v>
          </cell>
          <cell r="L3392">
            <v>0</v>
          </cell>
          <cell r="M3392">
            <v>0</v>
          </cell>
          <cell r="N3392">
            <v>0</v>
          </cell>
          <cell r="O3392">
            <v>0</v>
          </cell>
          <cell r="Q3392">
            <v>0</v>
          </cell>
        </row>
        <row r="3393">
          <cell r="D3393" t="str">
            <v>23551-91-9</v>
          </cell>
          <cell r="E3393">
            <v>23551919</v>
          </cell>
          <cell r="F3393">
            <v>5786</v>
          </cell>
          <cell r="G3393" t="str">
            <v>Reach_4640</v>
          </cell>
          <cell r="H3393">
            <v>3385</v>
          </cell>
          <cell r="J3393">
            <v>237.82</v>
          </cell>
          <cell r="K3393">
            <v>0</v>
          </cell>
          <cell r="L3393">
            <v>0</v>
          </cell>
          <cell r="M3393">
            <v>0</v>
          </cell>
          <cell r="N3393">
            <v>0</v>
          </cell>
          <cell r="Q3393">
            <v>14</v>
          </cell>
        </row>
        <row r="3394">
          <cell r="D3394" t="str">
            <v>61-76-7</v>
          </cell>
          <cell r="E3394">
            <v>61767</v>
          </cell>
          <cell r="F3394">
            <v>5952</v>
          </cell>
          <cell r="G3394" t="str">
            <v>Reach_60</v>
          </cell>
          <cell r="H3394">
            <v>3386</v>
          </cell>
          <cell r="J3394">
            <v>203.67</v>
          </cell>
          <cell r="K3394">
            <v>0</v>
          </cell>
          <cell r="L3394">
            <v>0</v>
          </cell>
          <cell r="M3394">
            <v>0</v>
          </cell>
          <cell r="N3394">
            <v>0</v>
          </cell>
          <cell r="Q3394">
            <v>14</v>
          </cell>
        </row>
        <row r="3395">
          <cell r="D3395" t="str">
            <v>898543-06-1</v>
          </cell>
          <cell r="E3395">
            <v>898543061</v>
          </cell>
          <cell r="F3395">
            <v>6078</v>
          </cell>
          <cell r="G3395" t="str">
            <v>Reach_4493</v>
          </cell>
          <cell r="H3395">
            <v>3387</v>
          </cell>
          <cell r="J3395">
            <v>327.77</v>
          </cell>
          <cell r="K3395">
            <v>0</v>
          </cell>
          <cell r="L3395">
            <v>0</v>
          </cell>
          <cell r="M3395">
            <v>0</v>
          </cell>
          <cell r="N3395">
            <v>0</v>
          </cell>
          <cell r="Q3395">
            <v>14</v>
          </cell>
        </row>
        <row r="3396">
          <cell r="D3396" t="str">
            <v>27710-82-3</v>
          </cell>
          <cell r="E3396">
            <v>27710823</v>
          </cell>
          <cell r="F3396">
            <v>5811</v>
          </cell>
          <cell r="G3396" t="str">
            <v>Reach_4261</v>
          </cell>
          <cell r="H3396">
            <v>3388</v>
          </cell>
          <cell r="J3396">
            <v>509.28</v>
          </cell>
          <cell r="K3396">
            <v>0</v>
          </cell>
          <cell r="L3396">
            <v>0</v>
          </cell>
          <cell r="M3396">
            <v>0</v>
          </cell>
          <cell r="N3396">
            <v>0</v>
          </cell>
          <cell r="O3396">
            <v>0</v>
          </cell>
          <cell r="P3396">
            <v>0</v>
          </cell>
          <cell r="Q3396">
            <v>0</v>
          </cell>
        </row>
        <row r="3397">
          <cell r="D3397" t="str">
            <v>64464-07-9</v>
          </cell>
          <cell r="E3397">
            <v>64464079</v>
          </cell>
          <cell r="F3397">
            <v>5968</v>
          </cell>
          <cell r="G3397" t="str">
            <v>Reach_4828</v>
          </cell>
          <cell r="H3397">
            <v>3389</v>
          </cell>
          <cell r="J3397">
            <v>203.67</v>
          </cell>
          <cell r="K3397">
            <v>0</v>
          </cell>
          <cell r="L3397">
            <v>0</v>
          </cell>
          <cell r="M3397">
            <v>0</v>
          </cell>
          <cell r="N3397">
            <v>0</v>
          </cell>
          <cell r="O3397">
            <v>0</v>
          </cell>
          <cell r="P3397">
            <v>0</v>
          </cell>
          <cell r="Q3397">
            <v>0</v>
          </cell>
        </row>
        <row r="3398">
          <cell r="D3398" t="str">
            <v>1422423-64-0</v>
          </cell>
          <cell r="E3398">
            <v>1422423640</v>
          </cell>
          <cell r="F3398">
            <v>5694</v>
          </cell>
          <cell r="G3398" t="str">
            <v>Reach_5035</v>
          </cell>
          <cell r="H3398">
            <v>3390</v>
          </cell>
          <cell r="J3398">
            <v>384.4</v>
          </cell>
          <cell r="K3398">
            <v>0</v>
          </cell>
          <cell r="L3398">
            <v>0</v>
          </cell>
          <cell r="M3398">
            <v>0</v>
          </cell>
          <cell r="N3398">
            <v>0</v>
          </cell>
          <cell r="Q3398">
            <v>14</v>
          </cell>
        </row>
        <row r="3399">
          <cell r="D3399" t="str">
            <v>824-80-6</v>
          </cell>
          <cell r="E3399">
            <v>824806</v>
          </cell>
          <cell r="F3399">
            <v>6044</v>
          </cell>
          <cell r="G3399" t="str">
            <v>Reach_4450</v>
          </cell>
          <cell r="H3399">
            <v>3391</v>
          </cell>
          <cell r="J3399">
            <v>182.15</v>
          </cell>
          <cell r="K3399">
            <v>0</v>
          </cell>
          <cell r="L3399">
            <v>0</v>
          </cell>
          <cell r="M3399">
            <v>0</v>
          </cell>
          <cell r="N3399">
            <v>0</v>
          </cell>
          <cell r="Q3399">
            <v>14</v>
          </cell>
        </row>
        <row r="3400">
          <cell r="D3400" t="str">
            <v>1312296-85-7</v>
          </cell>
          <cell r="E3400">
            <v>1312296857</v>
          </cell>
          <cell r="F3400">
            <v>5660</v>
          </cell>
          <cell r="G3400" t="str">
            <v>Reach_4680</v>
          </cell>
          <cell r="H3400">
            <v>3392</v>
          </cell>
          <cell r="J3400">
            <v>250.39</v>
          </cell>
          <cell r="K3400">
            <v>0</v>
          </cell>
          <cell r="L3400">
            <v>0</v>
          </cell>
          <cell r="M3400">
            <v>0</v>
          </cell>
          <cell r="N3400">
            <v>0</v>
          </cell>
          <cell r="Q3400">
            <v>14</v>
          </cell>
        </row>
        <row r="3401">
          <cell r="D3401" t="str">
            <v>35689-59-9</v>
          </cell>
          <cell r="E3401">
            <v>35689599</v>
          </cell>
          <cell r="F3401">
            <v>5857</v>
          </cell>
          <cell r="G3401" t="str">
            <v>Reach_2693</v>
          </cell>
          <cell r="H3401">
            <v>3393</v>
          </cell>
          <cell r="J3401">
            <v>662.63</v>
          </cell>
          <cell r="K3401">
            <v>0</v>
          </cell>
          <cell r="L3401">
            <v>0</v>
          </cell>
          <cell r="M3401">
            <v>0</v>
          </cell>
          <cell r="N3401">
            <v>0</v>
          </cell>
          <cell r="O3401">
            <v>0</v>
          </cell>
          <cell r="P3401">
            <v>0</v>
          </cell>
          <cell r="Q3401">
            <v>0</v>
          </cell>
        </row>
        <row r="3402">
          <cell r="D3402" t="str">
            <v>24292-60-2</v>
          </cell>
          <cell r="E3402">
            <v>24292602</v>
          </cell>
          <cell r="F3402">
            <v>5790</v>
          </cell>
          <cell r="G3402" t="str">
            <v>Reach_2542</v>
          </cell>
          <cell r="H3402">
            <v>3394</v>
          </cell>
          <cell r="J3402">
            <v>787.38</v>
          </cell>
          <cell r="K3402">
            <v>0</v>
          </cell>
          <cell r="L3402">
            <v>0</v>
          </cell>
          <cell r="M3402">
            <v>0</v>
          </cell>
          <cell r="N3402">
            <v>0</v>
          </cell>
          <cell r="Q3402">
            <v>14</v>
          </cell>
        </row>
        <row r="3403">
          <cell r="D3403" t="str">
            <v>63659-15-4</v>
          </cell>
          <cell r="E3403">
            <v>63659154</v>
          </cell>
          <cell r="F3403">
            <v>3415</v>
          </cell>
          <cell r="G3403" t="str">
            <v>Reach_4385</v>
          </cell>
          <cell r="H3403">
            <v>3395</v>
          </cell>
          <cell r="J3403">
            <v>282.38</v>
          </cell>
          <cell r="K3403">
            <v>124.18</v>
          </cell>
          <cell r="L3403">
            <v>3.8923600000000005E-4</v>
          </cell>
          <cell r="M3403">
            <v>0.30608999999999997</v>
          </cell>
          <cell r="N3403">
            <v>218776.16239495538</v>
          </cell>
          <cell r="Q3403">
            <v>14</v>
          </cell>
        </row>
        <row r="3404">
          <cell r="D3404" t="str">
            <v>50-48-6</v>
          </cell>
          <cell r="E3404">
            <v>50486</v>
          </cell>
          <cell r="F3404">
            <v>662</v>
          </cell>
          <cell r="G3404" t="str">
            <v>Reach_8</v>
          </cell>
          <cell r="H3404">
            <v>3396</v>
          </cell>
          <cell r="J3404">
            <v>277.41000000000003</v>
          </cell>
          <cell r="K3404">
            <v>134.41</v>
          </cell>
          <cell r="L3404">
            <v>4.8254600000000004E-5</v>
          </cell>
          <cell r="M3404">
            <v>3.5478999999999998</v>
          </cell>
          <cell r="N3404">
            <v>89125.093813374609</v>
          </cell>
          <cell r="O3404">
            <v>0</v>
          </cell>
          <cell r="Q3404">
            <v>0</v>
          </cell>
        </row>
        <row r="3405">
          <cell r="D3405" t="str">
            <v>99189-60-3</v>
          </cell>
          <cell r="E3405">
            <v>99189603</v>
          </cell>
          <cell r="F3405">
            <v>4198</v>
          </cell>
          <cell r="G3405" t="str">
            <v>Reach_4517</v>
          </cell>
          <cell r="H3405">
            <v>3397</v>
          </cell>
          <cell r="J3405">
            <v>199.25</v>
          </cell>
          <cell r="K3405">
            <v>160.33000000000001</v>
          </cell>
          <cell r="L3405">
            <v>8.8111300000000005E-5</v>
          </cell>
          <cell r="M3405">
            <v>1766.5</v>
          </cell>
          <cell r="N3405">
            <v>20.4173794466953</v>
          </cell>
          <cell r="O3405">
            <v>4.7300000000000004</v>
          </cell>
          <cell r="P3405">
            <v>14.5</v>
          </cell>
          <cell r="Q3405">
            <v>-0.5</v>
          </cell>
        </row>
        <row r="3406">
          <cell r="D3406" t="str">
            <v>521-18-6</v>
          </cell>
          <cell r="E3406">
            <v>521186</v>
          </cell>
          <cell r="F3406">
            <v>672</v>
          </cell>
          <cell r="G3406" t="str">
            <v>Reach_1323</v>
          </cell>
          <cell r="H3406">
            <v>3398</v>
          </cell>
          <cell r="J3406">
            <v>290.45</v>
          </cell>
          <cell r="K3406">
            <v>146.1</v>
          </cell>
          <cell r="L3406">
            <v>1.4929600000000001E-6</v>
          </cell>
          <cell r="M3406">
            <v>7.1574999999999998</v>
          </cell>
          <cell r="N3406">
            <v>1174.8975549395295</v>
          </cell>
          <cell r="O3406">
            <v>15.99</v>
          </cell>
          <cell r="P3406">
            <v>0</v>
          </cell>
          <cell r="Q3406">
            <v>14</v>
          </cell>
        </row>
        <row r="3407">
          <cell r="D3407" t="str">
            <v>1210-35-1</v>
          </cell>
          <cell r="E3407">
            <v>1210351</v>
          </cell>
          <cell r="F3407">
            <v>1721</v>
          </cell>
          <cell r="G3407" t="str">
            <v>Reach_1674</v>
          </cell>
          <cell r="H3407">
            <v>3399</v>
          </cell>
          <cell r="J3407">
            <v>208.26</v>
          </cell>
          <cell r="K3407">
            <v>109.23</v>
          </cell>
          <cell r="L3407">
            <v>2.2661000000000004E-2</v>
          </cell>
          <cell r="M3407">
            <v>5.6734</v>
          </cell>
          <cell r="N3407">
            <v>33884.41561392029</v>
          </cell>
          <cell r="O3407">
            <v>0</v>
          </cell>
          <cell r="P3407">
            <v>0</v>
          </cell>
          <cell r="Q3407">
            <v>0</v>
          </cell>
        </row>
        <row r="3408">
          <cell r="D3408" t="str">
            <v>89786-04-9</v>
          </cell>
          <cell r="E3408">
            <v>89786049</v>
          </cell>
          <cell r="F3408">
            <v>3986</v>
          </cell>
          <cell r="G3408" t="str">
            <v>Reach_4492</v>
          </cell>
          <cell r="H3408">
            <v>3400</v>
          </cell>
          <cell r="J3408">
            <v>300.3</v>
          </cell>
          <cell r="K3408">
            <v>212.57</v>
          </cell>
          <cell r="L3408">
            <v>3.7190700000000009E-8</v>
          </cell>
          <cell r="M3408">
            <v>343000</v>
          </cell>
          <cell r="N3408">
            <v>1.9054607179632463E-2</v>
          </cell>
          <cell r="O3408">
            <v>2.41</v>
          </cell>
          <cell r="P3408">
            <v>13.49</v>
          </cell>
          <cell r="Q3408">
            <v>0.50999999999999979</v>
          </cell>
        </row>
        <row r="3409">
          <cell r="D3409" t="str">
            <v>327-78-6</v>
          </cell>
          <cell r="E3409">
            <v>327786</v>
          </cell>
          <cell r="F3409">
            <v>2663</v>
          </cell>
          <cell r="G3409" t="str">
            <v>Reach_4283</v>
          </cell>
          <cell r="H3409">
            <v>3401</v>
          </cell>
          <cell r="J3409">
            <v>221.57</v>
          </cell>
          <cell r="K3409">
            <v>9.49</v>
          </cell>
          <cell r="L3409">
            <v>54.386400000000002</v>
          </cell>
          <cell r="M3409">
            <v>60.500999999999998</v>
          </cell>
          <cell r="N3409">
            <v>15848.931924611146</v>
          </cell>
          <cell r="O3409">
            <v>0</v>
          </cell>
          <cell r="P3409">
            <v>0</v>
          </cell>
          <cell r="Q3409">
            <v>0</v>
          </cell>
        </row>
        <row r="3410">
          <cell r="D3410" t="str">
            <v>53201-62-0</v>
          </cell>
          <cell r="E3410">
            <v>53201620</v>
          </cell>
          <cell r="F3410">
            <v>3090</v>
          </cell>
          <cell r="G3410" t="str">
            <v>Reach_4342</v>
          </cell>
          <cell r="H3410">
            <v>3402</v>
          </cell>
          <cell r="J3410">
            <v>350.33</v>
          </cell>
          <cell r="K3410">
            <v>197.18</v>
          </cell>
          <cell r="L3410">
            <v>3.6790800000000005E-9</v>
          </cell>
          <cell r="M3410">
            <v>8.3569999999999993</v>
          </cell>
          <cell r="N3410">
            <v>128824.95516931375</v>
          </cell>
          <cell r="O3410">
            <v>8.19</v>
          </cell>
          <cell r="P3410">
            <v>0</v>
          </cell>
          <cell r="Q3410">
            <v>8.19</v>
          </cell>
        </row>
        <row r="3411">
          <cell r="D3411" t="str">
            <v>26175-68-8</v>
          </cell>
          <cell r="E3411">
            <v>26175688</v>
          </cell>
          <cell r="F3411">
            <v>2456</v>
          </cell>
          <cell r="G3411" t="str">
            <v>Reach_2576</v>
          </cell>
          <cell r="H3411">
            <v>3403</v>
          </cell>
          <cell r="J3411">
            <v>269.14999999999998</v>
          </cell>
          <cell r="K3411">
            <v>147.31</v>
          </cell>
          <cell r="L3411">
            <v>1.62626E-4</v>
          </cell>
          <cell r="M3411">
            <v>570.30999999999995</v>
          </cell>
          <cell r="N3411">
            <v>26.302679918953825</v>
          </cell>
          <cell r="Q3411">
            <v>14</v>
          </cell>
        </row>
        <row r="3412">
          <cell r="D3412" t="str">
            <v>54639-48-4</v>
          </cell>
          <cell r="E3412">
            <v>54639484</v>
          </cell>
          <cell r="F3412">
            <v>3150</v>
          </cell>
          <cell r="G3412" t="str">
            <v>Reach_4351</v>
          </cell>
          <cell r="H3412">
            <v>3404</v>
          </cell>
          <cell r="J3412">
            <v>500.57</v>
          </cell>
          <cell r="K3412">
            <v>328.16</v>
          </cell>
          <cell r="L3412">
            <v>1.3463300000000001E-19</v>
          </cell>
          <cell r="M3412">
            <v>0.80181999999999998</v>
          </cell>
          <cell r="N3412">
            <v>380.18939632056163</v>
          </cell>
          <cell r="O3412">
            <v>9.4499999999999993</v>
          </cell>
          <cell r="Q3412">
            <v>9.4499999999999993</v>
          </cell>
        </row>
        <row r="3413">
          <cell r="D3413" t="str">
            <v>16004-15-2</v>
          </cell>
          <cell r="E3413">
            <v>16004152</v>
          </cell>
          <cell r="F3413">
            <v>2071</v>
          </cell>
          <cell r="G3413" t="str">
            <v>Reach_4738</v>
          </cell>
          <cell r="H3413">
            <v>3405</v>
          </cell>
          <cell r="J3413">
            <v>296.94</v>
          </cell>
          <cell r="K3413">
            <v>48.85</v>
          </cell>
          <cell r="L3413">
            <v>0.6718320000000001</v>
          </cell>
          <cell r="M3413">
            <v>16.228000000000002</v>
          </cell>
          <cell r="N3413">
            <v>11220.184543019639</v>
          </cell>
          <cell r="Q3413">
            <v>14</v>
          </cell>
        </row>
        <row r="3414">
          <cell r="D3414" t="str">
            <v>30414-54-1</v>
          </cell>
          <cell r="E3414">
            <v>30414541</v>
          </cell>
          <cell r="F3414">
            <v>2596</v>
          </cell>
          <cell r="G3414" t="str">
            <v>Reach_2646</v>
          </cell>
          <cell r="H3414">
            <v>3406</v>
          </cell>
          <cell r="J3414">
            <v>144.16999999999999</v>
          </cell>
          <cell r="K3414">
            <v>-7.52</v>
          </cell>
          <cell r="L3414">
            <v>79.44680000000001</v>
          </cell>
          <cell r="M3414">
            <v>13169</v>
          </cell>
          <cell r="N3414">
            <v>1.9498445997580454</v>
          </cell>
          <cell r="Q3414">
            <v>14</v>
          </cell>
        </row>
        <row r="3415">
          <cell r="D3415" t="str">
            <v>38089-93-9</v>
          </cell>
          <cell r="E3415">
            <v>38089939</v>
          </cell>
          <cell r="F3415">
            <v>2815</v>
          </cell>
          <cell r="G3415" t="str">
            <v>Reach_4303</v>
          </cell>
          <cell r="H3415">
            <v>3407</v>
          </cell>
          <cell r="J3415">
            <v>342.87</v>
          </cell>
          <cell r="K3415">
            <v>188.34</v>
          </cell>
          <cell r="L3415">
            <v>1.8128800000000002E-8</v>
          </cell>
          <cell r="M3415">
            <v>2.6459999999999999</v>
          </cell>
          <cell r="N3415">
            <v>12589.254117941671</v>
          </cell>
          <cell r="O3415">
            <v>12.07</v>
          </cell>
          <cell r="P3415">
            <v>4.43</v>
          </cell>
          <cell r="Q3415">
            <v>9.57</v>
          </cell>
        </row>
        <row r="3416">
          <cell r="D3416" t="str">
            <v>1003315-69-2</v>
          </cell>
          <cell r="E3416">
            <v>1003315692</v>
          </cell>
          <cell r="F3416">
            <v>1300</v>
          </cell>
          <cell r="G3416" t="str">
            <v>Reach_4055</v>
          </cell>
          <cell r="H3416">
            <v>3408</v>
          </cell>
          <cell r="J3416">
            <v>348.8</v>
          </cell>
          <cell r="K3416">
            <v>191.38</v>
          </cell>
          <cell r="L3416">
            <v>9.0644000000000006E-7</v>
          </cell>
          <cell r="M3416">
            <v>0.12174</v>
          </cell>
          <cell r="N3416">
            <v>69183.097091893651</v>
          </cell>
          <cell r="O3416">
            <v>0</v>
          </cell>
          <cell r="P3416">
            <v>0</v>
          </cell>
          <cell r="Q3416">
            <v>0</v>
          </cell>
        </row>
        <row r="3417">
          <cell r="D3417" t="str">
            <v>24085-03-8</v>
          </cell>
          <cell r="E3417">
            <v>24085038</v>
          </cell>
          <cell r="F3417">
            <v>2371</v>
          </cell>
          <cell r="G3417" t="str">
            <v>Reach_2537</v>
          </cell>
          <cell r="H3417">
            <v>3409</v>
          </cell>
          <cell r="J3417">
            <v>329.44</v>
          </cell>
          <cell r="K3417">
            <v>200.53</v>
          </cell>
          <cell r="L3417">
            <v>7.3714900000000008E-10</v>
          </cell>
          <cell r="M3417">
            <v>123.85</v>
          </cell>
          <cell r="N3417">
            <v>363.07805477010152</v>
          </cell>
          <cell r="O3417">
            <v>9.9700000000000006</v>
          </cell>
          <cell r="P3417">
            <v>6.81</v>
          </cell>
          <cell r="Q3417">
            <v>7.19</v>
          </cell>
        </row>
        <row r="3418">
          <cell r="D3418" t="str">
            <v>4130-08-9</v>
          </cell>
          <cell r="E3418">
            <v>4130089</v>
          </cell>
          <cell r="F3418">
            <v>1265</v>
          </cell>
          <cell r="G3418" t="str">
            <v>Reach_2015</v>
          </cell>
          <cell r="H3418">
            <v>3410</v>
          </cell>
          <cell r="J3418">
            <v>232.26</v>
          </cell>
          <cell r="K3418">
            <v>-35.020000000000003</v>
          </cell>
          <cell r="L3418">
            <v>10.930600000000002</v>
          </cell>
          <cell r="M3418">
            <v>0</v>
          </cell>
          <cell r="N3418">
            <v>3.9810717055349727</v>
          </cell>
          <cell r="Q3418">
            <v>14</v>
          </cell>
        </row>
        <row r="3419">
          <cell r="D3419" t="str">
            <v>636-70-4</v>
          </cell>
          <cell r="E3419">
            <v>636704</v>
          </cell>
          <cell r="F3419">
            <v>5963</v>
          </cell>
          <cell r="G3419" t="str">
            <v>Reach_1475</v>
          </cell>
          <cell r="H3419">
            <v>3411</v>
          </cell>
          <cell r="J3419">
            <v>182.11</v>
          </cell>
          <cell r="K3419">
            <v>0</v>
          </cell>
          <cell r="L3419">
            <v>0</v>
          </cell>
          <cell r="M3419">
            <v>0</v>
          </cell>
          <cell r="N3419">
            <v>0</v>
          </cell>
          <cell r="Q3419">
            <v>14</v>
          </cell>
        </row>
        <row r="3420">
          <cell r="D3420" t="str">
            <v>57-83-0</v>
          </cell>
          <cell r="E3420">
            <v>57830</v>
          </cell>
          <cell r="F3420">
            <v>65</v>
          </cell>
          <cell r="G3420" t="str">
            <v>Reach_43</v>
          </cell>
          <cell r="H3420">
            <v>3412</v>
          </cell>
          <cell r="J3420">
            <v>314.47000000000003</v>
          </cell>
          <cell r="K3420">
            <v>149.77000000000001</v>
          </cell>
          <cell r="L3420">
            <v>3.5857700000000006E-4</v>
          </cell>
          <cell r="M3420">
            <v>39.99</v>
          </cell>
          <cell r="N3420">
            <v>4677.3514128719844</v>
          </cell>
          <cell r="O3420">
            <v>0</v>
          </cell>
          <cell r="P3420">
            <v>0</v>
          </cell>
          <cell r="Q3420">
            <v>0</v>
          </cell>
        </row>
        <row r="3421">
          <cell r="D3421" t="str">
            <v>15993-42-7</v>
          </cell>
          <cell r="E3421">
            <v>15993427</v>
          </cell>
          <cell r="F3421">
            <v>2069</v>
          </cell>
          <cell r="G3421" t="str">
            <v>Reach_2407</v>
          </cell>
          <cell r="H3421">
            <v>3413</v>
          </cell>
          <cell r="J3421">
            <v>420.81</v>
          </cell>
          <cell r="K3421">
            <v>250.28</v>
          </cell>
          <cell r="L3421">
            <v>1.1117220000000001E-10</v>
          </cell>
          <cell r="M3421">
            <v>1.3143</v>
          </cell>
          <cell r="N3421">
            <v>4265.7951880159299</v>
          </cell>
          <cell r="O3421">
            <v>8.66</v>
          </cell>
          <cell r="P3421">
            <v>15.14</v>
          </cell>
          <cell r="Q3421">
            <v>-1.1400000000000006</v>
          </cell>
        </row>
        <row r="3422">
          <cell r="D3422" t="str">
            <v>566200-79-1</v>
          </cell>
          <cell r="E3422">
            <v>566200791</v>
          </cell>
          <cell r="F3422">
            <v>3207</v>
          </cell>
          <cell r="G3422" t="str">
            <v>Reach_4568</v>
          </cell>
          <cell r="H3422">
            <v>3414</v>
          </cell>
          <cell r="J3422">
            <v>567.69000000000005</v>
          </cell>
          <cell r="K3422">
            <v>344.48</v>
          </cell>
          <cell r="L3422">
            <v>8.4512200000000006E-22</v>
          </cell>
          <cell r="M3422">
            <v>1.0005000000000001E-3</v>
          </cell>
          <cell r="N3422">
            <v>35481.33892335758</v>
          </cell>
          <cell r="Q3422">
            <v>14</v>
          </cell>
        </row>
        <row r="3423">
          <cell r="D3423" t="str">
            <v>2863-88-9</v>
          </cell>
          <cell r="E3423">
            <v>2863889</v>
          </cell>
          <cell r="F3423">
            <v>2540</v>
          </cell>
          <cell r="G3423" t="str">
            <v>Reach_4266</v>
          </cell>
          <cell r="H3423">
            <v>3415</v>
          </cell>
          <cell r="J3423">
            <v>300.44</v>
          </cell>
          <cell r="K3423">
            <v>141.12</v>
          </cell>
          <cell r="L3423">
            <v>4.1323000000000005E-4</v>
          </cell>
          <cell r="M3423">
            <v>33.76</v>
          </cell>
          <cell r="N3423">
            <v>4265.7951880159299</v>
          </cell>
          <cell r="O3423">
            <v>0</v>
          </cell>
          <cell r="Q3423">
            <v>0</v>
          </cell>
        </row>
        <row r="3424">
          <cell r="D3424" t="str">
            <v>82543-16-6</v>
          </cell>
          <cell r="E3424">
            <v>82543166</v>
          </cell>
          <cell r="F3424">
            <v>3829</v>
          </cell>
          <cell r="G3424" t="str">
            <v>Reach_4455</v>
          </cell>
          <cell r="H3424">
            <v>3416</v>
          </cell>
          <cell r="J3424">
            <v>330.47</v>
          </cell>
          <cell r="K3424">
            <v>180.12</v>
          </cell>
          <cell r="L3424">
            <v>2.9326000000000001E-8</v>
          </cell>
          <cell r="M3424">
            <v>598.04</v>
          </cell>
          <cell r="N3424">
            <v>269.15348039269179</v>
          </cell>
          <cell r="O3424">
            <v>15.35</v>
          </cell>
          <cell r="Q3424">
            <v>14</v>
          </cell>
        </row>
        <row r="3425">
          <cell r="D3425" t="str">
            <v>15448-47-2</v>
          </cell>
          <cell r="E3425">
            <v>15448472</v>
          </cell>
          <cell r="F3425">
            <v>489</v>
          </cell>
          <cell r="G3425" t="str">
            <v>Reach_4165</v>
          </cell>
          <cell r="H3425">
            <v>3417</v>
          </cell>
          <cell r="J3425">
            <v>58.08</v>
          </cell>
          <cell r="K3425">
            <v>-100.23</v>
          </cell>
          <cell r="L3425">
            <v>70915.600000000006</v>
          </cell>
          <cell r="M3425">
            <v>57869</v>
          </cell>
          <cell r="N3425">
            <v>2.344228815319922</v>
          </cell>
          <cell r="P3425">
            <v>0</v>
          </cell>
          <cell r="Q3425">
            <v>14</v>
          </cell>
        </row>
        <row r="3426">
          <cell r="D3426" t="str">
            <v>510729-01-8</v>
          </cell>
          <cell r="E3426">
            <v>510729018</v>
          </cell>
          <cell r="F3426">
            <v>3026</v>
          </cell>
          <cell r="G3426" t="str">
            <v>Reach_4701</v>
          </cell>
          <cell r="H3426">
            <v>3418</v>
          </cell>
          <cell r="J3426">
            <v>324.16000000000003</v>
          </cell>
          <cell r="K3426">
            <v>128.59</v>
          </cell>
          <cell r="L3426">
            <v>5.47863E-4</v>
          </cell>
          <cell r="M3426">
            <v>3.5335000000000001</v>
          </cell>
          <cell r="N3426">
            <v>35481.33892335758</v>
          </cell>
          <cell r="Q3426">
            <v>14</v>
          </cell>
        </row>
        <row r="3427">
          <cell r="D3427" t="str">
            <v>119-56-2</v>
          </cell>
          <cell r="E3427">
            <v>119562</v>
          </cell>
          <cell r="F3427">
            <v>1695</v>
          </cell>
          <cell r="G3427" t="str">
            <v>Reach_980</v>
          </cell>
          <cell r="H3427">
            <v>3419</v>
          </cell>
          <cell r="J3427">
            <v>218.68</v>
          </cell>
          <cell r="K3427">
            <v>92.54</v>
          </cell>
          <cell r="L3427">
            <v>9.7575600000000015E-4</v>
          </cell>
          <cell r="M3427">
            <v>26.047000000000001</v>
          </cell>
          <cell r="N3427">
            <v>2238.7211385683418</v>
          </cell>
          <cell r="Q3427">
            <v>14</v>
          </cell>
        </row>
        <row r="3428">
          <cell r="D3428" t="str">
            <v>1079221-49-0</v>
          </cell>
          <cell r="E3428">
            <v>1079221490</v>
          </cell>
          <cell r="F3428">
            <v>5604</v>
          </cell>
          <cell r="G3428" t="str">
            <v>Reach_4695</v>
          </cell>
          <cell r="H3428">
            <v>3420</v>
          </cell>
          <cell r="J3428">
            <v>230.68</v>
          </cell>
          <cell r="K3428">
            <v>0</v>
          </cell>
          <cell r="L3428">
            <v>0</v>
          </cell>
          <cell r="M3428">
            <v>0</v>
          </cell>
          <cell r="N3428">
            <v>0</v>
          </cell>
          <cell r="Q3428">
            <v>14</v>
          </cell>
        </row>
        <row r="3429">
          <cell r="D3429" t="str">
            <v>223398-24-1</v>
          </cell>
          <cell r="E3429">
            <v>223398241</v>
          </cell>
          <cell r="F3429">
            <v>5782</v>
          </cell>
          <cell r="G3429" t="str">
            <v>Reach_4800</v>
          </cell>
          <cell r="H3429">
            <v>3421</v>
          </cell>
          <cell r="J3429">
            <v>307.37</v>
          </cell>
          <cell r="K3429">
            <v>0</v>
          </cell>
          <cell r="L3429">
            <v>0</v>
          </cell>
          <cell r="M3429">
            <v>0</v>
          </cell>
          <cell r="N3429">
            <v>0</v>
          </cell>
          <cell r="Q3429">
            <v>14</v>
          </cell>
        </row>
        <row r="3430">
          <cell r="D3430" t="str">
            <v>190651-18-4</v>
          </cell>
          <cell r="E3430">
            <v>190651184</v>
          </cell>
          <cell r="F3430">
            <v>5753</v>
          </cell>
          <cell r="G3430" t="str">
            <v>Reach_4198</v>
          </cell>
          <cell r="H3430">
            <v>3422</v>
          </cell>
          <cell r="J3430">
            <v>437.26</v>
          </cell>
          <cell r="K3430">
            <v>0</v>
          </cell>
          <cell r="L3430">
            <v>0</v>
          </cell>
          <cell r="M3430">
            <v>0</v>
          </cell>
          <cell r="N3430">
            <v>0</v>
          </cell>
          <cell r="Q3430">
            <v>14</v>
          </cell>
        </row>
        <row r="3431">
          <cell r="D3431" t="str">
            <v>769953-18-6</v>
          </cell>
          <cell r="E3431">
            <v>769953186</v>
          </cell>
          <cell r="F3431">
            <v>6034</v>
          </cell>
          <cell r="G3431" t="str">
            <v>Reach_4994</v>
          </cell>
          <cell r="H3431">
            <v>3423</v>
          </cell>
          <cell r="J3431">
            <v>288.27</v>
          </cell>
          <cell r="K3431">
            <v>0</v>
          </cell>
          <cell r="L3431">
            <v>0</v>
          </cell>
          <cell r="M3431">
            <v>0</v>
          </cell>
          <cell r="N3431">
            <v>0</v>
          </cell>
          <cell r="Q3431">
            <v>14</v>
          </cell>
        </row>
        <row r="3432">
          <cell r="D3432" t="str">
            <v>78620-07-2</v>
          </cell>
          <cell r="E3432">
            <v>78620072</v>
          </cell>
          <cell r="F3432">
            <v>6037</v>
          </cell>
          <cell r="G3432" t="str">
            <v>Reach_4441</v>
          </cell>
          <cell r="H3432">
            <v>3424</v>
          </cell>
          <cell r="J3432">
            <v>221.98</v>
          </cell>
          <cell r="K3432">
            <v>0</v>
          </cell>
          <cell r="L3432">
            <v>0</v>
          </cell>
          <cell r="M3432">
            <v>0</v>
          </cell>
          <cell r="N3432">
            <v>0</v>
          </cell>
          <cell r="O3432">
            <v>0</v>
          </cell>
          <cell r="Q3432">
            <v>0</v>
          </cell>
        </row>
        <row r="3433">
          <cell r="D3433" t="str">
            <v>35249-89-9</v>
          </cell>
          <cell r="E3433">
            <v>35249899</v>
          </cell>
          <cell r="F3433">
            <v>5855</v>
          </cell>
          <cell r="G3433" t="str">
            <v>Reach_4289</v>
          </cell>
          <cell r="H3433">
            <v>3425</v>
          </cell>
          <cell r="J3433">
            <v>93.082999999999998</v>
          </cell>
          <cell r="K3433">
            <v>0</v>
          </cell>
          <cell r="L3433">
            <v>0</v>
          </cell>
          <cell r="M3433">
            <v>0</v>
          </cell>
          <cell r="N3433">
            <v>0</v>
          </cell>
          <cell r="Q3433">
            <v>14</v>
          </cell>
        </row>
        <row r="3434">
          <cell r="D3434" t="str">
            <v>56773-42-3</v>
          </cell>
          <cell r="E3434">
            <v>56773423</v>
          </cell>
          <cell r="F3434">
            <v>5936</v>
          </cell>
          <cell r="G3434" t="str">
            <v>Reach_2822</v>
          </cell>
          <cell r="H3434">
            <v>3426</v>
          </cell>
          <cell r="J3434">
            <v>629.37</v>
          </cell>
          <cell r="K3434">
            <v>0</v>
          </cell>
          <cell r="L3434">
            <v>0</v>
          </cell>
          <cell r="M3434">
            <v>0</v>
          </cell>
          <cell r="N3434">
            <v>0</v>
          </cell>
          <cell r="P3434">
            <v>0</v>
          </cell>
          <cell r="Q3434">
            <v>14</v>
          </cell>
        </row>
        <row r="3435">
          <cell r="D3435" t="str">
            <v>165670-57-5</v>
          </cell>
          <cell r="E3435">
            <v>165670575</v>
          </cell>
          <cell r="F3435">
            <v>2101</v>
          </cell>
          <cell r="G3435" t="str">
            <v>Reach_4807</v>
          </cell>
          <cell r="H3435">
            <v>3427</v>
          </cell>
          <cell r="J3435">
            <v>264.33999999999997</v>
          </cell>
          <cell r="K3435">
            <v>165.47</v>
          </cell>
          <cell r="L3435">
            <v>4.1589599999999999E-5</v>
          </cell>
          <cell r="M3435">
            <v>0.35685</v>
          </cell>
          <cell r="N3435">
            <v>2041.7379446695318</v>
          </cell>
          <cell r="Q3435">
            <v>14</v>
          </cell>
        </row>
        <row r="3436">
          <cell r="D3436" t="str">
            <v>3753-18-2</v>
          </cell>
          <cell r="E3436">
            <v>3753182</v>
          </cell>
          <cell r="F3436">
            <v>2802</v>
          </cell>
          <cell r="G3436" t="str">
            <v>Reach_4723</v>
          </cell>
          <cell r="H3436">
            <v>3428</v>
          </cell>
          <cell r="J3436">
            <v>242.32</v>
          </cell>
          <cell r="K3436">
            <v>106.51</v>
          </cell>
          <cell r="L3436">
            <v>2.1061400000000003E-3</v>
          </cell>
          <cell r="M3436">
            <v>2.7161</v>
          </cell>
          <cell r="N3436">
            <v>2089.2961308540398</v>
          </cell>
          <cell r="Q3436">
            <v>14</v>
          </cell>
        </row>
        <row r="3437">
          <cell r="D3437" t="str">
            <v>92700-68-0</v>
          </cell>
          <cell r="E3437">
            <v>92700680</v>
          </cell>
          <cell r="F3437">
            <v>4044</v>
          </cell>
          <cell r="G3437" t="str">
            <v>Reach_4893</v>
          </cell>
          <cell r="H3437">
            <v>3429</v>
          </cell>
          <cell r="J3437">
            <v>294.35000000000002</v>
          </cell>
          <cell r="K3437">
            <v>174.09</v>
          </cell>
          <cell r="L3437">
            <v>2.9459300000000006E-8</v>
          </cell>
          <cell r="M3437">
            <v>985.77</v>
          </cell>
          <cell r="N3437">
            <v>52.480746024977286</v>
          </cell>
          <cell r="O3437">
            <v>8.6</v>
          </cell>
          <cell r="Q3437">
            <v>8.6</v>
          </cell>
        </row>
        <row r="3438">
          <cell r="D3438" t="str">
            <v>4711-68-6</v>
          </cell>
          <cell r="E3438">
            <v>4711686</v>
          </cell>
          <cell r="F3438">
            <v>2963</v>
          </cell>
          <cell r="G3438" t="str">
            <v>Reach_2058</v>
          </cell>
          <cell r="H3438">
            <v>3430</v>
          </cell>
          <cell r="J3438">
            <v>307.35000000000002</v>
          </cell>
          <cell r="K3438">
            <v>221.7</v>
          </cell>
          <cell r="L3438">
            <v>1.0890610000000001E-9</v>
          </cell>
          <cell r="M3438">
            <v>2.4571999999999998</v>
          </cell>
          <cell r="N3438">
            <v>109647.81961431868</v>
          </cell>
          <cell r="Q3438">
            <v>14</v>
          </cell>
        </row>
        <row r="3439">
          <cell r="D3439" t="str">
            <v>35958-64-6</v>
          </cell>
          <cell r="E3439">
            <v>35958646</v>
          </cell>
          <cell r="F3439">
            <v>2755</v>
          </cell>
          <cell r="G3439" t="str">
            <v>Reach_4980</v>
          </cell>
          <cell r="H3439">
            <v>3431</v>
          </cell>
          <cell r="J3439">
            <v>450.53</v>
          </cell>
          <cell r="K3439">
            <v>248.36</v>
          </cell>
          <cell r="L3439">
            <v>1.0384070000000002E-13</v>
          </cell>
          <cell r="M3439">
            <v>1.86</v>
          </cell>
          <cell r="N3439">
            <v>851.13803820237763</v>
          </cell>
          <cell r="O3439">
            <v>12.13</v>
          </cell>
          <cell r="Q3439">
            <v>12.13</v>
          </cell>
        </row>
        <row r="3440">
          <cell r="D3440" t="str">
            <v>21524-36-7</v>
          </cell>
          <cell r="E3440">
            <v>21524367</v>
          </cell>
          <cell r="F3440">
            <v>2296</v>
          </cell>
          <cell r="G3440" t="str">
            <v>Reach_5034</v>
          </cell>
          <cell r="H3440">
            <v>3432</v>
          </cell>
          <cell r="J3440">
            <v>219.37</v>
          </cell>
          <cell r="K3440">
            <v>77.31</v>
          </cell>
          <cell r="L3440">
            <v>5.1453800000000008E-2</v>
          </cell>
          <cell r="M3440">
            <v>2.4632999999999998</v>
          </cell>
          <cell r="N3440">
            <v>275422.87033381703</v>
          </cell>
          <cell r="O3440">
            <v>0</v>
          </cell>
          <cell r="P3440">
            <v>9.1</v>
          </cell>
          <cell r="Q3440">
            <v>0</v>
          </cell>
        </row>
        <row r="3441">
          <cell r="D3441" t="str">
            <v>434-22-0</v>
          </cell>
          <cell r="E3441">
            <v>434220</v>
          </cell>
          <cell r="F3441">
            <v>2913</v>
          </cell>
          <cell r="G3441" t="str">
            <v>Reach_1274</v>
          </cell>
          <cell r="H3441">
            <v>3433</v>
          </cell>
          <cell r="J3441">
            <v>274.39999999999998</v>
          </cell>
          <cell r="K3441">
            <v>140.99</v>
          </cell>
          <cell r="L3441">
            <v>8.3845700000000006E-6</v>
          </cell>
          <cell r="M3441">
            <v>89.587000000000003</v>
          </cell>
          <cell r="N3441">
            <v>660.69344800759643</v>
          </cell>
          <cell r="Q3441">
            <v>14</v>
          </cell>
        </row>
        <row r="3442">
          <cell r="D3442" t="str">
            <v>13062-58-3</v>
          </cell>
          <cell r="E3442">
            <v>13062583</v>
          </cell>
          <cell r="F3442">
            <v>1840</v>
          </cell>
          <cell r="G3442" t="str">
            <v>Reach_4934</v>
          </cell>
          <cell r="H3442">
            <v>3434</v>
          </cell>
          <cell r="J3442">
            <v>347.42</v>
          </cell>
          <cell r="K3442">
            <v>214.86</v>
          </cell>
          <cell r="L3442">
            <v>5.3053399999999996E-10</v>
          </cell>
          <cell r="M3442">
            <v>5.6096000000000004</v>
          </cell>
          <cell r="N3442">
            <v>12589.254117941671</v>
          </cell>
          <cell r="O3442">
            <v>8.7899999999999991</v>
          </cell>
          <cell r="P3442">
            <v>8.44</v>
          </cell>
          <cell r="Q3442">
            <v>5.5600000000000005</v>
          </cell>
        </row>
        <row r="3443">
          <cell r="D3443" t="str">
            <v>6410-32-8</v>
          </cell>
          <cell r="E3443">
            <v>6410328</v>
          </cell>
          <cell r="F3443">
            <v>3424</v>
          </cell>
          <cell r="G3443" t="str">
            <v>Reach_2178</v>
          </cell>
          <cell r="H3443">
            <v>3435</v>
          </cell>
          <cell r="J3443">
            <v>440.46</v>
          </cell>
          <cell r="K3443">
            <v>295.39999999999998</v>
          </cell>
          <cell r="L3443">
            <v>4.6255100000000005E-15</v>
          </cell>
          <cell r="M3443">
            <v>7.8463000000000005E-3</v>
          </cell>
          <cell r="N3443">
            <v>165958690.74375659</v>
          </cell>
          <cell r="Q3443">
            <v>14</v>
          </cell>
        </row>
        <row r="3444">
          <cell r="D3444" t="str">
            <v>90356-78-8</v>
          </cell>
          <cell r="E3444">
            <v>90356788</v>
          </cell>
          <cell r="F3444">
            <v>3999</v>
          </cell>
          <cell r="G3444" t="str">
            <v>Reach_4497</v>
          </cell>
          <cell r="H3444">
            <v>3436</v>
          </cell>
          <cell r="J3444">
            <v>398.38</v>
          </cell>
          <cell r="K3444">
            <v>220.44</v>
          </cell>
          <cell r="L3444">
            <v>6.2251100000000006E-11</v>
          </cell>
          <cell r="M3444">
            <v>1.0234000000000001</v>
          </cell>
          <cell r="N3444">
            <v>21379.620895022348</v>
          </cell>
          <cell r="P3444">
            <v>0</v>
          </cell>
          <cell r="Q3444">
            <v>14</v>
          </cell>
        </row>
        <row r="3445">
          <cell r="D3445" t="str">
            <v>5173-46-6</v>
          </cell>
          <cell r="E3445">
            <v>5173466</v>
          </cell>
          <cell r="F3445">
            <v>3045</v>
          </cell>
          <cell r="G3445" t="str">
            <v>Reach_4334</v>
          </cell>
          <cell r="H3445">
            <v>3437</v>
          </cell>
          <cell r="J3445">
            <v>270.37</v>
          </cell>
          <cell r="K3445">
            <v>145.38999999999999</v>
          </cell>
          <cell r="L3445">
            <v>3.1325500000000002E-4</v>
          </cell>
          <cell r="M3445">
            <v>4.7038000000000002</v>
          </cell>
          <cell r="N3445">
            <v>223.87211385683412</v>
          </cell>
          <cell r="Q3445">
            <v>14</v>
          </cell>
        </row>
        <row r="3446">
          <cell r="D3446" t="str">
            <v>2787-02-2</v>
          </cell>
          <cell r="E3446">
            <v>2787022</v>
          </cell>
          <cell r="F3446">
            <v>1256</v>
          </cell>
          <cell r="G3446" t="str">
            <v>Reach_1869</v>
          </cell>
          <cell r="H3446">
            <v>3438</v>
          </cell>
          <cell r="J3446">
            <v>340.46</v>
          </cell>
          <cell r="K3446">
            <v>199</v>
          </cell>
          <cell r="L3446">
            <v>9.7175700000000004E-10</v>
          </cell>
          <cell r="M3446">
            <v>3793.7</v>
          </cell>
          <cell r="N3446">
            <v>1737.8008287493772</v>
          </cell>
          <cell r="P3446">
            <v>0</v>
          </cell>
          <cell r="Q3446">
            <v>14</v>
          </cell>
        </row>
        <row r="3447">
          <cell r="D3447" t="str">
            <v>846023-24-3</v>
          </cell>
          <cell r="E3447">
            <v>846023243</v>
          </cell>
          <cell r="F3447">
            <v>3869</v>
          </cell>
          <cell r="G3447" t="str">
            <v>Reach_4469</v>
          </cell>
          <cell r="H3447">
            <v>3439</v>
          </cell>
          <cell r="J3447">
            <v>259.08999999999997</v>
          </cell>
          <cell r="K3447">
            <v>177.63</v>
          </cell>
          <cell r="L3447">
            <v>6.9849200000000004E-6</v>
          </cell>
          <cell r="M3447">
            <v>1481.6</v>
          </cell>
          <cell r="N3447">
            <v>144.54397707459285</v>
          </cell>
          <cell r="Q3447">
            <v>14</v>
          </cell>
        </row>
        <row r="3448">
          <cell r="D3448" t="str">
            <v>4651-94-9</v>
          </cell>
          <cell r="E3448">
            <v>4651949</v>
          </cell>
          <cell r="F3448">
            <v>2955</v>
          </cell>
          <cell r="G3448" t="str">
            <v>Reach_4328</v>
          </cell>
          <cell r="H3448">
            <v>3440</v>
          </cell>
          <cell r="J3448">
            <v>152.22</v>
          </cell>
          <cell r="K3448">
            <v>92.82</v>
          </cell>
          <cell r="L3448">
            <v>5.9718400000000005E-2</v>
          </cell>
          <cell r="M3448">
            <v>708.5</v>
          </cell>
          <cell r="N3448">
            <v>123.02687708123821</v>
          </cell>
          <cell r="O3448">
            <v>0</v>
          </cell>
          <cell r="P3448">
            <v>0</v>
          </cell>
          <cell r="Q3448">
            <v>0</v>
          </cell>
        </row>
        <row r="3449">
          <cell r="D3449" t="str">
            <v>689293-69-4</v>
          </cell>
          <cell r="E3449">
            <v>689293694</v>
          </cell>
          <cell r="F3449">
            <v>3531</v>
          </cell>
          <cell r="G3449" t="str">
            <v>Reach_4401</v>
          </cell>
          <cell r="H3449">
            <v>3441</v>
          </cell>
          <cell r="J3449">
            <v>540.66999999999996</v>
          </cell>
          <cell r="K3449">
            <v>303.10000000000002</v>
          </cell>
          <cell r="L3449">
            <v>2.5460300000000002E-14</v>
          </cell>
          <cell r="M3449">
            <v>1.1776E-2</v>
          </cell>
          <cell r="N3449">
            <v>125892.54117941685</v>
          </cell>
          <cell r="Q3449">
            <v>14</v>
          </cell>
        </row>
        <row r="3450">
          <cell r="D3450" t="str">
            <v>103312-62-5</v>
          </cell>
          <cell r="E3450">
            <v>103312625</v>
          </cell>
          <cell r="F3450">
            <v>1363</v>
          </cell>
          <cell r="G3450" t="str">
            <v>Reach_4063</v>
          </cell>
          <cell r="H3450">
            <v>3442</v>
          </cell>
          <cell r="J3450">
            <v>289.79000000000002</v>
          </cell>
          <cell r="K3450">
            <v>211.85</v>
          </cell>
          <cell r="L3450">
            <v>4.1456300000000007E-8</v>
          </cell>
          <cell r="M3450">
            <v>2.9632999999999998</v>
          </cell>
          <cell r="N3450">
            <v>12302.687708123816</v>
          </cell>
          <cell r="O3450">
            <v>12.15</v>
          </cell>
          <cell r="P3450">
            <v>9.58</v>
          </cell>
          <cell r="Q3450">
            <v>4.42</v>
          </cell>
        </row>
        <row r="3451">
          <cell r="D3451" t="str">
            <v>2098-65-9</v>
          </cell>
          <cell r="E3451">
            <v>2098659</v>
          </cell>
          <cell r="F3451">
            <v>2281</v>
          </cell>
          <cell r="G3451" t="str">
            <v>Reach_4212</v>
          </cell>
          <cell r="H3451">
            <v>3443</v>
          </cell>
          <cell r="J3451">
            <v>790.92</v>
          </cell>
          <cell r="K3451">
            <v>349.84</v>
          </cell>
          <cell r="L3451">
            <v>1.8395400000000003E-24</v>
          </cell>
          <cell r="M3451">
            <v>7.4800000000000004E-6</v>
          </cell>
          <cell r="N3451">
            <v>34673685.045253254</v>
          </cell>
          <cell r="P3451">
            <v>11.75</v>
          </cell>
          <cell r="Q3451">
            <v>2.25</v>
          </cell>
        </row>
        <row r="3452">
          <cell r="D3452" t="str">
            <v>109010-60-8</v>
          </cell>
          <cell r="E3452">
            <v>109010608</v>
          </cell>
          <cell r="F3452">
            <v>1492</v>
          </cell>
          <cell r="G3452" t="str">
            <v>Reach_4848</v>
          </cell>
          <cell r="H3452">
            <v>3444</v>
          </cell>
          <cell r="J3452">
            <v>290.37</v>
          </cell>
          <cell r="K3452">
            <v>173.74</v>
          </cell>
          <cell r="L3452">
            <v>8.5045400000000007E-6</v>
          </cell>
          <cell r="M3452">
            <v>29.8</v>
          </cell>
          <cell r="N3452">
            <v>40.738027780411301</v>
          </cell>
          <cell r="O3452">
            <v>0</v>
          </cell>
          <cell r="Q3452">
            <v>0</v>
          </cell>
        </row>
        <row r="3453">
          <cell r="D3453" t="str">
            <v>1554631-80-9</v>
          </cell>
          <cell r="E3453">
            <v>1554631809</v>
          </cell>
          <cell r="F3453">
            <v>2041</v>
          </cell>
          <cell r="G3453" t="str">
            <v>Reach_5180</v>
          </cell>
          <cell r="H3453">
            <v>3445</v>
          </cell>
          <cell r="J3453">
            <v>315.42</v>
          </cell>
          <cell r="K3453">
            <v>197.83</v>
          </cell>
          <cell r="L3453">
            <v>3.4524700000000002E-7</v>
          </cell>
          <cell r="M3453">
            <v>3.7864</v>
          </cell>
          <cell r="N3453">
            <v>1318.2567385564089</v>
          </cell>
          <cell r="O3453">
            <v>0</v>
          </cell>
          <cell r="Q3453">
            <v>0</v>
          </cell>
        </row>
        <row r="3454">
          <cell r="D3454" t="str">
            <v>3910-51-8</v>
          </cell>
          <cell r="E3454">
            <v>3910518</v>
          </cell>
          <cell r="F3454">
            <v>2834</v>
          </cell>
          <cell r="G3454" t="str">
            <v>Reach_4306</v>
          </cell>
          <cell r="H3454">
            <v>3446</v>
          </cell>
          <cell r="J3454">
            <v>211.69</v>
          </cell>
          <cell r="K3454">
            <v>139.63</v>
          </cell>
          <cell r="L3454">
            <v>3.7057400000000003E-4</v>
          </cell>
          <cell r="M3454">
            <v>105.74</v>
          </cell>
          <cell r="N3454">
            <v>158.48931924611153</v>
          </cell>
          <cell r="O3454">
            <v>12.95</v>
          </cell>
          <cell r="Q3454">
            <v>12.95</v>
          </cell>
        </row>
        <row r="3455">
          <cell r="D3455" t="str">
            <v>76272-34-9</v>
          </cell>
          <cell r="E3455">
            <v>76272349</v>
          </cell>
          <cell r="F3455">
            <v>3707</v>
          </cell>
          <cell r="G3455" t="str">
            <v>Reach_4433</v>
          </cell>
          <cell r="H3455">
            <v>3447</v>
          </cell>
          <cell r="J3455">
            <v>230.31</v>
          </cell>
          <cell r="K3455">
            <v>125.09</v>
          </cell>
          <cell r="L3455">
            <v>2.4660500000000002E-5</v>
          </cell>
          <cell r="M3455">
            <v>547.07000000000005</v>
          </cell>
          <cell r="N3455">
            <v>16.982436524617448</v>
          </cell>
          <cell r="Q3455">
            <v>14</v>
          </cell>
        </row>
        <row r="3456">
          <cell r="D3456" t="str">
            <v>764667-65-4</v>
          </cell>
          <cell r="E3456">
            <v>764667654</v>
          </cell>
          <cell r="F3456">
            <v>3712</v>
          </cell>
          <cell r="G3456" t="str">
            <v>Reach_4555</v>
          </cell>
          <cell r="H3456">
            <v>3448</v>
          </cell>
          <cell r="J3456">
            <v>406.29</v>
          </cell>
          <cell r="K3456">
            <v>181.1</v>
          </cell>
          <cell r="L3456">
            <v>4.1856200000000008E-6</v>
          </cell>
          <cell r="M3456">
            <v>35.591000000000001</v>
          </cell>
          <cell r="N3456">
            <v>120.22644346174135</v>
          </cell>
          <cell r="O3456">
            <v>8.27</v>
          </cell>
          <cell r="Q3456">
            <v>8.27</v>
          </cell>
        </row>
        <row r="3457">
          <cell r="D3457" t="str">
            <v>571189-16-7</v>
          </cell>
          <cell r="E3457">
            <v>571189167</v>
          </cell>
          <cell r="F3457">
            <v>3225</v>
          </cell>
          <cell r="G3457" t="str">
            <v>Reach_5053</v>
          </cell>
          <cell r="H3457">
            <v>3449</v>
          </cell>
          <cell r="J3457">
            <v>308.33999999999997</v>
          </cell>
          <cell r="K3457">
            <v>166.95</v>
          </cell>
          <cell r="L3457">
            <v>3.3591599999999999E-5</v>
          </cell>
          <cell r="M3457">
            <v>405.42</v>
          </cell>
          <cell r="N3457">
            <v>117.48975549395293</v>
          </cell>
          <cell r="Q3457">
            <v>14</v>
          </cell>
        </row>
        <row r="3458">
          <cell r="D3458" t="str">
            <v>548-62-9</v>
          </cell>
          <cell r="E3458">
            <v>548629</v>
          </cell>
          <cell r="F3458">
            <v>1220</v>
          </cell>
          <cell r="G3458" t="str">
            <v>Reach_1356</v>
          </cell>
          <cell r="H3458">
            <v>3450</v>
          </cell>
          <cell r="J3458">
            <v>407.99</v>
          </cell>
          <cell r="K3458">
            <v>0</v>
          </cell>
          <cell r="L3458">
            <v>0</v>
          </cell>
          <cell r="M3458">
            <v>0</v>
          </cell>
          <cell r="N3458">
            <v>0</v>
          </cell>
          <cell r="Q3458">
            <v>14</v>
          </cell>
        </row>
        <row r="3459">
          <cell r="D3459" t="str">
            <v>39903-01-0</v>
          </cell>
          <cell r="E3459">
            <v>39903010</v>
          </cell>
          <cell r="F3459">
            <v>2852</v>
          </cell>
          <cell r="G3459" t="str">
            <v>Reach_4653</v>
          </cell>
          <cell r="H3459">
            <v>3451</v>
          </cell>
          <cell r="J3459">
            <v>189.02</v>
          </cell>
          <cell r="K3459">
            <v>102.72</v>
          </cell>
          <cell r="L3459">
            <v>2.2394400000000002E-2</v>
          </cell>
          <cell r="M3459">
            <v>7678.7</v>
          </cell>
          <cell r="N3459">
            <v>8.709635899560805</v>
          </cell>
          <cell r="P3459">
            <v>9.8800000000000008</v>
          </cell>
          <cell r="Q3459">
            <v>4.1199999999999992</v>
          </cell>
        </row>
        <row r="3460">
          <cell r="D3460" t="str">
            <v>40722-73-4</v>
          </cell>
          <cell r="E3460">
            <v>40722734</v>
          </cell>
          <cell r="F3460">
            <v>2862</v>
          </cell>
          <cell r="G3460" t="str">
            <v>Reach_4812</v>
          </cell>
          <cell r="H3460">
            <v>3452</v>
          </cell>
          <cell r="J3460">
            <v>218.02</v>
          </cell>
          <cell r="K3460">
            <v>64.3</v>
          </cell>
          <cell r="L3460">
            <v>0.22794300000000001</v>
          </cell>
          <cell r="M3460">
            <v>8205.2999999999993</v>
          </cell>
          <cell r="N3460">
            <v>7.5857757502918375</v>
          </cell>
          <cell r="Q3460">
            <v>14</v>
          </cell>
        </row>
        <row r="3461">
          <cell r="D3461" t="str">
            <v>119-40-4</v>
          </cell>
          <cell r="E3461">
            <v>119404</v>
          </cell>
          <cell r="F3461">
            <v>1691</v>
          </cell>
          <cell r="G3461" t="str">
            <v>Reach_977</v>
          </cell>
          <cell r="H3461">
            <v>3453</v>
          </cell>
          <cell r="J3461">
            <v>315.35000000000002</v>
          </cell>
          <cell r="K3461">
            <v>227.67</v>
          </cell>
          <cell r="L3461">
            <v>1.6929100000000001E-11</v>
          </cell>
          <cell r="M3461">
            <v>19.809999999999999</v>
          </cell>
          <cell r="N3461">
            <v>6.7608297539198183</v>
          </cell>
          <cell r="O3461">
            <v>-0.43</v>
          </cell>
          <cell r="P3461">
            <v>12.39</v>
          </cell>
          <cell r="Q3461">
            <v>-0.43</v>
          </cell>
        </row>
        <row r="3462">
          <cell r="D3462" t="str">
            <v>2022-85-7</v>
          </cell>
          <cell r="E3462">
            <v>2022857</v>
          </cell>
          <cell r="F3462">
            <v>2255</v>
          </cell>
          <cell r="G3462" t="str">
            <v>Reach_1745</v>
          </cell>
          <cell r="H3462">
            <v>3454</v>
          </cell>
          <cell r="J3462">
            <v>129.1</v>
          </cell>
          <cell r="K3462">
            <v>94.5</v>
          </cell>
          <cell r="L3462">
            <v>5.9985000000000008E-4</v>
          </cell>
          <cell r="M3462">
            <v>4894.3999999999996</v>
          </cell>
          <cell r="N3462">
            <v>3.8904514499428049E-2</v>
          </cell>
          <cell r="Q3462">
            <v>14</v>
          </cell>
        </row>
        <row r="3463">
          <cell r="D3463" t="str">
            <v>101-41-7</v>
          </cell>
          <cell r="E3463">
            <v>101417</v>
          </cell>
          <cell r="F3463">
            <v>1321</v>
          </cell>
          <cell r="G3463" t="str">
            <v>Reach_577</v>
          </cell>
          <cell r="H3463">
            <v>3455</v>
          </cell>
          <cell r="J3463">
            <v>150.18</v>
          </cell>
          <cell r="K3463">
            <v>-0.5</v>
          </cell>
          <cell r="L3463">
            <v>20.928100000000001</v>
          </cell>
          <cell r="M3463">
            <v>38672</v>
          </cell>
          <cell r="N3463">
            <v>120.22644346174135</v>
          </cell>
          <cell r="Q3463">
            <v>14</v>
          </cell>
        </row>
        <row r="3464">
          <cell r="D3464" t="str">
            <v>61832-41-5</v>
          </cell>
          <cell r="E3464">
            <v>61832415</v>
          </cell>
          <cell r="F3464">
            <v>3355</v>
          </cell>
          <cell r="G3464" t="str">
            <v>Reach_2851</v>
          </cell>
          <cell r="H3464">
            <v>3456</v>
          </cell>
          <cell r="J3464">
            <v>148.19</v>
          </cell>
          <cell r="K3464">
            <v>40.31</v>
          </cell>
          <cell r="L3464">
            <v>5.4253100000000005</v>
          </cell>
          <cell r="M3464">
            <v>280000</v>
          </cell>
          <cell r="N3464">
            <v>0.47863009232263831</v>
          </cell>
          <cell r="P3464">
            <v>6.37</v>
          </cell>
          <cell r="Q3464">
            <v>7.63</v>
          </cell>
        </row>
        <row r="3465">
          <cell r="D3465" t="str">
            <v>53-84-9</v>
          </cell>
          <cell r="E3465">
            <v>53849</v>
          </cell>
          <cell r="F3465">
            <v>3113</v>
          </cell>
          <cell r="G3465" t="str">
            <v>Reach_21</v>
          </cell>
          <cell r="H3465">
            <v>3457</v>
          </cell>
          <cell r="J3465">
            <v>663.44</v>
          </cell>
          <cell r="K3465">
            <v>90.27</v>
          </cell>
          <cell r="L3465">
            <v>2.7459800000000001E-9</v>
          </cell>
          <cell r="M3465">
            <v>2876</v>
          </cell>
          <cell r="N3465">
            <v>6.3095734448019254E-7</v>
          </cell>
          <cell r="O3465">
            <v>0.28000000000000003</v>
          </cell>
          <cell r="P3465">
            <v>10.36</v>
          </cell>
          <cell r="Q3465">
            <v>0.28000000000000003</v>
          </cell>
        </row>
        <row r="3466">
          <cell r="D3466" t="str">
            <v>947753-66-4</v>
          </cell>
          <cell r="E3466">
            <v>947753664</v>
          </cell>
          <cell r="F3466">
            <v>4115</v>
          </cell>
          <cell r="G3466" t="str">
            <v>Reach_4806</v>
          </cell>
          <cell r="H3466">
            <v>3458</v>
          </cell>
          <cell r="J3466">
            <v>391.51</v>
          </cell>
          <cell r="K3466">
            <v>199.26</v>
          </cell>
          <cell r="L3466">
            <v>6.5183700000000007E-8</v>
          </cell>
          <cell r="M3466">
            <v>2.5066000000000001E-2</v>
          </cell>
          <cell r="N3466">
            <v>9120108.3935591076</v>
          </cell>
          <cell r="Q3466">
            <v>14</v>
          </cell>
        </row>
        <row r="3467">
          <cell r="D3467" t="str">
            <v>18402-22-7</v>
          </cell>
          <cell r="E3467">
            <v>18402227</v>
          </cell>
          <cell r="F3467">
            <v>2189</v>
          </cell>
          <cell r="G3467" t="str">
            <v>Reach_4618</v>
          </cell>
          <cell r="H3467">
            <v>3459</v>
          </cell>
          <cell r="J3467">
            <v>331.83</v>
          </cell>
          <cell r="K3467">
            <v>70.849999999999994</v>
          </cell>
          <cell r="L3467">
            <v>4.5588600000000007E-2</v>
          </cell>
          <cell r="M3467">
            <v>1.3541000000000001</v>
          </cell>
          <cell r="N3467">
            <v>245470891.56850341</v>
          </cell>
          <cell r="Q3467">
            <v>14</v>
          </cell>
        </row>
        <row r="3468">
          <cell r="D3468" t="str">
            <v>252285-60-2</v>
          </cell>
          <cell r="E3468">
            <v>252285602</v>
          </cell>
          <cell r="F3468">
            <v>2423</v>
          </cell>
          <cell r="G3468" t="str">
            <v>Reach_4245</v>
          </cell>
          <cell r="H3468">
            <v>3460</v>
          </cell>
          <cell r="J3468">
            <v>369.43</v>
          </cell>
          <cell r="K3468">
            <v>244.18</v>
          </cell>
          <cell r="L3468">
            <v>2.6660000000000002E-11</v>
          </cell>
          <cell r="M3468">
            <v>1.0593999999999999</v>
          </cell>
          <cell r="N3468">
            <v>19054.607179632505</v>
          </cell>
          <cell r="O3468">
            <v>10.01</v>
          </cell>
          <cell r="P3468">
            <v>10.66</v>
          </cell>
          <cell r="Q3468">
            <v>3.34</v>
          </cell>
        </row>
        <row r="3469">
          <cell r="D3469" t="str">
            <v>1195231-94-7</v>
          </cell>
          <cell r="E3469">
            <v>1195231947</v>
          </cell>
          <cell r="F3469">
            <v>1693</v>
          </cell>
          <cell r="G3469" t="str">
            <v>Reach_5017</v>
          </cell>
          <cell r="H3469">
            <v>3461</v>
          </cell>
          <cell r="J3469">
            <v>441.6</v>
          </cell>
          <cell r="K3469">
            <v>193.85</v>
          </cell>
          <cell r="L3469">
            <v>6.2651000000000002E-7</v>
          </cell>
          <cell r="M3469">
            <v>1.6309</v>
          </cell>
          <cell r="N3469">
            <v>1258.925411794168</v>
          </cell>
          <cell r="O3469">
            <v>11.59</v>
          </cell>
          <cell r="P3469">
            <v>9.51</v>
          </cell>
          <cell r="Q3469">
            <v>4.49</v>
          </cell>
        </row>
        <row r="3470">
          <cell r="D3470" t="str">
            <v>378-44-9</v>
          </cell>
          <cell r="E3470">
            <v>378449</v>
          </cell>
          <cell r="F3470">
            <v>619</v>
          </cell>
          <cell r="G3470" t="str">
            <v>Reach_1261</v>
          </cell>
          <cell r="H3470">
            <v>3462</v>
          </cell>
          <cell r="J3470">
            <v>392.47</v>
          </cell>
          <cell r="K3470">
            <v>216.77</v>
          </cell>
          <cell r="L3470">
            <v>7.7447300000000007E-12</v>
          </cell>
          <cell r="M3470">
            <v>64.685000000000002</v>
          </cell>
          <cell r="N3470">
            <v>52.480746024977286</v>
          </cell>
          <cell r="O3470">
            <v>13.02</v>
          </cell>
          <cell r="Q3470">
            <v>13.02</v>
          </cell>
        </row>
        <row r="3471">
          <cell r="D3471" t="str">
            <v>1624-62-0</v>
          </cell>
          <cell r="E3471">
            <v>1624620</v>
          </cell>
          <cell r="F3471">
            <v>2084</v>
          </cell>
          <cell r="G3471" t="str">
            <v>Reach_1700</v>
          </cell>
          <cell r="H3471">
            <v>3463</v>
          </cell>
          <cell r="J3471">
            <v>284.39999999999998</v>
          </cell>
          <cell r="K3471">
            <v>141.22999999999999</v>
          </cell>
          <cell r="L3471">
            <v>2.1727900000000002E-4</v>
          </cell>
          <cell r="M3471">
            <v>1.7833000000000001</v>
          </cell>
          <cell r="N3471">
            <v>9772.3722095581161</v>
          </cell>
          <cell r="Q3471">
            <v>14</v>
          </cell>
        </row>
        <row r="3472">
          <cell r="D3472" t="str">
            <v>3439-73-4</v>
          </cell>
          <cell r="E3472">
            <v>3439734</v>
          </cell>
          <cell r="F3472">
            <v>2703</v>
          </cell>
          <cell r="G3472" t="str">
            <v>Reach_4658</v>
          </cell>
          <cell r="H3472">
            <v>3464</v>
          </cell>
          <cell r="J3472">
            <v>260.72000000000003</v>
          </cell>
          <cell r="K3472">
            <v>119.77</v>
          </cell>
          <cell r="L3472">
            <v>6.2917600000000006E-4</v>
          </cell>
          <cell r="M3472">
            <v>5.3398000000000003</v>
          </cell>
          <cell r="N3472">
            <v>9332.5430079699217</v>
          </cell>
          <cell r="O3472">
            <v>0</v>
          </cell>
          <cell r="P3472">
            <v>0</v>
          </cell>
          <cell r="Q3472">
            <v>0</v>
          </cell>
        </row>
        <row r="3473">
          <cell r="D3473" t="str">
            <v>38982-12-6</v>
          </cell>
          <cell r="E3473">
            <v>38982126</v>
          </cell>
          <cell r="F3473">
            <v>2830</v>
          </cell>
          <cell r="G3473" t="str">
            <v>Reach_2721</v>
          </cell>
          <cell r="H3473">
            <v>3465</v>
          </cell>
          <cell r="J3473">
            <v>232.28</v>
          </cell>
          <cell r="K3473">
            <v>132.4</v>
          </cell>
          <cell r="L3473">
            <v>1.1543780000000001E-4</v>
          </cell>
          <cell r="M3473">
            <v>6.7618999999999998</v>
          </cell>
          <cell r="N3473">
            <v>14791.083881682089</v>
          </cell>
          <cell r="Q3473">
            <v>14</v>
          </cell>
        </row>
        <row r="3474">
          <cell r="D3474" t="str">
            <v>846-48-0</v>
          </cell>
          <cell r="E3474">
            <v>846480</v>
          </cell>
          <cell r="F3474">
            <v>3873</v>
          </cell>
          <cell r="G3474" t="str">
            <v>Reach_1566</v>
          </cell>
          <cell r="H3474">
            <v>3466</v>
          </cell>
          <cell r="J3474">
            <v>286.42</v>
          </cell>
          <cell r="K3474">
            <v>145.43</v>
          </cell>
          <cell r="L3474">
            <v>1.5862700000000002E-6</v>
          </cell>
          <cell r="M3474">
            <v>70.284000000000006</v>
          </cell>
          <cell r="N3474">
            <v>1122.0184543019636</v>
          </cell>
          <cell r="O3474">
            <v>15.99</v>
          </cell>
          <cell r="Q3474">
            <v>14</v>
          </cell>
        </row>
        <row r="3475">
          <cell r="D3475" t="str">
            <v>58861-48-6</v>
          </cell>
          <cell r="E3475">
            <v>58861486</v>
          </cell>
          <cell r="F3475">
            <v>3255</v>
          </cell>
          <cell r="G3475" t="str">
            <v>Reach_4364</v>
          </cell>
          <cell r="H3475">
            <v>3467</v>
          </cell>
          <cell r="J3475">
            <v>178.23</v>
          </cell>
          <cell r="K3475">
            <v>61.7</v>
          </cell>
          <cell r="L3475">
            <v>0.40256600000000003</v>
          </cell>
          <cell r="M3475">
            <v>21.068000000000001</v>
          </cell>
          <cell r="N3475">
            <v>6025.595860743585</v>
          </cell>
          <cell r="O3475">
            <v>0</v>
          </cell>
          <cell r="Q3475">
            <v>0</v>
          </cell>
        </row>
        <row r="3476">
          <cell r="D3476" t="str">
            <v>52698-46-1</v>
          </cell>
          <cell r="E3476">
            <v>52698461</v>
          </cell>
          <cell r="F3476">
            <v>3070</v>
          </cell>
          <cell r="G3476" t="str">
            <v>Reach_4619</v>
          </cell>
          <cell r="H3476">
            <v>3468</v>
          </cell>
          <cell r="J3476">
            <v>148.19999999999999</v>
          </cell>
          <cell r="K3476">
            <v>-43.57</v>
          </cell>
          <cell r="L3476">
            <v>1519.6200000000001</v>
          </cell>
          <cell r="M3476">
            <v>3799.4</v>
          </cell>
          <cell r="N3476">
            <v>109.64781961431861</v>
          </cell>
          <cell r="Q3476">
            <v>14</v>
          </cell>
        </row>
        <row r="3477">
          <cell r="D3477" t="str">
            <v>38849-09-1</v>
          </cell>
          <cell r="E3477">
            <v>38849091</v>
          </cell>
          <cell r="F3477">
            <v>2826</v>
          </cell>
          <cell r="G3477" t="str">
            <v>Reach_2719</v>
          </cell>
          <cell r="H3477">
            <v>3469</v>
          </cell>
          <cell r="J3477">
            <v>260.33999999999997</v>
          </cell>
          <cell r="K3477">
            <v>134.5</v>
          </cell>
          <cell r="L3477">
            <v>2.5993500000000004E-4</v>
          </cell>
          <cell r="M3477">
            <v>0.14810999999999999</v>
          </cell>
          <cell r="N3477">
            <v>6606.9344800759654</v>
          </cell>
          <cell r="P3477">
            <v>0</v>
          </cell>
          <cell r="Q3477">
            <v>14</v>
          </cell>
        </row>
        <row r="3478">
          <cell r="D3478" t="str">
            <v>50372-61-7</v>
          </cell>
          <cell r="E3478">
            <v>50372617</v>
          </cell>
          <cell r="F3478">
            <v>3004</v>
          </cell>
          <cell r="G3478" t="str">
            <v>Reach_4867</v>
          </cell>
          <cell r="H3478">
            <v>3470</v>
          </cell>
          <cell r="J3478">
            <v>329</v>
          </cell>
          <cell r="K3478">
            <v>138.27000000000001</v>
          </cell>
          <cell r="L3478">
            <v>2.6926600000000005E-4</v>
          </cell>
          <cell r="M3478">
            <v>5.1939000000000002</v>
          </cell>
          <cell r="N3478">
            <v>6456.5422903465615</v>
          </cell>
          <cell r="Q3478">
            <v>14</v>
          </cell>
        </row>
        <row r="3479">
          <cell r="D3479" t="str">
            <v>87428-99-7</v>
          </cell>
          <cell r="E3479">
            <v>87428997</v>
          </cell>
          <cell r="F3479">
            <v>3934</v>
          </cell>
          <cell r="G3479" t="str">
            <v>Reach_5000</v>
          </cell>
          <cell r="H3479">
            <v>3471</v>
          </cell>
          <cell r="J3479">
            <v>309.37</v>
          </cell>
          <cell r="K3479">
            <v>193.52</v>
          </cell>
          <cell r="L3479">
            <v>3.4791300000000003E-7</v>
          </cell>
          <cell r="M3479">
            <v>1.1467000000000001</v>
          </cell>
          <cell r="N3479">
            <v>4570.8818961487532</v>
          </cell>
          <cell r="O3479">
            <v>12.81</v>
          </cell>
          <cell r="P3479">
            <v>0</v>
          </cell>
          <cell r="Q3479">
            <v>12.81</v>
          </cell>
        </row>
        <row r="3480">
          <cell r="D3480" t="str">
            <v>924726-92-1</v>
          </cell>
          <cell r="E3480">
            <v>924726921</v>
          </cell>
          <cell r="F3480">
            <v>4036</v>
          </cell>
          <cell r="G3480" t="str">
            <v>Reach_4702</v>
          </cell>
          <cell r="H3480">
            <v>3472</v>
          </cell>
          <cell r="J3480">
            <v>494.56</v>
          </cell>
          <cell r="K3480">
            <v>241.69</v>
          </cell>
          <cell r="L3480">
            <v>1.34633E-12</v>
          </cell>
          <cell r="M3480">
            <v>1.7045000000000001E-2</v>
          </cell>
          <cell r="N3480">
            <v>3388.4415613920255</v>
          </cell>
          <cell r="O3480">
            <v>12.99</v>
          </cell>
          <cell r="P3480">
            <v>0</v>
          </cell>
          <cell r="Q3480">
            <v>12.99</v>
          </cell>
        </row>
        <row r="3481">
          <cell r="D3481" t="str">
            <v>923036-25-3</v>
          </cell>
          <cell r="E3481">
            <v>923036253</v>
          </cell>
          <cell r="F3481">
            <v>4031</v>
          </cell>
          <cell r="G3481" t="str">
            <v>Reach_4974</v>
          </cell>
          <cell r="H3481">
            <v>3473</v>
          </cell>
          <cell r="J3481">
            <v>369.9</v>
          </cell>
          <cell r="K3481">
            <v>233.8</v>
          </cell>
          <cell r="L3481">
            <v>1.43964E-9</v>
          </cell>
          <cell r="M3481">
            <v>0.51244999999999996</v>
          </cell>
          <cell r="N3481">
            <v>2884.0315031266077</v>
          </cell>
          <cell r="Q3481">
            <v>14</v>
          </cell>
        </row>
        <row r="3482">
          <cell r="D3482" t="str">
            <v>27566-05-8</v>
          </cell>
          <cell r="E3482">
            <v>27566058</v>
          </cell>
          <cell r="F3482">
            <v>2512</v>
          </cell>
          <cell r="G3482" t="str">
            <v>Reach_4260</v>
          </cell>
          <cell r="H3482">
            <v>3474</v>
          </cell>
          <cell r="J3482">
            <v>241.34</v>
          </cell>
          <cell r="K3482">
            <v>125.08</v>
          </cell>
          <cell r="L3482">
            <v>1.7595600000000003E-4</v>
          </cell>
          <cell r="M3482">
            <v>1784.1</v>
          </cell>
          <cell r="N3482">
            <v>2818.3829312644561</v>
          </cell>
          <cell r="P3482">
            <v>6.27</v>
          </cell>
          <cell r="Q3482">
            <v>7.73</v>
          </cell>
        </row>
        <row r="3483">
          <cell r="D3483" t="str">
            <v>18109-80-3</v>
          </cell>
          <cell r="E3483">
            <v>18109803</v>
          </cell>
          <cell r="F3483">
            <v>2165</v>
          </cell>
          <cell r="G3483" t="str">
            <v>Reach_2451</v>
          </cell>
          <cell r="H3483">
            <v>3475</v>
          </cell>
          <cell r="J3483">
            <v>307.44</v>
          </cell>
          <cell r="K3483">
            <v>114.64</v>
          </cell>
          <cell r="L3483">
            <v>6.4650500000000008E-3</v>
          </cell>
          <cell r="M3483">
            <v>30.236999999999998</v>
          </cell>
          <cell r="N3483">
            <v>2454.7089156850338</v>
          </cell>
          <cell r="Q3483">
            <v>14</v>
          </cell>
        </row>
        <row r="3484">
          <cell r="D3484" t="str">
            <v>2321-07-5</v>
          </cell>
          <cell r="E3484">
            <v>2321075</v>
          </cell>
          <cell r="F3484">
            <v>1245</v>
          </cell>
          <cell r="G3484" t="str">
            <v>Reach_1784</v>
          </cell>
          <cell r="H3484">
            <v>3476</v>
          </cell>
          <cell r="J3484">
            <v>332.31</v>
          </cell>
          <cell r="K3484">
            <v>226.79</v>
          </cell>
          <cell r="L3484">
            <v>5.3986499999999998E-12</v>
          </cell>
          <cell r="M3484">
            <v>247.29</v>
          </cell>
          <cell r="N3484">
            <v>2238.7211385683418</v>
          </cell>
          <cell r="O3484">
            <v>9.01</v>
          </cell>
          <cell r="P3484">
            <v>0</v>
          </cell>
          <cell r="Q3484">
            <v>9.01</v>
          </cell>
        </row>
        <row r="3485">
          <cell r="D3485" t="str">
            <v>7148-78-9</v>
          </cell>
          <cell r="E3485">
            <v>7148789</v>
          </cell>
          <cell r="F3485">
            <v>3583</v>
          </cell>
          <cell r="G3485" t="str">
            <v>Reach_2227</v>
          </cell>
          <cell r="H3485">
            <v>3477</v>
          </cell>
          <cell r="J3485">
            <v>206.29</v>
          </cell>
          <cell r="K3485">
            <v>22.55</v>
          </cell>
          <cell r="L3485">
            <v>0.80779800000000013</v>
          </cell>
          <cell r="M3485">
            <v>693.35</v>
          </cell>
          <cell r="N3485">
            <v>1548.8166189124822</v>
          </cell>
          <cell r="P3485">
            <v>0</v>
          </cell>
          <cell r="Q3485">
            <v>14</v>
          </cell>
        </row>
        <row r="3486">
          <cell r="D3486" t="str">
            <v>1132940-51-2</v>
          </cell>
          <cell r="E3486">
            <v>1132940512</v>
          </cell>
          <cell r="F3486">
            <v>1616</v>
          </cell>
          <cell r="G3486" t="str">
            <v>Reach_5060</v>
          </cell>
          <cell r="H3486">
            <v>3478</v>
          </cell>
          <cell r="J3486">
            <v>416.03</v>
          </cell>
          <cell r="K3486">
            <v>106.1</v>
          </cell>
          <cell r="L3486">
            <v>4.1856200000000001E-3</v>
          </cell>
          <cell r="M3486">
            <v>0.15206</v>
          </cell>
          <cell r="N3486">
            <v>2089296.1308540432</v>
          </cell>
          <cell r="Q3486">
            <v>14</v>
          </cell>
        </row>
        <row r="3487">
          <cell r="D3487" t="str">
            <v>197721-70-3</v>
          </cell>
          <cell r="E3487">
            <v>197721703</v>
          </cell>
          <cell r="F3487">
            <v>2242</v>
          </cell>
          <cell r="G3487" t="str">
            <v>Reach_4208</v>
          </cell>
          <cell r="H3487">
            <v>3479</v>
          </cell>
          <cell r="J3487">
            <v>384.52</v>
          </cell>
          <cell r="K3487">
            <v>210.15</v>
          </cell>
          <cell r="L3487">
            <v>3.8923600000000006E-10</v>
          </cell>
          <cell r="M3487">
            <v>1428</v>
          </cell>
          <cell r="N3487">
            <v>1000</v>
          </cell>
          <cell r="P3487">
            <v>0</v>
          </cell>
          <cell r="Q3487">
            <v>14</v>
          </cell>
        </row>
        <row r="3488">
          <cell r="D3488" t="str">
            <v>156755-23-6</v>
          </cell>
          <cell r="E3488">
            <v>156755236</v>
          </cell>
          <cell r="F3488">
            <v>2050</v>
          </cell>
          <cell r="G3488" t="str">
            <v>Reach_5098</v>
          </cell>
          <cell r="H3488">
            <v>3480</v>
          </cell>
          <cell r="J3488">
            <v>303.16000000000003</v>
          </cell>
          <cell r="K3488">
            <v>145.46</v>
          </cell>
          <cell r="L3488">
            <v>4.2256100000000004E-5</v>
          </cell>
          <cell r="M3488">
            <v>2.4878</v>
          </cell>
          <cell r="N3488">
            <v>954.99258602143675</v>
          </cell>
          <cell r="Q3488">
            <v>14</v>
          </cell>
        </row>
        <row r="3489">
          <cell r="D3489" t="str">
            <v>5292-53-5</v>
          </cell>
          <cell r="E3489">
            <v>5292535</v>
          </cell>
          <cell r="F3489">
            <v>3081</v>
          </cell>
          <cell r="G3489" t="str">
            <v>Reach_2095</v>
          </cell>
          <cell r="H3489">
            <v>3481</v>
          </cell>
          <cell r="J3489">
            <v>248.28</v>
          </cell>
          <cell r="K3489">
            <v>2.56</v>
          </cell>
          <cell r="L3489">
            <v>0.11690410000000001</v>
          </cell>
          <cell r="M3489">
            <v>60.158999999999999</v>
          </cell>
          <cell r="N3489">
            <v>870.96358995608091</v>
          </cell>
          <cell r="Q3489">
            <v>14</v>
          </cell>
        </row>
        <row r="3490">
          <cell r="D3490" t="str">
            <v>60803-26-1</v>
          </cell>
          <cell r="E3490">
            <v>60803261</v>
          </cell>
          <cell r="F3490">
            <v>3316</v>
          </cell>
          <cell r="G3490" t="str">
            <v>Reach_5063</v>
          </cell>
          <cell r="H3490">
            <v>3482</v>
          </cell>
          <cell r="J3490">
            <v>402.01</v>
          </cell>
          <cell r="K3490">
            <v>122.55</v>
          </cell>
          <cell r="L3490">
            <v>3.9590100000000004E-4</v>
          </cell>
          <cell r="M3490">
            <v>7.4790999999999999</v>
          </cell>
          <cell r="N3490">
            <v>575439.93733715697</v>
          </cell>
          <cell r="O3490">
            <v>7.8</v>
          </cell>
          <cell r="Q3490">
            <v>7.8</v>
          </cell>
        </row>
        <row r="3491">
          <cell r="D3491" t="str">
            <v>160583-22-2</v>
          </cell>
          <cell r="E3491">
            <v>160583222</v>
          </cell>
          <cell r="F3491">
            <v>2075</v>
          </cell>
          <cell r="G3491" t="str">
            <v>Reach_5006</v>
          </cell>
          <cell r="H3491">
            <v>3483</v>
          </cell>
          <cell r="J3491">
            <v>201.23</v>
          </cell>
          <cell r="K3491">
            <v>72.52</v>
          </cell>
          <cell r="L3491">
            <v>2.6526700000000004E-2</v>
          </cell>
          <cell r="M3491">
            <v>341.29</v>
          </cell>
          <cell r="N3491">
            <v>1348.9628825916541</v>
          </cell>
          <cell r="O3491">
            <v>0</v>
          </cell>
          <cell r="P3491">
            <v>0</v>
          </cell>
          <cell r="Q3491">
            <v>0</v>
          </cell>
        </row>
        <row r="3492">
          <cell r="D3492" t="str">
            <v>575-61-1</v>
          </cell>
          <cell r="E3492">
            <v>575611</v>
          </cell>
          <cell r="F3492">
            <v>3232</v>
          </cell>
          <cell r="G3492" t="str">
            <v>Reach_1379</v>
          </cell>
          <cell r="H3492">
            <v>3484</v>
          </cell>
          <cell r="J3492">
            <v>222.24</v>
          </cell>
          <cell r="K3492">
            <v>120.94</v>
          </cell>
          <cell r="L3492">
            <v>6.0118300000000003E-4</v>
          </cell>
          <cell r="M3492">
            <v>62.363999999999997</v>
          </cell>
          <cell r="N3492">
            <v>562.34132519034927</v>
          </cell>
          <cell r="P3492">
            <v>0</v>
          </cell>
          <cell r="Q3492">
            <v>14</v>
          </cell>
        </row>
        <row r="3493">
          <cell r="D3493" t="str">
            <v>84852-49-3</v>
          </cell>
          <cell r="E3493">
            <v>84852493</v>
          </cell>
          <cell r="F3493">
            <v>6055</v>
          </cell>
          <cell r="G3493" t="str">
            <v>Reach_2981</v>
          </cell>
          <cell r="H3493">
            <v>3485</v>
          </cell>
          <cell r="J3493">
            <v>612.29999999999995</v>
          </cell>
          <cell r="K3493">
            <v>0</v>
          </cell>
          <cell r="L3493">
            <v>0</v>
          </cell>
          <cell r="M3493">
            <v>0</v>
          </cell>
          <cell r="N3493">
            <v>0</v>
          </cell>
          <cell r="O3493">
            <v>0</v>
          </cell>
          <cell r="Q3493">
            <v>0</v>
          </cell>
        </row>
        <row r="3494">
          <cell r="D3494" t="str">
            <v>101-97-3</v>
          </cell>
          <cell r="E3494">
            <v>101973</v>
          </cell>
          <cell r="F3494">
            <v>1332</v>
          </cell>
          <cell r="G3494" t="str">
            <v>Reach_586</v>
          </cell>
          <cell r="H3494">
            <v>3486</v>
          </cell>
          <cell r="J3494">
            <v>164.2</v>
          </cell>
          <cell r="K3494">
            <v>10.6</v>
          </cell>
          <cell r="L3494">
            <v>12.170290000000001</v>
          </cell>
          <cell r="M3494">
            <v>1108.9000000000001</v>
          </cell>
          <cell r="N3494">
            <v>371.53522909717265</v>
          </cell>
          <cell r="Q3494">
            <v>14</v>
          </cell>
        </row>
        <row r="3495">
          <cell r="D3495" t="str">
            <v>86960-46-5</v>
          </cell>
          <cell r="E3495">
            <v>86960465</v>
          </cell>
          <cell r="F3495">
            <v>3914</v>
          </cell>
          <cell r="G3495" t="str">
            <v>Reach_4481</v>
          </cell>
          <cell r="H3495">
            <v>3487</v>
          </cell>
          <cell r="J3495">
            <v>292.38</v>
          </cell>
          <cell r="K3495">
            <v>151.13</v>
          </cell>
          <cell r="L3495">
            <v>3.07923E-5</v>
          </cell>
          <cell r="M3495">
            <v>1.1501999999999999</v>
          </cell>
          <cell r="N3495">
            <v>251188.64315095844</v>
          </cell>
          <cell r="O3495">
            <v>4.2</v>
          </cell>
          <cell r="Q3495">
            <v>4.2</v>
          </cell>
        </row>
        <row r="3496">
          <cell r="D3496" t="str">
            <v>908145-87-9</v>
          </cell>
          <cell r="E3496">
            <v>908145879</v>
          </cell>
          <cell r="F3496">
            <v>4007</v>
          </cell>
          <cell r="G3496" t="str">
            <v>Reach_4949</v>
          </cell>
          <cell r="H3496">
            <v>3488</v>
          </cell>
          <cell r="J3496">
            <v>377.44</v>
          </cell>
          <cell r="K3496">
            <v>199.38</v>
          </cell>
          <cell r="L3496">
            <v>4.4122300000000006E-8</v>
          </cell>
          <cell r="M3496">
            <v>1.7363999999999999</v>
          </cell>
          <cell r="N3496">
            <v>512.86138399136519</v>
          </cell>
          <cell r="Q3496">
            <v>14</v>
          </cell>
        </row>
        <row r="3497">
          <cell r="D3497" t="str">
            <v>92878-95-0</v>
          </cell>
          <cell r="E3497">
            <v>92878950</v>
          </cell>
          <cell r="F3497">
            <v>4052</v>
          </cell>
          <cell r="G3497" t="str">
            <v>Reach_4502</v>
          </cell>
          <cell r="H3497">
            <v>3489</v>
          </cell>
          <cell r="J3497">
            <v>245.66</v>
          </cell>
          <cell r="K3497">
            <v>114.96</v>
          </cell>
          <cell r="L3497">
            <v>3.2125300000000003E-3</v>
          </cell>
          <cell r="M3497">
            <v>116.03</v>
          </cell>
          <cell r="N3497">
            <v>489.77881936844625</v>
          </cell>
          <cell r="Q3497">
            <v>14</v>
          </cell>
        </row>
        <row r="3498">
          <cell r="D3498" t="str">
            <v>1172131-64-4</v>
          </cell>
          <cell r="E3498">
            <v>1172131644</v>
          </cell>
          <cell r="F3498">
            <v>1656</v>
          </cell>
          <cell r="G3498" t="str">
            <v>Reach_4559</v>
          </cell>
          <cell r="H3498">
            <v>3490</v>
          </cell>
          <cell r="J3498">
            <v>418.47</v>
          </cell>
          <cell r="K3498">
            <v>253.25</v>
          </cell>
          <cell r="L3498">
            <v>6.98492E-11</v>
          </cell>
          <cell r="M3498">
            <v>37.024999999999999</v>
          </cell>
          <cell r="N3498">
            <v>331.13112148259137</v>
          </cell>
          <cell r="O3498">
            <v>12.55</v>
          </cell>
          <cell r="Q3498">
            <v>12.55</v>
          </cell>
        </row>
        <row r="3499">
          <cell r="D3499" t="str">
            <v>143418-49-9</v>
          </cell>
          <cell r="E3499">
            <v>143418499</v>
          </cell>
          <cell r="F3499">
            <v>1966</v>
          </cell>
          <cell r="G3499" t="str">
            <v>Reach_4151</v>
          </cell>
          <cell r="H3499">
            <v>3491</v>
          </cell>
          <cell r="J3499">
            <v>175.91</v>
          </cell>
          <cell r="K3499">
            <v>91.2</v>
          </cell>
          <cell r="L3499">
            <v>2.2527700000000003E-3</v>
          </cell>
          <cell r="M3499">
            <v>0</v>
          </cell>
          <cell r="N3499">
            <v>194.98445997580458</v>
          </cell>
          <cell r="O3499">
            <v>7.6</v>
          </cell>
          <cell r="P3499">
            <v>0</v>
          </cell>
          <cell r="Q3499">
            <v>7.6</v>
          </cell>
        </row>
        <row r="3500">
          <cell r="D3500" t="str">
            <v>76-89-1</v>
          </cell>
          <cell r="E3500">
            <v>76891</v>
          </cell>
          <cell r="F3500">
            <v>3726</v>
          </cell>
          <cell r="G3500" t="str">
            <v>Reach_178</v>
          </cell>
          <cell r="H3500">
            <v>3492</v>
          </cell>
          <cell r="J3500">
            <v>242.27</v>
          </cell>
          <cell r="K3500">
            <v>110.17</v>
          </cell>
          <cell r="L3500">
            <v>1.7195700000000001E-4</v>
          </cell>
          <cell r="M3500">
            <v>513.59</v>
          </cell>
          <cell r="N3500">
            <v>162.18100973589304</v>
          </cell>
          <cell r="P3500">
            <v>0</v>
          </cell>
          <cell r="Q3500">
            <v>14</v>
          </cell>
        </row>
        <row r="3501">
          <cell r="D3501" t="str">
            <v>261953-36-0</v>
          </cell>
          <cell r="E3501">
            <v>261953360</v>
          </cell>
          <cell r="F3501">
            <v>2458</v>
          </cell>
          <cell r="G3501" t="str">
            <v>Reach_4251</v>
          </cell>
          <cell r="H3501">
            <v>3493</v>
          </cell>
          <cell r="J3501">
            <v>246.05</v>
          </cell>
          <cell r="K3501">
            <v>109.62</v>
          </cell>
          <cell r="L3501">
            <v>2.3060900000000002E-2</v>
          </cell>
          <cell r="M3501">
            <v>450.24</v>
          </cell>
          <cell r="N3501">
            <v>234.42288153199232</v>
          </cell>
          <cell r="O3501">
            <v>0</v>
          </cell>
          <cell r="P3501">
            <v>7.2</v>
          </cell>
          <cell r="Q3501">
            <v>0</v>
          </cell>
        </row>
        <row r="3502">
          <cell r="D3502" t="str">
            <v>152-97-6</v>
          </cell>
          <cell r="E3502">
            <v>152976</v>
          </cell>
          <cell r="F3502">
            <v>2026</v>
          </cell>
          <cell r="G3502" t="str">
            <v>Reach_1209</v>
          </cell>
          <cell r="H3502">
            <v>3494</v>
          </cell>
          <cell r="J3502">
            <v>376.47</v>
          </cell>
          <cell r="K3502">
            <v>204.9</v>
          </cell>
          <cell r="L3502">
            <v>5.2386899999999996E-10</v>
          </cell>
          <cell r="M3502">
            <v>54.493000000000002</v>
          </cell>
          <cell r="N3502">
            <v>114.81536214968835</v>
          </cell>
          <cell r="Q3502">
            <v>14</v>
          </cell>
        </row>
        <row r="3503">
          <cell r="D3503" t="str">
            <v>877399-00-3</v>
          </cell>
          <cell r="E3503">
            <v>877399003</v>
          </cell>
          <cell r="F3503">
            <v>3941</v>
          </cell>
          <cell r="G3503" t="str">
            <v>Reach_4997</v>
          </cell>
          <cell r="H3503">
            <v>3495</v>
          </cell>
          <cell r="J3503">
            <v>380.05</v>
          </cell>
          <cell r="K3503">
            <v>171.65</v>
          </cell>
          <cell r="L3503">
            <v>1.6795799999999999E-5</v>
          </cell>
          <cell r="M3503">
            <v>0.43457000000000001</v>
          </cell>
          <cell r="N3503">
            <v>131825.67385564081</v>
          </cell>
          <cell r="Q3503">
            <v>14</v>
          </cell>
        </row>
        <row r="3504">
          <cell r="D3504" t="str">
            <v>61010-04-6</v>
          </cell>
          <cell r="E3504">
            <v>61010046</v>
          </cell>
          <cell r="F3504">
            <v>3323</v>
          </cell>
          <cell r="G3504" t="str">
            <v>Reach_4988</v>
          </cell>
          <cell r="H3504">
            <v>3496</v>
          </cell>
          <cell r="J3504">
            <v>172.61</v>
          </cell>
          <cell r="K3504">
            <v>73.75</v>
          </cell>
          <cell r="L3504">
            <v>7.1582099999999999E-3</v>
          </cell>
          <cell r="M3504">
            <v>8245.7999999999993</v>
          </cell>
          <cell r="N3504">
            <v>79.432823472428197</v>
          </cell>
          <cell r="Q3504">
            <v>14</v>
          </cell>
        </row>
        <row r="3505">
          <cell r="D3505" t="str">
            <v>148528-05-6</v>
          </cell>
          <cell r="E3505">
            <v>148528056</v>
          </cell>
          <cell r="F3505">
            <v>2002</v>
          </cell>
          <cell r="G3505" t="str">
            <v>Reach_4767</v>
          </cell>
          <cell r="H3505">
            <v>3497</v>
          </cell>
          <cell r="J3505">
            <v>158.29</v>
          </cell>
          <cell r="K3505">
            <v>39.979999999999997</v>
          </cell>
          <cell r="L3505">
            <v>4.8387900000000004</v>
          </cell>
          <cell r="M3505">
            <v>2422.3000000000002</v>
          </cell>
          <cell r="N3505">
            <v>56.234132519034915</v>
          </cell>
          <cell r="O3505">
            <v>0</v>
          </cell>
          <cell r="Q3505">
            <v>0</v>
          </cell>
        </row>
        <row r="3506">
          <cell r="D3506" t="str">
            <v>18667-19-1</v>
          </cell>
          <cell r="E3506">
            <v>18667191</v>
          </cell>
          <cell r="F3506">
            <v>2202</v>
          </cell>
          <cell r="G3506" t="str">
            <v>Reach_4973</v>
          </cell>
          <cell r="H3506">
            <v>3498</v>
          </cell>
          <cell r="J3506">
            <v>300.83</v>
          </cell>
          <cell r="K3506">
            <v>198.48</v>
          </cell>
          <cell r="L3506">
            <v>3.1325500000000001E-7</v>
          </cell>
          <cell r="M3506">
            <v>4.4227999999999996</v>
          </cell>
          <cell r="N3506">
            <v>61659.500186148245</v>
          </cell>
          <cell r="P3506">
            <v>14.95</v>
          </cell>
          <cell r="Q3506">
            <v>-0.94999999999999929</v>
          </cell>
        </row>
        <row r="3507">
          <cell r="D3507" t="str">
            <v>69399-57-1</v>
          </cell>
          <cell r="E3507">
            <v>69399571</v>
          </cell>
          <cell r="F3507">
            <v>3542</v>
          </cell>
          <cell r="G3507" t="str">
            <v>Reach_4403</v>
          </cell>
          <cell r="H3507">
            <v>3499</v>
          </cell>
          <cell r="J3507">
            <v>237.17</v>
          </cell>
          <cell r="K3507">
            <v>214.38</v>
          </cell>
          <cell r="L3507">
            <v>2.8259600000000001E-8</v>
          </cell>
          <cell r="M3507">
            <v>5942.8</v>
          </cell>
          <cell r="N3507">
            <v>1.62181009735893</v>
          </cell>
          <cell r="O3507">
            <v>4.71</v>
          </cell>
          <cell r="Q3507">
            <v>4.71</v>
          </cell>
        </row>
        <row r="3508">
          <cell r="D3508" t="str">
            <v>867022-57-9</v>
          </cell>
          <cell r="E3508">
            <v>867022579</v>
          </cell>
          <cell r="F3508">
            <v>3909</v>
          </cell>
          <cell r="G3508" t="str">
            <v>Reach_4776</v>
          </cell>
          <cell r="H3508">
            <v>3500</v>
          </cell>
          <cell r="J3508">
            <v>370.29</v>
          </cell>
          <cell r="K3508">
            <v>192.7</v>
          </cell>
          <cell r="L3508">
            <v>7.4381400000000005E-7</v>
          </cell>
          <cell r="M3508">
            <v>2.8915000000000002</v>
          </cell>
          <cell r="N3508">
            <v>38904.514499428085</v>
          </cell>
          <cell r="O3508">
            <v>3.2</v>
          </cell>
          <cell r="Q3508">
            <v>3.2</v>
          </cell>
        </row>
        <row r="3509">
          <cell r="D3509" t="str">
            <v>16251-77-7</v>
          </cell>
          <cell r="E3509">
            <v>16251777</v>
          </cell>
          <cell r="F3509">
            <v>2085</v>
          </cell>
          <cell r="G3509" t="str">
            <v>Reach_2415</v>
          </cell>
          <cell r="H3509">
            <v>3501</v>
          </cell>
          <cell r="J3509">
            <v>148.21</v>
          </cell>
          <cell r="K3509">
            <v>1.2</v>
          </cell>
          <cell r="L3509">
            <v>11.35716</v>
          </cell>
          <cell r="M3509">
            <v>2434.5</v>
          </cell>
          <cell r="N3509">
            <v>281.83829312644554</v>
          </cell>
          <cell r="Q3509">
            <v>14</v>
          </cell>
        </row>
        <row r="3510">
          <cell r="D3510" t="str">
            <v>99842-68-9</v>
          </cell>
          <cell r="E3510">
            <v>99842689</v>
          </cell>
          <cell r="F3510">
            <v>4220</v>
          </cell>
          <cell r="G3510" t="str">
            <v>Reach_4984</v>
          </cell>
          <cell r="H3510">
            <v>3502</v>
          </cell>
          <cell r="J3510">
            <v>189.22</v>
          </cell>
          <cell r="K3510">
            <v>72.180000000000007</v>
          </cell>
          <cell r="L3510">
            <v>4.2789300000000002E-2</v>
          </cell>
          <cell r="M3510">
            <v>1509</v>
          </cell>
          <cell r="N3510">
            <v>52.480746024977286</v>
          </cell>
          <cell r="O3510">
            <v>0</v>
          </cell>
          <cell r="Q3510">
            <v>0</v>
          </cell>
        </row>
        <row r="3511">
          <cell r="D3511" t="str">
            <v>35877-42-0</v>
          </cell>
          <cell r="E3511">
            <v>35877420</v>
          </cell>
          <cell r="F3511">
            <v>2753</v>
          </cell>
          <cell r="G3511" t="str">
            <v>Reach_5074</v>
          </cell>
          <cell r="H3511">
            <v>3503</v>
          </cell>
          <cell r="J3511">
            <v>264.37</v>
          </cell>
          <cell r="K3511">
            <v>141.44</v>
          </cell>
          <cell r="L3511">
            <v>9.6242600000000006E-5</v>
          </cell>
          <cell r="M3511">
            <v>269.95999999999998</v>
          </cell>
          <cell r="N3511">
            <v>15848.931924611146</v>
          </cell>
          <cell r="O3511">
            <v>0</v>
          </cell>
          <cell r="Q3511">
            <v>0</v>
          </cell>
        </row>
        <row r="3512">
          <cell r="D3512" t="str">
            <v>4890-85-1</v>
          </cell>
          <cell r="E3512">
            <v>4890851</v>
          </cell>
          <cell r="F3512">
            <v>2979</v>
          </cell>
          <cell r="G3512" t="str">
            <v>Reach_2066</v>
          </cell>
          <cell r="H3512">
            <v>3504</v>
          </cell>
          <cell r="J3512">
            <v>226.28</v>
          </cell>
          <cell r="K3512">
            <v>132.44</v>
          </cell>
          <cell r="L3512">
            <v>3.4658000000000003E-4</v>
          </cell>
          <cell r="M3512">
            <v>21.736999999999998</v>
          </cell>
          <cell r="N3512">
            <v>19054.607179632505</v>
          </cell>
          <cell r="O3512">
            <v>3.58</v>
          </cell>
          <cell r="P3512">
            <v>0</v>
          </cell>
          <cell r="Q3512">
            <v>3.58</v>
          </cell>
        </row>
        <row r="3513">
          <cell r="D3513" t="str">
            <v>5419-55-6</v>
          </cell>
          <cell r="E3513">
            <v>5419556</v>
          </cell>
          <cell r="F3513">
            <v>3131</v>
          </cell>
          <cell r="G3513" t="str">
            <v>Reach_2108</v>
          </cell>
          <cell r="H3513">
            <v>3505</v>
          </cell>
          <cell r="J3513">
            <v>188.08</v>
          </cell>
          <cell r="K3513">
            <v>-43</v>
          </cell>
          <cell r="L3513">
            <v>1061.068</v>
          </cell>
          <cell r="M3513">
            <v>0</v>
          </cell>
          <cell r="N3513">
            <v>6.7608297539198183</v>
          </cell>
          <cell r="Q3513">
            <v>14</v>
          </cell>
        </row>
        <row r="3514">
          <cell r="D3514" t="str">
            <v>39856-50-3</v>
          </cell>
          <cell r="E3514">
            <v>39856503</v>
          </cell>
          <cell r="F3514">
            <v>2851</v>
          </cell>
          <cell r="G3514" t="str">
            <v>Reach_4312</v>
          </cell>
          <cell r="H3514">
            <v>3506</v>
          </cell>
          <cell r="J3514">
            <v>203</v>
          </cell>
          <cell r="K3514">
            <v>76.81</v>
          </cell>
          <cell r="L3514">
            <v>0.57319000000000009</v>
          </cell>
          <cell r="M3514">
            <v>762.49</v>
          </cell>
          <cell r="N3514">
            <v>32.359365692962832</v>
          </cell>
          <cell r="P3514">
            <v>0</v>
          </cell>
          <cell r="Q3514">
            <v>14</v>
          </cell>
        </row>
        <row r="3515">
          <cell r="D3515" t="str">
            <v>61337-89-1</v>
          </cell>
          <cell r="E3515">
            <v>61337891</v>
          </cell>
          <cell r="F3515">
            <v>3332</v>
          </cell>
          <cell r="G3515" t="str">
            <v>Reach_4849</v>
          </cell>
          <cell r="H3515">
            <v>3507</v>
          </cell>
          <cell r="J3515">
            <v>283.38</v>
          </cell>
          <cell r="K3515">
            <v>175.91</v>
          </cell>
          <cell r="L3515">
            <v>1.5596100000000003E-7</v>
          </cell>
          <cell r="M3515">
            <v>27262</v>
          </cell>
          <cell r="N3515">
            <v>42.657951880159267</v>
          </cell>
          <cell r="O3515">
            <v>15.79</v>
          </cell>
          <cell r="Q3515">
            <v>14</v>
          </cell>
        </row>
        <row r="3516">
          <cell r="D3516" t="str">
            <v>329216-67-3</v>
          </cell>
          <cell r="E3516">
            <v>329216673</v>
          </cell>
          <cell r="F3516">
            <v>2670</v>
          </cell>
          <cell r="G3516" t="str">
            <v>Reach_4755</v>
          </cell>
          <cell r="H3516">
            <v>3508</v>
          </cell>
          <cell r="J3516">
            <v>339.46</v>
          </cell>
          <cell r="K3516">
            <v>206.93</v>
          </cell>
          <cell r="L3516">
            <v>6.8916100000000004E-10</v>
          </cell>
          <cell r="M3516">
            <v>4768.2</v>
          </cell>
          <cell r="N3516">
            <v>165.95869074375622</v>
          </cell>
          <cell r="P3516">
            <v>8.23</v>
          </cell>
          <cell r="Q3516">
            <v>5.77</v>
          </cell>
        </row>
        <row r="3517">
          <cell r="D3517" t="str">
            <v>84268-36-0</v>
          </cell>
          <cell r="E3517">
            <v>84268360</v>
          </cell>
          <cell r="F3517">
            <v>3858</v>
          </cell>
          <cell r="G3517" t="str">
            <v>Reach_4598</v>
          </cell>
          <cell r="H3517">
            <v>3509</v>
          </cell>
          <cell r="J3517">
            <v>339.4</v>
          </cell>
          <cell r="K3517">
            <v>224.49</v>
          </cell>
          <cell r="L3517">
            <v>6.8916100000000004E-10</v>
          </cell>
          <cell r="M3517">
            <v>24.056000000000001</v>
          </cell>
          <cell r="N3517">
            <v>1995.2623149688804</v>
          </cell>
          <cell r="P3517">
            <v>15.12</v>
          </cell>
          <cell r="Q3517">
            <v>-1.1199999999999992</v>
          </cell>
        </row>
        <row r="3518">
          <cell r="D3518" t="str">
            <v>76028-96-1</v>
          </cell>
          <cell r="E3518">
            <v>76028961</v>
          </cell>
          <cell r="F3518">
            <v>3694</v>
          </cell>
          <cell r="G3518" t="str">
            <v>Reach_4430</v>
          </cell>
          <cell r="H3518">
            <v>3510</v>
          </cell>
          <cell r="J3518">
            <v>330.37</v>
          </cell>
          <cell r="K3518">
            <v>194.48</v>
          </cell>
          <cell r="L3518">
            <v>5.7052400000000011E-7</v>
          </cell>
          <cell r="M3518">
            <v>182.25</v>
          </cell>
          <cell r="N3518">
            <v>1737.8008287493772</v>
          </cell>
          <cell r="P3518">
            <v>13.43</v>
          </cell>
          <cell r="Q3518">
            <v>0.57000000000000028</v>
          </cell>
        </row>
        <row r="3519">
          <cell r="D3519" t="str">
            <v>909782-32-7</v>
          </cell>
          <cell r="E3519">
            <v>909782327</v>
          </cell>
          <cell r="F3519">
            <v>4009</v>
          </cell>
          <cell r="G3519" t="str">
            <v>Reach_4935</v>
          </cell>
          <cell r="H3519">
            <v>3511</v>
          </cell>
          <cell r="J3519">
            <v>313.38</v>
          </cell>
          <cell r="K3519">
            <v>214.96</v>
          </cell>
          <cell r="L3519">
            <v>2.5860200000000002E-8</v>
          </cell>
          <cell r="M3519">
            <v>77.200999999999993</v>
          </cell>
          <cell r="N3519">
            <v>1621.8100973589308</v>
          </cell>
          <cell r="Q3519">
            <v>14</v>
          </cell>
        </row>
        <row r="3520">
          <cell r="D3520" t="str">
            <v>5128-28-9</v>
          </cell>
          <cell r="E3520">
            <v>5128289</v>
          </cell>
          <cell r="F3520">
            <v>3031</v>
          </cell>
          <cell r="G3520" t="str">
            <v>Reach_4794</v>
          </cell>
          <cell r="H3520">
            <v>3512</v>
          </cell>
          <cell r="J3520">
            <v>226.11</v>
          </cell>
          <cell r="K3520">
            <v>171.58</v>
          </cell>
          <cell r="L3520">
            <v>1.7062400000000001E-5</v>
          </cell>
          <cell r="M3520">
            <v>125.44</v>
          </cell>
          <cell r="N3520">
            <v>27.542287033381665</v>
          </cell>
          <cell r="O3520">
            <v>0</v>
          </cell>
          <cell r="Q3520">
            <v>0</v>
          </cell>
        </row>
        <row r="3521">
          <cell r="D3521" t="str">
            <v>24085-06-1</v>
          </cell>
          <cell r="E3521">
            <v>24085061</v>
          </cell>
          <cell r="F3521">
            <v>2372</v>
          </cell>
          <cell r="G3521" t="str">
            <v>Reach_4237</v>
          </cell>
          <cell r="H3521">
            <v>3513</v>
          </cell>
          <cell r="J3521">
            <v>250.25</v>
          </cell>
          <cell r="K3521">
            <v>28.62</v>
          </cell>
          <cell r="L3521">
            <v>6.4517200000000011E-2</v>
          </cell>
          <cell r="M3521">
            <v>1996.9</v>
          </cell>
          <cell r="N3521">
            <v>22.908676527677738</v>
          </cell>
          <cell r="O3521">
            <v>0</v>
          </cell>
          <cell r="P3521">
            <v>0</v>
          </cell>
          <cell r="Q3521">
            <v>0</v>
          </cell>
        </row>
        <row r="3522">
          <cell r="D3522" t="str">
            <v>16673-34-0</v>
          </cell>
          <cell r="E3522">
            <v>16673340</v>
          </cell>
          <cell r="F3522">
            <v>2109</v>
          </cell>
          <cell r="G3522" t="str">
            <v>Reach_2426</v>
          </cell>
          <cell r="H3522">
            <v>3514</v>
          </cell>
          <cell r="J3522">
            <v>368.84</v>
          </cell>
          <cell r="K3522">
            <v>239.23</v>
          </cell>
          <cell r="L3522">
            <v>6.1984500000000004E-10</v>
          </cell>
          <cell r="M3522">
            <v>55.808999999999997</v>
          </cell>
          <cell r="N3522">
            <v>323.59365692962825</v>
          </cell>
          <cell r="Q3522">
            <v>14</v>
          </cell>
        </row>
        <row r="3523">
          <cell r="D3523" t="str">
            <v>2688-84-8</v>
          </cell>
          <cell r="E3523">
            <v>2688848</v>
          </cell>
          <cell r="F3523">
            <v>2490</v>
          </cell>
          <cell r="G3523" t="str">
            <v>Reach_1854</v>
          </cell>
          <cell r="H3523">
            <v>3515</v>
          </cell>
          <cell r="J3523">
            <v>185.23</v>
          </cell>
          <cell r="K3523">
            <v>91.21</v>
          </cell>
          <cell r="L3523">
            <v>0.10970590000000001</v>
          </cell>
          <cell r="M3523">
            <v>55.768999999999998</v>
          </cell>
          <cell r="N3523">
            <v>194.98445997580458</v>
          </cell>
          <cell r="Q3523">
            <v>14</v>
          </cell>
        </row>
        <row r="3524">
          <cell r="D3524" t="str">
            <v>120279-88-1</v>
          </cell>
          <cell r="E3524">
            <v>120279881</v>
          </cell>
          <cell r="F3524">
            <v>1707</v>
          </cell>
          <cell r="G3524" t="str">
            <v>Reach_4101</v>
          </cell>
          <cell r="H3524">
            <v>3516</v>
          </cell>
          <cell r="J3524">
            <v>263.36</v>
          </cell>
          <cell r="K3524">
            <v>174.93</v>
          </cell>
          <cell r="L3524">
            <v>1.0410730000000002E-5</v>
          </cell>
          <cell r="M3524">
            <v>165.17</v>
          </cell>
          <cell r="N3524">
            <v>19.054607179632477</v>
          </cell>
          <cell r="O3524">
            <v>8.6</v>
          </cell>
          <cell r="Q3524">
            <v>8.6</v>
          </cell>
        </row>
        <row r="3525">
          <cell r="D3525" t="str">
            <v>846023-54-9</v>
          </cell>
          <cell r="E3525">
            <v>846023549</v>
          </cell>
          <cell r="F3525">
            <v>3870</v>
          </cell>
          <cell r="G3525" t="str">
            <v>Reach_4901</v>
          </cell>
          <cell r="H3525">
            <v>3517</v>
          </cell>
          <cell r="J3525">
            <v>309.37</v>
          </cell>
          <cell r="K3525">
            <v>168.86</v>
          </cell>
          <cell r="L3525">
            <v>2.5327000000000003E-5</v>
          </cell>
          <cell r="M3525">
            <v>2276.5</v>
          </cell>
          <cell r="N3525">
            <v>16.982436524617448</v>
          </cell>
          <cell r="Q3525">
            <v>14</v>
          </cell>
        </row>
        <row r="3526">
          <cell r="D3526" t="str">
            <v>82419-35-0</v>
          </cell>
          <cell r="E3526">
            <v>82419350</v>
          </cell>
          <cell r="F3526">
            <v>3824</v>
          </cell>
          <cell r="G3526" t="str">
            <v>Reach_4784</v>
          </cell>
          <cell r="H3526">
            <v>3518</v>
          </cell>
          <cell r="J3526">
            <v>281.20999999999998</v>
          </cell>
          <cell r="K3526">
            <v>167.35</v>
          </cell>
          <cell r="L3526">
            <v>3.17254E-5</v>
          </cell>
          <cell r="M3526">
            <v>113.13</v>
          </cell>
          <cell r="N3526">
            <v>87.096358995608071</v>
          </cell>
          <cell r="O3526">
            <v>5.8</v>
          </cell>
          <cell r="Q3526">
            <v>5.8</v>
          </cell>
        </row>
        <row r="3527">
          <cell r="D3527" t="str">
            <v>57260-71-6</v>
          </cell>
          <cell r="E3527">
            <v>57260716</v>
          </cell>
          <cell r="F3527">
            <v>3227</v>
          </cell>
          <cell r="G3527" t="str">
            <v>Reach_4360</v>
          </cell>
          <cell r="H3527">
            <v>3519</v>
          </cell>
          <cell r="J3527">
            <v>186.26</v>
          </cell>
          <cell r="K3527">
            <v>65.069999999999993</v>
          </cell>
          <cell r="L3527">
            <v>1.057069</v>
          </cell>
          <cell r="M3527">
            <v>6120.4</v>
          </cell>
          <cell r="N3527">
            <v>12.58925411794168</v>
          </cell>
          <cell r="O3527">
            <v>0</v>
          </cell>
          <cell r="Q3527">
            <v>0</v>
          </cell>
        </row>
        <row r="3528">
          <cell r="D3528" t="str">
            <v>52980-28-6</v>
          </cell>
          <cell r="E3528">
            <v>52980286</v>
          </cell>
          <cell r="F3528">
            <v>3083</v>
          </cell>
          <cell r="G3528" t="str">
            <v>Reach_4687</v>
          </cell>
          <cell r="H3528">
            <v>3520</v>
          </cell>
          <cell r="J3528">
            <v>217.22</v>
          </cell>
          <cell r="K3528">
            <v>128.59</v>
          </cell>
          <cell r="L3528">
            <v>1.4263100000000001E-3</v>
          </cell>
          <cell r="M3528">
            <v>143.13999999999999</v>
          </cell>
          <cell r="N3528">
            <v>23.988329190194907</v>
          </cell>
          <cell r="Q3528">
            <v>14</v>
          </cell>
        </row>
        <row r="3529">
          <cell r="D3529" t="str">
            <v>72684-95-8</v>
          </cell>
          <cell r="E3529">
            <v>72684958</v>
          </cell>
          <cell r="F3529">
            <v>3609</v>
          </cell>
          <cell r="G3529" t="str">
            <v>Reach_4822</v>
          </cell>
          <cell r="H3529">
            <v>3521</v>
          </cell>
          <cell r="J3529">
            <v>179.18</v>
          </cell>
          <cell r="K3529">
            <v>99.25</v>
          </cell>
          <cell r="L3529">
            <v>8.0513200000000007E-3</v>
          </cell>
          <cell r="M3529">
            <v>2674.9</v>
          </cell>
          <cell r="N3529">
            <v>18.197008586099841</v>
          </cell>
          <cell r="O3529">
            <v>8.3000000000000007</v>
          </cell>
          <cell r="Q3529">
            <v>8.3000000000000007</v>
          </cell>
        </row>
        <row r="3530">
          <cell r="D3530" t="str">
            <v>106939-34-8</v>
          </cell>
          <cell r="E3530">
            <v>106939348</v>
          </cell>
          <cell r="F3530">
            <v>1450</v>
          </cell>
          <cell r="G3530" t="str">
            <v>Reach_4666</v>
          </cell>
          <cell r="H3530">
            <v>3522</v>
          </cell>
          <cell r="J3530">
            <v>309.27</v>
          </cell>
          <cell r="K3530">
            <v>146.22</v>
          </cell>
          <cell r="L3530">
            <v>1.9195200000000001E-4</v>
          </cell>
          <cell r="M3530">
            <v>6.9617000000000004</v>
          </cell>
          <cell r="N3530">
            <v>9.5499258602143584</v>
          </cell>
          <cell r="P3530">
            <v>15.22</v>
          </cell>
          <cell r="Q3530">
            <v>-1.2200000000000006</v>
          </cell>
        </row>
        <row r="3531">
          <cell r="D3531" t="str">
            <v>2657-85-4</v>
          </cell>
          <cell r="E3531">
            <v>2657854</v>
          </cell>
          <cell r="F3531">
            <v>2479</v>
          </cell>
          <cell r="G3531" t="str">
            <v>Reach_4572</v>
          </cell>
          <cell r="H3531">
            <v>3523</v>
          </cell>
          <cell r="J3531">
            <v>227.27</v>
          </cell>
          <cell r="K3531">
            <v>195.61</v>
          </cell>
          <cell r="L3531">
            <v>4.8121300000000009E-7</v>
          </cell>
          <cell r="M3531">
            <v>196.43</v>
          </cell>
          <cell r="N3531">
            <v>7.4131024130091765</v>
          </cell>
          <cell r="P3531">
            <v>9.94</v>
          </cell>
          <cell r="Q3531">
            <v>4.0600000000000005</v>
          </cell>
        </row>
        <row r="3532">
          <cell r="D3532" t="str">
            <v>43170-88-3</v>
          </cell>
          <cell r="E3532">
            <v>43170883</v>
          </cell>
          <cell r="F3532">
            <v>2906</v>
          </cell>
          <cell r="G3532" t="str">
            <v>Reach_2754</v>
          </cell>
          <cell r="H3532">
            <v>3524</v>
          </cell>
          <cell r="J3532">
            <v>510.56</v>
          </cell>
          <cell r="K3532">
            <v>317.13</v>
          </cell>
          <cell r="L3532">
            <v>2.63934E-15</v>
          </cell>
          <cell r="M3532">
            <v>3.6808999999999998</v>
          </cell>
          <cell r="N3532">
            <v>7.2443596007499025</v>
          </cell>
          <cell r="Q3532">
            <v>14</v>
          </cell>
        </row>
        <row r="3533">
          <cell r="D3533" t="str">
            <v>1207628-34-9</v>
          </cell>
          <cell r="E3533">
            <v>1207628349</v>
          </cell>
          <cell r="F3533">
            <v>1720</v>
          </cell>
          <cell r="G3533" t="str">
            <v>Reach_4912</v>
          </cell>
          <cell r="H3533">
            <v>3525</v>
          </cell>
          <cell r="J3533">
            <v>197.24</v>
          </cell>
          <cell r="K3533">
            <v>76.319999999999993</v>
          </cell>
          <cell r="L3533">
            <v>0.13996500000000001</v>
          </cell>
          <cell r="M3533">
            <v>15049</v>
          </cell>
          <cell r="N3533">
            <v>3.5481338923357555</v>
          </cell>
          <cell r="O3533">
            <v>0</v>
          </cell>
          <cell r="Q3533">
            <v>0</v>
          </cell>
        </row>
        <row r="3534">
          <cell r="D3534" t="str">
            <v>24683-26-9</v>
          </cell>
          <cell r="E3534">
            <v>24683269</v>
          </cell>
          <cell r="F3534">
            <v>2401</v>
          </cell>
          <cell r="G3534" t="str">
            <v>Reach_2553</v>
          </cell>
          <cell r="H3534">
            <v>3526</v>
          </cell>
          <cell r="J3534">
            <v>283.3</v>
          </cell>
          <cell r="K3534">
            <v>182.19</v>
          </cell>
          <cell r="L3534">
            <v>5.2653500000000002E-8</v>
          </cell>
          <cell r="M3534">
            <v>509.89</v>
          </cell>
          <cell r="N3534">
            <v>2.9512092266663856</v>
          </cell>
          <cell r="Q3534">
            <v>14</v>
          </cell>
        </row>
        <row r="3535">
          <cell r="D3535" t="str">
            <v>66356-53-4</v>
          </cell>
          <cell r="E3535">
            <v>66356534</v>
          </cell>
          <cell r="F3535">
            <v>3470</v>
          </cell>
          <cell r="G3535" t="str">
            <v>Reach_2878</v>
          </cell>
          <cell r="H3535">
            <v>3527</v>
          </cell>
          <cell r="J3535">
            <v>214.33</v>
          </cell>
          <cell r="K3535">
            <v>86.3</v>
          </cell>
          <cell r="L3535">
            <v>4.5322000000000008E-2</v>
          </cell>
          <cell r="M3535">
            <v>41457</v>
          </cell>
          <cell r="N3535">
            <v>5.8884365535558905</v>
          </cell>
          <cell r="Q3535">
            <v>14</v>
          </cell>
        </row>
        <row r="3536">
          <cell r="D3536" t="str">
            <v>144333-84-6</v>
          </cell>
          <cell r="E3536">
            <v>144333846</v>
          </cell>
          <cell r="F3536">
            <v>1975</v>
          </cell>
          <cell r="G3536" t="str">
            <v>Reach_4724</v>
          </cell>
          <cell r="H3536">
            <v>3528</v>
          </cell>
          <cell r="J3536">
            <v>236.24</v>
          </cell>
          <cell r="K3536">
            <v>146.86000000000001</v>
          </cell>
          <cell r="L3536">
            <v>6.1318000000000006E-4</v>
          </cell>
          <cell r="M3536">
            <v>4352.8999999999996</v>
          </cell>
          <cell r="N3536">
            <v>0.14791083881682074</v>
          </cell>
          <cell r="O3536">
            <v>0</v>
          </cell>
          <cell r="Q3536">
            <v>0</v>
          </cell>
        </row>
        <row r="3537">
          <cell r="D3537" t="str">
            <v>652-37-9</v>
          </cell>
          <cell r="E3537">
            <v>652379</v>
          </cell>
          <cell r="F3537">
            <v>3448</v>
          </cell>
          <cell r="G3537" t="str">
            <v>Reach_1487</v>
          </cell>
          <cell r="H3537">
            <v>3529</v>
          </cell>
          <cell r="J3537">
            <v>238.21</v>
          </cell>
          <cell r="K3537">
            <v>218.8</v>
          </cell>
          <cell r="L3537">
            <v>1.4396400000000002E-8</v>
          </cell>
          <cell r="M3537">
            <v>2860000</v>
          </cell>
          <cell r="N3537">
            <v>4.5708818961487478E-2</v>
          </cell>
          <cell r="O3537">
            <v>3.62</v>
          </cell>
          <cell r="Q3537">
            <v>3.62</v>
          </cell>
        </row>
        <row r="3538">
          <cell r="D3538" t="str">
            <v>116091-63-5</v>
          </cell>
          <cell r="E3538">
            <v>116091635</v>
          </cell>
          <cell r="F3538">
            <v>1643</v>
          </cell>
          <cell r="G3538" t="str">
            <v>Reach_4087</v>
          </cell>
          <cell r="H3538">
            <v>3530</v>
          </cell>
          <cell r="J3538">
            <v>243.28</v>
          </cell>
          <cell r="K3538">
            <v>144.09</v>
          </cell>
          <cell r="L3538">
            <v>2.0261600000000003E-4</v>
          </cell>
          <cell r="M3538">
            <v>17338</v>
          </cell>
          <cell r="N3538">
            <v>0.85113803820237643</v>
          </cell>
          <cell r="O3538">
            <v>9.8699999999999992</v>
          </cell>
          <cell r="P3538">
            <v>0</v>
          </cell>
          <cell r="Q3538">
            <v>9.8699999999999992</v>
          </cell>
        </row>
        <row r="3539">
          <cell r="D3539" t="str">
            <v>18683-91-5</v>
          </cell>
          <cell r="E3539">
            <v>18683915</v>
          </cell>
          <cell r="F3539">
            <v>2204</v>
          </cell>
          <cell r="G3539" t="str">
            <v>Reach_2467</v>
          </cell>
          <cell r="H3539">
            <v>3531</v>
          </cell>
          <cell r="J3539">
            <v>378.12</v>
          </cell>
          <cell r="K3539">
            <v>181.53</v>
          </cell>
          <cell r="L3539">
            <v>5.3719900000000008E-8</v>
          </cell>
          <cell r="M3539">
            <v>177.83</v>
          </cell>
          <cell r="N3539">
            <v>1348.9628825916541</v>
          </cell>
          <cell r="P3539">
            <v>4.8600000000000003</v>
          </cell>
          <cell r="Q3539">
            <v>9.14</v>
          </cell>
        </row>
        <row r="3540">
          <cell r="D3540" t="str">
            <v>100-83-4</v>
          </cell>
          <cell r="E3540">
            <v>100834</v>
          </cell>
          <cell r="F3540">
            <v>138</v>
          </cell>
          <cell r="G3540" t="str">
            <v>Reach_570</v>
          </cell>
          <cell r="H3540">
            <v>3532</v>
          </cell>
          <cell r="J3540">
            <v>122.12</v>
          </cell>
          <cell r="K3540">
            <v>42.64</v>
          </cell>
          <cell r="L3540">
            <v>0.39590100000000006</v>
          </cell>
          <cell r="M3540">
            <v>8167.1</v>
          </cell>
          <cell r="N3540">
            <v>16.982436524617448</v>
          </cell>
          <cell r="O3540">
            <v>9.1</v>
          </cell>
          <cell r="P3540">
            <v>0</v>
          </cell>
          <cell r="Q3540">
            <v>9.1</v>
          </cell>
        </row>
        <row r="3541">
          <cell r="D3541" t="str">
            <v>76524-94-2</v>
          </cell>
          <cell r="E3541">
            <v>76524942</v>
          </cell>
          <cell r="F3541">
            <v>3715</v>
          </cell>
          <cell r="G3541" t="str">
            <v>Reach_4868</v>
          </cell>
          <cell r="H3541">
            <v>3533</v>
          </cell>
          <cell r="J3541">
            <v>249.38</v>
          </cell>
          <cell r="K3541">
            <v>127.21</v>
          </cell>
          <cell r="L3541">
            <v>1.5329500000000002E-3</v>
          </cell>
          <cell r="M3541">
            <v>18368</v>
          </cell>
          <cell r="N3541">
            <v>0.64565422903465541</v>
          </cell>
          <cell r="P3541">
            <v>14.51</v>
          </cell>
          <cell r="Q3541">
            <v>-0.50999999999999979</v>
          </cell>
        </row>
        <row r="3542">
          <cell r="D3542" t="str">
            <v>66415-55-2</v>
          </cell>
          <cell r="E3542">
            <v>66415552</v>
          </cell>
          <cell r="F3542">
            <v>3472</v>
          </cell>
          <cell r="G3542" t="str">
            <v>Reach_4600</v>
          </cell>
          <cell r="H3542">
            <v>3534</v>
          </cell>
          <cell r="J3542">
            <v>101.15</v>
          </cell>
          <cell r="K3542">
            <v>-29.36</v>
          </cell>
          <cell r="L3542">
            <v>1111.722</v>
          </cell>
          <cell r="M3542">
            <v>1000000</v>
          </cell>
          <cell r="N3542">
            <v>0.85113803820237643</v>
          </cell>
          <cell r="Q3542">
            <v>14</v>
          </cell>
        </row>
        <row r="3543">
          <cell r="D3543" t="str">
            <v>80793-17-5</v>
          </cell>
          <cell r="E3543">
            <v>80793175</v>
          </cell>
          <cell r="F3543">
            <v>3798</v>
          </cell>
          <cell r="G3543" t="str">
            <v>Reach_4967</v>
          </cell>
          <cell r="H3543">
            <v>3535</v>
          </cell>
          <cell r="J3543">
            <v>348.1</v>
          </cell>
          <cell r="K3543">
            <v>-67.06</v>
          </cell>
          <cell r="L3543">
            <v>9877.5300000000007</v>
          </cell>
          <cell r="M3543">
            <v>2.2509000000000001E-2</v>
          </cell>
          <cell r="N3543">
            <v>741310.24130091805</v>
          </cell>
          <cell r="Q3543">
            <v>14</v>
          </cell>
        </row>
        <row r="3544">
          <cell r="D3544" t="str">
            <v>1001161-63-2</v>
          </cell>
          <cell r="E3544">
            <v>1001161632</v>
          </cell>
          <cell r="F3544">
            <v>1292</v>
          </cell>
          <cell r="G3544" t="str">
            <v>Reach_4805</v>
          </cell>
          <cell r="H3544">
            <v>3536</v>
          </cell>
          <cell r="J3544">
            <v>423.73</v>
          </cell>
          <cell r="K3544">
            <v>170.88</v>
          </cell>
          <cell r="L3544">
            <v>2.3594100000000001E-6</v>
          </cell>
          <cell r="M3544">
            <v>3.3728000000000001E-2</v>
          </cell>
          <cell r="N3544">
            <v>26302679918.953911</v>
          </cell>
          <cell r="O3544">
            <v>0</v>
          </cell>
          <cell r="P3544">
            <v>7.55</v>
          </cell>
          <cell r="Q3544">
            <v>0</v>
          </cell>
        </row>
        <row r="3545">
          <cell r="D3545" t="str">
            <v>99-55-8</v>
          </cell>
          <cell r="E3545">
            <v>99558</v>
          </cell>
          <cell r="F3545">
            <v>1088</v>
          </cell>
          <cell r="G3545" t="str">
            <v>Reach_530</v>
          </cell>
          <cell r="H3545">
            <v>3537</v>
          </cell>
          <cell r="J3545">
            <v>152.16</v>
          </cell>
          <cell r="K3545">
            <v>84.5</v>
          </cell>
          <cell r="L3545">
            <v>7.8380400000000003E-2</v>
          </cell>
          <cell r="M3545">
            <v>602.54999999999995</v>
          </cell>
          <cell r="N3545">
            <v>104.71285480508998</v>
          </cell>
          <cell r="O3545">
            <v>0</v>
          </cell>
          <cell r="P3545">
            <v>12</v>
          </cell>
          <cell r="Q3545">
            <v>0</v>
          </cell>
        </row>
        <row r="3546">
          <cell r="D3546" t="str">
            <v>50910-55-9</v>
          </cell>
          <cell r="E3546">
            <v>50910559</v>
          </cell>
          <cell r="F3546">
            <v>3023</v>
          </cell>
          <cell r="G3546" t="str">
            <v>Reach_2767</v>
          </cell>
          <cell r="H3546">
            <v>3538</v>
          </cell>
          <cell r="J3546">
            <v>278.94</v>
          </cell>
          <cell r="K3546">
            <v>110.71</v>
          </cell>
          <cell r="L3546">
            <v>7.1582099999999999E-3</v>
          </cell>
          <cell r="M3546">
            <v>86.591999999999999</v>
          </cell>
          <cell r="N3546">
            <v>371.53522909717265</v>
          </cell>
          <cell r="O3546">
            <v>0</v>
          </cell>
          <cell r="Q3546">
            <v>0</v>
          </cell>
        </row>
        <row r="3547">
          <cell r="D3547" t="str">
            <v>54090-39-0</v>
          </cell>
          <cell r="E3547">
            <v>54090390</v>
          </cell>
          <cell r="F3547">
            <v>3123</v>
          </cell>
          <cell r="G3547" t="str">
            <v>Reach_4920</v>
          </cell>
          <cell r="H3547">
            <v>3539</v>
          </cell>
          <cell r="J3547">
            <v>268.77999999999997</v>
          </cell>
          <cell r="K3547">
            <v>99.96</v>
          </cell>
          <cell r="L3547">
            <v>4.8121300000000013E-3</v>
          </cell>
          <cell r="M3547">
            <v>0.12376</v>
          </cell>
          <cell r="N3547">
            <v>91201.083935591028</v>
          </cell>
          <cell r="Q3547">
            <v>14</v>
          </cell>
        </row>
        <row r="3548">
          <cell r="D3548" t="str">
            <v>1522-41-4</v>
          </cell>
          <cell r="E3548">
            <v>1522414</v>
          </cell>
          <cell r="F3548">
            <v>2022</v>
          </cell>
          <cell r="G3548" t="str">
            <v>Reach_4594</v>
          </cell>
          <cell r="H3548">
            <v>3540</v>
          </cell>
          <cell r="J3548">
            <v>148.13</v>
          </cell>
          <cell r="K3548">
            <v>-29.61</v>
          </cell>
          <cell r="L3548">
            <v>363.90900000000005</v>
          </cell>
          <cell r="M3548">
            <v>2238.4</v>
          </cell>
          <cell r="N3548">
            <v>0.45708818961487502</v>
          </cell>
          <cell r="Q3548">
            <v>14</v>
          </cell>
        </row>
        <row r="3549">
          <cell r="D3549" t="str">
            <v>874208-98-7</v>
          </cell>
          <cell r="E3549">
            <v>874208987</v>
          </cell>
          <cell r="F3549">
            <v>3933</v>
          </cell>
          <cell r="G3549" t="str">
            <v>Reach_4540</v>
          </cell>
          <cell r="H3549">
            <v>3541</v>
          </cell>
          <cell r="J3549">
            <v>200.28</v>
          </cell>
          <cell r="K3549">
            <v>26.2</v>
          </cell>
          <cell r="L3549">
            <v>2.8392900000000001</v>
          </cell>
          <cell r="M3549">
            <v>344.12</v>
          </cell>
          <cell r="N3549">
            <v>151.3561248436209</v>
          </cell>
          <cell r="P3549">
            <v>0</v>
          </cell>
          <cell r="Q3549">
            <v>14</v>
          </cell>
        </row>
        <row r="3550">
          <cell r="D3550" t="str">
            <v>766-05-2</v>
          </cell>
          <cell r="E3550">
            <v>766052</v>
          </cell>
          <cell r="F3550">
            <v>873</v>
          </cell>
          <cell r="G3550" t="str">
            <v>Reach_1541</v>
          </cell>
          <cell r="H3550">
            <v>3542</v>
          </cell>
          <cell r="J3550">
            <v>109.17</v>
          </cell>
          <cell r="K3550">
            <v>-16</v>
          </cell>
          <cell r="L3550">
            <v>61.984500000000011</v>
          </cell>
          <cell r="M3550">
            <v>1176.3</v>
          </cell>
          <cell r="N3550">
            <v>131.82567385564084</v>
          </cell>
          <cell r="O3550">
            <v>0</v>
          </cell>
          <cell r="Q3550">
            <v>0</v>
          </cell>
        </row>
        <row r="3551">
          <cell r="D3551" t="str">
            <v>7381-13-7</v>
          </cell>
          <cell r="E3551">
            <v>7381137</v>
          </cell>
          <cell r="F3551">
            <v>3627</v>
          </cell>
          <cell r="G3551" t="str">
            <v>Reach_4421</v>
          </cell>
          <cell r="H3551">
            <v>3543</v>
          </cell>
          <cell r="J3551">
            <v>356.42</v>
          </cell>
          <cell r="K3551">
            <v>270.89999999999998</v>
          </cell>
          <cell r="L3551">
            <v>4.3589100000000009E-12</v>
          </cell>
          <cell r="M3551">
            <v>5.3284000000000002</v>
          </cell>
          <cell r="N3551">
            <v>323.59365692962825</v>
          </cell>
          <cell r="Q3551">
            <v>14</v>
          </cell>
        </row>
        <row r="3552">
          <cell r="D3552" t="str">
            <v>67911-21-1</v>
          </cell>
          <cell r="E3552">
            <v>67911211</v>
          </cell>
          <cell r="F3552">
            <v>3503</v>
          </cell>
          <cell r="G3552" t="str">
            <v>Reach_4396</v>
          </cell>
          <cell r="H3552">
            <v>3544</v>
          </cell>
          <cell r="J3552">
            <v>140.13999999999999</v>
          </cell>
          <cell r="K3552">
            <v>-4.12</v>
          </cell>
          <cell r="L3552">
            <v>67.583100000000002</v>
          </cell>
          <cell r="M3552">
            <v>32294</v>
          </cell>
          <cell r="N3552">
            <v>81.283051616409963</v>
          </cell>
          <cell r="Q3552">
            <v>14</v>
          </cell>
        </row>
        <row r="3553">
          <cell r="D3553" t="str">
            <v>934985-83-8</v>
          </cell>
          <cell r="E3553">
            <v>934985838</v>
          </cell>
          <cell r="F3553">
            <v>4071</v>
          </cell>
          <cell r="G3553" t="str">
            <v>Reach_4770</v>
          </cell>
          <cell r="H3553">
            <v>3545</v>
          </cell>
          <cell r="J3553">
            <v>263.38</v>
          </cell>
          <cell r="K3553">
            <v>140.12</v>
          </cell>
          <cell r="L3553">
            <v>9.1310500000000013E-6</v>
          </cell>
          <cell r="M3553">
            <v>6054.3</v>
          </cell>
          <cell r="N3553">
            <v>524.80746024977293</v>
          </cell>
          <cell r="Q3553">
            <v>14</v>
          </cell>
        </row>
        <row r="3554">
          <cell r="D3554" t="str">
            <v>117570-53-3</v>
          </cell>
          <cell r="E3554">
            <v>117570533</v>
          </cell>
          <cell r="F3554">
            <v>1659</v>
          </cell>
          <cell r="G3554" t="str">
            <v>Reach_4778</v>
          </cell>
          <cell r="H3554">
            <v>3546</v>
          </cell>
          <cell r="J3554">
            <v>282.3</v>
          </cell>
          <cell r="K3554">
            <v>189.81</v>
          </cell>
          <cell r="L3554">
            <v>1.14638E-6</v>
          </cell>
          <cell r="M3554">
            <v>21.081</v>
          </cell>
          <cell r="N3554">
            <v>23442.288153199243</v>
          </cell>
          <cell r="O3554">
            <v>3.37</v>
          </cell>
          <cell r="P3554">
            <v>14.69</v>
          </cell>
          <cell r="Q3554">
            <v>-0.6899999999999995</v>
          </cell>
        </row>
        <row r="3555">
          <cell r="D3555" t="str">
            <v>52937-90-3</v>
          </cell>
          <cell r="E3555">
            <v>52937903</v>
          </cell>
          <cell r="F3555">
            <v>3082</v>
          </cell>
          <cell r="G3555" t="str">
            <v>Reach_4339</v>
          </cell>
          <cell r="H3555">
            <v>3547</v>
          </cell>
          <cell r="J3555">
            <v>157.21</v>
          </cell>
          <cell r="K3555">
            <v>4.3099999999999996</v>
          </cell>
          <cell r="L3555">
            <v>25.860200000000003</v>
          </cell>
          <cell r="M3555">
            <v>3076.5</v>
          </cell>
          <cell r="N3555">
            <v>13.489628825916535</v>
          </cell>
          <cell r="Q3555">
            <v>14</v>
          </cell>
        </row>
        <row r="3556">
          <cell r="D3556" t="str">
            <v>161798-01-2</v>
          </cell>
          <cell r="E3556">
            <v>161798012</v>
          </cell>
          <cell r="F3556">
            <v>2081</v>
          </cell>
          <cell r="G3556" t="str">
            <v>Reach_4674</v>
          </cell>
          <cell r="H3556">
            <v>3548</v>
          </cell>
          <cell r="J3556">
            <v>291.33</v>
          </cell>
          <cell r="K3556">
            <v>186.59</v>
          </cell>
          <cell r="L3556">
            <v>3.1592100000000001E-7</v>
          </cell>
          <cell r="M3556">
            <v>44.438000000000002</v>
          </cell>
          <cell r="N3556">
            <v>4365.1583224016631</v>
          </cell>
          <cell r="Q3556">
            <v>14</v>
          </cell>
        </row>
        <row r="3557">
          <cell r="D3557" t="str">
            <v>35480-52-5</v>
          </cell>
          <cell r="E3557">
            <v>35480525</v>
          </cell>
          <cell r="F3557">
            <v>2739</v>
          </cell>
          <cell r="G3557" t="str">
            <v>Reach_4291</v>
          </cell>
          <cell r="H3557">
            <v>3549</v>
          </cell>
          <cell r="J3557">
            <v>318.17</v>
          </cell>
          <cell r="K3557">
            <v>106.88</v>
          </cell>
          <cell r="L3557">
            <v>1.3063400000000001E-2</v>
          </cell>
          <cell r="M3557">
            <v>12.534000000000001</v>
          </cell>
          <cell r="N3557">
            <v>3235.9365692962833</v>
          </cell>
          <cell r="O3557">
            <v>2.65</v>
          </cell>
          <cell r="P3557">
            <v>0</v>
          </cell>
          <cell r="Q3557">
            <v>2.65</v>
          </cell>
        </row>
        <row r="3558">
          <cell r="D3558" t="str">
            <v>117570-93-1</v>
          </cell>
          <cell r="E3558">
            <v>117570931</v>
          </cell>
          <cell r="F3558">
            <v>1660</v>
          </cell>
          <cell r="G3558" t="str">
            <v>Reach_4090</v>
          </cell>
          <cell r="H3558">
            <v>3550</v>
          </cell>
          <cell r="J3558">
            <v>300.31</v>
          </cell>
          <cell r="K3558">
            <v>204.36</v>
          </cell>
          <cell r="L3558">
            <v>1.2890110000000002E-7</v>
          </cell>
          <cell r="M3558">
            <v>7.4592999999999998</v>
          </cell>
          <cell r="N3558">
            <v>1905.4607179632485</v>
          </cell>
          <cell r="O3558">
            <v>3.63</v>
          </cell>
          <cell r="Q3558">
            <v>3.63</v>
          </cell>
        </row>
        <row r="3559">
          <cell r="D3559" t="str">
            <v>54811-38-0</v>
          </cell>
          <cell r="E3559">
            <v>54811380</v>
          </cell>
          <cell r="F3559">
            <v>3153</v>
          </cell>
          <cell r="G3559" t="str">
            <v>Reach_4352</v>
          </cell>
          <cell r="H3559">
            <v>3551</v>
          </cell>
          <cell r="J3559">
            <v>262.04000000000002</v>
          </cell>
          <cell r="K3559">
            <v>102.88</v>
          </cell>
          <cell r="L3559">
            <v>9.7575600000000019E-3</v>
          </cell>
          <cell r="M3559">
            <v>53.179000000000002</v>
          </cell>
          <cell r="N3559">
            <v>1778.2794100389244</v>
          </cell>
          <cell r="Q3559">
            <v>14</v>
          </cell>
        </row>
        <row r="3560">
          <cell r="D3560" t="str">
            <v>2921-57-5</v>
          </cell>
          <cell r="E3560">
            <v>2921575</v>
          </cell>
          <cell r="F3560">
            <v>2562</v>
          </cell>
          <cell r="G3560" t="str">
            <v>Reach_1886</v>
          </cell>
          <cell r="H3560">
            <v>3552</v>
          </cell>
          <cell r="J3560">
            <v>474.55</v>
          </cell>
          <cell r="K3560">
            <v>265.79000000000002</v>
          </cell>
          <cell r="L3560">
            <v>3.8123799999999998E-15</v>
          </cell>
          <cell r="M3560">
            <v>22.117999999999999</v>
          </cell>
          <cell r="N3560">
            <v>199.52623149688802</v>
          </cell>
          <cell r="O3560">
            <v>4.22</v>
          </cell>
          <cell r="P3560">
            <v>0</v>
          </cell>
          <cell r="Q3560">
            <v>4.22</v>
          </cell>
        </row>
        <row r="3561">
          <cell r="D3561" t="str">
            <v>14205-46-0</v>
          </cell>
          <cell r="E3561">
            <v>14205460</v>
          </cell>
          <cell r="F3561">
            <v>1945</v>
          </cell>
          <cell r="G3561" t="str">
            <v>Reach_4146</v>
          </cell>
          <cell r="H3561">
            <v>3553</v>
          </cell>
          <cell r="J3561">
            <v>143.19</v>
          </cell>
          <cell r="K3561">
            <v>-7.1</v>
          </cell>
          <cell r="L3561">
            <v>69.715900000000005</v>
          </cell>
          <cell r="M3561">
            <v>7726.1</v>
          </cell>
          <cell r="N3561">
            <v>4.2657951880159271</v>
          </cell>
          <cell r="O3561">
            <v>0</v>
          </cell>
          <cell r="P3561">
            <v>5.24</v>
          </cell>
          <cell r="Q3561">
            <v>0</v>
          </cell>
        </row>
        <row r="3562">
          <cell r="D3562" t="str">
            <v>17159-79-4</v>
          </cell>
          <cell r="E3562">
            <v>17159794</v>
          </cell>
          <cell r="F3562">
            <v>2123</v>
          </cell>
          <cell r="G3562" t="str">
            <v>Reach_4588</v>
          </cell>
          <cell r="H3562">
            <v>3554</v>
          </cell>
          <cell r="J3562">
            <v>170.21</v>
          </cell>
          <cell r="K3562">
            <v>34.83</v>
          </cell>
          <cell r="L3562">
            <v>2.5593599999999999</v>
          </cell>
          <cell r="M3562">
            <v>10168</v>
          </cell>
          <cell r="N3562">
            <v>12.022644346174133</v>
          </cell>
          <cell r="Q3562">
            <v>14</v>
          </cell>
        </row>
        <row r="3563">
          <cell r="D3563" t="str">
            <v>62932-92-7</v>
          </cell>
          <cell r="E3563">
            <v>62932927</v>
          </cell>
          <cell r="F3563">
            <v>3388</v>
          </cell>
          <cell r="G3563" t="str">
            <v>Reach_4381</v>
          </cell>
          <cell r="H3563">
            <v>3555</v>
          </cell>
          <cell r="J3563">
            <v>231.05</v>
          </cell>
          <cell r="K3563">
            <v>120.93</v>
          </cell>
          <cell r="L3563">
            <v>3.1458800000000003E-4</v>
          </cell>
          <cell r="M3563">
            <v>5291.1</v>
          </cell>
          <cell r="N3563">
            <v>11.481536214968834</v>
          </cell>
          <cell r="Q3563">
            <v>14</v>
          </cell>
        </row>
        <row r="3564">
          <cell r="D3564" t="str">
            <v>766-36-9</v>
          </cell>
          <cell r="E3564">
            <v>766369</v>
          </cell>
          <cell r="F3564">
            <v>3722</v>
          </cell>
          <cell r="G3564" t="str">
            <v>Reach_4435</v>
          </cell>
          <cell r="H3564">
            <v>3556</v>
          </cell>
          <cell r="J3564">
            <v>125.17</v>
          </cell>
          <cell r="K3564">
            <v>83.16</v>
          </cell>
          <cell r="L3564">
            <v>0.14929600000000001</v>
          </cell>
          <cell r="M3564">
            <v>18897</v>
          </cell>
          <cell r="N3564">
            <v>11.220184543019636</v>
          </cell>
          <cell r="Q3564">
            <v>14</v>
          </cell>
        </row>
        <row r="3565">
          <cell r="D3565" t="str">
            <v>82543-18-8</v>
          </cell>
          <cell r="E3565">
            <v>82543188</v>
          </cell>
          <cell r="F3565">
            <v>3831</v>
          </cell>
          <cell r="G3565" t="str">
            <v>Reach_4457</v>
          </cell>
          <cell r="H3565">
            <v>3557</v>
          </cell>
          <cell r="J3565">
            <v>390.56</v>
          </cell>
          <cell r="K3565">
            <v>212.97</v>
          </cell>
          <cell r="L3565">
            <v>2.4260600000000003E-11</v>
          </cell>
          <cell r="M3565">
            <v>322.55</v>
          </cell>
          <cell r="N3565">
            <v>831.7637711026714</v>
          </cell>
          <cell r="O3565">
            <v>15.13</v>
          </cell>
          <cell r="Q3565">
            <v>14</v>
          </cell>
        </row>
        <row r="3566">
          <cell r="D3566" t="str">
            <v>106092-09-5</v>
          </cell>
          <cell r="E3566">
            <v>106092095</v>
          </cell>
          <cell r="F3566">
            <v>1428</v>
          </cell>
          <cell r="G3566" t="str">
            <v>Reach_4072</v>
          </cell>
          <cell r="H3566">
            <v>3558</v>
          </cell>
          <cell r="J3566">
            <v>169.25</v>
          </cell>
          <cell r="K3566">
            <v>113.72</v>
          </cell>
          <cell r="L3566">
            <v>1.3010080000000002E-2</v>
          </cell>
          <cell r="M3566">
            <v>82411</v>
          </cell>
          <cell r="N3566">
            <v>7.7624711662869199</v>
          </cell>
          <cell r="O3566">
            <v>0</v>
          </cell>
          <cell r="Q3566">
            <v>0</v>
          </cell>
        </row>
        <row r="3567">
          <cell r="D3567" t="str">
            <v>87855-59-2</v>
          </cell>
          <cell r="E3567">
            <v>87855592</v>
          </cell>
          <cell r="F3567">
            <v>3943</v>
          </cell>
          <cell r="G3567" t="str">
            <v>Reach_4612</v>
          </cell>
          <cell r="H3567">
            <v>3559</v>
          </cell>
          <cell r="J3567">
            <v>242.4</v>
          </cell>
          <cell r="K3567">
            <v>107.57</v>
          </cell>
          <cell r="L3567">
            <v>4.6655000000000004E-3</v>
          </cell>
          <cell r="M3567">
            <v>0</v>
          </cell>
          <cell r="N3567">
            <v>2.7542287033381663</v>
          </cell>
          <cell r="Q3567">
            <v>14</v>
          </cell>
        </row>
        <row r="3568">
          <cell r="D3568" t="str">
            <v>64838-55-7</v>
          </cell>
          <cell r="E3568">
            <v>64838557</v>
          </cell>
          <cell r="F3568">
            <v>3444</v>
          </cell>
          <cell r="G3568" t="str">
            <v>Reach_2867</v>
          </cell>
          <cell r="H3568">
            <v>3560</v>
          </cell>
          <cell r="J3568">
            <v>259.32</v>
          </cell>
          <cell r="K3568">
            <v>159.75</v>
          </cell>
          <cell r="L3568">
            <v>2.8526200000000005E-5</v>
          </cell>
          <cell r="M3568">
            <v>8426.5</v>
          </cell>
          <cell r="N3568">
            <v>1.9054607179632475</v>
          </cell>
          <cell r="O3568">
            <v>3.28</v>
          </cell>
          <cell r="Q3568">
            <v>3.28</v>
          </cell>
        </row>
        <row r="3569">
          <cell r="D3569" t="str">
            <v>1093205-95-8</v>
          </cell>
          <cell r="E3569">
            <v>1093205958</v>
          </cell>
          <cell r="F3569">
            <v>1499</v>
          </cell>
          <cell r="G3569" t="str">
            <v>Reach_5005</v>
          </cell>
          <cell r="H3569">
            <v>3561</v>
          </cell>
          <cell r="J3569">
            <v>159.22999999999999</v>
          </cell>
          <cell r="K3569">
            <v>101.54</v>
          </cell>
          <cell r="L3569">
            <v>7.9846700000000008E-4</v>
          </cell>
          <cell r="M3569">
            <v>23150</v>
          </cell>
          <cell r="N3569">
            <v>1.5135612484362082</v>
          </cell>
          <cell r="P3569">
            <v>14.66</v>
          </cell>
          <cell r="Q3569">
            <v>-0.66000000000000014</v>
          </cell>
        </row>
        <row r="3570">
          <cell r="D3570" t="str">
            <v>16874-33-2</v>
          </cell>
          <cell r="E3570">
            <v>16874332</v>
          </cell>
          <cell r="F3570">
            <v>2114</v>
          </cell>
          <cell r="G3570" t="str">
            <v>Reach_4177</v>
          </cell>
          <cell r="H3570">
            <v>3562</v>
          </cell>
          <cell r="J3570">
            <v>116.12</v>
          </cell>
          <cell r="K3570">
            <v>33.450000000000003</v>
          </cell>
          <cell r="L3570">
            <v>17.728900000000003</v>
          </cell>
          <cell r="M3570">
            <v>52426</v>
          </cell>
          <cell r="N3570">
            <v>1.3182567385564072</v>
          </cell>
          <cell r="Q3570">
            <v>14</v>
          </cell>
        </row>
        <row r="3571">
          <cell r="D3571" t="str">
            <v>1917-64-2</v>
          </cell>
          <cell r="E3571">
            <v>1917642</v>
          </cell>
          <cell r="F3571">
            <v>2225</v>
          </cell>
          <cell r="G3571" t="str">
            <v>Reach_4916</v>
          </cell>
          <cell r="H3571">
            <v>3563</v>
          </cell>
          <cell r="J3571">
            <v>140.13999999999999</v>
          </cell>
          <cell r="K3571">
            <v>17.73</v>
          </cell>
          <cell r="L3571">
            <v>33.058400000000006</v>
          </cell>
          <cell r="M3571">
            <v>63002</v>
          </cell>
          <cell r="N3571">
            <v>4.0738027780411281</v>
          </cell>
          <cell r="P3571">
            <v>0</v>
          </cell>
          <cell r="Q3571">
            <v>14</v>
          </cell>
        </row>
        <row r="3572">
          <cell r="D3572" t="str">
            <v>61-90-5</v>
          </cell>
          <cell r="E3572">
            <v>61905</v>
          </cell>
          <cell r="F3572">
            <v>3359</v>
          </cell>
          <cell r="G3572" t="str">
            <v>Reach_61</v>
          </cell>
          <cell r="H3572">
            <v>3564</v>
          </cell>
          <cell r="J3572">
            <v>131.18</v>
          </cell>
          <cell r="K3572">
            <v>262.22000000000003</v>
          </cell>
          <cell r="L3572">
            <v>7.3581600000000003E-7</v>
          </cell>
          <cell r="M3572">
            <v>16002</v>
          </cell>
          <cell r="N3572">
            <v>2.5703957827688629E-2</v>
          </cell>
          <cell r="O3572">
            <v>2.2999999999999998</v>
          </cell>
          <cell r="Q3572">
            <v>2.2999999999999998</v>
          </cell>
        </row>
        <row r="3573">
          <cell r="D3573" t="str">
            <v>113479-65-5</v>
          </cell>
          <cell r="E3573">
            <v>113479655</v>
          </cell>
          <cell r="F3573">
            <v>1621</v>
          </cell>
          <cell r="G3573" t="str">
            <v>Reach_4081</v>
          </cell>
          <cell r="H3573">
            <v>3565</v>
          </cell>
          <cell r="J3573">
            <v>171.22</v>
          </cell>
          <cell r="K3573">
            <v>290.39999999999998</v>
          </cell>
          <cell r="L3573">
            <v>2.6393400000000001E-6</v>
          </cell>
          <cell r="M3573">
            <v>112.72</v>
          </cell>
          <cell r="N3573">
            <v>7.5857757502918299E-3</v>
          </cell>
          <cell r="O3573">
            <v>1.88</v>
          </cell>
          <cell r="Q3573">
            <v>1.88</v>
          </cell>
        </row>
        <row r="3574">
          <cell r="D3574" t="str">
            <v>930-33-6</v>
          </cell>
          <cell r="E3574">
            <v>930336</v>
          </cell>
          <cell r="F3574">
            <v>4057</v>
          </cell>
          <cell r="G3574" t="str">
            <v>Reach_1606</v>
          </cell>
          <cell r="H3574">
            <v>3566</v>
          </cell>
          <cell r="J3574">
            <v>85.069000000000003</v>
          </cell>
          <cell r="K3574">
            <v>111.15</v>
          </cell>
          <cell r="L3574">
            <v>5.6919100000000005E-3</v>
          </cell>
          <cell r="M3574">
            <v>333000</v>
          </cell>
          <cell r="N3574">
            <v>3.0199517204020135E-3</v>
          </cell>
          <cell r="O3574">
            <v>0</v>
          </cell>
          <cell r="Q3574">
            <v>0</v>
          </cell>
        </row>
        <row r="3575">
          <cell r="D3575" t="str">
            <v>25333-42-0</v>
          </cell>
          <cell r="E3575">
            <v>25333420</v>
          </cell>
          <cell r="F3575">
            <v>2431</v>
          </cell>
          <cell r="G3575" t="str">
            <v>Reach_2566</v>
          </cell>
          <cell r="H3575">
            <v>3567</v>
          </cell>
          <cell r="J3575">
            <v>127.19</v>
          </cell>
          <cell r="K3575">
            <v>24.27</v>
          </cell>
          <cell r="L3575">
            <v>4.412230000000001E-2</v>
          </cell>
          <cell r="M3575">
            <v>759000</v>
          </cell>
          <cell r="N3575">
            <v>1.4791083881682074</v>
          </cell>
          <cell r="O3575">
            <v>15.03</v>
          </cell>
          <cell r="P3575">
            <v>3.8</v>
          </cell>
          <cell r="Q3575">
            <v>10.199999999999999</v>
          </cell>
        </row>
        <row r="3576">
          <cell r="D3576" t="str">
            <v>22990-77-8</v>
          </cell>
          <cell r="E3576">
            <v>22990778</v>
          </cell>
          <cell r="F3576">
            <v>2342</v>
          </cell>
          <cell r="G3576" t="str">
            <v>Reach_2526</v>
          </cell>
          <cell r="H3576">
            <v>3568</v>
          </cell>
          <cell r="J3576">
            <v>114.19</v>
          </cell>
          <cell r="K3576">
            <v>28.69</v>
          </cell>
          <cell r="L3576">
            <v>40.923100000000005</v>
          </cell>
          <cell r="M3576">
            <v>1000000</v>
          </cell>
          <cell r="N3576">
            <v>1.3489628825916538</v>
          </cell>
          <cell r="Q3576">
            <v>14</v>
          </cell>
        </row>
        <row r="3577">
          <cell r="D3577" t="str">
            <v>64987-06-0</v>
          </cell>
          <cell r="E3577">
            <v>64987060</v>
          </cell>
          <cell r="F3577">
            <v>3447</v>
          </cell>
          <cell r="G3577" t="str">
            <v>Reach_4386</v>
          </cell>
          <cell r="H3577">
            <v>3569</v>
          </cell>
          <cell r="J3577">
            <v>200.17</v>
          </cell>
          <cell r="K3577">
            <v>176.76</v>
          </cell>
          <cell r="L3577">
            <v>7.9580099999999997E-6</v>
          </cell>
          <cell r="M3577">
            <v>44319</v>
          </cell>
          <cell r="N3577">
            <v>1.2302687708123816</v>
          </cell>
          <cell r="Q3577">
            <v>14</v>
          </cell>
        </row>
        <row r="3578">
          <cell r="D3578" t="str">
            <v>39590-81-3</v>
          </cell>
          <cell r="E3578">
            <v>39590813</v>
          </cell>
          <cell r="F3578">
            <v>2842</v>
          </cell>
          <cell r="G3578" t="str">
            <v>Reach_4308</v>
          </cell>
          <cell r="H3578">
            <v>3570</v>
          </cell>
          <cell r="J3578">
            <v>102.13</v>
          </cell>
          <cell r="K3578">
            <v>22.2</v>
          </cell>
          <cell r="L3578">
            <v>4.0656500000000007</v>
          </cell>
          <cell r="M3578">
            <v>462000</v>
          </cell>
          <cell r="N3578">
            <v>1.1220184543019636</v>
          </cell>
          <cell r="P3578">
            <v>0</v>
          </cell>
          <cell r="Q3578">
            <v>14</v>
          </cell>
        </row>
        <row r="3579">
          <cell r="D3579" t="str">
            <v>2955-88-6</v>
          </cell>
          <cell r="E3579">
            <v>2955886</v>
          </cell>
          <cell r="F3579">
            <v>2569</v>
          </cell>
          <cell r="G3579" t="str">
            <v>Reach_1892</v>
          </cell>
          <cell r="H3579">
            <v>3571</v>
          </cell>
          <cell r="J3579">
            <v>115.18</v>
          </cell>
          <cell r="K3579">
            <v>16.82</v>
          </cell>
          <cell r="L3579">
            <v>11.837040000000002</v>
          </cell>
          <cell r="M3579">
            <v>413000</v>
          </cell>
          <cell r="N3579">
            <v>0.85113803820237643</v>
          </cell>
          <cell r="O3579">
            <v>15.03</v>
          </cell>
          <cell r="Q3579">
            <v>14</v>
          </cell>
        </row>
        <row r="3580">
          <cell r="D3580" t="str">
            <v>3373-59-9</v>
          </cell>
          <cell r="E3580">
            <v>3373599</v>
          </cell>
          <cell r="F3580">
            <v>2685</v>
          </cell>
          <cell r="G3580" t="str">
            <v>Reach_1953</v>
          </cell>
          <cell r="H3580">
            <v>3572</v>
          </cell>
          <cell r="J3580">
            <v>133.15</v>
          </cell>
          <cell r="K3580">
            <v>18.61</v>
          </cell>
          <cell r="L3580">
            <v>6.0118300000000007</v>
          </cell>
          <cell r="M3580">
            <v>373000</v>
          </cell>
          <cell r="N3580">
            <v>1.8620871366628669E-2</v>
          </cell>
          <cell r="O3580">
            <v>13.26</v>
          </cell>
          <cell r="P3580">
            <v>6.9</v>
          </cell>
          <cell r="Q3580">
            <v>7.1</v>
          </cell>
        </row>
        <row r="3581">
          <cell r="D3581" t="str">
            <v>41438-38-4</v>
          </cell>
          <cell r="E3581">
            <v>41438384</v>
          </cell>
          <cell r="F3581">
            <v>2877</v>
          </cell>
          <cell r="G3581" t="str">
            <v>Reach_4625</v>
          </cell>
          <cell r="H3581">
            <v>3573</v>
          </cell>
          <cell r="J3581">
            <v>223.23</v>
          </cell>
          <cell r="K3581">
            <v>18.11</v>
          </cell>
          <cell r="L3581">
            <v>0.45588600000000001</v>
          </cell>
          <cell r="M3581">
            <v>1546.2</v>
          </cell>
          <cell r="N3581">
            <v>13.803842646028851</v>
          </cell>
          <cell r="P3581">
            <v>14.46</v>
          </cell>
          <cell r="Q3581">
            <v>-0.46000000000000085</v>
          </cell>
        </row>
        <row r="3582">
          <cell r="D3582" t="str">
            <v>915095-86-2</v>
          </cell>
          <cell r="E3582">
            <v>915095862</v>
          </cell>
          <cell r="F3582">
            <v>4017</v>
          </cell>
          <cell r="G3582" t="str">
            <v>Reach_4532</v>
          </cell>
          <cell r="H3582">
            <v>3574</v>
          </cell>
          <cell r="J3582">
            <v>360.55</v>
          </cell>
          <cell r="K3582">
            <v>124.74</v>
          </cell>
          <cell r="L3582">
            <v>5.9985000000000008E-4</v>
          </cell>
          <cell r="M3582">
            <v>0.50129999999999997</v>
          </cell>
          <cell r="N3582">
            <v>144543.97707459307</v>
          </cell>
          <cell r="Q3582">
            <v>14</v>
          </cell>
        </row>
        <row r="3583">
          <cell r="D3583" t="str">
            <v>1262985-24-9</v>
          </cell>
          <cell r="E3583">
            <v>1262985249</v>
          </cell>
          <cell r="F3583">
            <v>1804</v>
          </cell>
          <cell r="G3583" t="str">
            <v>Reach_5080</v>
          </cell>
          <cell r="H3583">
            <v>3575</v>
          </cell>
          <cell r="J3583">
            <v>631.29</v>
          </cell>
          <cell r="K3583">
            <v>303.02</v>
          </cell>
          <cell r="L3583">
            <v>2.5860200000000002E-14</v>
          </cell>
          <cell r="M3583">
            <v>4.0499999999999998E-4</v>
          </cell>
          <cell r="N3583">
            <v>97723.722095581266</v>
          </cell>
          <cell r="O3583">
            <v>6.51</v>
          </cell>
          <cell r="P3583">
            <v>14.45</v>
          </cell>
          <cell r="Q3583">
            <v>-0.44999999999999929</v>
          </cell>
        </row>
        <row r="3584">
          <cell r="D3584" t="str">
            <v>220493-36-7</v>
          </cell>
          <cell r="E3584">
            <v>220493367</v>
          </cell>
          <cell r="F3584">
            <v>5778</v>
          </cell>
          <cell r="G3584" t="str">
            <v>Reach_5023</v>
          </cell>
          <cell r="H3584">
            <v>3576</v>
          </cell>
          <cell r="J3584">
            <v>552.65</v>
          </cell>
          <cell r="K3584">
            <v>0</v>
          </cell>
          <cell r="L3584">
            <v>0</v>
          </cell>
          <cell r="M3584">
            <v>0</v>
          </cell>
          <cell r="N3584">
            <v>0</v>
          </cell>
          <cell r="Q3584">
            <v>14</v>
          </cell>
        </row>
        <row r="3585">
          <cell r="D3585" t="str">
            <v>488097-90-1</v>
          </cell>
          <cell r="E3585">
            <v>488097901</v>
          </cell>
          <cell r="F3585">
            <v>2976</v>
          </cell>
          <cell r="G3585" t="str">
            <v>Reach_4811</v>
          </cell>
          <cell r="H3585">
            <v>3577</v>
          </cell>
          <cell r="J3585">
            <v>243.26</v>
          </cell>
          <cell r="K3585">
            <v>83.29</v>
          </cell>
          <cell r="L3585">
            <v>2.2927600000000003E-2</v>
          </cell>
          <cell r="M3585">
            <v>36907</v>
          </cell>
          <cell r="N3585">
            <v>257.03957827688663</v>
          </cell>
          <cell r="P3585">
            <v>0</v>
          </cell>
          <cell r="Q3585">
            <v>14</v>
          </cell>
        </row>
        <row r="3586">
          <cell r="D3586" t="str">
            <v>58-22-0</v>
          </cell>
          <cell r="E3586">
            <v>58220</v>
          </cell>
          <cell r="F3586">
            <v>67</v>
          </cell>
          <cell r="G3586" t="str">
            <v>Reach_46</v>
          </cell>
          <cell r="H3586">
            <v>3578</v>
          </cell>
          <cell r="J3586">
            <v>288.43</v>
          </cell>
          <cell r="K3586">
            <v>144.56</v>
          </cell>
          <cell r="L3586">
            <v>2.2794300000000001E-6</v>
          </cell>
          <cell r="M3586">
            <v>23.96</v>
          </cell>
          <cell r="N3586">
            <v>1862.0871366628687</v>
          </cell>
          <cell r="O3586">
            <v>15.99</v>
          </cell>
          <cell r="P3586">
            <v>0</v>
          </cell>
          <cell r="Q3586">
            <v>14</v>
          </cell>
        </row>
        <row r="3587">
          <cell r="D3587" t="str">
            <v>1355646-97-7</v>
          </cell>
          <cell r="E3587">
            <v>1355646977</v>
          </cell>
          <cell r="F3587">
            <v>1890</v>
          </cell>
          <cell r="G3587" t="str">
            <v>Reach_4700</v>
          </cell>
          <cell r="H3587">
            <v>3579</v>
          </cell>
          <cell r="J3587">
            <v>698.56</v>
          </cell>
          <cell r="K3587">
            <v>344.5</v>
          </cell>
          <cell r="L3587">
            <v>3.0259099999999999E-17</v>
          </cell>
          <cell r="M3587">
            <v>4.4299999999999998E-7</v>
          </cell>
          <cell r="N3587">
            <v>426579518.80159384</v>
          </cell>
          <cell r="O3587">
            <v>9.68</v>
          </cell>
          <cell r="Q3587">
            <v>9.68</v>
          </cell>
        </row>
        <row r="3588">
          <cell r="D3588" t="str">
            <v>5660-53-7</v>
          </cell>
          <cell r="E3588">
            <v>5660537</v>
          </cell>
          <cell r="F3588">
            <v>3205</v>
          </cell>
          <cell r="G3588" t="str">
            <v>Reach_4677</v>
          </cell>
          <cell r="H3588">
            <v>3580</v>
          </cell>
          <cell r="J3588">
            <v>174.24</v>
          </cell>
          <cell r="K3588">
            <v>39.08</v>
          </cell>
          <cell r="L3588">
            <v>0.37723900000000005</v>
          </cell>
          <cell r="M3588">
            <v>5556.5</v>
          </cell>
          <cell r="N3588">
            <v>295.12092266663893</v>
          </cell>
          <cell r="Q3588">
            <v>14</v>
          </cell>
        </row>
        <row r="3589">
          <cell r="D3589" t="str">
            <v>20262-58-2</v>
          </cell>
          <cell r="E3589">
            <v>20262582</v>
          </cell>
          <cell r="F3589">
            <v>5766</v>
          </cell>
          <cell r="G3589" t="str">
            <v>Reach_2490</v>
          </cell>
          <cell r="H3589">
            <v>3581</v>
          </cell>
          <cell r="J3589">
            <v>617.54</v>
          </cell>
          <cell r="K3589">
            <v>0</v>
          </cell>
          <cell r="L3589">
            <v>0</v>
          </cell>
          <cell r="M3589">
            <v>0</v>
          </cell>
          <cell r="N3589">
            <v>0</v>
          </cell>
          <cell r="Q3589">
            <v>14</v>
          </cell>
        </row>
        <row r="3590">
          <cell r="D3590" t="str">
            <v>94744-50-0</v>
          </cell>
          <cell r="E3590">
            <v>94744500</v>
          </cell>
          <cell r="F3590">
            <v>4113</v>
          </cell>
          <cell r="G3590" t="str">
            <v>Reach_4510</v>
          </cell>
          <cell r="H3590">
            <v>3582</v>
          </cell>
          <cell r="J3590">
            <v>325.37</v>
          </cell>
          <cell r="K3590">
            <v>199.94</v>
          </cell>
          <cell r="L3590">
            <v>2.5060400000000004E-7</v>
          </cell>
          <cell r="M3590">
            <v>0.13173000000000001</v>
          </cell>
          <cell r="N3590">
            <v>2511.8864315095811</v>
          </cell>
          <cell r="Q3590">
            <v>14</v>
          </cell>
        </row>
        <row r="3591">
          <cell r="D3591" t="str">
            <v>521284-22-0</v>
          </cell>
          <cell r="E3591">
            <v>521284220</v>
          </cell>
          <cell r="F3591">
            <v>3053</v>
          </cell>
          <cell r="G3591" t="str">
            <v>Reach_4898</v>
          </cell>
          <cell r="H3591">
            <v>3583</v>
          </cell>
          <cell r="J3591">
            <v>256.35000000000002</v>
          </cell>
          <cell r="K3591">
            <v>157.08000000000001</v>
          </cell>
          <cell r="L3591">
            <v>4.2389400000000008E-7</v>
          </cell>
          <cell r="M3591">
            <v>5477.8</v>
          </cell>
          <cell r="N3591">
            <v>20.8929613085404</v>
          </cell>
          <cell r="Q3591">
            <v>14</v>
          </cell>
        </row>
        <row r="3592">
          <cell r="D3592" t="str">
            <v>31775-20-9</v>
          </cell>
          <cell r="E3592">
            <v>31775209</v>
          </cell>
          <cell r="F3592">
            <v>2632</v>
          </cell>
          <cell r="G3592" t="str">
            <v>Reach_2656</v>
          </cell>
          <cell r="H3592">
            <v>3584</v>
          </cell>
          <cell r="J3592">
            <v>717.62</v>
          </cell>
          <cell r="K3592">
            <v>349.84</v>
          </cell>
          <cell r="L3592">
            <v>1.3010080000000001E-21</v>
          </cell>
          <cell r="M3592">
            <v>1.26E-5</v>
          </cell>
          <cell r="N3592">
            <v>158489319.24611133</v>
          </cell>
          <cell r="Q3592">
            <v>14</v>
          </cell>
        </row>
        <row r="3593">
          <cell r="D3593" t="str">
            <v>936-49-2</v>
          </cell>
          <cell r="E3593">
            <v>936492</v>
          </cell>
          <cell r="F3593">
            <v>4076</v>
          </cell>
          <cell r="G3593" t="str">
            <v>Reach_1611</v>
          </cell>
          <cell r="H3593">
            <v>3585</v>
          </cell>
          <cell r="J3593">
            <v>146.19</v>
          </cell>
          <cell r="K3593">
            <v>108.99</v>
          </cell>
          <cell r="L3593">
            <v>4.5322000000000001E-3</v>
          </cell>
          <cell r="M3593">
            <v>61698</v>
          </cell>
          <cell r="N3593">
            <v>281.83829312644554</v>
          </cell>
          <cell r="O3593">
            <v>0</v>
          </cell>
          <cell r="Q3593">
            <v>0</v>
          </cell>
        </row>
        <row r="3594">
          <cell r="D3594" t="str">
            <v>613-92-3</v>
          </cell>
          <cell r="E3594">
            <v>613923</v>
          </cell>
          <cell r="F3594">
            <v>3333</v>
          </cell>
          <cell r="G3594" t="str">
            <v>Reach_1423</v>
          </cell>
          <cell r="H3594">
            <v>3586</v>
          </cell>
          <cell r="J3594">
            <v>136.16</v>
          </cell>
          <cell r="K3594">
            <v>51.38</v>
          </cell>
          <cell r="L3594">
            <v>2.5327000000000002E-2</v>
          </cell>
          <cell r="M3594">
            <v>3748.5</v>
          </cell>
          <cell r="N3594">
            <v>2.8840315031266059</v>
          </cell>
          <cell r="P3594">
            <v>9.4</v>
          </cell>
          <cell r="Q3594">
            <v>4.5999999999999996</v>
          </cell>
        </row>
        <row r="3595">
          <cell r="D3595" t="str">
            <v>374067-80-8</v>
          </cell>
          <cell r="E3595">
            <v>374067808</v>
          </cell>
          <cell r="F3595">
            <v>2797</v>
          </cell>
          <cell r="G3595" t="str">
            <v>Reach_4301</v>
          </cell>
          <cell r="H3595">
            <v>3587</v>
          </cell>
          <cell r="J3595">
            <v>228.22</v>
          </cell>
          <cell r="K3595">
            <v>237.93</v>
          </cell>
          <cell r="L3595">
            <v>2.6660000000000002E-12</v>
          </cell>
          <cell r="M3595">
            <v>58.177999999999997</v>
          </cell>
          <cell r="N3595">
            <v>8.9125093813374576</v>
          </cell>
          <cell r="O3595">
            <v>6.58</v>
          </cell>
          <cell r="P3595">
            <v>5.0999999999999996</v>
          </cell>
          <cell r="Q3595">
            <v>6.58</v>
          </cell>
        </row>
        <row r="3596">
          <cell r="D3596" t="str">
            <v>79665-24-0</v>
          </cell>
          <cell r="E3596">
            <v>79665240</v>
          </cell>
          <cell r="F3596">
            <v>3779</v>
          </cell>
          <cell r="G3596" t="str">
            <v>Reach_2956</v>
          </cell>
          <cell r="H3596">
            <v>3588</v>
          </cell>
          <cell r="J3596">
            <v>781.71</v>
          </cell>
          <cell r="K3596">
            <v>349.84</v>
          </cell>
          <cell r="L3596">
            <v>2.5327000000000003E-30</v>
          </cell>
          <cell r="M3596">
            <v>2.3800000000000001E-11</v>
          </cell>
          <cell r="N3596">
            <v>870963589956080.13</v>
          </cell>
          <cell r="O3596">
            <v>9.1300000000000008</v>
          </cell>
          <cell r="Q3596">
            <v>9.1300000000000008</v>
          </cell>
        </row>
        <row r="3597">
          <cell r="D3597" t="str">
            <v>598-99-2</v>
          </cell>
          <cell r="E3597">
            <v>598992</v>
          </cell>
          <cell r="F3597">
            <v>3295</v>
          </cell>
          <cell r="G3597" t="str">
            <v>Reach_1407</v>
          </cell>
          <cell r="H3597">
            <v>3589</v>
          </cell>
          <cell r="J3597">
            <v>177.41</v>
          </cell>
          <cell r="K3597">
            <v>-22.57</v>
          </cell>
          <cell r="L3597">
            <v>447.88800000000003</v>
          </cell>
          <cell r="M3597">
            <v>2399.4</v>
          </cell>
          <cell r="N3597">
            <v>53.703179637025293</v>
          </cell>
          <cell r="Q3597">
            <v>14</v>
          </cell>
        </row>
        <row r="3598">
          <cell r="D3598" t="str">
            <v>1021394-33-1</v>
          </cell>
          <cell r="E3598">
            <v>1021394331</v>
          </cell>
          <cell r="F3598">
            <v>1337</v>
          </cell>
          <cell r="G3598" t="str">
            <v>Reach_4865</v>
          </cell>
          <cell r="H3598">
            <v>3590</v>
          </cell>
          <cell r="J3598">
            <v>485.51</v>
          </cell>
          <cell r="K3598">
            <v>272.68</v>
          </cell>
          <cell r="L3598">
            <v>3.2791800000000002E-12</v>
          </cell>
          <cell r="M3598">
            <v>1.1807E-2</v>
          </cell>
          <cell r="N3598">
            <v>125892.54117941685</v>
          </cell>
          <cell r="O3598">
            <v>0</v>
          </cell>
          <cell r="P3598">
            <v>13.47</v>
          </cell>
          <cell r="Q3598">
            <v>0</v>
          </cell>
        </row>
        <row r="3599">
          <cell r="D3599" t="str">
            <v>4271-96-9</v>
          </cell>
          <cell r="E3599">
            <v>4271969</v>
          </cell>
          <cell r="F3599">
            <v>2897</v>
          </cell>
          <cell r="G3599" t="str">
            <v>Reach_2024</v>
          </cell>
          <cell r="H3599">
            <v>3591</v>
          </cell>
          <cell r="J3599">
            <v>112.18</v>
          </cell>
          <cell r="K3599">
            <v>15.04</v>
          </cell>
          <cell r="L3599">
            <v>409.23099999999999</v>
          </cell>
          <cell r="M3599">
            <v>30527</v>
          </cell>
          <cell r="N3599">
            <v>21.877616239495538</v>
          </cell>
          <cell r="O3599">
            <v>0</v>
          </cell>
          <cell r="Q3599">
            <v>0</v>
          </cell>
        </row>
        <row r="3600">
          <cell r="D3600" t="str">
            <v>1091-93-6</v>
          </cell>
          <cell r="E3600">
            <v>1091936</v>
          </cell>
          <cell r="F3600">
            <v>1496</v>
          </cell>
          <cell r="G3600" t="str">
            <v>Reach_1645</v>
          </cell>
          <cell r="H3600">
            <v>3592</v>
          </cell>
          <cell r="J3600">
            <v>288.43</v>
          </cell>
          <cell r="K3600">
            <v>137.12</v>
          </cell>
          <cell r="L3600">
            <v>7.8647000000000011E-6</v>
          </cell>
          <cell r="M3600">
            <v>80.326999999999998</v>
          </cell>
          <cell r="N3600">
            <v>6025.595860743585</v>
          </cell>
          <cell r="O3600">
            <v>16</v>
          </cell>
          <cell r="Q3600">
            <v>14</v>
          </cell>
        </row>
        <row r="3601">
          <cell r="D3601" t="str">
            <v>54197-66-9</v>
          </cell>
          <cell r="E3601">
            <v>54197669</v>
          </cell>
          <cell r="F3601">
            <v>3132</v>
          </cell>
          <cell r="G3601" t="str">
            <v>Reach_4349</v>
          </cell>
          <cell r="H3601">
            <v>3593</v>
          </cell>
          <cell r="J3601">
            <v>163.18</v>
          </cell>
          <cell r="K3601">
            <v>145</v>
          </cell>
          <cell r="L3601">
            <v>1.0544030000000001E-4</v>
          </cell>
          <cell r="M3601">
            <v>7908.6</v>
          </cell>
          <cell r="N3601">
            <v>11.220184543019636</v>
          </cell>
          <cell r="O3601">
            <v>10.199999999999999</v>
          </cell>
          <cell r="P3601">
            <v>12.33</v>
          </cell>
          <cell r="Q3601">
            <v>1.67</v>
          </cell>
        </row>
        <row r="3602">
          <cell r="D3602" t="str">
            <v>642-31-9</v>
          </cell>
          <cell r="E3602">
            <v>642319</v>
          </cell>
          <cell r="F3602">
            <v>3431</v>
          </cell>
          <cell r="G3602" t="str">
            <v>Reach_1479</v>
          </cell>
          <cell r="H3602">
            <v>3594</v>
          </cell>
          <cell r="J3602">
            <v>206.24</v>
          </cell>
          <cell r="K3602">
            <v>116.16</v>
          </cell>
          <cell r="L3602">
            <v>7.6514200000000012E-4</v>
          </cell>
          <cell r="M3602">
            <v>34.408000000000001</v>
          </cell>
          <cell r="N3602">
            <v>11481.536214968832</v>
          </cell>
          <cell r="O3602">
            <v>0</v>
          </cell>
          <cell r="Q3602">
            <v>0</v>
          </cell>
        </row>
        <row r="3603">
          <cell r="D3603" t="str">
            <v>199119-58-9</v>
          </cell>
          <cell r="E3603">
            <v>199119589</v>
          </cell>
          <cell r="F3603">
            <v>5764</v>
          </cell>
          <cell r="G3603" t="str">
            <v>Reach_4644</v>
          </cell>
          <cell r="H3603">
            <v>3595</v>
          </cell>
          <cell r="J3603">
            <v>459.34</v>
          </cell>
          <cell r="K3603">
            <v>0</v>
          </cell>
          <cell r="L3603">
            <v>0</v>
          </cell>
          <cell r="M3603">
            <v>0</v>
          </cell>
          <cell r="N3603">
            <v>0</v>
          </cell>
          <cell r="Q3603">
            <v>14</v>
          </cell>
        </row>
        <row r="3604">
          <cell r="D3604" t="str">
            <v>895525-70-9</v>
          </cell>
          <cell r="E3604">
            <v>895525709</v>
          </cell>
          <cell r="F3604">
            <v>3977</v>
          </cell>
          <cell r="G3604" t="str">
            <v>Reach_4522</v>
          </cell>
          <cell r="H3604">
            <v>3596</v>
          </cell>
          <cell r="J3604">
            <v>219.16</v>
          </cell>
          <cell r="K3604">
            <v>128.18</v>
          </cell>
          <cell r="L3604">
            <v>5.3853200000000008E-5</v>
          </cell>
          <cell r="M3604">
            <v>3164.3</v>
          </cell>
          <cell r="N3604">
            <v>5.0118723362727229</v>
          </cell>
          <cell r="O3604">
            <v>11.51</v>
          </cell>
          <cell r="Q3604">
            <v>11.51</v>
          </cell>
        </row>
        <row r="3605">
          <cell r="D3605" t="str">
            <v>105112-76-3</v>
          </cell>
          <cell r="E3605">
            <v>105112763</v>
          </cell>
          <cell r="F3605">
            <v>1409</v>
          </cell>
          <cell r="G3605" t="str">
            <v>Reach_4764</v>
          </cell>
          <cell r="H3605">
            <v>3597</v>
          </cell>
          <cell r="J3605">
            <v>368.44</v>
          </cell>
          <cell r="K3605">
            <v>241.69</v>
          </cell>
          <cell r="L3605">
            <v>4.2256100000000005E-10</v>
          </cell>
          <cell r="M3605">
            <v>6.0009E-2</v>
          </cell>
          <cell r="N3605">
            <v>1096478.196143186</v>
          </cell>
          <cell r="P3605">
            <v>9.67</v>
          </cell>
          <cell r="Q3605">
            <v>4.33</v>
          </cell>
        </row>
        <row r="3606">
          <cell r="D3606" t="str">
            <v>122586-52-1</v>
          </cell>
          <cell r="E3606">
            <v>122586521</v>
          </cell>
          <cell r="F3606">
            <v>1754</v>
          </cell>
          <cell r="G3606" t="str">
            <v>Reach_4634</v>
          </cell>
          <cell r="H3606">
            <v>3598</v>
          </cell>
          <cell r="J3606">
            <v>737.17</v>
          </cell>
          <cell r="K3606">
            <v>292.99</v>
          </cell>
          <cell r="L3606">
            <v>1.291677E-13</v>
          </cell>
          <cell r="M3606">
            <v>7.2600000000000002E-9</v>
          </cell>
          <cell r="N3606">
            <v>186208713666286.5</v>
          </cell>
          <cell r="O3606">
            <v>0</v>
          </cell>
          <cell r="P3606">
            <v>0</v>
          </cell>
          <cell r="Q3606">
            <v>0</v>
          </cell>
        </row>
        <row r="3607">
          <cell r="D3607" t="str">
            <v>1185-81-5</v>
          </cell>
          <cell r="E3607">
            <v>1185815</v>
          </cell>
          <cell r="F3607">
            <v>6392</v>
          </cell>
          <cell r="G3607" t="str">
            <v>Reach_1667</v>
          </cell>
          <cell r="H3607">
            <v>3599</v>
          </cell>
          <cell r="J3607">
            <v>635.71</v>
          </cell>
          <cell r="K3607">
            <v>0</v>
          </cell>
          <cell r="L3607">
            <v>0</v>
          </cell>
          <cell r="M3607">
            <v>0</v>
          </cell>
          <cell r="N3607">
            <v>0</v>
          </cell>
          <cell r="Q3607">
            <v>14</v>
          </cell>
        </row>
        <row r="3608">
          <cell r="D3608" t="str">
            <v>140391-39-5</v>
          </cell>
          <cell r="E3608">
            <v>140391395</v>
          </cell>
          <cell r="F3608">
            <v>1928</v>
          </cell>
          <cell r="G3608" t="str">
            <v>Reach_4573</v>
          </cell>
          <cell r="H3608">
            <v>3600</v>
          </cell>
          <cell r="J3608">
            <v>372.34</v>
          </cell>
          <cell r="K3608">
            <v>271.23</v>
          </cell>
          <cell r="L3608">
            <v>4.1323000000000001E-12</v>
          </cell>
          <cell r="M3608">
            <v>56.337000000000003</v>
          </cell>
          <cell r="N3608">
            <v>131.82567385564084</v>
          </cell>
          <cell r="O3608">
            <v>12.95</v>
          </cell>
          <cell r="Q3608">
            <v>12.95</v>
          </cell>
        </row>
        <row r="3609">
          <cell r="D3609" t="str">
            <v>70643-20-8</v>
          </cell>
          <cell r="E3609">
            <v>70643208</v>
          </cell>
          <cell r="F3609">
            <v>6005</v>
          </cell>
          <cell r="G3609" t="str">
            <v>Reach_2919</v>
          </cell>
          <cell r="H3609">
            <v>3601</v>
          </cell>
          <cell r="J3609">
            <v>266.27</v>
          </cell>
          <cell r="K3609">
            <v>0</v>
          </cell>
          <cell r="L3609">
            <v>0</v>
          </cell>
          <cell r="M3609">
            <v>0</v>
          </cell>
          <cell r="N3609">
            <v>0</v>
          </cell>
          <cell r="Q3609">
            <v>14</v>
          </cell>
        </row>
        <row r="3610">
          <cell r="D3610" t="str">
            <v>2403-89-6</v>
          </cell>
          <cell r="E3610">
            <v>2403896</v>
          </cell>
          <cell r="F3610">
            <v>2369</v>
          </cell>
          <cell r="G3610" t="str">
            <v>Reach_1798</v>
          </cell>
          <cell r="H3610">
            <v>3602</v>
          </cell>
          <cell r="J3610">
            <v>171.29</v>
          </cell>
          <cell r="K3610">
            <v>43.74</v>
          </cell>
          <cell r="L3610">
            <v>0.84512200000000004</v>
          </cell>
          <cell r="M3610">
            <v>14392</v>
          </cell>
          <cell r="N3610">
            <v>14.125375446227544</v>
          </cell>
          <cell r="O3610">
            <v>15.12</v>
          </cell>
          <cell r="P3610">
            <v>4.5999999999999996</v>
          </cell>
          <cell r="Q3610">
            <v>9.4</v>
          </cell>
        </row>
        <row r="3611">
          <cell r="D3611" t="str">
            <v>92-78-4</v>
          </cell>
          <cell r="E3611">
            <v>92784</v>
          </cell>
          <cell r="F3611">
            <v>4050</v>
          </cell>
          <cell r="G3611" t="str">
            <v>Reach_393</v>
          </cell>
          <cell r="H3611">
            <v>3603</v>
          </cell>
          <cell r="J3611">
            <v>297.74</v>
          </cell>
          <cell r="K3611">
            <v>213.96</v>
          </cell>
          <cell r="L3611">
            <v>3.85237E-9</v>
          </cell>
          <cell r="M3611">
            <v>1.2621</v>
          </cell>
          <cell r="N3611">
            <v>131825.67385564081</v>
          </cell>
          <cell r="O3611">
            <v>10.18</v>
          </cell>
          <cell r="P3611">
            <v>0</v>
          </cell>
          <cell r="Q3611">
            <v>10.18</v>
          </cell>
        </row>
        <row r="3612">
          <cell r="D3612" t="str">
            <v>7069-42-3</v>
          </cell>
          <cell r="E3612">
            <v>7069423</v>
          </cell>
          <cell r="F3612">
            <v>3567</v>
          </cell>
          <cell r="G3612" t="str">
            <v>Reach_2222</v>
          </cell>
          <cell r="H3612">
            <v>3604</v>
          </cell>
          <cell r="J3612">
            <v>342.52</v>
          </cell>
          <cell r="K3612">
            <v>124</v>
          </cell>
          <cell r="L3612">
            <v>1.0277430000000001E-4</v>
          </cell>
          <cell r="M3612">
            <v>6.6489999999999995E-4</v>
          </cell>
          <cell r="N3612">
            <v>1318256738.5564094</v>
          </cell>
          <cell r="O3612">
            <v>0</v>
          </cell>
          <cell r="Q3612">
            <v>0</v>
          </cell>
        </row>
        <row r="3613">
          <cell r="D3613" t="str">
            <v>1132940-53-4</v>
          </cell>
          <cell r="E3613">
            <v>1132940534</v>
          </cell>
          <cell r="F3613">
            <v>1617</v>
          </cell>
          <cell r="G3613" t="str">
            <v>Reach_5046</v>
          </cell>
          <cell r="H3613">
            <v>3605</v>
          </cell>
          <cell r="J3613">
            <v>400.21</v>
          </cell>
          <cell r="K3613">
            <v>238.61</v>
          </cell>
          <cell r="L3613">
            <v>6.8249600000000004E-10</v>
          </cell>
          <cell r="M3613">
            <v>0.13222</v>
          </cell>
          <cell r="N3613">
            <v>7943.2823472428154</v>
          </cell>
          <cell r="O3613">
            <v>9.06</v>
          </cell>
          <cell r="Q3613">
            <v>9.06</v>
          </cell>
        </row>
        <row r="3614">
          <cell r="D3614" t="str">
            <v>10429-07-9</v>
          </cell>
          <cell r="E3614">
            <v>10429079</v>
          </cell>
          <cell r="F3614">
            <v>1389</v>
          </cell>
          <cell r="G3614" t="str">
            <v>Reach_4067</v>
          </cell>
          <cell r="H3614">
            <v>3606</v>
          </cell>
          <cell r="J3614">
            <v>444.63</v>
          </cell>
          <cell r="K3614">
            <v>229.62</v>
          </cell>
          <cell r="L3614">
            <v>2.7326500000000001E-9</v>
          </cell>
          <cell r="M3614">
            <v>620.15</v>
          </cell>
          <cell r="N3614">
            <v>144543.97707459307</v>
          </cell>
          <cell r="Q3614">
            <v>14</v>
          </cell>
        </row>
        <row r="3615">
          <cell r="D3615" t="str">
            <v>446292-04-2</v>
          </cell>
          <cell r="E3615">
            <v>446292042</v>
          </cell>
          <cell r="F3615">
            <v>2928</v>
          </cell>
          <cell r="G3615" t="str">
            <v>Reach_4325</v>
          </cell>
          <cell r="H3615">
            <v>3607</v>
          </cell>
          <cell r="J3615">
            <v>222.2</v>
          </cell>
          <cell r="K3615">
            <v>150.05000000000001</v>
          </cell>
          <cell r="L3615">
            <v>1.4929600000000002E-4</v>
          </cell>
          <cell r="M3615">
            <v>4745.6000000000004</v>
          </cell>
          <cell r="N3615">
            <v>5.6234132519034921</v>
          </cell>
          <cell r="Q3615">
            <v>14</v>
          </cell>
        </row>
        <row r="3616">
          <cell r="D3616" t="str">
            <v>2649-76-5</v>
          </cell>
          <cell r="E3616">
            <v>2649765</v>
          </cell>
          <cell r="F3616">
            <v>2472</v>
          </cell>
          <cell r="G3616" t="str">
            <v>Reach_1851</v>
          </cell>
          <cell r="H3616">
            <v>3608</v>
          </cell>
          <cell r="J3616">
            <v>370.53</v>
          </cell>
          <cell r="K3616">
            <v>186.97</v>
          </cell>
          <cell r="L3616">
            <v>8.7044900000000015E-7</v>
          </cell>
          <cell r="M3616">
            <v>0.44745000000000001</v>
          </cell>
          <cell r="N3616">
            <v>77624.711662869129</v>
          </cell>
          <cell r="Q3616">
            <v>14</v>
          </cell>
        </row>
        <row r="3617">
          <cell r="D3617" t="str">
            <v>89-05-4</v>
          </cell>
          <cell r="E3617">
            <v>89054</v>
          </cell>
          <cell r="F3617">
            <v>3968</v>
          </cell>
          <cell r="G3617" t="str">
            <v>Reach_338</v>
          </cell>
          <cell r="H3617">
            <v>3609</v>
          </cell>
          <cell r="J3617">
            <v>254.15</v>
          </cell>
          <cell r="K3617">
            <v>220.18</v>
          </cell>
          <cell r="L3617">
            <v>2.4260600000000002E-9</v>
          </cell>
          <cell r="M3617">
            <v>11407</v>
          </cell>
          <cell r="N3617">
            <v>1.4125375446227544</v>
          </cell>
          <cell r="O3617">
            <v>1.88</v>
          </cell>
          <cell r="P3617">
            <v>0</v>
          </cell>
          <cell r="Q3617">
            <v>1.88</v>
          </cell>
        </row>
        <row r="3618">
          <cell r="D3618" t="str">
            <v>106261-64-7</v>
          </cell>
          <cell r="E3618">
            <v>106261647</v>
          </cell>
          <cell r="F3618">
            <v>5598</v>
          </cell>
          <cell r="G3618" t="str">
            <v>Reach_4627</v>
          </cell>
          <cell r="H3618">
            <v>3610</v>
          </cell>
          <cell r="J3618">
            <v>325.67</v>
          </cell>
          <cell r="K3618">
            <v>0</v>
          </cell>
          <cell r="L3618">
            <v>0</v>
          </cell>
          <cell r="M3618">
            <v>0</v>
          </cell>
          <cell r="N3618">
            <v>0</v>
          </cell>
          <cell r="O3618">
            <v>0</v>
          </cell>
          <cell r="Q3618">
            <v>0</v>
          </cell>
        </row>
        <row r="3619">
          <cell r="D3619" t="str">
            <v>542-05-2</v>
          </cell>
          <cell r="E3619">
            <v>542052</v>
          </cell>
          <cell r="F3619">
            <v>3134</v>
          </cell>
          <cell r="G3619" t="str">
            <v>Reach_1344</v>
          </cell>
          <cell r="H3619">
            <v>3611</v>
          </cell>
          <cell r="J3619">
            <v>146.1</v>
          </cell>
          <cell r="K3619">
            <v>117.34</v>
          </cell>
          <cell r="L3619">
            <v>5.4519700000000004E-3</v>
          </cell>
          <cell r="M3619">
            <v>176000</v>
          </cell>
          <cell r="N3619">
            <v>4.8977881936844566E-3</v>
          </cell>
          <cell r="O3619">
            <v>3.19</v>
          </cell>
          <cell r="P3619">
            <v>0</v>
          </cell>
          <cell r="Q3619">
            <v>3.19</v>
          </cell>
        </row>
        <row r="3620">
          <cell r="D3620" t="str">
            <v>608-25-3</v>
          </cell>
          <cell r="E3620">
            <v>608253</v>
          </cell>
          <cell r="F3620">
            <v>3317</v>
          </cell>
          <cell r="G3620" t="str">
            <v>Reach_1414</v>
          </cell>
          <cell r="H3620">
            <v>3612</v>
          </cell>
          <cell r="J3620">
            <v>124.14</v>
          </cell>
          <cell r="K3620">
            <v>59.59</v>
          </cell>
          <cell r="L3620">
            <v>3.3724900000000009E-2</v>
          </cell>
          <cell r="M3620">
            <v>253000</v>
          </cell>
          <cell r="N3620">
            <v>38.018939632056139</v>
          </cell>
          <cell r="O3620">
            <v>9.6</v>
          </cell>
          <cell r="Q3620">
            <v>9.6</v>
          </cell>
        </row>
        <row r="3621">
          <cell r="D3621" t="str">
            <v>3351-05-1</v>
          </cell>
          <cell r="E3621">
            <v>3351051</v>
          </cell>
          <cell r="F3621">
            <v>1183</v>
          </cell>
          <cell r="G3621" t="str">
            <v>Reach_1952</v>
          </cell>
          <cell r="H3621">
            <v>3613</v>
          </cell>
          <cell r="J3621">
            <v>681.66</v>
          </cell>
          <cell r="K3621">
            <v>0</v>
          </cell>
          <cell r="L3621">
            <v>0</v>
          </cell>
          <cell r="M3621">
            <v>0</v>
          </cell>
          <cell r="N3621">
            <v>0</v>
          </cell>
          <cell r="Q3621">
            <v>14</v>
          </cell>
        </row>
        <row r="3622">
          <cell r="D3622" t="str">
            <v>873888-84-7</v>
          </cell>
          <cell r="E3622">
            <v>873888847</v>
          </cell>
          <cell r="F3622">
            <v>3929</v>
          </cell>
          <cell r="G3622" t="str">
            <v>Reach_4910</v>
          </cell>
          <cell r="H3622">
            <v>3614</v>
          </cell>
          <cell r="J3622">
            <v>234.29</v>
          </cell>
          <cell r="K3622">
            <v>100.19</v>
          </cell>
          <cell r="L3622">
            <v>1.9195200000000001E-3</v>
          </cell>
          <cell r="M3622">
            <v>0.67120999999999997</v>
          </cell>
          <cell r="N3622">
            <v>181970.08586099857</v>
          </cell>
          <cell r="O3622">
            <v>9.8000000000000007</v>
          </cell>
          <cell r="Q3622">
            <v>9.8000000000000007</v>
          </cell>
        </row>
        <row r="3623">
          <cell r="D3623" t="str">
            <v>17247-58-4</v>
          </cell>
          <cell r="E3623">
            <v>17247584</v>
          </cell>
          <cell r="F3623">
            <v>2127</v>
          </cell>
          <cell r="G3623" t="str">
            <v>Reach_4730</v>
          </cell>
          <cell r="H3623">
            <v>3615</v>
          </cell>
          <cell r="J3623">
            <v>149.04</v>
          </cell>
          <cell r="K3623">
            <v>-44.86</v>
          </cell>
          <cell r="L3623">
            <v>1532.95</v>
          </cell>
          <cell r="M3623">
            <v>209.77</v>
          </cell>
          <cell r="N3623">
            <v>891.25093813374656</v>
          </cell>
          <cell r="Q3623">
            <v>14</v>
          </cell>
        </row>
        <row r="3624">
          <cell r="D3624" t="str">
            <v>52299-25-9</v>
          </cell>
          <cell r="E3624">
            <v>52299259</v>
          </cell>
          <cell r="F3624">
            <v>3057</v>
          </cell>
          <cell r="G3624" t="str">
            <v>Reach_4796</v>
          </cell>
          <cell r="H3624">
            <v>3616</v>
          </cell>
          <cell r="J3624">
            <v>502.03</v>
          </cell>
          <cell r="K3624">
            <v>10.43</v>
          </cell>
          <cell r="L3624">
            <v>38.523699999999998</v>
          </cell>
          <cell r="M3624">
            <v>2.9260000000000001E-4</v>
          </cell>
          <cell r="N3624">
            <v>19054.607179632505</v>
          </cell>
          <cell r="Q3624">
            <v>14</v>
          </cell>
        </row>
        <row r="3625">
          <cell r="D3625" t="str">
            <v>2210-24-4</v>
          </cell>
          <cell r="E3625">
            <v>2210244</v>
          </cell>
          <cell r="F3625">
            <v>2318</v>
          </cell>
          <cell r="G3625" t="str">
            <v>Reach_4225</v>
          </cell>
          <cell r="H3625">
            <v>3617</v>
          </cell>
          <cell r="J3625">
            <v>147.18</v>
          </cell>
          <cell r="K3625">
            <v>91.34</v>
          </cell>
          <cell r="L3625">
            <v>2.8392900000000002E-2</v>
          </cell>
          <cell r="M3625">
            <v>788.01</v>
          </cell>
          <cell r="N3625">
            <v>28.183829312644548</v>
          </cell>
          <cell r="O3625">
            <v>15.1</v>
          </cell>
          <cell r="P3625">
            <v>14.4</v>
          </cell>
          <cell r="Q3625">
            <v>-0.40000000000000036</v>
          </cell>
        </row>
        <row r="3626">
          <cell r="D3626" t="str">
            <v>284461-73-0</v>
          </cell>
          <cell r="E3626">
            <v>284461730</v>
          </cell>
          <cell r="F3626">
            <v>2531</v>
          </cell>
          <cell r="G3626" t="str">
            <v>Reach_4264</v>
          </cell>
          <cell r="H3626">
            <v>3618</v>
          </cell>
          <cell r="J3626">
            <v>464.83</v>
          </cell>
          <cell r="K3626">
            <v>269.44</v>
          </cell>
          <cell r="L3626">
            <v>5.4786300000000009E-12</v>
          </cell>
          <cell r="M3626">
            <v>0.43175000000000002</v>
          </cell>
          <cell r="N3626">
            <v>199526.23149688813</v>
          </cell>
          <cell r="O3626">
            <v>13.54</v>
          </cell>
          <cell r="P3626">
            <v>11.83</v>
          </cell>
          <cell r="Q3626">
            <v>2.17</v>
          </cell>
        </row>
        <row r="3627">
          <cell r="D3627" t="str">
            <v>21732-17-2</v>
          </cell>
          <cell r="E3627">
            <v>21732172</v>
          </cell>
          <cell r="F3627">
            <v>2304</v>
          </cell>
          <cell r="G3627" t="str">
            <v>Reach_2508</v>
          </cell>
          <cell r="H3627">
            <v>3619</v>
          </cell>
          <cell r="J3627">
            <v>128.1</v>
          </cell>
          <cell r="K3627">
            <v>97.78</v>
          </cell>
          <cell r="L3627">
            <v>0.17728900000000003</v>
          </cell>
          <cell r="M3627">
            <v>55018</v>
          </cell>
          <cell r="N3627">
            <v>2.9512092266663864E-3</v>
          </cell>
          <cell r="O3627">
            <v>4</v>
          </cell>
          <cell r="Q3627">
            <v>4</v>
          </cell>
        </row>
        <row r="3628">
          <cell r="D3628" t="str">
            <v>2610-11-9</v>
          </cell>
          <cell r="E3628">
            <v>2610119</v>
          </cell>
          <cell r="F3628">
            <v>1182</v>
          </cell>
          <cell r="G3628" t="str">
            <v>Reach_1845</v>
          </cell>
          <cell r="H3628">
            <v>3620</v>
          </cell>
          <cell r="J3628">
            <v>675.61</v>
          </cell>
          <cell r="K3628">
            <v>0</v>
          </cell>
          <cell r="L3628">
            <v>0</v>
          </cell>
          <cell r="M3628">
            <v>0</v>
          </cell>
          <cell r="N3628">
            <v>0</v>
          </cell>
          <cell r="Q3628">
            <v>14</v>
          </cell>
        </row>
        <row r="3629">
          <cell r="D3629" t="str">
            <v>2611-82-7</v>
          </cell>
          <cell r="E3629">
            <v>2611827</v>
          </cell>
          <cell r="F3629">
            <v>5803</v>
          </cell>
          <cell r="G3629" t="str">
            <v>Reach_1846</v>
          </cell>
          <cell r="H3629">
            <v>3621</v>
          </cell>
          <cell r="J3629">
            <v>604.48</v>
          </cell>
          <cell r="K3629">
            <v>0</v>
          </cell>
          <cell r="L3629">
            <v>0</v>
          </cell>
          <cell r="M3629">
            <v>0</v>
          </cell>
          <cell r="N3629">
            <v>0</v>
          </cell>
          <cell r="Q3629">
            <v>14</v>
          </cell>
        </row>
        <row r="3630">
          <cell r="D3630" t="str">
            <v>931419-77-1</v>
          </cell>
          <cell r="E3630">
            <v>931419771</v>
          </cell>
          <cell r="F3630">
            <v>4062</v>
          </cell>
          <cell r="G3630" t="str">
            <v>Reach_4748</v>
          </cell>
          <cell r="H3630">
            <v>3622</v>
          </cell>
          <cell r="J3630">
            <v>371.56</v>
          </cell>
          <cell r="K3630">
            <v>158.82</v>
          </cell>
          <cell r="L3630">
            <v>1.1183870000000001E-7</v>
          </cell>
          <cell r="M3630">
            <v>0.18099999999999999</v>
          </cell>
          <cell r="N3630">
            <v>112201.84543019651</v>
          </cell>
          <cell r="O3630">
            <v>14.94</v>
          </cell>
          <cell r="P3630">
            <v>8.56</v>
          </cell>
          <cell r="Q3630">
            <v>5.4399999999999995</v>
          </cell>
        </row>
        <row r="3631">
          <cell r="D3631" t="str">
            <v>96383-55-0</v>
          </cell>
          <cell r="E3631">
            <v>96383550</v>
          </cell>
          <cell r="F3631">
            <v>4146</v>
          </cell>
          <cell r="G3631" t="str">
            <v>Reach_5054</v>
          </cell>
          <cell r="H3631">
            <v>3623</v>
          </cell>
          <cell r="J3631">
            <v>452.59</v>
          </cell>
          <cell r="K3631">
            <v>7.9</v>
          </cell>
          <cell r="L3631">
            <v>84.24560000000001</v>
          </cell>
          <cell r="M3631">
            <v>9.3057000000000001E-2</v>
          </cell>
          <cell r="N3631">
            <v>1819700.8586099846</v>
          </cell>
          <cell r="Q3631">
            <v>14</v>
          </cell>
        </row>
        <row r="3632">
          <cell r="D3632" t="str">
            <v>108-26-9</v>
          </cell>
          <cell r="E3632">
            <v>108269</v>
          </cell>
          <cell r="F3632">
            <v>1480</v>
          </cell>
          <cell r="G3632" t="str">
            <v>Reach_738</v>
          </cell>
          <cell r="H3632">
            <v>3624</v>
          </cell>
          <cell r="J3632">
            <v>98.106999999999999</v>
          </cell>
          <cell r="K3632">
            <v>99.67</v>
          </cell>
          <cell r="L3632">
            <v>1.255686E-3</v>
          </cell>
          <cell r="M3632">
            <v>86292</v>
          </cell>
          <cell r="N3632">
            <v>1.6595869074375607</v>
          </cell>
          <cell r="P3632">
            <v>11.5</v>
          </cell>
          <cell r="Q3632">
            <v>2.5</v>
          </cell>
        </row>
        <row r="3633">
          <cell r="D3633" t="str">
            <v>486455-65-6</v>
          </cell>
          <cell r="E3633">
            <v>486455656</v>
          </cell>
          <cell r="F3633">
            <v>2973</v>
          </cell>
          <cell r="G3633" t="str">
            <v>Reach_4963</v>
          </cell>
          <cell r="H3633">
            <v>3625</v>
          </cell>
          <cell r="J3633">
            <v>383.58</v>
          </cell>
          <cell r="K3633">
            <v>269</v>
          </cell>
          <cell r="L3633">
            <v>5.8785300000000012E-12</v>
          </cell>
          <cell r="M3633">
            <v>0.45165</v>
          </cell>
          <cell r="N3633">
            <v>4677.3514128719844</v>
          </cell>
          <cell r="Q3633">
            <v>14</v>
          </cell>
        </row>
        <row r="3634">
          <cell r="D3634" t="str">
            <v>41506-62-1</v>
          </cell>
          <cell r="E3634">
            <v>41506621</v>
          </cell>
          <cell r="F3634">
            <v>2879</v>
          </cell>
          <cell r="G3634" t="str">
            <v>Reach_2744</v>
          </cell>
          <cell r="H3634">
            <v>3626</v>
          </cell>
          <cell r="J3634">
            <v>320.35000000000002</v>
          </cell>
          <cell r="K3634">
            <v>261.02</v>
          </cell>
          <cell r="L3634">
            <v>1.5862700000000001E-12</v>
          </cell>
          <cell r="M3634">
            <v>5.1131000000000002</v>
          </cell>
          <cell r="N3634">
            <v>3801.8939632056172</v>
          </cell>
          <cell r="P3634">
            <v>13.33</v>
          </cell>
          <cell r="Q3634">
            <v>0.66999999999999993</v>
          </cell>
        </row>
        <row r="3635">
          <cell r="D3635" t="str">
            <v>1262985-23-8</v>
          </cell>
          <cell r="E3635">
            <v>1262985238</v>
          </cell>
          <cell r="F3635">
            <v>1803</v>
          </cell>
          <cell r="G3635" t="str">
            <v>Reach_5081</v>
          </cell>
          <cell r="H3635">
            <v>3627</v>
          </cell>
          <cell r="J3635">
            <v>662.93</v>
          </cell>
          <cell r="K3635">
            <v>333.49</v>
          </cell>
          <cell r="L3635">
            <v>1.8395400000000001E-16</v>
          </cell>
          <cell r="M3635">
            <v>1.88E-5</v>
          </cell>
          <cell r="N3635">
            <v>10000000</v>
          </cell>
          <cell r="Q3635">
            <v>14</v>
          </cell>
        </row>
        <row r="3636">
          <cell r="D3636" t="str">
            <v>68-26-8</v>
          </cell>
          <cell r="E3636">
            <v>68268</v>
          </cell>
          <cell r="F3636">
            <v>3514</v>
          </cell>
          <cell r="G3636" t="str">
            <v>Reach_93</v>
          </cell>
          <cell r="H3636">
            <v>3628</v>
          </cell>
          <cell r="J3636">
            <v>286.45999999999998</v>
          </cell>
          <cell r="K3636">
            <v>111.23</v>
          </cell>
          <cell r="L3636">
            <v>3.07923E-5</v>
          </cell>
          <cell r="M3636">
            <v>0.37280999999999997</v>
          </cell>
          <cell r="N3636">
            <v>41686938.347033612</v>
          </cell>
          <cell r="O3636">
            <v>15.5</v>
          </cell>
          <cell r="Q3636">
            <v>14</v>
          </cell>
        </row>
        <row r="3637">
          <cell r="D3637" t="str">
            <v>72716-26-8</v>
          </cell>
          <cell r="E3637">
            <v>72716268</v>
          </cell>
          <cell r="F3637">
            <v>6012</v>
          </cell>
          <cell r="G3637" t="str">
            <v>Reach_5031</v>
          </cell>
          <cell r="H3637">
            <v>3629</v>
          </cell>
          <cell r="J3637">
            <v>395.58</v>
          </cell>
          <cell r="K3637">
            <v>0</v>
          </cell>
          <cell r="L3637">
            <v>0</v>
          </cell>
          <cell r="M3637">
            <v>0</v>
          </cell>
          <cell r="N3637">
            <v>0</v>
          </cell>
          <cell r="Q3637">
            <v>14</v>
          </cell>
        </row>
        <row r="3638">
          <cell r="D3638" t="str">
            <v>515851-08-8</v>
          </cell>
          <cell r="E3638">
            <v>515851088</v>
          </cell>
          <cell r="F3638">
            <v>5907</v>
          </cell>
          <cell r="G3638" t="str">
            <v>Reach_4870</v>
          </cell>
          <cell r="H3638">
            <v>3630</v>
          </cell>
          <cell r="J3638">
            <v>339.7</v>
          </cell>
          <cell r="K3638">
            <v>0</v>
          </cell>
          <cell r="L3638">
            <v>0</v>
          </cell>
          <cell r="M3638">
            <v>0</v>
          </cell>
          <cell r="N3638">
            <v>0</v>
          </cell>
          <cell r="Q3638">
            <v>14</v>
          </cell>
        </row>
        <row r="3639">
          <cell r="D3639" t="str">
            <v>59690-88-9</v>
          </cell>
          <cell r="E3639">
            <v>59690889</v>
          </cell>
          <cell r="F3639">
            <v>5943</v>
          </cell>
          <cell r="G3639" t="str">
            <v>Reach_2840</v>
          </cell>
          <cell r="H3639">
            <v>3631</v>
          </cell>
          <cell r="J3639">
            <v>187.63</v>
          </cell>
          <cell r="K3639">
            <v>0</v>
          </cell>
          <cell r="L3639">
            <v>0</v>
          </cell>
          <cell r="M3639">
            <v>0</v>
          </cell>
          <cell r="N3639">
            <v>0</v>
          </cell>
          <cell r="Q3639">
            <v>14</v>
          </cell>
        </row>
        <row r="3640">
          <cell r="D3640" t="str">
            <v>814-80-2</v>
          </cell>
          <cell r="E3640">
            <v>814802</v>
          </cell>
          <cell r="F3640">
            <v>6042</v>
          </cell>
          <cell r="G3640" t="str">
            <v>Reach_1551</v>
          </cell>
          <cell r="H3640">
            <v>3632</v>
          </cell>
          <cell r="J3640">
            <v>218.22</v>
          </cell>
          <cell r="K3640">
            <v>0</v>
          </cell>
          <cell r="L3640">
            <v>0</v>
          </cell>
          <cell r="M3640">
            <v>0</v>
          </cell>
          <cell r="N3640">
            <v>0</v>
          </cell>
          <cell r="O3640">
            <v>0</v>
          </cell>
          <cell r="Q3640">
            <v>0</v>
          </cell>
        </row>
        <row r="3641">
          <cell r="D3641" t="str">
            <v>27794-93-0</v>
          </cell>
          <cell r="E3641">
            <v>27794930</v>
          </cell>
          <cell r="F3641">
            <v>5812</v>
          </cell>
          <cell r="G3641" t="str">
            <v>Reach_2612</v>
          </cell>
          <cell r="H3641">
            <v>3633</v>
          </cell>
          <cell r="J3641">
            <v>527.6</v>
          </cell>
          <cell r="K3641">
            <v>0</v>
          </cell>
          <cell r="L3641">
            <v>0</v>
          </cell>
          <cell r="M3641">
            <v>0</v>
          </cell>
          <cell r="N3641">
            <v>0</v>
          </cell>
          <cell r="O3641">
            <v>0</v>
          </cell>
          <cell r="Q3641">
            <v>0</v>
          </cell>
        </row>
        <row r="3642">
          <cell r="D3642" t="str">
            <v>111974-74-4</v>
          </cell>
          <cell r="E3642">
            <v>111974744</v>
          </cell>
          <cell r="F3642">
            <v>5609</v>
          </cell>
          <cell r="G3642" t="str">
            <v>Reach_4836</v>
          </cell>
          <cell r="H3642">
            <v>3634</v>
          </cell>
          <cell r="J3642">
            <v>331.87</v>
          </cell>
          <cell r="K3642">
            <v>0</v>
          </cell>
          <cell r="L3642">
            <v>0</v>
          </cell>
          <cell r="M3642">
            <v>0</v>
          </cell>
          <cell r="N3642">
            <v>0</v>
          </cell>
          <cell r="Q3642">
            <v>14</v>
          </cell>
        </row>
        <row r="3643">
          <cell r="D3643" t="str">
            <v>2827-56-7</v>
          </cell>
          <cell r="E3643">
            <v>2827567</v>
          </cell>
          <cell r="F3643">
            <v>5816</v>
          </cell>
          <cell r="G3643" t="str">
            <v>Reach_4837</v>
          </cell>
          <cell r="H3643">
            <v>3635</v>
          </cell>
          <cell r="J3643">
            <v>151.56</v>
          </cell>
          <cell r="K3643">
            <v>0</v>
          </cell>
          <cell r="L3643">
            <v>0</v>
          </cell>
          <cell r="M3643">
            <v>0</v>
          </cell>
          <cell r="N3643">
            <v>0</v>
          </cell>
          <cell r="Q3643">
            <v>14</v>
          </cell>
        </row>
        <row r="3644">
          <cell r="D3644" t="str">
            <v>145022-44-2</v>
          </cell>
          <cell r="E3644">
            <v>145022442</v>
          </cell>
          <cell r="F3644">
            <v>5699</v>
          </cell>
          <cell r="G3644" t="str">
            <v>Reach_4622</v>
          </cell>
          <cell r="H3644">
            <v>3636</v>
          </cell>
          <cell r="J3644">
            <v>261.24</v>
          </cell>
          <cell r="K3644">
            <v>0</v>
          </cell>
          <cell r="L3644">
            <v>0</v>
          </cell>
          <cell r="M3644">
            <v>0</v>
          </cell>
          <cell r="N3644">
            <v>0</v>
          </cell>
          <cell r="Q3644">
            <v>14</v>
          </cell>
        </row>
        <row r="3645">
          <cell r="D3645" t="str">
            <v>824-80-6</v>
          </cell>
          <cell r="E3645">
            <v>824806</v>
          </cell>
          <cell r="F3645">
            <v>6044</v>
          </cell>
          <cell r="G3645" t="str">
            <v>Reach_4450</v>
          </cell>
          <cell r="H3645">
            <v>3637</v>
          </cell>
          <cell r="J3645">
            <v>182.15</v>
          </cell>
          <cell r="K3645">
            <v>0</v>
          </cell>
          <cell r="L3645">
            <v>0</v>
          </cell>
          <cell r="M3645">
            <v>0</v>
          </cell>
          <cell r="N3645">
            <v>0</v>
          </cell>
          <cell r="Q3645">
            <v>14</v>
          </cell>
        </row>
        <row r="3646">
          <cell r="D3646" t="str">
            <v>3687-18-1</v>
          </cell>
          <cell r="E3646">
            <v>3687181</v>
          </cell>
          <cell r="F3646">
            <v>2780</v>
          </cell>
          <cell r="G3646" t="str">
            <v>Reach_1980</v>
          </cell>
          <cell r="H3646">
            <v>3638</v>
          </cell>
          <cell r="J3646">
            <v>139.16999999999999</v>
          </cell>
          <cell r="K3646">
            <v>80.459999999999994</v>
          </cell>
          <cell r="L3646">
            <v>6.9182700000000007E-3</v>
          </cell>
          <cell r="M3646">
            <v>124000</v>
          </cell>
          <cell r="N3646">
            <v>1.3489628825916523E-3</v>
          </cell>
          <cell r="O3646">
            <v>0.69</v>
          </cell>
          <cell r="P3646">
            <v>3.94</v>
          </cell>
          <cell r="Q3646">
            <v>0.69</v>
          </cell>
        </row>
        <row r="3647">
          <cell r="D3647" t="str">
            <v>6764-10-9</v>
          </cell>
          <cell r="E3647">
            <v>6764109</v>
          </cell>
          <cell r="F3647">
            <v>1285</v>
          </cell>
          <cell r="G3647" t="str">
            <v>Reach_4757</v>
          </cell>
          <cell r="H3647">
            <v>3639</v>
          </cell>
          <cell r="J3647">
            <v>265.72000000000003</v>
          </cell>
          <cell r="K3647">
            <v>139.83000000000001</v>
          </cell>
          <cell r="L3647">
            <v>2.5726900000000002E-4</v>
          </cell>
          <cell r="M3647">
            <v>2.8351000000000002</v>
          </cell>
          <cell r="N3647">
            <v>56234.132519034953</v>
          </cell>
          <cell r="Q3647">
            <v>14</v>
          </cell>
        </row>
        <row r="3648">
          <cell r="D3648" t="str">
            <v>26184-62-3</v>
          </cell>
          <cell r="E3648">
            <v>26184623</v>
          </cell>
          <cell r="F3648">
            <v>2457</v>
          </cell>
          <cell r="G3648" t="str">
            <v>Reach_4830</v>
          </cell>
          <cell r="H3648">
            <v>3640</v>
          </cell>
          <cell r="J3648">
            <v>88.15</v>
          </cell>
          <cell r="K3648">
            <v>-63.68</v>
          </cell>
          <cell r="L3648">
            <v>967.75800000000004</v>
          </cell>
          <cell r="M3648">
            <v>35592</v>
          </cell>
          <cell r="N3648">
            <v>18.197008586099841</v>
          </cell>
          <cell r="O3648">
            <v>16</v>
          </cell>
          <cell r="P3648">
            <v>0</v>
          </cell>
          <cell r="Q3648">
            <v>14</v>
          </cell>
        </row>
        <row r="3649">
          <cell r="D3649" t="str">
            <v>909782-35-0</v>
          </cell>
          <cell r="E3649">
            <v>909782350</v>
          </cell>
          <cell r="F3649">
            <v>4010</v>
          </cell>
          <cell r="G3649" t="str">
            <v>Reach_4959</v>
          </cell>
          <cell r="H3649">
            <v>3641</v>
          </cell>
          <cell r="J3649">
            <v>916.77</v>
          </cell>
          <cell r="K3649">
            <v>349.84</v>
          </cell>
          <cell r="L3649">
            <v>1.4663000000000002E-24</v>
          </cell>
          <cell r="M3649">
            <v>9.2400000000000004E-9</v>
          </cell>
          <cell r="N3649">
            <v>16982436524.617474</v>
          </cell>
          <cell r="O3649">
            <v>9.35</v>
          </cell>
          <cell r="P3649">
            <v>2.9</v>
          </cell>
          <cell r="Q3649">
            <v>9.35</v>
          </cell>
        </row>
        <row r="3650">
          <cell r="D3650" t="str">
            <v>69555-14-2</v>
          </cell>
          <cell r="E3650">
            <v>69555142</v>
          </cell>
          <cell r="F3650">
            <v>3544</v>
          </cell>
          <cell r="G3650" t="str">
            <v>Reach_4405</v>
          </cell>
          <cell r="H3650">
            <v>3642</v>
          </cell>
          <cell r="J3650">
            <v>267.33</v>
          </cell>
          <cell r="K3650">
            <v>94.17</v>
          </cell>
          <cell r="L3650">
            <v>1.3729900000000001E-3</v>
          </cell>
          <cell r="M3650">
            <v>13.315</v>
          </cell>
          <cell r="N3650">
            <v>6456.5422903465615</v>
          </cell>
          <cell r="P3650">
            <v>9.6199999999999992</v>
          </cell>
          <cell r="Q3650">
            <v>4.3800000000000008</v>
          </cell>
        </row>
        <row r="3651">
          <cell r="D3651" t="str">
            <v>848484-93-5</v>
          </cell>
          <cell r="E3651">
            <v>848484935</v>
          </cell>
          <cell r="F3651">
            <v>3877</v>
          </cell>
          <cell r="G3651" t="str">
            <v>Reach_4744</v>
          </cell>
          <cell r="H3651">
            <v>3643</v>
          </cell>
          <cell r="J3651">
            <v>382.54</v>
          </cell>
          <cell r="K3651">
            <v>179.27</v>
          </cell>
          <cell r="L3651">
            <v>9.3310000000000001E-7</v>
          </cell>
          <cell r="M3651">
            <v>6.4559999999999997E-4</v>
          </cell>
          <cell r="N3651">
            <v>194984459.97580433</v>
          </cell>
          <cell r="Q3651">
            <v>14</v>
          </cell>
        </row>
        <row r="3652">
          <cell r="D3652" t="str">
            <v>118-41-2</v>
          </cell>
          <cell r="E3652">
            <v>118412</v>
          </cell>
          <cell r="F3652">
            <v>1668</v>
          </cell>
          <cell r="G3652" t="str">
            <v>Reach_962</v>
          </cell>
          <cell r="H3652">
            <v>3644</v>
          </cell>
          <cell r="J3652">
            <v>212.2</v>
          </cell>
          <cell r="K3652">
            <v>118.68</v>
          </cell>
          <cell r="L3652">
            <v>9.1977000000000009E-4</v>
          </cell>
          <cell r="M3652">
            <v>2615.3000000000002</v>
          </cell>
          <cell r="N3652">
            <v>24.547089156850305</v>
          </cell>
          <cell r="O3652">
            <v>4.3</v>
          </cell>
          <cell r="Q3652">
            <v>4.3</v>
          </cell>
        </row>
        <row r="3653">
          <cell r="D3653" t="str">
            <v>6615-00-5</v>
          </cell>
          <cell r="E3653">
            <v>6615005</v>
          </cell>
          <cell r="F3653">
            <v>3465</v>
          </cell>
          <cell r="G3653" t="str">
            <v>Reach_4389</v>
          </cell>
          <cell r="H3653">
            <v>3645</v>
          </cell>
          <cell r="J3653">
            <v>288.39</v>
          </cell>
          <cell r="K3653">
            <v>163.9</v>
          </cell>
          <cell r="L3653">
            <v>2.8526200000000006E-7</v>
          </cell>
          <cell r="M3653">
            <v>62.539000000000001</v>
          </cell>
          <cell r="N3653">
            <v>5.8884365535558905</v>
          </cell>
          <cell r="O3653">
            <v>15.57</v>
          </cell>
          <cell r="Q3653">
            <v>14</v>
          </cell>
        </row>
        <row r="3654">
          <cell r="D3654" t="str">
            <v>90-51-7</v>
          </cell>
          <cell r="E3654">
            <v>90517</v>
          </cell>
          <cell r="F3654">
            <v>4001</v>
          </cell>
          <cell r="G3654" t="str">
            <v>Reach_365</v>
          </cell>
          <cell r="H3654">
            <v>3646</v>
          </cell>
          <cell r="J3654">
            <v>239.25</v>
          </cell>
          <cell r="K3654">
            <v>198.11</v>
          </cell>
          <cell r="L3654">
            <v>3.2658500000000003E-9</v>
          </cell>
          <cell r="M3654">
            <v>11883</v>
          </cell>
          <cell r="N3654">
            <v>4.0738027780411273E-2</v>
          </cell>
          <cell r="O3654">
            <v>0.14000000000000001</v>
          </cell>
          <cell r="Q3654">
            <v>0.14000000000000001</v>
          </cell>
        </row>
        <row r="3655">
          <cell r="D3655" t="str">
            <v>5637-42-3</v>
          </cell>
          <cell r="E3655">
            <v>5637423</v>
          </cell>
          <cell r="F3655">
            <v>3193</v>
          </cell>
          <cell r="G3655" t="str">
            <v>Reach_4358</v>
          </cell>
          <cell r="H3655">
            <v>3647</v>
          </cell>
          <cell r="J3655">
            <v>160.18</v>
          </cell>
          <cell r="K3655">
            <v>113.82</v>
          </cell>
          <cell r="L3655">
            <v>6.358410000000001E-3</v>
          </cell>
          <cell r="M3655">
            <v>2767.8</v>
          </cell>
          <cell r="N3655">
            <v>5.3703179637025285</v>
          </cell>
          <cell r="P3655">
            <v>3.2</v>
          </cell>
          <cell r="Q3655">
            <v>10.8</v>
          </cell>
        </row>
        <row r="3656">
          <cell r="D3656" t="str">
            <v>9016-45-9</v>
          </cell>
          <cell r="E3656">
            <v>9016459</v>
          </cell>
          <cell r="F3656">
            <v>1001</v>
          </cell>
          <cell r="G3656" t="str">
            <v>Reach_4050</v>
          </cell>
          <cell r="H3656">
            <v>3648</v>
          </cell>
          <cell r="J3656">
            <v>440.62</v>
          </cell>
          <cell r="K3656">
            <v>209.48</v>
          </cell>
          <cell r="L3656">
            <v>1.2916770000000002E-10</v>
          </cell>
          <cell r="M3656">
            <v>0.18862000000000001</v>
          </cell>
          <cell r="N3656">
            <v>30199.517204020212</v>
          </cell>
          <cell r="O3656">
            <v>14.88</v>
          </cell>
          <cell r="Q3656">
            <v>14</v>
          </cell>
        </row>
        <row r="3657">
          <cell r="D3657" t="str">
            <v>98-32-8</v>
          </cell>
          <cell r="E3657">
            <v>98328</v>
          </cell>
          <cell r="F3657">
            <v>4182</v>
          </cell>
          <cell r="G3657" t="str">
            <v>Reach_504</v>
          </cell>
          <cell r="H3657">
            <v>3649</v>
          </cell>
          <cell r="J3657">
            <v>188.21</v>
          </cell>
          <cell r="K3657">
            <v>155.08000000000001</v>
          </cell>
          <cell r="L3657">
            <v>4.4255600000000004E-5</v>
          </cell>
          <cell r="M3657">
            <v>19924</v>
          </cell>
          <cell r="N3657">
            <v>9.3325430079699068E-2</v>
          </cell>
          <cell r="P3657">
            <v>10.96</v>
          </cell>
          <cell r="Q3657">
            <v>3.0399999999999991</v>
          </cell>
        </row>
        <row r="3658">
          <cell r="D3658" t="str">
            <v>135-63-7</v>
          </cell>
          <cell r="E3658">
            <v>135637</v>
          </cell>
          <cell r="F3658">
            <v>1895</v>
          </cell>
          <cell r="G3658" t="str">
            <v>Reach_1134</v>
          </cell>
          <cell r="H3658">
            <v>3650</v>
          </cell>
          <cell r="J3658">
            <v>311.77</v>
          </cell>
          <cell r="K3658">
            <v>219.38</v>
          </cell>
          <cell r="L3658">
            <v>1.5862700000000001E-9</v>
          </cell>
          <cell r="M3658">
            <v>1.0419</v>
          </cell>
          <cell r="N3658">
            <v>125892.54117941685</v>
          </cell>
          <cell r="O3658">
            <v>10.16</v>
          </cell>
          <cell r="Q3658">
            <v>10.16</v>
          </cell>
        </row>
        <row r="3659">
          <cell r="D3659" t="str">
            <v>26090-29-9</v>
          </cell>
          <cell r="E3659">
            <v>26090299</v>
          </cell>
          <cell r="F3659">
            <v>2453</v>
          </cell>
          <cell r="G3659" t="str">
            <v>Reach_4681</v>
          </cell>
          <cell r="H3659">
            <v>3651</v>
          </cell>
          <cell r="J3659">
            <v>468.64</v>
          </cell>
          <cell r="K3659">
            <v>260.26</v>
          </cell>
          <cell r="L3659">
            <v>2.3194200000000001E-11</v>
          </cell>
          <cell r="M3659">
            <v>1.0182999999999999E-2</v>
          </cell>
          <cell r="N3659">
            <v>13489628.825916575</v>
          </cell>
          <cell r="O3659">
            <v>14.34</v>
          </cell>
          <cell r="P3659">
            <v>5.2</v>
          </cell>
          <cell r="Q3659">
            <v>8.8000000000000007</v>
          </cell>
        </row>
        <row r="3660">
          <cell r="D3660" t="str">
            <v>692-49-9</v>
          </cell>
          <cell r="E3660">
            <v>692499</v>
          </cell>
          <cell r="F3660">
            <v>3536</v>
          </cell>
          <cell r="G3660" t="str">
            <v>Reach_4960</v>
          </cell>
          <cell r="H3660">
            <v>3652</v>
          </cell>
          <cell r="J3660">
            <v>164.05</v>
          </cell>
          <cell r="K3660">
            <v>-127.44</v>
          </cell>
          <cell r="L3660">
            <v>333250</v>
          </cell>
          <cell r="M3660">
            <v>33.539000000000001</v>
          </cell>
          <cell r="N3660">
            <v>831.7637711026714</v>
          </cell>
          <cell r="Q3660">
            <v>14</v>
          </cell>
        </row>
        <row r="3661">
          <cell r="D3661" t="str">
            <v>918504-27-5</v>
          </cell>
          <cell r="E3661">
            <v>918504275</v>
          </cell>
          <cell r="F3661">
            <v>4022</v>
          </cell>
          <cell r="G3661" t="str">
            <v>Reach_5079</v>
          </cell>
          <cell r="H3661">
            <v>3653</v>
          </cell>
          <cell r="J3661">
            <v>458.29</v>
          </cell>
          <cell r="K3661">
            <v>261.23</v>
          </cell>
          <cell r="L3661">
            <v>1.9995000000000001E-11</v>
          </cell>
          <cell r="M3661">
            <v>1.1336999999999999</v>
          </cell>
          <cell r="N3661">
            <v>158.48931924611153</v>
          </cell>
          <cell r="Q3661">
            <v>14</v>
          </cell>
        </row>
        <row r="3662">
          <cell r="D3662" t="str">
            <v>53378-52-2</v>
          </cell>
          <cell r="E3662">
            <v>53378522</v>
          </cell>
          <cell r="F3662">
            <v>5921</v>
          </cell>
          <cell r="G3662" t="str">
            <v>Reach_4344</v>
          </cell>
          <cell r="H3662">
            <v>3654</v>
          </cell>
          <cell r="J3662">
            <v>248.26</v>
          </cell>
          <cell r="K3662">
            <v>0</v>
          </cell>
          <cell r="L3662">
            <v>0</v>
          </cell>
          <cell r="M3662">
            <v>0</v>
          </cell>
          <cell r="N3662">
            <v>0</v>
          </cell>
          <cell r="Q3662">
            <v>14</v>
          </cell>
        </row>
        <row r="3663">
          <cell r="D3663" t="str">
            <v>908020-52-0</v>
          </cell>
          <cell r="E3663">
            <v>908020520</v>
          </cell>
          <cell r="F3663">
            <v>6080</v>
          </cell>
          <cell r="G3663" t="str">
            <v>Reach_4860</v>
          </cell>
          <cell r="H3663">
            <v>3655</v>
          </cell>
          <cell r="J3663">
            <v>363.08</v>
          </cell>
          <cell r="K3663">
            <v>0</v>
          </cell>
          <cell r="L3663">
            <v>0</v>
          </cell>
          <cell r="M3663">
            <v>0</v>
          </cell>
          <cell r="N3663">
            <v>0</v>
          </cell>
          <cell r="Q3663">
            <v>14</v>
          </cell>
        </row>
        <row r="3664">
          <cell r="D3664" t="str">
            <v>13127-18-9</v>
          </cell>
          <cell r="E3664">
            <v>13127189</v>
          </cell>
          <cell r="F3664">
            <v>1848</v>
          </cell>
          <cell r="G3664" t="str">
            <v>Reach_4122</v>
          </cell>
          <cell r="H3664">
            <v>3656</v>
          </cell>
          <cell r="J3664">
            <v>748.95</v>
          </cell>
          <cell r="K3664">
            <v>349.84</v>
          </cell>
          <cell r="L3664">
            <v>1.79955E-26</v>
          </cell>
          <cell r="M3664">
            <v>0.10827000000000001</v>
          </cell>
          <cell r="N3664">
            <v>186.20871366628685</v>
          </cell>
          <cell r="O3664">
            <v>11.79</v>
          </cell>
          <cell r="P3664">
            <v>5.45</v>
          </cell>
          <cell r="Q3664">
            <v>8.5500000000000007</v>
          </cell>
        </row>
        <row r="3665">
          <cell r="D3665" t="str">
            <v>7605-52-9</v>
          </cell>
          <cell r="E3665">
            <v>7605529</v>
          </cell>
          <cell r="F3665">
            <v>3696</v>
          </cell>
          <cell r="G3665" t="str">
            <v>Reach_4895</v>
          </cell>
          <cell r="H3665">
            <v>3657</v>
          </cell>
          <cell r="J3665">
            <v>156.22</v>
          </cell>
          <cell r="K3665">
            <v>-18.45</v>
          </cell>
          <cell r="L3665">
            <v>64.917100000000005</v>
          </cell>
          <cell r="M3665">
            <v>300.64</v>
          </cell>
          <cell r="N3665">
            <v>1148.1536214968839</v>
          </cell>
          <cell r="Q3665">
            <v>14</v>
          </cell>
        </row>
        <row r="3666">
          <cell r="D3666" t="str">
            <v>69904-10-5</v>
          </cell>
          <cell r="E3666">
            <v>69904105</v>
          </cell>
          <cell r="F3666">
            <v>3552</v>
          </cell>
          <cell r="G3666" t="str">
            <v>Reach_4406</v>
          </cell>
          <cell r="H3666">
            <v>3658</v>
          </cell>
          <cell r="J3666">
            <v>207.19</v>
          </cell>
          <cell r="K3666">
            <v>208.26</v>
          </cell>
          <cell r="L3666">
            <v>7.1582100000000004E-8</v>
          </cell>
          <cell r="M3666">
            <v>38706</v>
          </cell>
          <cell r="N3666">
            <v>0.30199517204020154</v>
          </cell>
          <cell r="O3666">
            <v>10.1</v>
          </cell>
          <cell r="P3666">
            <v>8.59</v>
          </cell>
          <cell r="Q3666">
            <v>5.41</v>
          </cell>
        </row>
        <row r="3667">
          <cell r="D3667" t="str">
            <v>1034138-69-6</v>
          </cell>
          <cell r="E3667">
            <v>1034138696</v>
          </cell>
          <cell r="F3667">
            <v>1365</v>
          </cell>
          <cell r="G3667" t="str">
            <v>Reach_4782</v>
          </cell>
          <cell r="H3667">
            <v>3659</v>
          </cell>
          <cell r="J3667">
            <v>535.57000000000005</v>
          </cell>
          <cell r="K3667">
            <v>349.84</v>
          </cell>
          <cell r="L3667">
            <v>8.331250000000001E-18</v>
          </cell>
          <cell r="M3667">
            <v>1.4227E-3</v>
          </cell>
          <cell r="N3667">
            <v>9332543.0079699196</v>
          </cell>
          <cell r="P3667">
            <v>11.93</v>
          </cell>
          <cell r="Q3667">
            <v>2.0700000000000003</v>
          </cell>
        </row>
        <row r="3668">
          <cell r="D3668" t="str">
            <v>99591-74-9</v>
          </cell>
          <cell r="E3668">
            <v>99591749</v>
          </cell>
          <cell r="F3668">
            <v>4207</v>
          </cell>
          <cell r="G3668" t="str">
            <v>Reach_4903</v>
          </cell>
          <cell r="H3668">
            <v>3660</v>
          </cell>
          <cell r="J3668">
            <v>188.18</v>
          </cell>
          <cell r="K3668">
            <v>109.62</v>
          </cell>
          <cell r="L3668">
            <v>1.0317420000000001E-2</v>
          </cell>
          <cell r="M3668">
            <v>328000</v>
          </cell>
          <cell r="N3668">
            <v>0.14125375446227542</v>
          </cell>
          <cell r="Q3668">
            <v>14</v>
          </cell>
        </row>
        <row r="3669">
          <cell r="D3669" t="str">
            <v>298692-41-8</v>
          </cell>
          <cell r="E3669">
            <v>298692418</v>
          </cell>
          <cell r="F3669">
            <v>2575</v>
          </cell>
          <cell r="G3669" t="str">
            <v>Reach_4561</v>
          </cell>
          <cell r="H3669">
            <v>3661</v>
          </cell>
          <cell r="J3669">
            <v>181.13</v>
          </cell>
          <cell r="K3669">
            <v>66.819999999999993</v>
          </cell>
          <cell r="L3669">
            <v>0.13729900000000003</v>
          </cell>
          <cell r="M3669">
            <v>773000</v>
          </cell>
          <cell r="N3669">
            <v>1.2022644346174125E-2</v>
          </cell>
          <cell r="O3669">
            <v>9.3000000000000007</v>
          </cell>
          <cell r="Q3669">
            <v>9.3000000000000007</v>
          </cell>
        </row>
        <row r="3670">
          <cell r="D3670" t="str">
            <v>41202-77-1</v>
          </cell>
          <cell r="E3670">
            <v>41202771</v>
          </cell>
          <cell r="F3670">
            <v>2873</v>
          </cell>
          <cell r="G3670" t="str">
            <v>Reach_4314</v>
          </cell>
          <cell r="H3670">
            <v>3662</v>
          </cell>
          <cell r="J3670">
            <v>231.13</v>
          </cell>
          <cell r="K3670">
            <v>112.67</v>
          </cell>
          <cell r="L3670">
            <v>1.1597100000000001E-2</v>
          </cell>
          <cell r="M3670">
            <v>1213.7</v>
          </cell>
          <cell r="N3670">
            <v>676.08297539198213</v>
          </cell>
          <cell r="Q3670">
            <v>14</v>
          </cell>
        </row>
        <row r="3671">
          <cell r="D3671" t="str">
            <v>122584-18-3</v>
          </cell>
          <cell r="E3671">
            <v>122584183</v>
          </cell>
          <cell r="F3671">
            <v>1753</v>
          </cell>
          <cell r="G3671" t="str">
            <v>Reach_4105</v>
          </cell>
          <cell r="H3671">
            <v>3663</v>
          </cell>
          <cell r="J3671">
            <v>380.25</v>
          </cell>
          <cell r="K3671">
            <v>211.61</v>
          </cell>
          <cell r="L3671">
            <v>9.2776800000000008E-10</v>
          </cell>
          <cell r="M3671">
            <v>6.9445000000000007E-2</v>
          </cell>
          <cell r="N3671">
            <v>537.03179637025301</v>
          </cell>
          <cell r="O3671">
            <v>9.31</v>
          </cell>
          <cell r="P3671">
            <v>14.38</v>
          </cell>
          <cell r="Q3671">
            <v>-0.38000000000000078</v>
          </cell>
        </row>
        <row r="3672">
          <cell r="D3672" t="str">
            <v>1232839-86-9</v>
          </cell>
          <cell r="E3672">
            <v>1232839869</v>
          </cell>
          <cell r="F3672">
            <v>1766</v>
          </cell>
          <cell r="G3672" t="str">
            <v>Reach_4669</v>
          </cell>
          <cell r="H3672">
            <v>3664</v>
          </cell>
          <cell r="J3672">
            <v>388.46</v>
          </cell>
          <cell r="K3672">
            <v>163.59</v>
          </cell>
          <cell r="L3672">
            <v>1.3863200000000001E-6</v>
          </cell>
          <cell r="M3672">
            <v>3.2666000000000001E-2</v>
          </cell>
          <cell r="N3672">
            <v>16982436.524617478</v>
          </cell>
          <cell r="Q3672">
            <v>14</v>
          </cell>
        </row>
        <row r="3673">
          <cell r="D3673" t="str">
            <v>6843-66-9</v>
          </cell>
          <cell r="E3673">
            <v>6843669</v>
          </cell>
          <cell r="F3673">
            <v>3516</v>
          </cell>
          <cell r="G3673" t="str">
            <v>Reach_2207</v>
          </cell>
          <cell r="H3673">
            <v>3665</v>
          </cell>
          <cell r="J3673">
            <v>244.37</v>
          </cell>
          <cell r="K3673">
            <v>74.95</v>
          </cell>
          <cell r="L3673">
            <v>3.8923600000000003E-2</v>
          </cell>
          <cell r="M3673">
            <v>7.7618999999999998</v>
          </cell>
          <cell r="N3673">
            <v>1047.1285480509</v>
          </cell>
          <cell r="O3673">
            <v>0</v>
          </cell>
          <cell r="P3673">
            <v>0</v>
          </cell>
          <cell r="Q3673">
            <v>0</v>
          </cell>
        </row>
        <row r="3674">
          <cell r="D3674" t="str">
            <v>853950-77-3</v>
          </cell>
          <cell r="E3674">
            <v>853950773</v>
          </cell>
          <cell r="F3674">
            <v>3887</v>
          </cell>
          <cell r="G3674" t="str">
            <v>Reach_4966</v>
          </cell>
          <cell r="H3674">
            <v>3666</v>
          </cell>
          <cell r="J3674">
            <v>316.33999999999997</v>
          </cell>
          <cell r="K3674">
            <v>0</v>
          </cell>
          <cell r="L3674">
            <v>0</v>
          </cell>
          <cell r="M3674">
            <v>0</v>
          </cell>
          <cell r="N3674">
            <v>0</v>
          </cell>
          <cell r="O3674">
            <v>0</v>
          </cell>
          <cell r="Q3674">
            <v>0</v>
          </cell>
        </row>
        <row r="3675">
          <cell r="D3675" t="str">
            <v>130-13-2</v>
          </cell>
          <cell r="E3675">
            <v>130132</v>
          </cell>
          <cell r="F3675">
            <v>5657</v>
          </cell>
          <cell r="G3675" t="str">
            <v>Reach_1116</v>
          </cell>
          <cell r="H3675">
            <v>3667</v>
          </cell>
          <cell r="J3675">
            <v>245.23</v>
          </cell>
          <cell r="K3675">
            <v>0</v>
          </cell>
          <cell r="L3675">
            <v>0</v>
          </cell>
          <cell r="M3675">
            <v>0</v>
          </cell>
          <cell r="N3675">
            <v>0</v>
          </cell>
          <cell r="O3675">
            <v>0</v>
          </cell>
          <cell r="Q3675">
            <v>0</v>
          </cell>
        </row>
        <row r="3676">
          <cell r="D3676" t="str">
            <v>103429-90-9</v>
          </cell>
          <cell r="E3676">
            <v>103429909</v>
          </cell>
          <cell r="F3676">
            <v>1366</v>
          </cell>
          <cell r="G3676" t="str">
            <v>Reach_4890</v>
          </cell>
          <cell r="H3676">
            <v>3668</v>
          </cell>
          <cell r="J3676">
            <v>160.21</v>
          </cell>
          <cell r="K3676">
            <v>-20.07</v>
          </cell>
          <cell r="L3676">
            <v>199.95000000000002</v>
          </cell>
          <cell r="M3676">
            <v>3473.9</v>
          </cell>
          <cell r="N3676">
            <v>28.840315031266066</v>
          </cell>
          <cell r="Q3676">
            <v>14</v>
          </cell>
        </row>
        <row r="3677">
          <cell r="D3677" t="str">
            <v>2001-94-7</v>
          </cell>
          <cell r="E3677">
            <v>2001947</v>
          </cell>
          <cell r="F3677">
            <v>5765</v>
          </cell>
          <cell r="G3677" t="str">
            <v>Reach_1743</v>
          </cell>
          <cell r="H3677">
            <v>3669</v>
          </cell>
          <cell r="J3677">
            <v>368.43</v>
          </cell>
          <cell r="K3677">
            <v>0</v>
          </cell>
          <cell r="L3677">
            <v>0</v>
          </cell>
          <cell r="M3677">
            <v>0</v>
          </cell>
          <cell r="N3677">
            <v>0</v>
          </cell>
          <cell r="Q3677">
            <v>14</v>
          </cell>
        </row>
        <row r="3678">
          <cell r="D3678" t="str">
            <v>246035-38-1</v>
          </cell>
          <cell r="E3678">
            <v>246035381</v>
          </cell>
          <cell r="F3678">
            <v>2399</v>
          </cell>
          <cell r="G3678" t="str">
            <v>Reach_4763</v>
          </cell>
          <cell r="H3678">
            <v>3670</v>
          </cell>
          <cell r="J3678">
            <v>408.48</v>
          </cell>
          <cell r="K3678">
            <v>246.34</v>
          </cell>
          <cell r="L3678">
            <v>2.0528200000000001E-10</v>
          </cell>
          <cell r="M3678">
            <v>0.72407999999999995</v>
          </cell>
          <cell r="N3678">
            <v>8128.3051616410066</v>
          </cell>
          <cell r="O3678">
            <v>0</v>
          </cell>
          <cell r="P3678">
            <v>10.68</v>
          </cell>
          <cell r="Q3678">
            <v>0</v>
          </cell>
        </row>
        <row r="3679">
          <cell r="D3679" t="str">
            <v>119-70-0</v>
          </cell>
          <cell r="E3679">
            <v>119700</v>
          </cell>
          <cell r="F3679">
            <v>1698</v>
          </cell>
          <cell r="G3679" t="str">
            <v>Reach_985</v>
          </cell>
          <cell r="H3679">
            <v>3671</v>
          </cell>
          <cell r="J3679">
            <v>279.32</v>
          </cell>
          <cell r="K3679">
            <v>218.05</v>
          </cell>
          <cell r="L3679">
            <v>9.5309500000000001E-11</v>
          </cell>
          <cell r="M3679">
            <v>2183.9</v>
          </cell>
          <cell r="N3679">
            <v>1.5848931924611134E-3</v>
          </cell>
          <cell r="P3679">
            <v>7.26</v>
          </cell>
          <cell r="Q3679">
            <v>6.74</v>
          </cell>
        </row>
        <row r="3680">
          <cell r="D3680" t="str">
            <v>119-79-9</v>
          </cell>
          <cell r="E3680">
            <v>119799</v>
          </cell>
          <cell r="F3680">
            <v>1699</v>
          </cell>
          <cell r="G3680" t="str">
            <v>Reach_986</v>
          </cell>
          <cell r="H3680">
            <v>3672</v>
          </cell>
          <cell r="J3680">
            <v>223.25</v>
          </cell>
          <cell r="K3680">
            <v>173.38</v>
          </cell>
          <cell r="L3680">
            <v>7.0115800000000006E-8</v>
          </cell>
          <cell r="M3680">
            <v>2306</v>
          </cell>
          <cell r="N3680">
            <v>0.12302687708123815</v>
          </cell>
          <cell r="O3680">
            <v>0.32</v>
          </cell>
          <cell r="P3680">
            <v>10.27</v>
          </cell>
          <cell r="Q3680">
            <v>0.32</v>
          </cell>
        </row>
        <row r="3681">
          <cell r="D3681" t="str">
            <v>849727-62-4</v>
          </cell>
          <cell r="E3681">
            <v>849727624</v>
          </cell>
          <cell r="F3681">
            <v>6056</v>
          </cell>
          <cell r="G3681" t="str">
            <v>Reach_4470</v>
          </cell>
          <cell r="H3681">
            <v>3673</v>
          </cell>
          <cell r="J3681">
            <v>275.14</v>
          </cell>
          <cell r="K3681">
            <v>0</v>
          </cell>
          <cell r="L3681">
            <v>0</v>
          </cell>
          <cell r="M3681">
            <v>0</v>
          </cell>
          <cell r="N3681">
            <v>0</v>
          </cell>
          <cell r="Q3681">
            <v>14</v>
          </cell>
        </row>
        <row r="3682">
          <cell r="D3682" t="str">
            <v>1355646-93-3</v>
          </cell>
          <cell r="E3682">
            <v>1355646933</v>
          </cell>
          <cell r="F3682">
            <v>1889</v>
          </cell>
          <cell r="G3682" t="str">
            <v>Reach_5061</v>
          </cell>
          <cell r="H3682">
            <v>3674</v>
          </cell>
          <cell r="J3682">
            <v>416.48</v>
          </cell>
          <cell r="K3682">
            <v>301.82</v>
          </cell>
          <cell r="L3682">
            <v>1.5329500000000002E-15</v>
          </cell>
          <cell r="M3682">
            <v>1.3415E-2</v>
          </cell>
          <cell r="N3682">
            <v>346736.85045253241</v>
          </cell>
          <cell r="O3682">
            <v>9.43</v>
          </cell>
          <cell r="Q3682">
            <v>9.43</v>
          </cell>
        </row>
        <row r="3683">
          <cell r="D3683" t="str">
            <v>143782-23-4</v>
          </cell>
          <cell r="E3683">
            <v>143782234</v>
          </cell>
          <cell r="F3683">
            <v>1970</v>
          </cell>
          <cell r="G3683" t="str">
            <v>Reach_5028</v>
          </cell>
          <cell r="H3683">
            <v>3675</v>
          </cell>
          <cell r="J3683">
            <v>228.2</v>
          </cell>
          <cell r="K3683">
            <v>84.77</v>
          </cell>
          <cell r="L3683">
            <v>7.7847200000000005E-2</v>
          </cell>
          <cell r="M3683">
            <v>9.3162000000000003</v>
          </cell>
          <cell r="N3683">
            <v>24547.089156850321</v>
          </cell>
          <cell r="P3683">
            <v>0</v>
          </cell>
          <cell r="Q3683">
            <v>14</v>
          </cell>
        </row>
        <row r="3684">
          <cell r="D3684" t="str">
            <v>37486-69-4</v>
          </cell>
          <cell r="E3684">
            <v>37486694</v>
          </cell>
          <cell r="F3684">
            <v>2799</v>
          </cell>
          <cell r="G3684" t="str">
            <v>Reach_4914</v>
          </cell>
          <cell r="H3684">
            <v>3676</v>
          </cell>
          <cell r="J3684">
            <v>950.12</v>
          </cell>
          <cell r="K3684">
            <v>100.76</v>
          </cell>
          <cell r="L3684">
            <v>1.7595600000000003E-2</v>
          </cell>
          <cell r="M3684">
            <v>1.12E-10</v>
          </cell>
          <cell r="N3684">
            <v>1621810097358.9368</v>
          </cell>
          <cell r="Q3684">
            <v>14</v>
          </cell>
        </row>
        <row r="3685">
          <cell r="D3685" t="str">
            <v>221640-14-8</v>
          </cell>
          <cell r="E3685">
            <v>221640148</v>
          </cell>
          <cell r="F3685">
            <v>5780</v>
          </cell>
          <cell r="G3685" t="str">
            <v>Reach_4228</v>
          </cell>
          <cell r="H3685">
            <v>3677</v>
          </cell>
          <cell r="J3685">
            <v>444.41</v>
          </cell>
          <cell r="K3685">
            <v>0</v>
          </cell>
          <cell r="L3685">
            <v>0</v>
          </cell>
          <cell r="M3685">
            <v>0</v>
          </cell>
          <cell r="N3685">
            <v>0</v>
          </cell>
          <cell r="O3685">
            <v>0</v>
          </cell>
          <cell r="P3685">
            <v>0</v>
          </cell>
          <cell r="Q3685">
            <v>0</v>
          </cell>
        </row>
        <row r="3686">
          <cell r="D3686" t="str">
            <v>49715-04-0</v>
          </cell>
          <cell r="E3686">
            <v>49715040</v>
          </cell>
          <cell r="F3686">
            <v>2988</v>
          </cell>
          <cell r="G3686" t="str">
            <v>Reach_2764</v>
          </cell>
          <cell r="H3686">
            <v>3678</v>
          </cell>
          <cell r="J3686">
            <v>164.99</v>
          </cell>
          <cell r="K3686">
            <v>40.44</v>
          </cell>
          <cell r="L3686">
            <v>6.9449300000000003</v>
          </cell>
          <cell r="M3686">
            <v>17998</v>
          </cell>
          <cell r="N3686">
            <v>93.325430079699174</v>
          </cell>
          <cell r="O3686">
            <v>0</v>
          </cell>
          <cell r="P3686">
            <v>0</v>
          </cell>
          <cell r="Q3686">
            <v>0</v>
          </cell>
        </row>
        <row r="3687">
          <cell r="D3687" t="str">
            <v>4224-62-8</v>
          </cell>
          <cell r="E3687">
            <v>4224628</v>
          </cell>
          <cell r="F3687">
            <v>2891</v>
          </cell>
          <cell r="G3687" t="str">
            <v>Reach_4923</v>
          </cell>
          <cell r="H3687">
            <v>3679</v>
          </cell>
          <cell r="J3687">
            <v>150.6</v>
          </cell>
          <cell r="K3687">
            <v>55.54</v>
          </cell>
          <cell r="L3687">
            <v>1.2983420000000001</v>
          </cell>
          <cell r="M3687">
            <v>1801.8</v>
          </cell>
          <cell r="N3687">
            <v>204.17379446695315</v>
          </cell>
          <cell r="Q3687">
            <v>14</v>
          </cell>
        </row>
        <row r="3688">
          <cell r="D3688" t="str">
            <v>82104-74-3</v>
          </cell>
          <cell r="E3688">
            <v>82104743</v>
          </cell>
          <cell r="F3688">
            <v>3817</v>
          </cell>
          <cell r="G3688" t="str">
            <v>Reach_2962</v>
          </cell>
          <cell r="H3688">
            <v>3680</v>
          </cell>
          <cell r="J3688">
            <v>159.15</v>
          </cell>
          <cell r="K3688">
            <v>92.53</v>
          </cell>
          <cell r="L3688">
            <v>1.1623760000000002E-2</v>
          </cell>
          <cell r="M3688">
            <v>2773.8</v>
          </cell>
          <cell r="N3688">
            <v>1.8197008586099837</v>
          </cell>
          <cell r="Q3688">
            <v>14</v>
          </cell>
        </row>
        <row r="3689">
          <cell r="D3689" t="str">
            <v>13115-71-4</v>
          </cell>
          <cell r="E3689">
            <v>13115714</v>
          </cell>
          <cell r="F3689">
            <v>1846</v>
          </cell>
          <cell r="G3689" t="str">
            <v>Reach_4780</v>
          </cell>
          <cell r="H3689">
            <v>3681</v>
          </cell>
          <cell r="J3689">
            <v>203.2</v>
          </cell>
          <cell r="K3689">
            <v>308.08999999999997</v>
          </cell>
          <cell r="L3689">
            <v>1.5596100000000002E-9</v>
          </cell>
          <cell r="M3689">
            <v>34048</v>
          </cell>
          <cell r="N3689">
            <v>6.606934480075955E-4</v>
          </cell>
          <cell r="Q3689">
            <v>14</v>
          </cell>
        </row>
        <row r="3690">
          <cell r="D3690" t="str">
            <v>5324-06-1</v>
          </cell>
          <cell r="E3690">
            <v>5324061</v>
          </cell>
          <cell r="F3690">
            <v>1273</v>
          </cell>
          <cell r="G3690" t="str">
            <v>Reach_5003</v>
          </cell>
          <cell r="H3690">
            <v>3682</v>
          </cell>
          <cell r="J3690">
            <v>212.33</v>
          </cell>
          <cell r="K3690">
            <v>116.98</v>
          </cell>
          <cell r="L3690">
            <v>4.8254600000000004E-6</v>
          </cell>
          <cell r="M3690">
            <v>35414</v>
          </cell>
          <cell r="N3690">
            <v>8.1283051616409904E-2</v>
          </cell>
          <cell r="O3690">
            <v>13.99</v>
          </cell>
          <cell r="P3690">
            <v>0</v>
          </cell>
          <cell r="Q3690">
            <v>13.99</v>
          </cell>
        </row>
        <row r="3691">
          <cell r="D3691" t="str">
            <v>98-37-3</v>
          </cell>
          <cell r="E3691">
            <v>98373</v>
          </cell>
          <cell r="F3691">
            <v>4183</v>
          </cell>
          <cell r="G3691" t="str">
            <v>Reach_505</v>
          </cell>
          <cell r="H3691">
            <v>3683</v>
          </cell>
          <cell r="J3691">
            <v>189.19</v>
          </cell>
          <cell r="K3691">
            <v>160.82</v>
          </cell>
          <cell r="L3691">
            <v>1.1343830000000001E-6</v>
          </cell>
          <cell r="M3691">
            <v>126000</v>
          </cell>
          <cell r="N3691">
            <v>2.7542287033381651E-3</v>
          </cell>
          <cell r="Q3691">
            <v>14</v>
          </cell>
        </row>
        <row r="3692">
          <cell r="D3692" t="str">
            <v>282102-50-5</v>
          </cell>
          <cell r="E3692">
            <v>282102505</v>
          </cell>
          <cell r="F3692">
            <v>5815</v>
          </cell>
          <cell r="G3692" t="str">
            <v>Reach_4263</v>
          </cell>
          <cell r="H3692">
            <v>3684</v>
          </cell>
          <cell r="J3692">
            <v>469.6</v>
          </cell>
          <cell r="K3692">
            <v>0</v>
          </cell>
          <cell r="L3692">
            <v>0</v>
          </cell>
          <cell r="M3692">
            <v>0</v>
          </cell>
          <cell r="N3692">
            <v>0</v>
          </cell>
          <cell r="Q3692">
            <v>14</v>
          </cell>
        </row>
        <row r="3693">
          <cell r="D3693" t="str">
            <v>76-75-5</v>
          </cell>
          <cell r="E3693">
            <v>76755</v>
          </cell>
          <cell r="F3693">
            <v>877</v>
          </cell>
          <cell r="G3693" t="str">
            <v>Reach_177</v>
          </cell>
          <cell r="H3693">
            <v>3685</v>
          </cell>
          <cell r="J3693">
            <v>242.34</v>
          </cell>
          <cell r="K3693">
            <v>215.8</v>
          </cell>
          <cell r="L3693">
            <v>2.2794300000000002E-8</v>
          </cell>
          <cell r="M3693">
            <v>43.439</v>
          </cell>
          <cell r="N3693">
            <v>218.77616239495524</v>
          </cell>
          <cell r="O3693">
            <v>7.5</v>
          </cell>
          <cell r="P3693">
            <v>0</v>
          </cell>
          <cell r="Q3693">
            <v>7.5</v>
          </cell>
        </row>
        <row r="3694">
          <cell r="D3694" t="str">
            <v>62756-44-9</v>
          </cell>
          <cell r="E3694">
            <v>62756449</v>
          </cell>
          <cell r="F3694">
            <v>5958</v>
          </cell>
          <cell r="G3694" t="str">
            <v>Reach_4872</v>
          </cell>
          <cell r="H3694">
            <v>3686</v>
          </cell>
          <cell r="J3694">
            <v>129.13</v>
          </cell>
          <cell r="K3694">
            <v>0</v>
          </cell>
          <cell r="L3694">
            <v>0</v>
          </cell>
          <cell r="M3694">
            <v>0</v>
          </cell>
          <cell r="N3694">
            <v>0</v>
          </cell>
          <cell r="Q3694">
            <v>14</v>
          </cell>
        </row>
        <row r="3695">
          <cell r="D3695" t="str">
            <v>1174931-74-8</v>
          </cell>
          <cell r="E3695">
            <v>1174931748</v>
          </cell>
          <cell r="F3695">
            <v>1658</v>
          </cell>
          <cell r="G3695" t="str">
            <v>Reach_4694</v>
          </cell>
          <cell r="H3695">
            <v>3687</v>
          </cell>
          <cell r="J3695">
            <v>448.69</v>
          </cell>
          <cell r="K3695">
            <v>216.47</v>
          </cell>
          <cell r="L3695">
            <v>2.0528200000000004E-8</v>
          </cell>
          <cell r="M3695">
            <v>0.31201000000000001</v>
          </cell>
          <cell r="N3695">
            <v>52480746.024977304</v>
          </cell>
          <cell r="Q3695">
            <v>14</v>
          </cell>
        </row>
        <row r="3696">
          <cell r="D3696" t="str">
            <v>73263-40-8</v>
          </cell>
          <cell r="E3696">
            <v>73263408</v>
          </cell>
          <cell r="F3696">
            <v>6013</v>
          </cell>
          <cell r="G3696" t="str">
            <v>Reach_2938</v>
          </cell>
          <cell r="H3696">
            <v>3688</v>
          </cell>
          <cell r="J3696">
            <v>839.25</v>
          </cell>
          <cell r="K3696">
            <v>0</v>
          </cell>
          <cell r="L3696">
            <v>0</v>
          </cell>
          <cell r="M3696">
            <v>0</v>
          </cell>
          <cell r="N3696">
            <v>0</v>
          </cell>
          <cell r="Q3696">
            <v>14</v>
          </cell>
        </row>
        <row r="3697">
          <cell r="D3697" t="str">
            <v>68227-78-1</v>
          </cell>
          <cell r="E3697">
            <v>68227781</v>
          </cell>
          <cell r="F3697">
            <v>3512</v>
          </cell>
          <cell r="G3697" t="str">
            <v>Reach_2902</v>
          </cell>
          <cell r="H3697">
            <v>3689</v>
          </cell>
          <cell r="J3697">
            <v>565.03</v>
          </cell>
          <cell r="K3697">
            <v>349.84</v>
          </cell>
          <cell r="L3697">
            <v>1.1170540000000001E-20</v>
          </cell>
          <cell r="M3697">
            <v>1.304E-4</v>
          </cell>
          <cell r="N3697">
            <v>512861383.99136776</v>
          </cell>
          <cell r="Q3697">
            <v>14</v>
          </cell>
        </row>
        <row r="3698">
          <cell r="D3698" t="str">
            <v>64-04-0</v>
          </cell>
          <cell r="E3698">
            <v>64040</v>
          </cell>
          <cell r="F3698">
            <v>3423</v>
          </cell>
          <cell r="G3698" t="str">
            <v>Reach_69</v>
          </cell>
          <cell r="H3698">
            <v>3690</v>
          </cell>
          <cell r="J3698">
            <v>121.18</v>
          </cell>
          <cell r="K3698">
            <v>10.89</v>
          </cell>
          <cell r="L3698">
            <v>54.5197</v>
          </cell>
          <cell r="M3698">
            <v>1244.0999999999999</v>
          </cell>
          <cell r="N3698">
            <v>21.877616239495538</v>
          </cell>
          <cell r="Q3698">
            <v>14</v>
          </cell>
        </row>
        <row r="3699">
          <cell r="D3699" t="str">
            <v>284462-37-9</v>
          </cell>
          <cell r="E3699">
            <v>284462379</v>
          </cell>
          <cell r="F3699">
            <v>2532</v>
          </cell>
          <cell r="G3699" t="str">
            <v>Reach_4265</v>
          </cell>
          <cell r="H3699">
            <v>3691</v>
          </cell>
          <cell r="J3699">
            <v>243.27</v>
          </cell>
          <cell r="K3699">
            <v>189.31</v>
          </cell>
          <cell r="L3699">
            <v>1.2343580000000001E-6</v>
          </cell>
          <cell r="M3699">
            <v>2493.1999999999998</v>
          </cell>
          <cell r="N3699">
            <v>63.095734448019364</v>
          </cell>
          <cell r="O3699">
            <v>14.8</v>
          </cell>
          <cell r="P3699">
            <v>9.07</v>
          </cell>
          <cell r="Q3699">
            <v>4.93</v>
          </cell>
        </row>
        <row r="3700">
          <cell r="D3700" t="str">
            <v>1231148-36-9</v>
          </cell>
          <cell r="E3700">
            <v>1231148369</v>
          </cell>
          <cell r="F3700">
            <v>1762</v>
          </cell>
          <cell r="G3700" t="str">
            <v>Reach_4952</v>
          </cell>
          <cell r="H3700">
            <v>3692</v>
          </cell>
          <cell r="J3700">
            <v>516.55999999999995</v>
          </cell>
          <cell r="K3700">
            <v>291.44</v>
          </cell>
          <cell r="L3700">
            <v>1.6529200000000001E-13</v>
          </cell>
          <cell r="M3700">
            <v>7.0379999999999998E-4</v>
          </cell>
          <cell r="N3700">
            <v>851138.03820237669</v>
          </cell>
          <cell r="O3700">
            <v>0</v>
          </cell>
          <cell r="Q3700">
            <v>0</v>
          </cell>
        </row>
        <row r="3701">
          <cell r="D3701" t="str">
            <v>536759-91-8</v>
          </cell>
          <cell r="E3701">
            <v>536759918</v>
          </cell>
          <cell r="F3701">
            <v>3108</v>
          </cell>
          <cell r="G3701" t="str">
            <v>Reach_4347</v>
          </cell>
          <cell r="H3701">
            <v>3693</v>
          </cell>
          <cell r="J3701">
            <v>436.43</v>
          </cell>
          <cell r="K3701">
            <v>264.47000000000003</v>
          </cell>
          <cell r="L3701">
            <v>1.2010330000000001E-11</v>
          </cell>
          <cell r="M3701">
            <v>2.7349000000000001</v>
          </cell>
          <cell r="N3701">
            <v>11481.536214968832</v>
          </cell>
          <cell r="P3701">
            <v>14.19</v>
          </cell>
          <cell r="Q3701">
            <v>-0.1899999999999995</v>
          </cell>
        </row>
        <row r="3702">
          <cell r="D3702" t="str">
            <v>181525-38-2</v>
          </cell>
          <cell r="E3702">
            <v>181525382</v>
          </cell>
          <cell r="F3702">
            <v>2168</v>
          </cell>
          <cell r="G3702" t="str">
            <v>Reach_4184</v>
          </cell>
          <cell r="H3702">
            <v>3694</v>
          </cell>
          <cell r="J3702">
            <v>220.23</v>
          </cell>
          <cell r="K3702">
            <v>181.32</v>
          </cell>
          <cell r="L3702">
            <v>2.3727400000000003E-8</v>
          </cell>
          <cell r="M3702">
            <v>675.62</v>
          </cell>
          <cell r="N3702">
            <v>0.61659500186148219</v>
          </cell>
          <cell r="O3702">
            <v>15.9</v>
          </cell>
          <cell r="P3702">
            <v>12.33</v>
          </cell>
          <cell r="Q3702">
            <v>1.67</v>
          </cell>
        </row>
        <row r="3703">
          <cell r="D3703" t="str">
            <v>39672-75-8</v>
          </cell>
          <cell r="E3703">
            <v>39672758</v>
          </cell>
          <cell r="F3703">
            <v>2847</v>
          </cell>
          <cell r="G3703" t="str">
            <v>Reach_4311</v>
          </cell>
          <cell r="H3703">
            <v>3695</v>
          </cell>
          <cell r="J3703">
            <v>414.5</v>
          </cell>
          <cell r="K3703">
            <v>212.73</v>
          </cell>
          <cell r="L3703">
            <v>2.46605E-10</v>
          </cell>
          <cell r="M3703">
            <v>44.014000000000003</v>
          </cell>
          <cell r="N3703">
            <v>275.42287033381683</v>
          </cell>
          <cell r="P3703">
            <v>0</v>
          </cell>
          <cell r="Q3703">
            <v>14</v>
          </cell>
        </row>
        <row r="3704">
          <cell r="D3704" t="str">
            <v>583-39-1</v>
          </cell>
          <cell r="E3704">
            <v>583391</v>
          </cell>
          <cell r="F3704">
            <v>3244</v>
          </cell>
          <cell r="G3704" t="str">
            <v>Reach_1382</v>
          </cell>
          <cell r="H3704">
            <v>3696</v>
          </cell>
          <cell r="J3704">
            <v>150.21</v>
          </cell>
          <cell r="K3704">
            <v>118.91</v>
          </cell>
          <cell r="L3704">
            <v>4.7854699999999998E-6</v>
          </cell>
          <cell r="M3704">
            <v>1127.0999999999999</v>
          </cell>
          <cell r="N3704">
            <v>85.113803820237663</v>
          </cell>
          <cell r="O3704">
            <v>11.6</v>
          </cell>
          <cell r="Q3704">
            <v>11.6</v>
          </cell>
        </row>
        <row r="3705">
          <cell r="D3705" t="str">
            <v>221640-21-7</v>
          </cell>
          <cell r="E3705">
            <v>221640217</v>
          </cell>
          <cell r="F3705">
            <v>5781</v>
          </cell>
          <cell r="G3705" t="str">
            <v>Reach_4229</v>
          </cell>
          <cell r="H3705">
            <v>3697</v>
          </cell>
          <cell r="J3705">
            <v>310.27</v>
          </cell>
          <cell r="K3705">
            <v>0</v>
          </cell>
          <cell r="L3705">
            <v>0</v>
          </cell>
          <cell r="M3705">
            <v>0</v>
          </cell>
          <cell r="N3705">
            <v>0</v>
          </cell>
          <cell r="Q3705">
            <v>14</v>
          </cell>
        </row>
        <row r="3706">
          <cell r="D3706" t="str">
            <v>1122460-01-8</v>
          </cell>
          <cell r="E3706">
            <v>1122460018</v>
          </cell>
          <cell r="F3706">
            <v>1579</v>
          </cell>
          <cell r="G3706" t="str">
            <v>Reach_4797</v>
          </cell>
          <cell r="H3706">
            <v>3698</v>
          </cell>
          <cell r="J3706">
            <v>255.36</v>
          </cell>
          <cell r="K3706">
            <v>134.16</v>
          </cell>
          <cell r="L3706">
            <v>2.9192700000000004E-4</v>
          </cell>
          <cell r="M3706">
            <v>63.621000000000002</v>
          </cell>
          <cell r="N3706">
            <v>724.43596007499025</v>
          </cell>
          <cell r="Q3706">
            <v>14</v>
          </cell>
        </row>
        <row r="3707">
          <cell r="D3707" t="str">
            <v>947701-81-7</v>
          </cell>
          <cell r="E3707">
            <v>947701817</v>
          </cell>
          <cell r="F3707">
            <v>4114</v>
          </cell>
          <cell r="G3707" t="str">
            <v>Reach_4950</v>
          </cell>
          <cell r="H3707">
            <v>3699</v>
          </cell>
          <cell r="J3707">
            <v>401.55</v>
          </cell>
          <cell r="K3707">
            <v>206.33</v>
          </cell>
          <cell r="L3707">
            <v>1.9595100000000003E-8</v>
          </cell>
          <cell r="M3707">
            <v>1.5351E-3</v>
          </cell>
          <cell r="N3707">
            <v>194984459.97580433</v>
          </cell>
          <cell r="O3707">
            <v>0</v>
          </cell>
          <cell r="Q3707">
            <v>0</v>
          </cell>
        </row>
        <row r="3708">
          <cell r="D3708" t="str">
            <v>61358-25-6</v>
          </cell>
          <cell r="E3708">
            <v>61358256</v>
          </cell>
          <cell r="F3708">
            <v>5950</v>
          </cell>
          <cell r="G3708" t="str">
            <v>Reach_4565</v>
          </cell>
          <cell r="H3708">
            <v>3700</v>
          </cell>
          <cell r="J3708">
            <v>538.29</v>
          </cell>
          <cell r="K3708">
            <v>0</v>
          </cell>
          <cell r="L3708">
            <v>0</v>
          </cell>
          <cell r="M3708">
            <v>0</v>
          </cell>
          <cell r="N3708">
            <v>0</v>
          </cell>
          <cell r="Q3708">
            <v>14</v>
          </cell>
        </row>
        <row r="3709">
          <cell r="D3709" t="str">
            <v>39648-67-4</v>
          </cell>
          <cell r="E3709">
            <v>39648674</v>
          </cell>
          <cell r="F3709">
            <v>2845</v>
          </cell>
          <cell r="G3709" t="str">
            <v>Reach_4310</v>
          </cell>
          <cell r="H3709">
            <v>3701</v>
          </cell>
          <cell r="J3709">
            <v>348.29</v>
          </cell>
          <cell r="K3709">
            <v>90.27</v>
          </cell>
          <cell r="L3709">
            <v>2.3727400000000003E-8</v>
          </cell>
          <cell r="M3709">
            <v>4.4100000000000001E-5</v>
          </cell>
          <cell r="N3709">
            <v>169824.36524617471</v>
          </cell>
          <cell r="O3709">
            <v>1.5</v>
          </cell>
          <cell r="Q3709">
            <v>1.5</v>
          </cell>
        </row>
        <row r="3710">
          <cell r="D3710" t="str">
            <v>198979-98-5</v>
          </cell>
          <cell r="E3710">
            <v>198979985</v>
          </cell>
          <cell r="F3710">
            <v>6399</v>
          </cell>
          <cell r="G3710" t="str">
            <v>Reach_5008</v>
          </cell>
          <cell r="H3710">
            <v>3702</v>
          </cell>
          <cell r="J3710">
            <v>1071.3</v>
          </cell>
          <cell r="K3710">
            <v>0</v>
          </cell>
          <cell r="L3710">
            <v>0</v>
          </cell>
          <cell r="M3710">
            <v>0</v>
          </cell>
          <cell r="N3710">
            <v>0</v>
          </cell>
          <cell r="O3710">
            <v>0</v>
          </cell>
          <cell r="Q3710">
            <v>0</v>
          </cell>
        </row>
        <row r="3711">
          <cell r="D3711" t="str">
            <v>5405-40-3</v>
          </cell>
          <cell r="E3711">
            <v>5405403</v>
          </cell>
          <cell r="F3711">
            <v>3120</v>
          </cell>
          <cell r="G3711" t="str">
            <v>Reach_4580</v>
          </cell>
          <cell r="H3711">
            <v>3703</v>
          </cell>
          <cell r="J3711">
            <v>130.13999999999999</v>
          </cell>
          <cell r="K3711">
            <v>31.22</v>
          </cell>
          <cell r="L3711">
            <v>5.4919600000000006E-2</v>
          </cell>
          <cell r="M3711">
            <v>184000</v>
          </cell>
          <cell r="N3711">
            <v>0.10715193052376064</v>
          </cell>
          <cell r="O3711">
            <v>12.62</v>
          </cell>
          <cell r="Q3711">
            <v>12.62</v>
          </cell>
        </row>
        <row r="3712">
          <cell r="D3712" t="str">
            <v>31775-89-0</v>
          </cell>
          <cell r="E3712">
            <v>31775890</v>
          </cell>
          <cell r="F3712">
            <v>2633</v>
          </cell>
          <cell r="G3712" t="str">
            <v>Reach_4825</v>
          </cell>
          <cell r="H3712">
            <v>3704</v>
          </cell>
          <cell r="J3712">
            <v>544.77</v>
          </cell>
          <cell r="K3712">
            <v>195.7</v>
          </cell>
          <cell r="L3712">
            <v>2.2794300000000003E-9</v>
          </cell>
          <cell r="M3712">
            <v>0.85279000000000005</v>
          </cell>
          <cell r="N3712">
            <v>18197.008586099837</v>
          </cell>
          <cell r="O3712">
            <v>8.9499999999999993</v>
          </cell>
          <cell r="P3712">
            <v>0</v>
          </cell>
          <cell r="Q3712">
            <v>8.9499999999999993</v>
          </cell>
        </row>
        <row r="3713">
          <cell r="D3713" t="str">
            <v>51076-95-0</v>
          </cell>
          <cell r="E3713">
            <v>51076950</v>
          </cell>
          <cell r="F3713">
            <v>3027</v>
          </cell>
          <cell r="G3713" t="str">
            <v>Reach_4587</v>
          </cell>
          <cell r="H3713">
            <v>3705</v>
          </cell>
          <cell r="J3713">
            <v>196.67</v>
          </cell>
          <cell r="K3713">
            <v>10.6</v>
          </cell>
          <cell r="L3713">
            <v>16.529200000000003</v>
          </cell>
          <cell r="M3713">
            <v>560.21</v>
          </cell>
          <cell r="N3713">
            <v>724.43596007499025</v>
          </cell>
          <cell r="Q3713">
            <v>14</v>
          </cell>
        </row>
        <row r="3714">
          <cell r="D3714" t="str">
            <v>66422-95-5</v>
          </cell>
          <cell r="E3714">
            <v>66422955</v>
          </cell>
          <cell r="F3714">
            <v>5980</v>
          </cell>
          <cell r="G3714" t="str">
            <v>Reach_2880</v>
          </cell>
          <cell r="H3714">
            <v>3706</v>
          </cell>
          <cell r="J3714">
            <v>241.12</v>
          </cell>
          <cell r="K3714">
            <v>0</v>
          </cell>
          <cell r="L3714">
            <v>0</v>
          </cell>
          <cell r="M3714">
            <v>0</v>
          </cell>
          <cell r="N3714">
            <v>0</v>
          </cell>
          <cell r="Q3714">
            <v>14</v>
          </cell>
        </row>
        <row r="3715">
          <cell r="D3715" t="str">
            <v>28950-61-0</v>
          </cell>
          <cell r="E3715">
            <v>28950610</v>
          </cell>
          <cell r="F3715">
            <v>5821</v>
          </cell>
          <cell r="G3715" t="str">
            <v>Reach_2626</v>
          </cell>
          <cell r="H3715">
            <v>3707</v>
          </cell>
          <cell r="J3715">
            <v>1129</v>
          </cell>
          <cell r="K3715">
            <v>0</v>
          </cell>
          <cell r="L3715">
            <v>0</v>
          </cell>
          <cell r="M3715">
            <v>0</v>
          </cell>
          <cell r="N3715">
            <v>0</v>
          </cell>
          <cell r="Q3715">
            <v>14</v>
          </cell>
        </row>
        <row r="3716">
          <cell r="D3716" t="str">
            <v>86357-14-4</v>
          </cell>
          <cell r="E3716">
            <v>86357144</v>
          </cell>
          <cell r="F3716">
            <v>3905</v>
          </cell>
          <cell r="G3716" t="str">
            <v>Reach_4475</v>
          </cell>
          <cell r="H3716">
            <v>3708</v>
          </cell>
          <cell r="J3716">
            <v>381.35</v>
          </cell>
          <cell r="K3716">
            <v>304.93</v>
          </cell>
          <cell r="L3716">
            <v>1.8928600000000001E-14</v>
          </cell>
          <cell r="M3716">
            <v>13920</v>
          </cell>
          <cell r="N3716">
            <v>0.16218100973589297</v>
          </cell>
          <cell r="Q3716">
            <v>14</v>
          </cell>
        </row>
        <row r="3717">
          <cell r="D3717" t="str">
            <v>6448-95-9</v>
          </cell>
          <cell r="E3717">
            <v>6448959</v>
          </cell>
          <cell r="F3717">
            <v>3436</v>
          </cell>
          <cell r="G3717" t="str">
            <v>Reach_2188</v>
          </cell>
          <cell r="H3717">
            <v>3709</v>
          </cell>
          <cell r="J3717">
            <v>426.44</v>
          </cell>
          <cell r="K3717">
            <v>289.98</v>
          </cell>
          <cell r="L3717">
            <v>1.171707E-14</v>
          </cell>
          <cell r="M3717">
            <v>2.3376000000000001E-2</v>
          </cell>
          <cell r="N3717">
            <v>169824365.24617496</v>
          </cell>
          <cell r="O3717">
            <v>9.3699999999999992</v>
          </cell>
          <cell r="Q3717">
            <v>9.3699999999999992</v>
          </cell>
        </row>
        <row r="3718">
          <cell r="D3718" t="str">
            <v>1164-92-7</v>
          </cell>
          <cell r="E3718">
            <v>1164927</v>
          </cell>
          <cell r="F3718">
            <v>1649</v>
          </cell>
          <cell r="G3718" t="str">
            <v>Reach_4088</v>
          </cell>
          <cell r="H3718">
            <v>3710</v>
          </cell>
          <cell r="J3718">
            <v>332.48</v>
          </cell>
          <cell r="K3718">
            <v>144.57</v>
          </cell>
          <cell r="L3718">
            <v>8.6111800000000018E-5</v>
          </cell>
          <cell r="M3718">
            <v>5.3407999999999998</v>
          </cell>
          <cell r="N3718">
            <v>11748.975549395318</v>
          </cell>
          <cell r="O3718">
            <v>0</v>
          </cell>
          <cell r="Q3718">
            <v>0</v>
          </cell>
        </row>
        <row r="3719">
          <cell r="D3719" t="str">
            <v>84449-85-4</v>
          </cell>
          <cell r="E3719">
            <v>84449854</v>
          </cell>
          <cell r="F3719">
            <v>6052</v>
          </cell>
          <cell r="G3719" t="str">
            <v>Reach_4711</v>
          </cell>
          <cell r="H3719">
            <v>3711</v>
          </cell>
          <cell r="J3719">
            <v>666.23</v>
          </cell>
          <cell r="K3719">
            <v>0</v>
          </cell>
          <cell r="L3719">
            <v>0</v>
          </cell>
          <cell r="M3719">
            <v>0</v>
          </cell>
          <cell r="N3719">
            <v>0</v>
          </cell>
          <cell r="Q3719">
            <v>14</v>
          </cell>
        </row>
        <row r="3720">
          <cell r="D3720" t="str">
            <v>1132935-63-7</v>
          </cell>
          <cell r="E3720">
            <v>1132935637</v>
          </cell>
          <cell r="F3720">
            <v>1615</v>
          </cell>
          <cell r="G3720" t="str">
            <v>Reach_5065</v>
          </cell>
          <cell r="H3720">
            <v>3712</v>
          </cell>
          <cell r="J3720">
            <v>493.58</v>
          </cell>
          <cell r="K3720">
            <v>349.64</v>
          </cell>
          <cell r="L3720">
            <v>1.2983420000000001E-17</v>
          </cell>
          <cell r="M3720">
            <v>2.6319999999999998E-3</v>
          </cell>
          <cell r="N3720">
            <v>18620.871366628675</v>
          </cell>
          <cell r="O3720">
            <v>8.58</v>
          </cell>
          <cell r="Q3720">
            <v>8.58</v>
          </cell>
        </row>
        <row r="3721">
          <cell r="D3721" t="str">
            <v>593-60-2</v>
          </cell>
          <cell r="E3721">
            <v>593602</v>
          </cell>
          <cell r="F3721">
            <v>3274</v>
          </cell>
          <cell r="G3721" t="str">
            <v>Reach_1395</v>
          </cell>
          <cell r="H3721">
            <v>3713</v>
          </cell>
          <cell r="J3721">
            <v>106.96</v>
          </cell>
          <cell r="K3721">
            <v>-93.54</v>
          </cell>
          <cell r="L3721">
            <v>139965</v>
          </cell>
          <cell r="M3721">
            <v>6067</v>
          </cell>
          <cell r="N3721">
            <v>33.113112148259127</v>
          </cell>
          <cell r="Q3721">
            <v>14</v>
          </cell>
        </row>
        <row r="3722">
          <cell r="D3722" t="str">
            <v>1173807-85-6</v>
          </cell>
          <cell r="E3722">
            <v>1173807856</v>
          </cell>
          <cell r="F3722">
            <v>5615</v>
          </cell>
          <cell r="G3722" t="str">
            <v>Reach_4654</v>
          </cell>
          <cell r="H3722">
            <v>3714</v>
          </cell>
          <cell r="J3722">
            <v>408.47</v>
          </cell>
          <cell r="K3722">
            <v>0</v>
          </cell>
          <cell r="L3722">
            <v>0</v>
          </cell>
          <cell r="M3722">
            <v>0</v>
          </cell>
          <cell r="N3722">
            <v>0</v>
          </cell>
          <cell r="Q3722">
            <v>14</v>
          </cell>
        </row>
        <row r="3723">
          <cell r="D3723" t="str">
            <v>52603-48-2</v>
          </cell>
          <cell r="E3723">
            <v>52603482</v>
          </cell>
          <cell r="F3723">
            <v>3065</v>
          </cell>
          <cell r="G3723" t="str">
            <v>Reach_4337</v>
          </cell>
          <cell r="H3723">
            <v>3715</v>
          </cell>
          <cell r="J3723">
            <v>163.21</v>
          </cell>
          <cell r="K3723">
            <v>118.39</v>
          </cell>
          <cell r="L3723">
            <v>3.6390900000000002E-3</v>
          </cell>
          <cell r="M3723">
            <v>1807.5</v>
          </cell>
          <cell r="N3723">
            <v>12.302687708123818</v>
          </cell>
          <cell r="O3723">
            <v>0</v>
          </cell>
          <cell r="P3723">
            <v>0</v>
          </cell>
          <cell r="Q3723">
            <v>0</v>
          </cell>
        </row>
        <row r="3724">
          <cell r="D3724" t="str">
            <v>1424-00-6</v>
          </cell>
          <cell r="E3724">
            <v>1424006</v>
          </cell>
          <cell r="F3724">
            <v>1955</v>
          </cell>
          <cell r="G3724" t="str">
            <v>Reach_1679</v>
          </cell>
          <cell r="H3724">
            <v>3716</v>
          </cell>
          <cell r="J3724">
            <v>304.47000000000003</v>
          </cell>
          <cell r="K3724">
            <v>144.5</v>
          </cell>
          <cell r="L3724">
            <v>4.6121800000000005E-7</v>
          </cell>
          <cell r="M3724">
            <v>3.9821</v>
          </cell>
          <cell r="N3724">
            <v>3019.9517204020176</v>
          </cell>
          <cell r="Q3724">
            <v>14</v>
          </cell>
        </row>
        <row r="3725">
          <cell r="D3725" t="str">
            <v>446292-08-6</v>
          </cell>
          <cell r="E3725">
            <v>446292086</v>
          </cell>
          <cell r="F3725">
            <v>2930</v>
          </cell>
          <cell r="G3725" t="str">
            <v>Reach_4327</v>
          </cell>
          <cell r="H3725">
            <v>3717</v>
          </cell>
          <cell r="J3725">
            <v>421.41</v>
          </cell>
          <cell r="K3725">
            <v>314.70999999999998</v>
          </cell>
          <cell r="L3725">
            <v>3.9056900000000006E-15</v>
          </cell>
          <cell r="M3725">
            <v>450.93</v>
          </cell>
          <cell r="N3725">
            <v>104.71285480508998</v>
          </cell>
          <cell r="O3725">
            <v>0</v>
          </cell>
          <cell r="Q3725">
            <v>0</v>
          </cell>
        </row>
        <row r="3726">
          <cell r="D3726" t="str">
            <v>676532-44-8</v>
          </cell>
          <cell r="E3726">
            <v>676532448</v>
          </cell>
          <cell r="F3726">
            <v>3498</v>
          </cell>
          <cell r="G3726" t="str">
            <v>Reach_4769</v>
          </cell>
          <cell r="H3726">
            <v>3718</v>
          </cell>
          <cell r="J3726">
            <v>268.39999999999998</v>
          </cell>
          <cell r="K3726">
            <v>46.3</v>
          </cell>
          <cell r="L3726">
            <v>0.19461800000000001</v>
          </cell>
          <cell r="M3726">
            <v>66.897999999999996</v>
          </cell>
          <cell r="N3726">
            <v>79432.823472428237</v>
          </cell>
          <cell r="Q3726">
            <v>14</v>
          </cell>
        </row>
        <row r="3727">
          <cell r="D3727" t="str">
            <v>1072-15-7</v>
          </cell>
          <cell r="E3727">
            <v>1072157</v>
          </cell>
          <cell r="F3727">
            <v>5602</v>
          </cell>
          <cell r="G3727" t="str">
            <v>Reach_1641</v>
          </cell>
          <cell r="H3727">
            <v>3719</v>
          </cell>
          <cell r="J3727">
            <v>246.3</v>
          </cell>
          <cell r="K3727">
            <v>0</v>
          </cell>
          <cell r="L3727">
            <v>0</v>
          </cell>
          <cell r="M3727">
            <v>0</v>
          </cell>
          <cell r="N3727">
            <v>0</v>
          </cell>
          <cell r="Q3727">
            <v>14</v>
          </cell>
        </row>
        <row r="3728">
          <cell r="D3728" t="str">
            <v>446292-07-5</v>
          </cell>
          <cell r="E3728">
            <v>446292075</v>
          </cell>
          <cell r="F3728">
            <v>2929</v>
          </cell>
          <cell r="G3728" t="str">
            <v>Reach_4326</v>
          </cell>
          <cell r="H3728">
            <v>3720</v>
          </cell>
          <cell r="J3728">
            <v>395.42</v>
          </cell>
          <cell r="K3728">
            <v>294.27</v>
          </cell>
          <cell r="L3728">
            <v>8.1712900000000008E-17</v>
          </cell>
          <cell r="M3728">
            <v>616.71</v>
          </cell>
          <cell r="N3728">
            <v>1.9498445997580454</v>
          </cell>
          <cell r="P3728">
            <v>10.23</v>
          </cell>
          <cell r="Q3728">
            <v>3.7699999999999996</v>
          </cell>
        </row>
        <row r="3729">
          <cell r="D3729" t="str">
            <v>104966-97-4</v>
          </cell>
          <cell r="E3729">
            <v>104966974</v>
          </cell>
          <cell r="F3729">
            <v>1404</v>
          </cell>
          <cell r="G3729" t="str">
            <v>Reach_4737</v>
          </cell>
          <cell r="H3729">
            <v>3721</v>
          </cell>
          <cell r="J3729">
            <v>338.44</v>
          </cell>
          <cell r="K3729">
            <v>195.03</v>
          </cell>
          <cell r="L3729">
            <v>5.6119300000000009E-9</v>
          </cell>
          <cell r="M3729">
            <v>6.1014999999999997</v>
          </cell>
          <cell r="N3729">
            <v>23442.288153199243</v>
          </cell>
          <cell r="P3729">
            <v>0</v>
          </cell>
          <cell r="Q3729">
            <v>14</v>
          </cell>
        </row>
        <row r="3730">
          <cell r="D3730" t="str">
            <v>6358-37-8</v>
          </cell>
          <cell r="E3730">
            <v>6358378</v>
          </cell>
          <cell r="F3730">
            <v>3408</v>
          </cell>
          <cell r="G3730" t="str">
            <v>Reach_2169</v>
          </cell>
          <cell r="H3730">
            <v>3722</v>
          </cell>
          <cell r="J3730">
            <v>657.56</v>
          </cell>
          <cell r="K3730">
            <v>349.84</v>
          </cell>
          <cell r="L3730">
            <v>2.73265E-20</v>
          </cell>
          <cell r="M3730">
            <v>1.3499999999999999E-5</v>
          </cell>
          <cell r="N3730">
            <v>141253754.46227598</v>
          </cell>
          <cell r="Q3730">
            <v>14</v>
          </cell>
        </row>
        <row r="3731">
          <cell r="D3731" t="str">
            <v>183208-35-7</v>
          </cell>
          <cell r="E3731">
            <v>183208357</v>
          </cell>
          <cell r="F3731">
            <v>2180</v>
          </cell>
          <cell r="G3731" t="str">
            <v>Reach_4590</v>
          </cell>
          <cell r="H3731">
            <v>3723</v>
          </cell>
          <cell r="J3731">
            <v>197.04</v>
          </cell>
          <cell r="K3731">
            <v>89.48</v>
          </cell>
          <cell r="L3731">
            <v>6.1851200000000009E-2</v>
          </cell>
          <cell r="M3731">
            <v>955.65</v>
          </cell>
          <cell r="N3731">
            <v>83.176377110267126</v>
          </cell>
          <cell r="Q3731">
            <v>14</v>
          </cell>
        </row>
        <row r="3732">
          <cell r="D3732" t="str">
            <v>59886-90-7</v>
          </cell>
          <cell r="E3732">
            <v>59886907</v>
          </cell>
          <cell r="F3732">
            <v>3294</v>
          </cell>
          <cell r="G3732" t="str">
            <v>Reach_4368</v>
          </cell>
          <cell r="H3732">
            <v>3724</v>
          </cell>
          <cell r="J3732">
            <v>157.6</v>
          </cell>
          <cell r="K3732">
            <v>72.3</v>
          </cell>
          <cell r="L3732">
            <v>0.34658</v>
          </cell>
          <cell r="M3732">
            <v>675.98</v>
          </cell>
          <cell r="N3732">
            <v>2.5118864315095806</v>
          </cell>
          <cell r="P3732">
            <v>13.7</v>
          </cell>
          <cell r="Q3732">
            <v>0.30000000000000071</v>
          </cell>
        </row>
        <row r="3733">
          <cell r="D3733" t="str">
            <v>81778-06-5</v>
          </cell>
          <cell r="E3733">
            <v>81778065</v>
          </cell>
          <cell r="F3733">
            <v>3812</v>
          </cell>
          <cell r="G3733" t="str">
            <v>Reach_4629</v>
          </cell>
          <cell r="H3733">
            <v>3725</v>
          </cell>
          <cell r="J3733">
            <v>151.59</v>
          </cell>
          <cell r="K3733">
            <v>102.94</v>
          </cell>
          <cell r="L3733">
            <v>5.4253100000000007E-4</v>
          </cell>
          <cell r="M3733">
            <v>28627</v>
          </cell>
          <cell r="N3733">
            <v>2.1379620895022322</v>
          </cell>
          <cell r="P3733">
            <v>0</v>
          </cell>
          <cell r="Q3733">
            <v>14</v>
          </cell>
        </row>
        <row r="3734">
          <cell r="D3734" t="str">
            <v>2004-62-8</v>
          </cell>
          <cell r="E3734">
            <v>2004628</v>
          </cell>
          <cell r="F3734">
            <v>2249</v>
          </cell>
          <cell r="G3734" t="str">
            <v>Reach_4772</v>
          </cell>
          <cell r="H3734">
            <v>3726</v>
          </cell>
          <cell r="J3734">
            <v>222.34</v>
          </cell>
          <cell r="K3734">
            <v>127.11</v>
          </cell>
          <cell r="L3734">
            <v>3.5857700000000006E-4</v>
          </cell>
          <cell r="M3734">
            <v>56366</v>
          </cell>
          <cell r="N3734">
            <v>1.9952623149688797</v>
          </cell>
          <cell r="P3734">
            <v>5.63</v>
          </cell>
          <cell r="Q3734">
            <v>8.370000000000001</v>
          </cell>
        </row>
        <row r="3735">
          <cell r="D3735" t="str">
            <v>7450-69-3</v>
          </cell>
          <cell r="E3735">
            <v>7450693</v>
          </cell>
          <cell r="F3735">
            <v>3638</v>
          </cell>
          <cell r="G3735" t="str">
            <v>Reach_2251</v>
          </cell>
          <cell r="H3735">
            <v>3727</v>
          </cell>
          <cell r="J3735">
            <v>172.13</v>
          </cell>
          <cell r="K3735">
            <v>70.099999999999994</v>
          </cell>
          <cell r="L3735">
            <v>6.9849200000000014E-2</v>
          </cell>
          <cell r="M3735">
            <v>98710</v>
          </cell>
          <cell r="N3735">
            <v>0.16982436524617442</v>
          </cell>
          <cell r="Q3735">
            <v>14</v>
          </cell>
        </row>
        <row r="3736">
          <cell r="D3736" t="str">
            <v>16851-82-4</v>
          </cell>
          <cell r="E3736">
            <v>16851824</v>
          </cell>
          <cell r="F3736">
            <v>2113</v>
          </cell>
          <cell r="G3736" t="str">
            <v>Reach_4578</v>
          </cell>
          <cell r="H3736">
            <v>3728</v>
          </cell>
          <cell r="J3736">
            <v>207.25</v>
          </cell>
          <cell r="K3736">
            <v>109.66</v>
          </cell>
          <cell r="L3736">
            <v>3.6924100000000001E-3</v>
          </cell>
          <cell r="M3736">
            <v>1142.3</v>
          </cell>
          <cell r="N3736">
            <v>154.8816618912482</v>
          </cell>
          <cell r="P3736">
            <v>14.99</v>
          </cell>
          <cell r="Q3736">
            <v>-0.99000000000000021</v>
          </cell>
        </row>
        <row r="3737">
          <cell r="D3737" t="str">
            <v>189956-45-4</v>
          </cell>
          <cell r="E3737">
            <v>189956454</v>
          </cell>
          <cell r="F3737">
            <v>2220</v>
          </cell>
          <cell r="G3737" t="str">
            <v>Reach_4197</v>
          </cell>
          <cell r="H3737">
            <v>3729</v>
          </cell>
          <cell r="J3737">
            <v>212.22</v>
          </cell>
          <cell r="K3737">
            <v>204.27</v>
          </cell>
          <cell r="L3737">
            <v>1.3076730000000003E-7</v>
          </cell>
          <cell r="M3737">
            <v>1237.7</v>
          </cell>
          <cell r="N3737">
            <v>3.5481338923357555</v>
          </cell>
          <cell r="O3737">
            <v>9.2899999999999991</v>
          </cell>
          <cell r="P3737">
            <v>8.85</v>
          </cell>
          <cell r="Q3737">
            <v>5.15</v>
          </cell>
        </row>
        <row r="3738">
          <cell r="D3738" t="str">
            <v>21331-43-1</v>
          </cell>
          <cell r="E3738">
            <v>21331431</v>
          </cell>
          <cell r="F3738">
            <v>2290</v>
          </cell>
          <cell r="G3738" t="str">
            <v>Reach_4216</v>
          </cell>
          <cell r="H3738">
            <v>3730</v>
          </cell>
          <cell r="J3738">
            <v>226.3</v>
          </cell>
          <cell r="K3738">
            <v>162.03</v>
          </cell>
          <cell r="L3738">
            <v>2.5593600000000002E-5</v>
          </cell>
          <cell r="M3738">
            <v>5.2312000000000003</v>
          </cell>
          <cell r="N3738">
            <v>5888.4365535558973</v>
          </cell>
          <cell r="Q3738">
            <v>14</v>
          </cell>
        </row>
        <row r="3739">
          <cell r="D3739" t="str">
            <v>1342795-11-2</v>
          </cell>
          <cell r="E3739">
            <v>1342795112</v>
          </cell>
          <cell r="F3739">
            <v>5671</v>
          </cell>
          <cell r="G3739" t="str">
            <v>Reach_4990</v>
          </cell>
          <cell r="H3739">
            <v>3731</v>
          </cell>
          <cell r="J3739">
            <v>1278.8</v>
          </cell>
          <cell r="K3739">
            <v>0</v>
          </cell>
          <cell r="L3739">
            <v>0</v>
          </cell>
          <cell r="M3739">
            <v>0</v>
          </cell>
          <cell r="N3739">
            <v>0</v>
          </cell>
          <cell r="Q3739">
            <v>14</v>
          </cell>
        </row>
        <row r="3740">
          <cell r="D3740" t="str">
            <v>709031-43-6</v>
          </cell>
          <cell r="E3740">
            <v>709031436</v>
          </cell>
          <cell r="F3740">
            <v>3573</v>
          </cell>
          <cell r="G3740" t="str">
            <v>Reach_4636</v>
          </cell>
          <cell r="H3740">
            <v>3732</v>
          </cell>
          <cell r="J3740">
            <v>415.54</v>
          </cell>
          <cell r="K3740">
            <v>224.73</v>
          </cell>
          <cell r="L3740">
            <v>2.8792800000000002E-11</v>
          </cell>
          <cell r="M3740">
            <v>48.557000000000002</v>
          </cell>
          <cell r="N3740">
            <v>338.84415613920248</v>
          </cell>
          <cell r="O3740">
            <v>8.7200000000000006</v>
          </cell>
          <cell r="Q3740">
            <v>8.7200000000000006</v>
          </cell>
        </row>
        <row r="3741">
          <cell r="D3741" t="str">
            <v>568572-17-8</v>
          </cell>
          <cell r="E3741">
            <v>568572178</v>
          </cell>
          <cell r="F3741">
            <v>3213</v>
          </cell>
          <cell r="G3741" t="str">
            <v>Reach_4880</v>
          </cell>
          <cell r="H3741">
            <v>3733</v>
          </cell>
          <cell r="J3741">
            <v>596.72</v>
          </cell>
          <cell r="K3741">
            <v>328.72</v>
          </cell>
          <cell r="L3741">
            <v>1.4529700000000004E-17</v>
          </cell>
          <cell r="M3741">
            <v>4.3013000000000001E-3</v>
          </cell>
          <cell r="N3741">
            <v>3388441.5613920307</v>
          </cell>
          <cell r="O3741">
            <v>8.01</v>
          </cell>
          <cell r="P3741">
            <v>0</v>
          </cell>
          <cell r="Q3741">
            <v>8.01</v>
          </cell>
        </row>
        <row r="3742">
          <cell r="D3742" t="str">
            <v>506-96-7</v>
          </cell>
          <cell r="E3742">
            <v>506967</v>
          </cell>
          <cell r="F3742">
            <v>665</v>
          </cell>
          <cell r="G3742" t="str">
            <v>Reach_1314</v>
          </cell>
          <cell r="H3742">
            <v>3734</v>
          </cell>
          <cell r="J3742">
            <v>122.96</v>
          </cell>
          <cell r="K3742">
            <v>-52.95</v>
          </cell>
          <cell r="L3742">
            <v>15062.900000000001</v>
          </cell>
          <cell r="M3742">
            <v>31661</v>
          </cell>
          <cell r="N3742">
            <v>0.41686938347033536</v>
          </cell>
          <cell r="P3742">
            <v>0</v>
          </cell>
          <cell r="Q3742">
            <v>14</v>
          </cell>
        </row>
        <row r="3743">
          <cell r="D3743" t="str">
            <v>57625-74-8</v>
          </cell>
          <cell r="E3743">
            <v>57625748</v>
          </cell>
          <cell r="F3743">
            <v>3234</v>
          </cell>
          <cell r="G3743" t="str">
            <v>Reach_5070</v>
          </cell>
          <cell r="H3743">
            <v>3735</v>
          </cell>
          <cell r="J3743">
            <v>178.23</v>
          </cell>
          <cell r="K3743">
            <v>17.45</v>
          </cell>
          <cell r="L3743">
            <v>8.3179200000000009</v>
          </cell>
          <cell r="M3743">
            <v>198.77</v>
          </cell>
          <cell r="N3743">
            <v>891.25093813374656</v>
          </cell>
          <cell r="O3743">
            <v>0</v>
          </cell>
          <cell r="Q3743">
            <v>0</v>
          </cell>
        </row>
        <row r="3744">
          <cell r="D3744" t="str">
            <v>58-73-1</v>
          </cell>
          <cell r="E3744">
            <v>58731</v>
          </cell>
          <cell r="F3744">
            <v>3253</v>
          </cell>
          <cell r="G3744" t="str">
            <v>Reach_48</v>
          </cell>
          <cell r="H3744">
            <v>3736</v>
          </cell>
          <cell r="J3744">
            <v>255.36</v>
          </cell>
          <cell r="K3744">
            <v>94.26</v>
          </cell>
          <cell r="L3744">
            <v>7.7314000000000007E-4</v>
          </cell>
          <cell r="M3744">
            <v>1292.2</v>
          </cell>
          <cell r="N3744">
            <v>1288.2495516931347</v>
          </cell>
          <cell r="O3744">
            <v>0</v>
          </cell>
          <cell r="P3744">
            <v>5.3</v>
          </cell>
          <cell r="Q3744">
            <v>0</v>
          </cell>
        </row>
        <row r="3745">
          <cell r="D3745" t="str">
            <v>42532-60-5</v>
          </cell>
          <cell r="E3745">
            <v>42532605</v>
          </cell>
          <cell r="F3745">
            <v>2895</v>
          </cell>
          <cell r="G3745" t="str">
            <v>Reach_5073</v>
          </cell>
          <cell r="H3745">
            <v>3737</v>
          </cell>
          <cell r="J3745">
            <v>195.04</v>
          </cell>
          <cell r="K3745">
            <v>-69.13</v>
          </cell>
          <cell r="L3745">
            <v>22394.400000000001</v>
          </cell>
          <cell r="M3745">
            <v>7.6158999999999999</v>
          </cell>
          <cell r="N3745">
            <v>158.48931924611153</v>
          </cell>
          <cell r="Q3745">
            <v>14</v>
          </cell>
        </row>
        <row r="3746">
          <cell r="D3746" t="str">
            <v>1064076-86-3</v>
          </cell>
          <cell r="E3746">
            <v>1064076863</v>
          </cell>
          <cell r="F3746">
            <v>5599</v>
          </cell>
          <cell r="G3746" t="str">
            <v>Reach_4991</v>
          </cell>
          <cell r="H3746">
            <v>3738</v>
          </cell>
          <cell r="J3746">
            <v>642.79999999999995</v>
          </cell>
          <cell r="K3746">
            <v>0</v>
          </cell>
          <cell r="L3746">
            <v>0</v>
          </cell>
          <cell r="M3746">
            <v>0</v>
          </cell>
          <cell r="N3746">
            <v>0</v>
          </cell>
          <cell r="Q3746">
            <v>14</v>
          </cell>
        </row>
        <row r="3747">
          <cell r="D3747" t="str">
            <v>65473-13-4</v>
          </cell>
          <cell r="E3747">
            <v>65473134</v>
          </cell>
          <cell r="F3747">
            <v>5974</v>
          </cell>
          <cell r="G3747" t="str">
            <v>Reach_4387</v>
          </cell>
          <cell r="H3747">
            <v>3739</v>
          </cell>
          <cell r="J3747">
            <v>207.71</v>
          </cell>
          <cell r="K3747">
            <v>0</v>
          </cell>
          <cell r="L3747">
            <v>0</v>
          </cell>
          <cell r="M3747">
            <v>0</v>
          </cell>
          <cell r="N3747">
            <v>0</v>
          </cell>
          <cell r="Q3747">
            <v>14</v>
          </cell>
        </row>
        <row r="3748">
          <cell r="D3748" t="str">
            <v>16613-04-0</v>
          </cell>
          <cell r="E3748">
            <v>16613040</v>
          </cell>
          <cell r="F3748">
            <v>2102</v>
          </cell>
          <cell r="G3748" t="str">
            <v>Reach_4765</v>
          </cell>
          <cell r="H3748">
            <v>3740</v>
          </cell>
          <cell r="J3748">
            <v>326.35000000000002</v>
          </cell>
          <cell r="K3748">
            <v>177.59</v>
          </cell>
          <cell r="L3748">
            <v>4.2122800000000002E-7</v>
          </cell>
          <cell r="M3748">
            <v>0.61892999999999998</v>
          </cell>
          <cell r="N3748">
            <v>28840.315031266062</v>
          </cell>
          <cell r="O3748">
            <v>9.68</v>
          </cell>
          <cell r="Q3748">
            <v>9.68</v>
          </cell>
        </row>
        <row r="3749">
          <cell r="D3749" t="str">
            <v>36894-69-6</v>
          </cell>
          <cell r="E3749">
            <v>36894696</v>
          </cell>
          <cell r="F3749">
            <v>2785</v>
          </cell>
          <cell r="G3749" t="str">
            <v>Reach_2707</v>
          </cell>
          <cell r="H3749">
            <v>3741</v>
          </cell>
          <cell r="J3749">
            <v>328.41</v>
          </cell>
          <cell r="K3749">
            <v>228.46</v>
          </cell>
          <cell r="L3749">
            <v>4.4388900000000006E-11</v>
          </cell>
          <cell r="M3749">
            <v>22.869</v>
          </cell>
          <cell r="N3749">
            <v>257.03957827688663</v>
          </cell>
          <cell r="O3749">
            <v>7.47</v>
          </cell>
          <cell r="Q3749">
            <v>7.47</v>
          </cell>
        </row>
        <row r="3750">
          <cell r="D3750" t="str">
            <v>129050-27-7</v>
          </cell>
          <cell r="E3750">
            <v>129050277</v>
          </cell>
          <cell r="F3750">
            <v>1827</v>
          </cell>
          <cell r="G3750" t="str">
            <v>Reach_4116</v>
          </cell>
          <cell r="H3750">
            <v>3742</v>
          </cell>
          <cell r="J3750">
            <v>301.36</v>
          </cell>
          <cell r="K3750">
            <v>153.55000000000001</v>
          </cell>
          <cell r="L3750">
            <v>6.2117800000000001E-7</v>
          </cell>
          <cell r="M3750">
            <v>486.18</v>
          </cell>
          <cell r="N3750">
            <v>1862.0871366628687</v>
          </cell>
          <cell r="O3750">
            <v>13.82</v>
          </cell>
          <cell r="P3750">
            <v>5.76</v>
          </cell>
          <cell r="Q3750">
            <v>8.24</v>
          </cell>
        </row>
        <row r="3751">
          <cell r="D3751" t="str">
            <v>13951-70-7</v>
          </cell>
          <cell r="E3751">
            <v>13951707</v>
          </cell>
          <cell r="F3751">
            <v>1921</v>
          </cell>
          <cell r="G3751" t="str">
            <v>Reach_2353</v>
          </cell>
          <cell r="H3751">
            <v>3743</v>
          </cell>
          <cell r="J3751">
            <v>376.45</v>
          </cell>
          <cell r="K3751">
            <v>232.22</v>
          </cell>
          <cell r="L3751">
            <v>6.1318000000000002E-13</v>
          </cell>
          <cell r="M3751">
            <v>665.18</v>
          </cell>
          <cell r="N3751">
            <v>11.481536214968834</v>
          </cell>
          <cell r="O3751">
            <v>12.55</v>
          </cell>
          <cell r="P3751">
            <v>0</v>
          </cell>
          <cell r="Q3751">
            <v>12.55</v>
          </cell>
        </row>
        <row r="3752">
          <cell r="D3752" t="str">
            <v>42831-50-5</v>
          </cell>
          <cell r="E3752">
            <v>42831505</v>
          </cell>
          <cell r="F3752">
            <v>2899</v>
          </cell>
          <cell r="G3752" t="str">
            <v>Reach_4887</v>
          </cell>
          <cell r="H3752">
            <v>3744</v>
          </cell>
          <cell r="J3752">
            <v>127.1</v>
          </cell>
          <cell r="K3752">
            <v>65.290000000000006</v>
          </cell>
          <cell r="L3752">
            <v>1.9461800000000002</v>
          </cell>
          <cell r="M3752">
            <v>31589</v>
          </cell>
          <cell r="N3752">
            <v>4.3651583224016601</v>
          </cell>
          <cell r="O3752">
            <v>4.8</v>
          </cell>
          <cell r="Q3752">
            <v>4.8</v>
          </cell>
        </row>
        <row r="3753">
          <cell r="D3753" t="str">
            <v>70918-00-2</v>
          </cell>
          <cell r="E3753">
            <v>70918002</v>
          </cell>
          <cell r="F3753">
            <v>3575</v>
          </cell>
          <cell r="G3753" t="str">
            <v>Reach_4879</v>
          </cell>
          <cell r="H3753">
            <v>3745</v>
          </cell>
          <cell r="J3753">
            <v>248.28</v>
          </cell>
          <cell r="K3753">
            <v>153.82</v>
          </cell>
          <cell r="L3753">
            <v>7.6247600000000005E-5</v>
          </cell>
          <cell r="M3753">
            <v>993.77</v>
          </cell>
          <cell r="N3753">
            <v>1.0715193052376064</v>
          </cell>
          <cell r="P3753">
            <v>6.39</v>
          </cell>
          <cell r="Q3753">
            <v>7.61</v>
          </cell>
        </row>
        <row r="3754">
          <cell r="D3754" t="str">
            <v>18637-00-8</v>
          </cell>
          <cell r="E3754">
            <v>18637008</v>
          </cell>
          <cell r="F3754">
            <v>5749</v>
          </cell>
          <cell r="G3754" t="str">
            <v>Reach_4192</v>
          </cell>
          <cell r="H3754">
            <v>3746</v>
          </cell>
          <cell r="J3754">
            <v>200.67</v>
          </cell>
          <cell r="K3754">
            <v>0</v>
          </cell>
          <cell r="L3754">
            <v>0</v>
          </cell>
          <cell r="M3754">
            <v>0</v>
          </cell>
          <cell r="N3754">
            <v>0</v>
          </cell>
          <cell r="Q3754">
            <v>14</v>
          </cell>
        </row>
        <row r="3755">
          <cell r="D3755" t="str">
            <v>49707-23-5</v>
          </cell>
          <cell r="E3755">
            <v>49707235</v>
          </cell>
          <cell r="F3755">
            <v>2987</v>
          </cell>
          <cell r="G3755" t="str">
            <v>Reach_4329</v>
          </cell>
          <cell r="H3755">
            <v>3747</v>
          </cell>
          <cell r="J3755">
            <v>159.19</v>
          </cell>
          <cell r="K3755">
            <v>75.099999999999994</v>
          </cell>
          <cell r="L3755">
            <v>0.16529200000000002</v>
          </cell>
          <cell r="M3755">
            <v>46611</v>
          </cell>
          <cell r="N3755">
            <v>0.11220184543019632</v>
          </cell>
          <cell r="O3755">
            <v>13.98</v>
          </cell>
          <cell r="P3755">
            <v>15.27</v>
          </cell>
          <cell r="Q3755">
            <v>-1.2699999999999996</v>
          </cell>
        </row>
        <row r="3756">
          <cell r="D3756" t="str">
            <v>15821-13-3</v>
          </cell>
          <cell r="E3756">
            <v>15821133</v>
          </cell>
          <cell r="F3756">
            <v>2058</v>
          </cell>
          <cell r="G3756" t="str">
            <v>Reach_2400</v>
          </cell>
          <cell r="H3756">
            <v>3748</v>
          </cell>
          <cell r="J3756">
            <v>186.22</v>
          </cell>
          <cell r="K3756">
            <v>155.6</v>
          </cell>
          <cell r="L3756">
            <v>1.1263850000000001E-4</v>
          </cell>
          <cell r="M3756">
            <v>2537</v>
          </cell>
          <cell r="N3756">
            <v>26.915348039269158</v>
          </cell>
          <cell r="O3756">
            <v>14.8</v>
          </cell>
          <cell r="P3756">
            <v>11.02</v>
          </cell>
          <cell r="Q3756">
            <v>2.9800000000000004</v>
          </cell>
        </row>
        <row r="3757">
          <cell r="D3757" t="str">
            <v>1052075-57-6</v>
          </cell>
          <cell r="E3757">
            <v>1052075576</v>
          </cell>
          <cell r="F3757">
            <v>1411</v>
          </cell>
          <cell r="G3757" t="str">
            <v>Reach_5051</v>
          </cell>
          <cell r="H3757">
            <v>3749</v>
          </cell>
          <cell r="J3757">
            <v>583.11</v>
          </cell>
          <cell r="K3757">
            <v>116.53</v>
          </cell>
          <cell r="L3757">
            <v>7.7313999999999999E-5</v>
          </cell>
          <cell r="M3757">
            <v>1.5600000000000001E-6</v>
          </cell>
          <cell r="N3757">
            <v>1737800828749.3821</v>
          </cell>
          <cell r="Q3757">
            <v>14</v>
          </cell>
        </row>
        <row r="3758">
          <cell r="D3758" t="str">
            <v>84449-65-0</v>
          </cell>
          <cell r="E3758">
            <v>84449650</v>
          </cell>
          <cell r="F3758">
            <v>3866</v>
          </cell>
          <cell r="G3758" t="str">
            <v>Reach_5076</v>
          </cell>
          <cell r="H3758">
            <v>3750</v>
          </cell>
          <cell r="J3758">
            <v>398.47</v>
          </cell>
          <cell r="K3758">
            <v>246.73</v>
          </cell>
          <cell r="L3758">
            <v>1.9328500000000002E-10</v>
          </cell>
          <cell r="M3758">
            <v>3.1614</v>
          </cell>
          <cell r="N3758">
            <v>2884.0315031266077</v>
          </cell>
          <cell r="Q3758">
            <v>14</v>
          </cell>
        </row>
        <row r="3759">
          <cell r="D3759" t="str">
            <v>84348-37-8</v>
          </cell>
          <cell r="E3759">
            <v>84348378</v>
          </cell>
          <cell r="F3759">
            <v>3861</v>
          </cell>
          <cell r="G3759" t="str">
            <v>Reach_4467</v>
          </cell>
          <cell r="H3759">
            <v>3751</v>
          </cell>
          <cell r="J3759">
            <v>229.23</v>
          </cell>
          <cell r="K3759">
            <v>131.69999999999999</v>
          </cell>
          <cell r="L3759">
            <v>1.1930350000000003E-3</v>
          </cell>
          <cell r="M3759">
            <v>48896</v>
          </cell>
          <cell r="N3759">
            <v>3.0902954325135905</v>
          </cell>
          <cell r="Q3759">
            <v>14</v>
          </cell>
        </row>
        <row r="3760">
          <cell r="D3760" t="str">
            <v>1030385-16-0</v>
          </cell>
          <cell r="E3760">
            <v>1030385160</v>
          </cell>
          <cell r="F3760">
            <v>1356</v>
          </cell>
          <cell r="G3760" t="str">
            <v>Reach_4060</v>
          </cell>
          <cell r="H3760">
            <v>3752</v>
          </cell>
          <cell r="J3760">
            <v>301.36</v>
          </cell>
          <cell r="K3760">
            <v>153.55000000000001</v>
          </cell>
          <cell r="L3760">
            <v>6.2117800000000001E-7</v>
          </cell>
          <cell r="M3760">
            <v>486.18</v>
          </cell>
          <cell r="N3760">
            <v>1862.0871366628687</v>
          </cell>
          <cell r="O3760">
            <v>13.82</v>
          </cell>
          <cell r="P3760">
            <v>5.76</v>
          </cell>
          <cell r="Q3760">
            <v>8.24</v>
          </cell>
        </row>
        <row r="3761">
          <cell r="D3761" t="str">
            <v>83447-96-5</v>
          </cell>
          <cell r="E3761">
            <v>83447965</v>
          </cell>
          <cell r="F3761">
            <v>3847</v>
          </cell>
          <cell r="G3761" t="str">
            <v>Reach_5041</v>
          </cell>
          <cell r="H3761">
            <v>3753</v>
          </cell>
          <cell r="J3761">
            <v>364</v>
          </cell>
          <cell r="K3761">
            <v>35.04</v>
          </cell>
          <cell r="L3761">
            <v>0.36790800000000001</v>
          </cell>
          <cell r="M3761">
            <v>2.6722999999999999</v>
          </cell>
          <cell r="N3761">
            <v>338844.15613920329</v>
          </cell>
          <cell r="O3761">
            <v>0</v>
          </cell>
          <cell r="Q3761">
            <v>0</v>
          </cell>
        </row>
        <row r="3762">
          <cell r="D3762" t="str">
            <v>36968-27-1</v>
          </cell>
          <cell r="E3762">
            <v>36968271</v>
          </cell>
          <cell r="F3762">
            <v>2786</v>
          </cell>
          <cell r="G3762" t="str">
            <v>Reach_2708</v>
          </cell>
          <cell r="H3762">
            <v>3754</v>
          </cell>
          <cell r="J3762">
            <v>440.46</v>
          </cell>
          <cell r="K3762">
            <v>321.66000000000003</v>
          </cell>
          <cell r="L3762">
            <v>4.9587600000000009E-17</v>
          </cell>
          <cell r="M3762">
            <v>0.38345000000000001</v>
          </cell>
          <cell r="N3762">
            <v>354813.38923357555</v>
          </cell>
          <cell r="P3762">
            <v>14.9</v>
          </cell>
          <cell r="Q3762">
            <v>-0.90000000000000036</v>
          </cell>
        </row>
        <row r="3763">
          <cell r="D3763" t="str">
            <v>503614-91-3</v>
          </cell>
          <cell r="E3763">
            <v>503614913</v>
          </cell>
          <cell r="F3763">
            <v>3002</v>
          </cell>
          <cell r="G3763" t="str">
            <v>Reach_5019</v>
          </cell>
          <cell r="H3763">
            <v>3755</v>
          </cell>
          <cell r="J3763">
            <v>488.55</v>
          </cell>
          <cell r="K3763">
            <v>302.95999999999998</v>
          </cell>
          <cell r="L3763">
            <v>2.6126800000000003E-14</v>
          </cell>
          <cell r="M3763">
            <v>2.0122</v>
          </cell>
          <cell r="N3763">
            <v>4365.1583224016631</v>
          </cell>
          <cell r="O3763">
            <v>0</v>
          </cell>
          <cell r="Q3763">
            <v>0</v>
          </cell>
        </row>
        <row r="3764">
          <cell r="D3764" t="str">
            <v>1216942-02-7</v>
          </cell>
          <cell r="E3764">
            <v>1216942027</v>
          </cell>
          <cell r="F3764">
            <v>1733</v>
          </cell>
          <cell r="G3764" t="str">
            <v>Reach_5058</v>
          </cell>
          <cell r="H3764">
            <v>3756</v>
          </cell>
          <cell r="J3764">
            <v>445.52</v>
          </cell>
          <cell r="K3764">
            <v>278.8</v>
          </cell>
          <cell r="L3764">
            <v>1.2436890000000002E-12</v>
          </cell>
          <cell r="M3764">
            <v>4.0448999999999997E-3</v>
          </cell>
          <cell r="N3764">
            <v>32359.365692962871</v>
          </cell>
          <cell r="O3764">
            <v>10.77</v>
          </cell>
          <cell r="P3764">
            <v>7.39</v>
          </cell>
          <cell r="Q3764">
            <v>6.61</v>
          </cell>
        </row>
        <row r="3765">
          <cell r="D3765" t="str">
            <v>4273-92-1</v>
          </cell>
          <cell r="E3765">
            <v>4273921</v>
          </cell>
          <cell r="F3765">
            <v>2898</v>
          </cell>
          <cell r="G3765" t="str">
            <v>Reach_2025</v>
          </cell>
          <cell r="H3765">
            <v>3757</v>
          </cell>
          <cell r="J3765">
            <v>357.79</v>
          </cell>
          <cell r="K3765">
            <v>236.06</v>
          </cell>
          <cell r="L3765">
            <v>1.023744E-10</v>
          </cell>
          <cell r="M3765">
            <v>0.10125000000000001</v>
          </cell>
          <cell r="N3765">
            <v>52480.746024977314</v>
          </cell>
          <cell r="O3765">
            <v>10.18</v>
          </cell>
          <cell r="Q3765">
            <v>10.18</v>
          </cell>
        </row>
        <row r="3766">
          <cell r="D3766" t="str">
            <v>77017-20-0</v>
          </cell>
          <cell r="E3766">
            <v>77017200</v>
          </cell>
          <cell r="F3766">
            <v>3729</v>
          </cell>
          <cell r="G3766" t="str">
            <v>Reach_2949</v>
          </cell>
          <cell r="H3766">
            <v>3758</v>
          </cell>
          <cell r="J3766">
            <v>400.47</v>
          </cell>
          <cell r="K3766">
            <v>219.83</v>
          </cell>
          <cell r="L3766">
            <v>2.1328000000000001E-11</v>
          </cell>
          <cell r="M3766">
            <v>27.204000000000001</v>
          </cell>
          <cell r="N3766">
            <v>1819.7008586099832</v>
          </cell>
          <cell r="O3766">
            <v>12.41</v>
          </cell>
          <cell r="Q3766">
            <v>12.41</v>
          </cell>
        </row>
        <row r="3767">
          <cell r="D3767" t="str">
            <v>23588-51-4</v>
          </cell>
          <cell r="E3767">
            <v>23588514</v>
          </cell>
          <cell r="F3767">
            <v>2352</v>
          </cell>
          <cell r="G3767" t="str">
            <v>Reach_4937</v>
          </cell>
          <cell r="H3767">
            <v>3759</v>
          </cell>
          <cell r="J3767">
            <v>171.24</v>
          </cell>
          <cell r="K3767">
            <v>41.13</v>
          </cell>
          <cell r="L3767">
            <v>4.6788300000000005</v>
          </cell>
          <cell r="M3767">
            <v>181000</v>
          </cell>
          <cell r="N3767">
            <v>1.0471285480508996</v>
          </cell>
          <cell r="P3767">
            <v>7.5</v>
          </cell>
          <cell r="Q3767">
            <v>6.5</v>
          </cell>
        </row>
        <row r="3768">
          <cell r="D3768" t="str">
            <v>1364731-90-7</v>
          </cell>
          <cell r="E3768">
            <v>1364731907</v>
          </cell>
          <cell r="F3768">
            <v>1900</v>
          </cell>
          <cell r="G3768" t="str">
            <v>Reach_5072</v>
          </cell>
          <cell r="H3768">
            <v>3760</v>
          </cell>
          <cell r="J3768">
            <v>278.33</v>
          </cell>
          <cell r="K3768">
            <v>173.88</v>
          </cell>
          <cell r="L3768">
            <v>1.6529200000000002E-6</v>
          </cell>
          <cell r="M3768">
            <v>16.963999999999999</v>
          </cell>
          <cell r="N3768">
            <v>3467.3685045253224</v>
          </cell>
          <cell r="Q3768">
            <v>14</v>
          </cell>
        </row>
        <row r="3769">
          <cell r="D3769" t="str">
            <v>461432-25-7</v>
          </cell>
          <cell r="E3769">
            <v>461432257</v>
          </cell>
          <cell r="F3769">
            <v>2947</v>
          </cell>
          <cell r="G3769" t="str">
            <v>Reach_5129</v>
          </cell>
          <cell r="H3769">
            <v>3761</v>
          </cell>
          <cell r="J3769">
            <v>577.03</v>
          </cell>
          <cell r="K3769">
            <v>254.54</v>
          </cell>
          <cell r="L3769">
            <v>4.7054900000000006E-11</v>
          </cell>
          <cell r="M3769">
            <v>7.1532999999999999E-2</v>
          </cell>
          <cell r="N3769">
            <v>45708.818961487581</v>
          </cell>
          <cell r="Q3769">
            <v>14</v>
          </cell>
        </row>
        <row r="3770">
          <cell r="D3770" t="str">
            <v>33125-90-5</v>
          </cell>
          <cell r="E3770">
            <v>33125905</v>
          </cell>
          <cell r="F3770">
            <v>2675</v>
          </cell>
          <cell r="G3770" t="str">
            <v>Reach_5077</v>
          </cell>
          <cell r="H3770">
            <v>3762</v>
          </cell>
          <cell r="J3770">
            <v>406.95</v>
          </cell>
          <cell r="K3770">
            <v>194.3</v>
          </cell>
          <cell r="L3770">
            <v>5.8652000000000004E-7</v>
          </cell>
          <cell r="M3770">
            <v>3.1964999999999999</v>
          </cell>
          <cell r="N3770">
            <v>7079.4578438413828</v>
          </cell>
          <cell r="O3770">
            <v>0</v>
          </cell>
          <cell r="P3770">
            <v>0</v>
          </cell>
          <cell r="Q3770">
            <v>0</v>
          </cell>
        </row>
        <row r="3771">
          <cell r="D3771" t="str">
            <v>155794-06-2</v>
          </cell>
          <cell r="E3771">
            <v>155794062</v>
          </cell>
          <cell r="F3771">
            <v>2044</v>
          </cell>
          <cell r="G3771" t="str">
            <v>Reach_4958</v>
          </cell>
          <cell r="H3771">
            <v>3763</v>
          </cell>
          <cell r="J3771">
            <v>382.5</v>
          </cell>
          <cell r="K3771">
            <v>209.05</v>
          </cell>
          <cell r="L3771">
            <v>1.8928600000000002E-10</v>
          </cell>
          <cell r="M3771">
            <v>0.18612000000000001</v>
          </cell>
          <cell r="N3771">
            <v>371535.2290971732</v>
          </cell>
          <cell r="O3771">
            <v>14.74</v>
          </cell>
          <cell r="P3771">
            <v>0</v>
          </cell>
          <cell r="Q3771">
            <v>14</v>
          </cell>
        </row>
        <row r="3772">
          <cell r="D3772" t="str">
            <v>1316184-79-8</v>
          </cell>
          <cell r="E3772">
            <v>1316184798</v>
          </cell>
          <cell r="F3772">
            <v>5662</v>
          </cell>
          <cell r="G3772" t="str">
            <v>Reach_4667</v>
          </cell>
          <cell r="H3772">
            <v>3764</v>
          </cell>
          <cell r="J3772">
            <v>775.72</v>
          </cell>
          <cell r="K3772">
            <v>0</v>
          </cell>
          <cell r="L3772">
            <v>0</v>
          </cell>
          <cell r="M3772">
            <v>0</v>
          </cell>
          <cell r="N3772">
            <v>0</v>
          </cell>
          <cell r="Q3772">
            <v>14</v>
          </cell>
        </row>
        <row r="3773">
          <cell r="D3773" t="str">
            <v>1316184-44-7</v>
          </cell>
          <cell r="E3773">
            <v>1316184447</v>
          </cell>
          <cell r="F3773">
            <v>5661</v>
          </cell>
          <cell r="G3773" t="str">
            <v>Reach_4668</v>
          </cell>
          <cell r="H3773">
            <v>3765</v>
          </cell>
          <cell r="J3773">
            <v>1047</v>
          </cell>
          <cell r="K3773">
            <v>0</v>
          </cell>
          <cell r="L3773">
            <v>0</v>
          </cell>
          <cell r="M3773">
            <v>0</v>
          </cell>
          <cell r="N3773">
            <v>0</v>
          </cell>
          <cell r="Q3773">
            <v>14</v>
          </cell>
        </row>
        <row r="3774">
          <cell r="D3774" t="str">
            <v>30693-53-9</v>
          </cell>
          <cell r="E3774">
            <v>30693539</v>
          </cell>
          <cell r="F3774">
            <v>5835</v>
          </cell>
          <cell r="G3774" t="str">
            <v>Reach_2649</v>
          </cell>
          <cell r="H3774">
            <v>3766</v>
          </cell>
          <cell r="J3774">
            <v>240.17</v>
          </cell>
          <cell r="K3774">
            <v>0</v>
          </cell>
          <cell r="L3774">
            <v>0</v>
          </cell>
          <cell r="M3774">
            <v>0</v>
          </cell>
          <cell r="N3774">
            <v>0</v>
          </cell>
          <cell r="O3774">
            <v>0</v>
          </cell>
          <cell r="P3774">
            <v>0</v>
          </cell>
          <cell r="Q3774">
            <v>0</v>
          </cell>
        </row>
        <row r="3775">
          <cell r="D3775" t="str">
            <v>127946-77-4</v>
          </cell>
          <cell r="E3775">
            <v>127946774</v>
          </cell>
          <cell r="F3775">
            <v>5651</v>
          </cell>
          <cell r="G3775" t="str">
            <v>Reach_4595</v>
          </cell>
          <cell r="H3775">
            <v>3767</v>
          </cell>
          <cell r="J3775">
            <v>118.57</v>
          </cell>
          <cell r="K3775">
            <v>0</v>
          </cell>
          <cell r="L3775">
            <v>0</v>
          </cell>
          <cell r="M3775">
            <v>0</v>
          </cell>
          <cell r="N3775">
            <v>0</v>
          </cell>
          <cell r="O3775">
            <v>0</v>
          </cell>
          <cell r="Q3775">
            <v>0</v>
          </cell>
        </row>
        <row r="3776">
          <cell r="D3776" t="str">
            <v>1432505-97-9</v>
          </cell>
          <cell r="E3776">
            <v>1432505979</v>
          </cell>
          <cell r="F3776">
            <v>1961</v>
          </cell>
          <cell r="G3776" t="str">
            <v>Reach_5174</v>
          </cell>
          <cell r="H3776">
            <v>3768</v>
          </cell>
          <cell r="J3776">
            <v>306.33999999999997</v>
          </cell>
          <cell r="K3776">
            <v>184.1</v>
          </cell>
          <cell r="L3776">
            <v>3.7590600000000003E-7</v>
          </cell>
          <cell r="M3776">
            <v>428.78</v>
          </cell>
          <cell r="N3776">
            <v>436.51583224016622</v>
          </cell>
          <cell r="O3776">
            <v>7.95</v>
          </cell>
          <cell r="P3776">
            <v>0</v>
          </cell>
          <cell r="Q3776">
            <v>7.95</v>
          </cell>
        </row>
        <row r="3777">
          <cell r="D3777" t="str">
            <v>88110-89-8</v>
          </cell>
          <cell r="E3777">
            <v>88110898</v>
          </cell>
          <cell r="F3777">
            <v>3947</v>
          </cell>
          <cell r="G3777" t="str">
            <v>Reach_4624</v>
          </cell>
          <cell r="H3777">
            <v>3769</v>
          </cell>
          <cell r="J3777">
            <v>480.57</v>
          </cell>
          <cell r="K3777">
            <v>349.84</v>
          </cell>
          <cell r="L3777">
            <v>2.0261600000000003E-20</v>
          </cell>
          <cell r="M3777">
            <v>1036.7</v>
          </cell>
          <cell r="N3777">
            <v>1.5848931924611136</v>
          </cell>
          <cell r="Q3777">
            <v>14</v>
          </cell>
        </row>
        <row r="3778">
          <cell r="D3778" t="str">
            <v>19190-61-5</v>
          </cell>
          <cell r="E3778">
            <v>19190615</v>
          </cell>
          <cell r="F3778">
            <v>2227</v>
          </cell>
          <cell r="G3778" t="str">
            <v>Reach_4965</v>
          </cell>
          <cell r="H3778">
            <v>3770</v>
          </cell>
          <cell r="J3778">
            <v>306.08</v>
          </cell>
          <cell r="K3778">
            <v>-52.57</v>
          </cell>
          <cell r="L3778">
            <v>2279.4300000000003</v>
          </cell>
          <cell r="M3778">
            <v>75.793000000000006</v>
          </cell>
          <cell r="N3778">
            <v>446.68359215096331</v>
          </cell>
          <cell r="O3778">
            <v>0</v>
          </cell>
          <cell r="P3778">
            <v>0</v>
          </cell>
          <cell r="Q3778">
            <v>0</v>
          </cell>
        </row>
        <row r="3779">
          <cell r="D3779" t="str">
            <v>27830-12-2</v>
          </cell>
          <cell r="E3779">
            <v>27830122</v>
          </cell>
          <cell r="F3779">
            <v>2519</v>
          </cell>
          <cell r="G3779" t="str">
            <v>Reach_4262</v>
          </cell>
          <cell r="H3779">
            <v>3771</v>
          </cell>
          <cell r="J3779">
            <v>250.34</v>
          </cell>
          <cell r="K3779">
            <v>130.31</v>
          </cell>
          <cell r="L3779">
            <v>4.1989500000000004E-4</v>
          </cell>
          <cell r="M3779">
            <v>4.3968999999999996</v>
          </cell>
          <cell r="N3779">
            <v>112201.84543019651</v>
          </cell>
          <cell r="O3779">
            <v>3.8</v>
          </cell>
          <cell r="Q3779">
            <v>3.8</v>
          </cell>
        </row>
        <row r="3780">
          <cell r="D3780" t="str">
            <v>102340-61-4</v>
          </cell>
          <cell r="E3780">
            <v>102340614</v>
          </cell>
          <cell r="F3780">
            <v>1340</v>
          </cell>
          <cell r="G3780" t="str">
            <v>Reach_5069</v>
          </cell>
          <cell r="H3780">
            <v>3772</v>
          </cell>
          <cell r="J3780">
            <v>394.68</v>
          </cell>
          <cell r="K3780">
            <v>155.80000000000001</v>
          </cell>
          <cell r="L3780">
            <v>2.6393400000000001E-6</v>
          </cell>
          <cell r="M3780">
            <v>9.9390000000000004E-4</v>
          </cell>
          <cell r="N3780">
            <v>1862087136.662868</v>
          </cell>
          <cell r="P3780">
            <v>0</v>
          </cell>
          <cell r="Q3780">
            <v>14</v>
          </cell>
        </row>
        <row r="3781">
          <cell r="D3781" t="str">
            <v>21862-63-5</v>
          </cell>
          <cell r="E3781">
            <v>21862635</v>
          </cell>
          <cell r="F3781">
            <v>536</v>
          </cell>
          <cell r="G3781" t="str">
            <v>Reach_4771</v>
          </cell>
          <cell r="H3781">
            <v>3773</v>
          </cell>
          <cell r="J3781">
            <v>156.27000000000001</v>
          </cell>
          <cell r="K3781">
            <v>4.34</v>
          </cell>
          <cell r="L3781">
            <v>1.4396400000000003</v>
          </cell>
          <cell r="M3781">
            <v>80.971000000000004</v>
          </cell>
          <cell r="N3781">
            <v>2630.2679918953822</v>
          </cell>
          <cell r="O3781">
            <v>16</v>
          </cell>
          <cell r="P3781">
            <v>0</v>
          </cell>
          <cell r="Q3781">
            <v>14</v>
          </cell>
        </row>
        <row r="3782">
          <cell r="D3782" t="str">
            <v>1514-82-5</v>
          </cell>
          <cell r="E3782">
            <v>1514825</v>
          </cell>
          <cell r="F3782">
            <v>2019</v>
          </cell>
          <cell r="G3782" t="str">
            <v>Reach_4586</v>
          </cell>
          <cell r="H3782">
            <v>3774</v>
          </cell>
          <cell r="J3782">
            <v>174.95</v>
          </cell>
          <cell r="K3782">
            <v>-92.63</v>
          </cell>
          <cell r="L3782">
            <v>39456.800000000003</v>
          </cell>
          <cell r="M3782">
            <v>1936</v>
          </cell>
          <cell r="N3782">
            <v>309.02954325135937</v>
          </cell>
          <cell r="Q3782">
            <v>14</v>
          </cell>
        </row>
        <row r="3783">
          <cell r="D3783" t="str">
            <v>14442-94-5</v>
          </cell>
          <cell r="E3783">
            <v>14442945</v>
          </cell>
          <cell r="F3783">
            <v>1976</v>
          </cell>
          <cell r="G3783" t="str">
            <v>Reach_4944</v>
          </cell>
          <cell r="H3783">
            <v>3775</v>
          </cell>
          <cell r="J3783">
            <v>529.89</v>
          </cell>
          <cell r="K3783">
            <v>273.74</v>
          </cell>
          <cell r="L3783">
            <v>1.8662000000000002E-13</v>
          </cell>
          <cell r="M3783">
            <v>1.2800000000000001E-7</v>
          </cell>
          <cell r="N3783">
            <v>2187761623949.5588</v>
          </cell>
          <cell r="O3783">
            <v>11.97</v>
          </cell>
          <cell r="P3783">
            <v>14.23</v>
          </cell>
          <cell r="Q3783">
            <v>-0.23000000000000043</v>
          </cell>
        </row>
        <row r="3784">
          <cell r="D3784" t="str">
            <v>67990-05-0</v>
          </cell>
          <cell r="E3784">
            <v>67990050</v>
          </cell>
          <cell r="F3784">
            <v>3504</v>
          </cell>
          <cell r="G3784" t="str">
            <v>Reach_2895</v>
          </cell>
          <cell r="H3784">
            <v>3776</v>
          </cell>
          <cell r="J3784">
            <v>581.03</v>
          </cell>
          <cell r="K3784">
            <v>349.84</v>
          </cell>
          <cell r="L3784">
            <v>4.8654500000000008E-21</v>
          </cell>
          <cell r="M3784">
            <v>2.719E-4</v>
          </cell>
          <cell r="N3784">
            <v>173780082.87493807</v>
          </cell>
          <cell r="O3784">
            <v>9.39</v>
          </cell>
          <cell r="Q3784">
            <v>9.39</v>
          </cell>
        </row>
        <row r="3785">
          <cell r="D3785" t="str">
            <v>571188-59-5</v>
          </cell>
          <cell r="E3785">
            <v>571188595</v>
          </cell>
          <cell r="F3785">
            <v>3224</v>
          </cell>
          <cell r="G3785" t="str">
            <v>Reach_4691</v>
          </cell>
          <cell r="H3785">
            <v>3777</v>
          </cell>
          <cell r="J3785">
            <v>278.36</v>
          </cell>
          <cell r="K3785">
            <v>160.83000000000001</v>
          </cell>
          <cell r="L3785">
            <v>8.1846200000000003E-5</v>
          </cell>
          <cell r="M3785">
            <v>1111.5999999999999</v>
          </cell>
          <cell r="N3785">
            <v>95.499258602143655</v>
          </cell>
          <cell r="P3785">
            <v>7.63</v>
          </cell>
          <cell r="Q3785">
            <v>6.37</v>
          </cell>
        </row>
        <row r="3786">
          <cell r="D3786" t="str">
            <v>89402-42-6</v>
          </cell>
          <cell r="E3786">
            <v>89402426</v>
          </cell>
          <cell r="F3786">
            <v>3974</v>
          </cell>
          <cell r="G3786" t="str">
            <v>Reach_4617</v>
          </cell>
          <cell r="H3786">
            <v>3778</v>
          </cell>
          <cell r="J3786">
            <v>183.08</v>
          </cell>
          <cell r="K3786">
            <v>-18.59</v>
          </cell>
          <cell r="L3786">
            <v>3319.17</v>
          </cell>
          <cell r="M3786">
            <v>720.74</v>
          </cell>
          <cell r="N3786">
            <v>147.91083881682084</v>
          </cell>
          <cell r="O3786">
            <v>0</v>
          </cell>
          <cell r="Q3786">
            <v>0</v>
          </cell>
        </row>
        <row r="3787">
          <cell r="D3787" t="str">
            <v>129050-26-6</v>
          </cell>
          <cell r="E3787">
            <v>129050266</v>
          </cell>
          <cell r="F3787">
            <v>1826</v>
          </cell>
          <cell r="G3787" t="str">
            <v>Reach_4115</v>
          </cell>
          <cell r="H3787">
            <v>3779</v>
          </cell>
          <cell r="J3787">
            <v>194.21</v>
          </cell>
          <cell r="K3787">
            <v>58.28</v>
          </cell>
          <cell r="L3787">
            <v>1.014413</v>
          </cell>
          <cell r="M3787">
            <v>774.73</v>
          </cell>
          <cell r="N3787">
            <v>467.7351412871983</v>
          </cell>
          <cell r="Q3787">
            <v>14</v>
          </cell>
        </row>
        <row r="3788">
          <cell r="D3788" t="str">
            <v>244768-32-9</v>
          </cell>
          <cell r="E3788">
            <v>244768329</v>
          </cell>
          <cell r="F3788">
            <v>2396</v>
          </cell>
          <cell r="G3788" t="str">
            <v>Reach_4240</v>
          </cell>
          <cell r="H3788">
            <v>3780</v>
          </cell>
          <cell r="J3788">
            <v>230.66</v>
          </cell>
          <cell r="K3788">
            <v>143.12</v>
          </cell>
          <cell r="L3788">
            <v>4.0256600000000003E-4</v>
          </cell>
          <cell r="M3788">
            <v>127.11</v>
          </cell>
          <cell r="N3788">
            <v>691.83097091893671</v>
          </cell>
          <cell r="P3788">
            <v>11.21</v>
          </cell>
          <cell r="Q3788">
            <v>2.7899999999999991</v>
          </cell>
        </row>
        <row r="3789">
          <cell r="D3789" t="str">
            <v>953084-13-4</v>
          </cell>
          <cell r="E3789">
            <v>953084134</v>
          </cell>
          <cell r="F3789">
            <v>6092</v>
          </cell>
          <cell r="G3789" t="str">
            <v>Reach_4878</v>
          </cell>
          <cell r="H3789">
            <v>3781</v>
          </cell>
          <cell r="J3789">
            <v>858.94</v>
          </cell>
          <cell r="K3789">
            <v>0</v>
          </cell>
          <cell r="L3789">
            <v>0</v>
          </cell>
          <cell r="M3789">
            <v>0</v>
          </cell>
          <cell r="N3789">
            <v>0</v>
          </cell>
          <cell r="Q3789">
            <v>14</v>
          </cell>
        </row>
        <row r="3790">
          <cell r="D3790" t="str">
            <v>1216941-97-7</v>
          </cell>
          <cell r="E3790">
            <v>1216941977</v>
          </cell>
          <cell r="F3790">
            <v>1732</v>
          </cell>
          <cell r="G3790" t="str">
            <v>Reach_5057</v>
          </cell>
          <cell r="H3790">
            <v>3782</v>
          </cell>
          <cell r="J3790">
            <v>291.35000000000002</v>
          </cell>
          <cell r="K3790">
            <v>204.46</v>
          </cell>
          <cell r="L3790">
            <v>1.2703490000000001E-7</v>
          </cell>
          <cell r="M3790">
            <v>10.058</v>
          </cell>
          <cell r="N3790">
            <v>19952.623149688792</v>
          </cell>
          <cell r="P3790">
            <v>13.67</v>
          </cell>
          <cell r="Q3790">
            <v>0.33000000000000007</v>
          </cell>
        </row>
        <row r="3791">
          <cell r="D3791" t="str">
            <v>2605-78-9</v>
          </cell>
          <cell r="E3791">
            <v>2605789</v>
          </cell>
          <cell r="F3791">
            <v>2451</v>
          </cell>
          <cell r="G3791" t="str">
            <v>Reach_4249</v>
          </cell>
          <cell r="H3791">
            <v>3783</v>
          </cell>
          <cell r="J3791">
            <v>173.3</v>
          </cell>
          <cell r="K3791">
            <v>137.26</v>
          </cell>
          <cell r="L3791">
            <v>2.4660500000000006E-4</v>
          </cell>
          <cell r="M3791">
            <v>27.998999999999999</v>
          </cell>
          <cell r="N3791">
            <v>512.86138399136519</v>
          </cell>
          <cell r="P3791">
            <v>9.1999999999999993</v>
          </cell>
          <cell r="Q3791">
            <v>4.8000000000000007</v>
          </cell>
        </row>
        <row r="3792">
          <cell r="D3792" t="str">
            <v>67801-01-8</v>
          </cell>
          <cell r="E3792">
            <v>67801018</v>
          </cell>
          <cell r="F3792">
            <v>5987</v>
          </cell>
          <cell r="G3792" t="str">
            <v>Reach_2888</v>
          </cell>
          <cell r="H3792">
            <v>3784</v>
          </cell>
          <cell r="J3792">
            <v>917.04</v>
          </cell>
          <cell r="K3792">
            <v>0</v>
          </cell>
          <cell r="L3792">
            <v>0</v>
          </cell>
          <cell r="M3792">
            <v>0</v>
          </cell>
          <cell r="N3792">
            <v>0</v>
          </cell>
          <cell r="Q3792">
            <v>14</v>
          </cell>
        </row>
        <row r="3793">
          <cell r="D3793" t="str">
            <v>499-80-9</v>
          </cell>
          <cell r="E3793">
            <v>499809</v>
          </cell>
          <cell r="F3793">
            <v>2991</v>
          </cell>
          <cell r="G3793" t="str">
            <v>Reach_1298</v>
          </cell>
          <cell r="H3793">
            <v>3785</v>
          </cell>
          <cell r="J3793">
            <v>167.12</v>
          </cell>
          <cell r="K3793">
            <v>141.18</v>
          </cell>
          <cell r="L3793">
            <v>4.4655500000000006E-5</v>
          </cell>
          <cell r="M3793">
            <v>8094.7</v>
          </cell>
          <cell r="N3793">
            <v>3.7153522909717256</v>
          </cell>
          <cell r="O3793">
            <v>0.32</v>
          </cell>
          <cell r="P3793">
            <v>8.7200000000000006</v>
          </cell>
          <cell r="Q3793">
            <v>0.32</v>
          </cell>
        </row>
        <row r="3794">
          <cell r="D3794" t="str">
            <v>376348-77-5</v>
          </cell>
          <cell r="E3794">
            <v>376348775</v>
          </cell>
          <cell r="F3794">
            <v>2803</v>
          </cell>
          <cell r="G3794" t="str">
            <v>Reach_4602</v>
          </cell>
          <cell r="H3794">
            <v>3786</v>
          </cell>
          <cell r="J3794">
            <v>297.35000000000002</v>
          </cell>
          <cell r="K3794">
            <v>173.64</v>
          </cell>
          <cell r="L3794">
            <v>7.4381400000000018E-8</v>
          </cell>
          <cell r="M3794">
            <v>138.94</v>
          </cell>
          <cell r="N3794">
            <v>316.22776601683825</v>
          </cell>
          <cell r="O3794">
            <v>13.77</v>
          </cell>
          <cell r="Q3794">
            <v>13.77</v>
          </cell>
        </row>
        <row r="3795">
          <cell r="D3795" t="str">
            <v>119302-24-8</v>
          </cell>
          <cell r="E3795">
            <v>119302248</v>
          </cell>
          <cell r="F3795">
            <v>1688</v>
          </cell>
          <cell r="G3795" t="str">
            <v>Reach_4095</v>
          </cell>
          <cell r="H3795">
            <v>3787</v>
          </cell>
          <cell r="J3795">
            <v>488.71</v>
          </cell>
          <cell r="K3795">
            <v>232.86</v>
          </cell>
          <cell r="L3795">
            <v>6.6650000000000004E-12</v>
          </cell>
          <cell r="M3795">
            <v>1.4686999999999999</v>
          </cell>
          <cell r="N3795">
            <v>2137.9620895022344</v>
          </cell>
          <cell r="O3795">
            <v>14.92</v>
          </cell>
          <cell r="P3795">
            <v>5.31</v>
          </cell>
          <cell r="Q3795">
            <v>8.6900000000000013</v>
          </cell>
        </row>
        <row r="3796">
          <cell r="D3796" t="str">
            <v>109828-01-5</v>
          </cell>
          <cell r="E3796">
            <v>109828015</v>
          </cell>
          <cell r="F3796">
            <v>1509</v>
          </cell>
          <cell r="G3796" t="str">
            <v>Reach_5078</v>
          </cell>
          <cell r="H3796">
            <v>3788</v>
          </cell>
          <cell r="J3796">
            <v>346.29</v>
          </cell>
          <cell r="K3796">
            <v>187.07</v>
          </cell>
          <cell r="L3796">
            <v>3.4658000000000002E-7</v>
          </cell>
          <cell r="M3796">
            <v>13586</v>
          </cell>
          <cell r="N3796">
            <v>2.3988329190194908</v>
          </cell>
          <cell r="O3796">
            <v>2.98</v>
          </cell>
          <cell r="Q3796">
            <v>2.98</v>
          </cell>
        </row>
        <row r="3797">
          <cell r="D3797" t="str">
            <v>17572-97-3</v>
          </cell>
          <cell r="E3797">
            <v>17572973</v>
          </cell>
          <cell r="F3797">
            <v>5740</v>
          </cell>
          <cell r="G3797" t="str">
            <v>Reach_2437</v>
          </cell>
          <cell r="H3797">
            <v>3789</v>
          </cell>
          <cell r="J3797">
            <v>406.52</v>
          </cell>
          <cell r="K3797">
            <v>0</v>
          </cell>
          <cell r="L3797">
            <v>0</v>
          </cell>
          <cell r="M3797">
            <v>0</v>
          </cell>
          <cell r="N3797">
            <v>0</v>
          </cell>
          <cell r="O3797">
            <v>0</v>
          </cell>
          <cell r="Q3797">
            <v>0</v>
          </cell>
        </row>
        <row r="3798">
          <cell r="D3798" t="str">
            <v>23328-71-4</v>
          </cell>
          <cell r="E3798">
            <v>23328714</v>
          </cell>
          <cell r="F3798">
            <v>5784</v>
          </cell>
          <cell r="G3798" t="str">
            <v>Reach_4892</v>
          </cell>
          <cell r="H3798">
            <v>3790</v>
          </cell>
          <cell r="J3798">
            <v>406.14</v>
          </cell>
          <cell r="K3798">
            <v>0</v>
          </cell>
          <cell r="L3798">
            <v>0</v>
          </cell>
          <cell r="M3798">
            <v>0</v>
          </cell>
          <cell r="N3798">
            <v>0</v>
          </cell>
          <cell r="Q3798">
            <v>14</v>
          </cell>
        </row>
        <row r="3799">
          <cell r="D3799" t="str">
            <v>14531-84-1</v>
          </cell>
          <cell r="E3799">
            <v>14531841</v>
          </cell>
          <cell r="F3799">
            <v>1984</v>
          </cell>
          <cell r="G3799" t="str">
            <v>Reach_4998</v>
          </cell>
          <cell r="H3799">
            <v>3791</v>
          </cell>
          <cell r="J3799">
            <v>272.39</v>
          </cell>
          <cell r="K3799">
            <v>141.85</v>
          </cell>
          <cell r="L3799">
            <v>4.1589600000000009E-6</v>
          </cell>
          <cell r="M3799">
            <v>139.72</v>
          </cell>
          <cell r="N3799">
            <v>398.10717055349761</v>
          </cell>
          <cell r="Q3799">
            <v>14</v>
          </cell>
        </row>
        <row r="3800">
          <cell r="D3800" t="str">
            <v>16324-27-9</v>
          </cell>
          <cell r="E3800">
            <v>16324279</v>
          </cell>
          <cell r="F3800">
            <v>5731</v>
          </cell>
          <cell r="G3800" t="str">
            <v>Reach_2418</v>
          </cell>
          <cell r="H3800">
            <v>3792</v>
          </cell>
          <cell r="J3800">
            <v>1077</v>
          </cell>
          <cell r="K3800">
            <v>0</v>
          </cell>
          <cell r="L3800">
            <v>0</v>
          </cell>
          <cell r="M3800">
            <v>0</v>
          </cell>
          <cell r="N3800">
            <v>0</v>
          </cell>
          <cell r="Q3800">
            <v>14</v>
          </cell>
        </row>
        <row r="3801">
          <cell r="D3801" t="str">
            <v>1216942-04-9</v>
          </cell>
          <cell r="E3801">
            <v>1216942049</v>
          </cell>
          <cell r="F3801">
            <v>1734</v>
          </cell>
          <cell r="G3801" t="str">
            <v>Reach_5164</v>
          </cell>
          <cell r="H3801">
            <v>3793</v>
          </cell>
          <cell r="J3801">
            <v>790.92</v>
          </cell>
          <cell r="K3801">
            <v>349.84</v>
          </cell>
          <cell r="L3801">
            <v>1.8395400000000003E-24</v>
          </cell>
          <cell r="M3801">
            <v>7.4800000000000004E-6</v>
          </cell>
          <cell r="N3801">
            <v>34673685.045253254</v>
          </cell>
          <cell r="O3801">
            <v>12.4</v>
          </cell>
          <cell r="Q3801">
            <v>12.4</v>
          </cell>
        </row>
        <row r="3802">
          <cell r="D3802" t="str">
            <v>224785-90-4</v>
          </cell>
          <cell r="E3802">
            <v>224785904</v>
          </cell>
          <cell r="F3802">
            <v>2334</v>
          </cell>
          <cell r="G3802" t="str">
            <v>Reach_4232</v>
          </cell>
          <cell r="H3802">
            <v>3794</v>
          </cell>
          <cell r="J3802">
            <v>488.62</v>
          </cell>
          <cell r="K3802">
            <v>341.98</v>
          </cell>
          <cell r="L3802">
            <v>4.5721900000000009E-17</v>
          </cell>
          <cell r="M3802">
            <v>29.193000000000001</v>
          </cell>
          <cell r="N3802">
            <v>616.59500186148273</v>
          </cell>
          <cell r="P3802">
            <v>5.93</v>
          </cell>
          <cell r="Q3802">
            <v>8.07</v>
          </cell>
        </row>
        <row r="3803">
          <cell r="D3803" t="str">
            <v>25015-63-8</v>
          </cell>
          <cell r="E3803">
            <v>25015638</v>
          </cell>
          <cell r="F3803">
            <v>2413</v>
          </cell>
          <cell r="G3803" t="str">
            <v>Reach_4242</v>
          </cell>
          <cell r="H3803">
            <v>3795</v>
          </cell>
          <cell r="J3803">
            <v>127.99</v>
          </cell>
          <cell r="K3803">
            <v>-25.11</v>
          </cell>
          <cell r="L3803">
            <v>4118.97</v>
          </cell>
          <cell r="M3803">
            <v>0</v>
          </cell>
          <cell r="N3803">
            <v>2.7542287033381663</v>
          </cell>
          <cell r="O3803">
            <v>0</v>
          </cell>
          <cell r="P3803">
            <v>0</v>
          </cell>
          <cell r="Q3803">
            <v>0</v>
          </cell>
        </row>
        <row r="3804">
          <cell r="D3804" t="str">
            <v>1458-18-0</v>
          </cell>
          <cell r="E3804">
            <v>1458180</v>
          </cell>
          <cell r="F3804">
            <v>1989</v>
          </cell>
          <cell r="G3804" t="str">
            <v>Reach_1684</v>
          </cell>
          <cell r="H3804">
            <v>3796</v>
          </cell>
          <cell r="J3804">
            <v>222.03</v>
          </cell>
          <cell r="K3804">
            <v>116.48</v>
          </cell>
          <cell r="L3804">
            <v>8.2646000000000004E-3</v>
          </cell>
          <cell r="M3804">
            <v>1717.1</v>
          </cell>
          <cell r="N3804">
            <v>229.08676527677744</v>
          </cell>
          <cell r="Q3804">
            <v>14</v>
          </cell>
        </row>
        <row r="3805">
          <cell r="D3805" t="str">
            <v>1141-23-7</v>
          </cell>
          <cell r="E3805">
            <v>1141237</v>
          </cell>
          <cell r="F3805">
            <v>1624</v>
          </cell>
          <cell r="G3805" t="str">
            <v>Reach_4866</v>
          </cell>
          <cell r="H3805">
            <v>3797</v>
          </cell>
          <cell r="J3805">
            <v>241.68</v>
          </cell>
          <cell r="K3805">
            <v>178.45</v>
          </cell>
          <cell r="L3805">
            <v>6.1984500000000008E-6</v>
          </cell>
          <cell r="M3805">
            <v>17130</v>
          </cell>
          <cell r="N3805">
            <v>22.387211385683404</v>
          </cell>
          <cell r="O3805">
            <v>4.38</v>
          </cell>
          <cell r="P3805">
            <v>14.75</v>
          </cell>
          <cell r="Q3805">
            <v>-0.75</v>
          </cell>
        </row>
        <row r="3806">
          <cell r="D3806" t="str">
            <v>103201-78-1</v>
          </cell>
          <cell r="E3806">
            <v>103201781</v>
          </cell>
          <cell r="F3806">
            <v>1360</v>
          </cell>
          <cell r="G3806" t="str">
            <v>Reach_4062</v>
          </cell>
          <cell r="H3806">
            <v>3798</v>
          </cell>
          <cell r="J3806">
            <v>197.28</v>
          </cell>
          <cell r="K3806">
            <v>304.83999999999997</v>
          </cell>
          <cell r="L3806">
            <v>6.2651000000000006E-9</v>
          </cell>
          <cell r="M3806">
            <v>461.07</v>
          </cell>
          <cell r="N3806">
            <v>3.4673685045253171</v>
          </cell>
          <cell r="P3806">
            <v>3.4</v>
          </cell>
          <cell r="Q3806">
            <v>10.6</v>
          </cell>
        </row>
        <row r="3807">
          <cell r="D3807" t="str">
            <v>83161-22-2</v>
          </cell>
          <cell r="E3807">
            <v>83161222</v>
          </cell>
          <cell r="F3807">
            <v>3841</v>
          </cell>
          <cell r="G3807" t="str">
            <v>Reach_4976</v>
          </cell>
          <cell r="H3807">
            <v>3799</v>
          </cell>
          <cell r="J3807">
            <v>234.29</v>
          </cell>
          <cell r="K3807">
            <v>121.4</v>
          </cell>
          <cell r="L3807">
            <v>5.0254100000000001E-6</v>
          </cell>
          <cell r="M3807">
            <v>7282.2</v>
          </cell>
          <cell r="N3807">
            <v>6.4565422903465572</v>
          </cell>
          <cell r="Q3807">
            <v>14</v>
          </cell>
        </row>
        <row r="3808">
          <cell r="D3808" t="str">
            <v>337906-36-2</v>
          </cell>
          <cell r="E3808">
            <v>337906362</v>
          </cell>
          <cell r="F3808">
            <v>2686</v>
          </cell>
          <cell r="G3808" t="str">
            <v>Reach_4621</v>
          </cell>
          <cell r="H3808">
            <v>3800</v>
          </cell>
          <cell r="J3808">
            <v>152.19999999999999</v>
          </cell>
          <cell r="K3808">
            <v>83.75</v>
          </cell>
          <cell r="L3808">
            <v>6.4117300000000002E-2</v>
          </cell>
          <cell r="M3808">
            <v>6372.9</v>
          </cell>
          <cell r="N3808">
            <v>0.24547089156850299</v>
          </cell>
          <cell r="P3808">
            <v>7.72</v>
          </cell>
          <cell r="Q3808">
            <v>6.28</v>
          </cell>
        </row>
        <row r="3809">
          <cell r="D3809" t="str">
            <v>402913-84-2</v>
          </cell>
          <cell r="E3809">
            <v>402913842</v>
          </cell>
          <cell r="F3809">
            <v>2856</v>
          </cell>
          <cell r="G3809" t="str">
            <v>Reach_4313</v>
          </cell>
          <cell r="H3809">
            <v>3801</v>
          </cell>
          <cell r="J3809">
            <v>694.83</v>
          </cell>
          <cell r="K3809">
            <v>349.84</v>
          </cell>
          <cell r="L3809">
            <v>6.0651500000000008E-33</v>
          </cell>
          <cell r="M3809">
            <v>57.438000000000002</v>
          </cell>
          <cell r="N3809">
            <v>0.57543993733715693</v>
          </cell>
          <cell r="O3809">
            <v>7.98</v>
          </cell>
          <cell r="P3809">
            <v>14.25</v>
          </cell>
          <cell r="Q3809">
            <v>-0.25</v>
          </cell>
        </row>
        <row r="3810">
          <cell r="D3810" t="str">
            <v>787582-75-6</v>
          </cell>
          <cell r="E3810">
            <v>787582756</v>
          </cell>
          <cell r="F3810">
            <v>3756</v>
          </cell>
          <cell r="G3810" t="str">
            <v>Reach_4443</v>
          </cell>
          <cell r="H3810">
            <v>3802</v>
          </cell>
          <cell r="J3810">
            <v>498.44</v>
          </cell>
          <cell r="K3810">
            <v>194.5</v>
          </cell>
          <cell r="L3810">
            <v>3.9456800000000007E-7</v>
          </cell>
          <cell r="M3810">
            <v>1.4300000000000001E-4</v>
          </cell>
          <cell r="N3810">
            <v>3548133892.3357711</v>
          </cell>
          <cell r="O3810">
            <v>0</v>
          </cell>
          <cell r="P3810">
            <v>0</v>
          </cell>
          <cell r="Q3810">
            <v>0</v>
          </cell>
        </row>
        <row r="3811">
          <cell r="D3811" t="str">
            <v>98-42-0</v>
          </cell>
          <cell r="E3811">
            <v>98420</v>
          </cell>
          <cell r="F3811">
            <v>4184</v>
          </cell>
          <cell r="G3811" t="str">
            <v>Reach_506</v>
          </cell>
          <cell r="H3811">
            <v>3803</v>
          </cell>
          <cell r="J3811">
            <v>203.22</v>
          </cell>
          <cell r="K3811">
            <v>142.46</v>
          </cell>
          <cell r="L3811">
            <v>3.865700000000001E-6</v>
          </cell>
          <cell r="M3811">
            <v>51529</v>
          </cell>
          <cell r="N3811">
            <v>0.01</v>
          </cell>
          <cell r="O3811">
            <v>-0.2</v>
          </cell>
          <cell r="Q3811">
            <v>-0.2</v>
          </cell>
        </row>
        <row r="3812">
          <cell r="D3812" t="str">
            <v>57-57-8</v>
          </cell>
          <cell r="E3812">
            <v>57578</v>
          </cell>
          <cell r="F3812">
            <v>3233</v>
          </cell>
          <cell r="G3812" t="str">
            <v>Reach_42</v>
          </cell>
          <cell r="H3812">
            <v>3804</v>
          </cell>
          <cell r="J3812">
            <v>72.063000000000002</v>
          </cell>
          <cell r="K3812">
            <v>-52.78</v>
          </cell>
          <cell r="L3812">
            <v>305.25700000000001</v>
          </cell>
          <cell r="M3812">
            <v>197000</v>
          </cell>
          <cell r="N3812">
            <v>0.15848931924611132</v>
          </cell>
          <cell r="Q3812">
            <v>14</v>
          </cell>
        </row>
        <row r="3813">
          <cell r="D3813" t="str">
            <v>197706-50-6</v>
          </cell>
          <cell r="E3813">
            <v>197706506</v>
          </cell>
          <cell r="F3813">
            <v>2240</v>
          </cell>
          <cell r="G3813" t="str">
            <v>Reach_4206</v>
          </cell>
          <cell r="H3813">
            <v>3805</v>
          </cell>
          <cell r="J3813">
            <v>194.21</v>
          </cell>
          <cell r="K3813">
            <v>58.28</v>
          </cell>
          <cell r="L3813">
            <v>1.014413</v>
          </cell>
          <cell r="M3813">
            <v>774.73</v>
          </cell>
          <cell r="N3813">
            <v>467.7351412871983</v>
          </cell>
          <cell r="Q3813">
            <v>14</v>
          </cell>
        </row>
        <row r="3814">
          <cell r="D3814" t="str">
            <v>129050-23-3</v>
          </cell>
          <cell r="E3814">
            <v>129050233</v>
          </cell>
          <cell r="F3814">
            <v>1825</v>
          </cell>
          <cell r="G3814" t="str">
            <v>Reach_4114</v>
          </cell>
          <cell r="H3814">
            <v>3806</v>
          </cell>
          <cell r="J3814">
            <v>194.21</v>
          </cell>
          <cell r="K3814">
            <v>58.28</v>
          </cell>
          <cell r="L3814">
            <v>1.014413</v>
          </cell>
          <cell r="M3814">
            <v>774.73</v>
          </cell>
          <cell r="N3814">
            <v>467.7351412871983</v>
          </cell>
          <cell r="Q3814">
            <v>14</v>
          </cell>
        </row>
        <row r="3815">
          <cell r="D3815" t="str">
            <v>122397-96-0</v>
          </cell>
          <cell r="E3815">
            <v>122397960</v>
          </cell>
          <cell r="F3815">
            <v>1749</v>
          </cell>
          <cell r="G3815" t="str">
            <v>Reach_4104</v>
          </cell>
          <cell r="H3815">
            <v>3807</v>
          </cell>
          <cell r="J3815">
            <v>328.32</v>
          </cell>
          <cell r="K3815">
            <v>218.88</v>
          </cell>
          <cell r="L3815">
            <v>7.8913600000000012E-12</v>
          </cell>
          <cell r="M3815">
            <v>8819.7999999999993</v>
          </cell>
          <cell r="N3815">
            <v>0.19054607179632471</v>
          </cell>
          <cell r="O3815">
            <v>12.46</v>
          </cell>
          <cell r="Q3815">
            <v>12.46</v>
          </cell>
        </row>
        <row r="3816">
          <cell r="D3816" t="str">
            <v>72621-59-1</v>
          </cell>
          <cell r="E3816">
            <v>72621591</v>
          </cell>
          <cell r="F3816">
            <v>3608</v>
          </cell>
          <cell r="G3816" t="str">
            <v>Reach_4936</v>
          </cell>
          <cell r="H3816">
            <v>3808</v>
          </cell>
          <cell r="J3816">
            <v>253.28</v>
          </cell>
          <cell r="K3816">
            <v>187.28</v>
          </cell>
          <cell r="L3816">
            <v>1.6662500000000001E-6</v>
          </cell>
          <cell r="M3816">
            <v>12.576000000000001</v>
          </cell>
          <cell r="N3816">
            <v>85.113803820237663</v>
          </cell>
          <cell r="Q3816">
            <v>14</v>
          </cell>
        </row>
        <row r="3817">
          <cell r="D3817" t="str">
            <v>141573-95-7</v>
          </cell>
          <cell r="E3817">
            <v>141573957</v>
          </cell>
          <cell r="F3817">
            <v>1937</v>
          </cell>
          <cell r="G3817" t="str">
            <v>Reach_4525</v>
          </cell>
          <cell r="H3817">
            <v>3809</v>
          </cell>
          <cell r="J3817">
            <v>204.18</v>
          </cell>
          <cell r="K3817">
            <v>51.96</v>
          </cell>
          <cell r="L3817">
            <v>3.5057900000000002</v>
          </cell>
          <cell r="M3817">
            <v>1216.5</v>
          </cell>
          <cell r="N3817">
            <v>19.498445997580465</v>
          </cell>
          <cell r="O3817">
            <v>0</v>
          </cell>
          <cell r="P3817">
            <v>15.53</v>
          </cell>
          <cell r="Q3817">
            <v>-1.5299999999999994</v>
          </cell>
        </row>
        <row r="3818">
          <cell r="D3818" t="str">
            <v>4498-67-3</v>
          </cell>
          <cell r="E3818">
            <v>4498673</v>
          </cell>
          <cell r="F3818">
            <v>2935</v>
          </cell>
          <cell r="G3818" t="str">
            <v>Reach_2041</v>
          </cell>
          <cell r="H3818">
            <v>3810</v>
          </cell>
          <cell r="J3818">
            <v>164.17</v>
          </cell>
          <cell r="K3818">
            <v>136.18</v>
          </cell>
          <cell r="L3818">
            <v>1.9595100000000002E-3</v>
          </cell>
          <cell r="M3818">
            <v>27620</v>
          </cell>
          <cell r="N3818">
            <v>2.3988329190194908</v>
          </cell>
          <cell r="O3818">
            <v>2.6</v>
          </cell>
          <cell r="P3818">
            <v>7.03</v>
          </cell>
          <cell r="Q3818">
            <v>2.6</v>
          </cell>
        </row>
        <row r="3819">
          <cell r="D3819" t="str">
            <v>33494-80-3</v>
          </cell>
          <cell r="E3819">
            <v>33494803</v>
          </cell>
          <cell r="F3819">
            <v>5848</v>
          </cell>
          <cell r="G3819" t="str">
            <v>Reach_4538</v>
          </cell>
          <cell r="H3819">
            <v>3811</v>
          </cell>
          <cell r="J3819">
            <v>248.3</v>
          </cell>
          <cell r="K3819">
            <v>0</v>
          </cell>
          <cell r="L3819">
            <v>0</v>
          </cell>
          <cell r="M3819">
            <v>0</v>
          </cell>
          <cell r="N3819">
            <v>0</v>
          </cell>
          <cell r="O3819">
            <v>0</v>
          </cell>
          <cell r="Q3819">
            <v>0</v>
          </cell>
        </row>
        <row r="3820">
          <cell r="D3820" t="str">
            <v>81778-07-6</v>
          </cell>
          <cell r="E3820">
            <v>81778076</v>
          </cell>
          <cell r="F3820">
            <v>3813</v>
          </cell>
          <cell r="G3820" t="str">
            <v>Reach_4682</v>
          </cell>
          <cell r="H3820">
            <v>3812</v>
          </cell>
          <cell r="J3820">
            <v>115.13</v>
          </cell>
          <cell r="K3820">
            <v>71.95</v>
          </cell>
          <cell r="L3820">
            <v>0.69316</v>
          </cell>
          <cell r="M3820">
            <v>59894</v>
          </cell>
          <cell r="N3820">
            <v>1.9952623149688797</v>
          </cell>
          <cell r="Q3820">
            <v>14</v>
          </cell>
        </row>
        <row r="3821">
          <cell r="D3821" t="str">
            <v>1065519-44-9</v>
          </cell>
          <cell r="E3821">
            <v>1065519449</v>
          </cell>
          <cell r="F3821">
            <v>1438</v>
          </cell>
          <cell r="G3821" t="str">
            <v>Reach_4809</v>
          </cell>
          <cell r="H3821">
            <v>3813</v>
          </cell>
          <cell r="J3821">
            <v>520.57000000000005</v>
          </cell>
          <cell r="K3821">
            <v>311.39999999999998</v>
          </cell>
          <cell r="L3821">
            <v>6.6783300000000006E-15</v>
          </cell>
          <cell r="M3821">
            <v>3.0270000000000001</v>
          </cell>
          <cell r="N3821">
            <v>1584.8931924611156</v>
          </cell>
          <cell r="O3821">
            <v>8.32</v>
          </cell>
          <cell r="P3821">
            <v>3.15</v>
          </cell>
          <cell r="Q3821">
            <v>8.32</v>
          </cell>
        </row>
        <row r="3822">
          <cell r="D3822" t="str">
            <v>5424-01-1</v>
          </cell>
          <cell r="E3822">
            <v>5424011</v>
          </cell>
          <cell r="F3822">
            <v>1275</v>
          </cell>
          <cell r="G3822" t="str">
            <v>Reach_2111</v>
          </cell>
          <cell r="H3822">
            <v>3814</v>
          </cell>
          <cell r="J3822">
            <v>139.12</v>
          </cell>
          <cell r="K3822">
            <v>118.6</v>
          </cell>
          <cell r="L3822">
            <v>1.022411E-2</v>
          </cell>
          <cell r="M3822">
            <v>169000</v>
          </cell>
          <cell r="N3822">
            <v>1.4791083881682074</v>
          </cell>
          <cell r="O3822">
            <v>1.83</v>
          </cell>
          <cell r="P3822">
            <v>9.39</v>
          </cell>
          <cell r="Q3822">
            <v>1.83</v>
          </cell>
        </row>
        <row r="3823">
          <cell r="D3823" t="str">
            <v>886592-17-2</v>
          </cell>
          <cell r="E3823">
            <v>886592172</v>
          </cell>
          <cell r="F3823">
            <v>6076</v>
          </cell>
          <cell r="G3823" t="str">
            <v>Reach_4706</v>
          </cell>
          <cell r="H3823">
            <v>3815</v>
          </cell>
          <cell r="J3823">
            <v>336.32</v>
          </cell>
          <cell r="K3823">
            <v>0</v>
          </cell>
          <cell r="L3823">
            <v>0</v>
          </cell>
          <cell r="M3823">
            <v>0</v>
          </cell>
          <cell r="N3823">
            <v>0</v>
          </cell>
          <cell r="Q3823">
            <v>14</v>
          </cell>
        </row>
        <row r="3824">
          <cell r="D3824" t="str">
            <v>634-55-9</v>
          </cell>
          <cell r="E3824">
            <v>634559</v>
          </cell>
          <cell r="F3824">
            <v>3402</v>
          </cell>
          <cell r="G3824" t="str">
            <v>Reach_4789</v>
          </cell>
          <cell r="H3824">
            <v>3816</v>
          </cell>
          <cell r="J3824">
            <v>155.15</v>
          </cell>
          <cell r="K3824">
            <v>36.21</v>
          </cell>
          <cell r="L3824">
            <v>2.2794300000000001</v>
          </cell>
          <cell r="M3824">
            <v>4216.8</v>
          </cell>
          <cell r="N3824">
            <v>0.10232929922807538</v>
          </cell>
          <cell r="O3824">
            <v>7.8</v>
          </cell>
          <cell r="Q3824">
            <v>7.8</v>
          </cell>
        </row>
        <row r="3825">
          <cell r="D3825" t="str">
            <v>376348-78-6</v>
          </cell>
          <cell r="E3825">
            <v>376348786</v>
          </cell>
          <cell r="F3825">
            <v>2804</v>
          </cell>
          <cell r="G3825" t="str">
            <v>Reach_4601</v>
          </cell>
          <cell r="H3825">
            <v>3817</v>
          </cell>
          <cell r="J3825">
            <v>295.33</v>
          </cell>
          <cell r="K3825">
            <v>163.32</v>
          </cell>
          <cell r="L3825">
            <v>1.4263100000000002E-5</v>
          </cell>
          <cell r="M3825">
            <v>15.254</v>
          </cell>
          <cell r="N3825">
            <v>301.99517204020168</v>
          </cell>
          <cell r="O3825">
            <v>13.47</v>
          </cell>
          <cell r="Q3825">
            <v>13.47</v>
          </cell>
        </row>
        <row r="3826">
          <cell r="D3826" t="str">
            <v>18916-17-1</v>
          </cell>
          <cell r="E3826">
            <v>18916171</v>
          </cell>
          <cell r="F3826">
            <v>2215</v>
          </cell>
          <cell r="G3826" t="str">
            <v>Reach_4859</v>
          </cell>
          <cell r="H3826">
            <v>3818</v>
          </cell>
          <cell r="J3826">
            <v>582.54999999999995</v>
          </cell>
          <cell r="K3826">
            <v>349.84</v>
          </cell>
          <cell r="L3826">
            <v>3.6657500000000004E-25</v>
          </cell>
          <cell r="M3826">
            <v>650.69000000000005</v>
          </cell>
          <cell r="N3826">
            <v>2.344228815319922</v>
          </cell>
          <cell r="O3826">
            <v>9.0299999999999994</v>
          </cell>
          <cell r="P3826">
            <v>0</v>
          </cell>
          <cell r="Q3826">
            <v>9.0299999999999994</v>
          </cell>
        </row>
        <row r="3827">
          <cell r="D3827" t="str">
            <v>1073607-50-7</v>
          </cell>
          <cell r="E3827">
            <v>1073607507</v>
          </cell>
          <cell r="F3827">
            <v>5603</v>
          </cell>
          <cell r="G3827" t="str">
            <v>Reach_4954</v>
          </cell>
          <cell r="H3827">
            <v>3819</v>
          </cell>
          <cell r="J3827">
            <v>844.54</v>
          </cell>
          <cell r="K3827">
            <v>0</v>
          </cell>
          <cell r="L3827">
            <v>0</v>
          </cell>
          <cell r="M3827">
            <v>0</v>
          </cell>
          <cell r="N3827">
            <v>0</v>
          </cell>
          <cell r="Q3827">
            <v>14</v>
          </cell>
        </row>
        <row r="3828">
          <cell r="D3828" t="str">
            <v>437717-43-6</v>
          </cell>
          <cell r="E3828">
            <v>437717436</v>
          </cell>
          <cell r="F3828">
            <v>2915</v>
          </cell>
          <cell r="G3828" t="str">
            <v>Reach_4322</v>
          </cell>
          <cell r="H3828">
            <v>3820</v>
          </cell>
          <cell r="J3828">
            <v>392.44</v>
          </cell>
          <cell r="K3828">
            <v>317.08999999999997</v>
          </cell>
          <cell r="L3828">
            <v>1.1023910000000002E-18</v>
          </cell>
          <cell r="M3828">
            <v>11.715999999999999</v>
          </cell>
          <cell r="N3828">
            <v>3.1622776601683795</v>
          </cell>
          <cell r="O3828">
            <v>0.6</v>
          </cell>
          <cell r="P3828">
            <v>5.71</v>
          </cell>
          <cell r="Q3828">
            <v>0.6</v>
          </cell>
        </row>
        <row r="3829">
          <cell r="D3829" t="str">
            <v>86404-04-8</v>
          </cell>
          <cell r="E3829">
            <v>86404048</v>
          </cell>
          <cell r="F3829">
            <v>3906</v>
          </cell>
          <cell r="G3829" t="str">
            <v>Reach_4477</v>
          </cell>
          <cell r="H3829">
            <v>3821</v>
          </cell>
          <cell r="J3829">
            <v>204.18</v>
          </cell>
          <cell r="K3829">
            <v>143.85</v>
          </cell>
          <cell r="L3829">
            <v>1.53295E-7</v>
          </cell>
          <cell r="M3829">
            <v>441000</v>
          </cell>
          <cell r="N3829">
            <v>4.8977881936844566E-4</v>
          </cell>
          <cell r="O3829">
            <v>13.53</v>
          </cell>
          <cell r="Q3829">
            <v>13.53</v>
          </cell>
        </row>
        <row r="3830">
          <cell r="D3830" t="str">
            <v>74462-02-5</v>
          </cell>
          <cell r="E3830">
            <v>74462025</v>
          </cell>
          <cell r="F3830">
            <v>3637</v>
          </cell>
          <cell r="G3830" t="str">
            <v>Reach_4623</v>
          </cell>
          <cell r="H3830">
            <v>3822</v>
          </cell>
          <cell r="J3830">
            <v>298.43</v>
          </cell>
          <cell r="K3830">
            <v>162.52000000000001</v>
          </cell>
          <cell r="L3830">
            <v>6.4917100000000001E-7</v>
          </cell>
          <cell r="M3830">
            <v>0.44069000000000003</v>
          </cell>
          <cell r="N3830">
            <v>1148153.6214968837</v>
          </cell>
          <cell r="Q3830">
            <v>14</v>
          </cell>
        </row>
        <row r="3831">
          <cell r="D3831" t="str">
            <v>19694-10-1</v>
          </cell>
          <cell r="E3831">
            <v>19694101</v>
          </cell>
          <cell r="F3831">
            <v>2236</v>
          </cell>
          <cell r="G3831" t="str">
            <v>Reach_2482</v>
          </cell>
          <cell r="H3831">
            <v>3823</v>
          </cell>
          <cell r="J3831">
            <v>170.6</v>
          </cell>
          <cell r="K3831">
            <v>135.91</v>
          </cell>
          <cell r="L3831">
            <v>8.1446300000000008E-4</v>
          </cell>
          <cell r="M3831">
            <v>6619.4</v>
          </cell>
          <cell r="N3831">
            <v>2.9512092266663856</v>
          </cell>
          <cell r="O3831">
            <v>14.76</v>
          </cell>
          <cell r="P3831">
            <v>12.52</v>
          </cell>
          <cell r="Q3831">
            <v>1.4800000000000004</v>
          </cell>
        </row>
        <row r="3832">
          <cell r="D3832" t="str">
            <v>64-86-8</v>
          </cell>
          <cell r="E3832">
            <v>64868</v>
          </cell>
          <cell r="F3832">
            <v>782</v>
          </cell>
          <cell r="G3832" t="str">
            <v>Reach_75</v>
          </cell>
          <cell r="H3832">
            <v>3824</v>
          </cell>
          <cell r="J3832">
            <v>399.44</v>
          </cell>
          <cell r="K3832">
            <v>241.78</v>
          </cell>
          <cell r="L3832">
            <v>4.2389400000000007E-9</v>
          </cell>
          <cell r="M3832">
            <v>14.363</v>
          </cell>
          <cell r="N3832">
            <v>72.443596007499067</v>
          </cell>
          <cell r="O3832">
            <v>14.64</v>
          </cell>
          <cell r="P3832">
            <v>15</v>
          </cell>
          <cell r="Q3832">
            <v>-1</v>
          </cell>
        </row>
        <row r="3833">
          <cell r="D3833" t="str">
            <v>197706-51-7</v>
          </cell>
          <cell r="E3833">
            <v>197706517</v>
          </cell>
          <cell r="F3833">
            <v>2241</v>
          </cell>
          <cell r="G3833" t="str">
            <v>Reach_4207</v>
          </cell>
          <cell r="H3833">
            <v>3825</v>
          </cell>
          <cell r="J3833">
            <v>194.21</v>
          </cell>
          <cell r="K3833">
            <v>58.28</v>
          </cell>
          <cell r="L3833">
            <v>1.014413</v>
          </cell>
          <cell r="M3833">
            <v>774.73</v>
          </cell>
          <cell r="N3833">
            <v>467.7351412871983</v>
          </cell>
          <cell r="Q3833">
            <v>14</v>
          </cell>
        </row>
        <row r="3834">
          <cell r="D3834" t="str">
            <v>3034-38-6</v>
          </cell>
          <cell r="E3834">
            <v>3034386</v>
          </cell>
          <cell r="F3834">
            <v>2593</v>
          </cell>
          <cell r="G3834" t="str">
            <v>Reach_1902</v>
          </cell>
          <cell r="H3834">
            <v>3826</v>
          </cell>
          <cell r="J3834">
            <v>113.08</v>
          </cell>
          <cell r="K3834">
            <v>94.82</v>
          </cell>
          <cell r="L3834">
            <v>8.6378400000000006E-5</v>
          </cell>
          <cell r="M3834">
            <v>45622</v>
          </cell>
          <cell r="N3834">
            <v>0.75857757502918366</v>
          </cell>
          <cell r="O3834">
            <v>9</v>
          </cell>
          <cell r="P3834">
            <v>13.8</v>
          </cell>
          <cell r="Q3834">
            <v>0.19999999999999929</v>
          </cell>
        </row>
        <row r="3835">
          <cell r="D3835" t="str">
            <v>69739-16-8</v>
          </cell>
          <cell r="E3835">
            <v>69739168</v>
          </cell>
          <cell r="F3835">
            <v>3549</v>
          </cell>
          <cell r="G3835" t="str">
            <v>Reach_4851</v>
          </cell>
          <cell r="H3835">
            <v>3827</v>
          </cell>
          <cell r="J3835">
            <v>584.67999999999995</v>
          </cell>
          <cell r="K3835">
            <v>349.84</v>
          </cell>
          <cell r="L3835">
            <v>1.1370490000000001E-20</v>
          </cell>
          <cell r="M3835">
            <v>3.1294</v>
          </cell>
          <cell r="N3835">
            <v>51.28613839913649</v>
          </cell>
          <cell r="Q3835">
            <v>14</v>
          </cell>
        </row>
        <row r="3836">
          <cell r="D3836" t="str">
            <v>173194-95-1</v>
          </cell>
          <cell r="E3836">
            <v>173194951</v>
          </cell>
          <cell r="F3836">
            <v>2131</v>
          </cell>
          <cell r="G3836" t="str">
            <v>Reach_4633</v>
          </cell>
          <cell r="H3836">
            <v>3828</v>
          </cell>
          <cell r="J3836">
            <v>188</v>
          </cell>
          <cell r="K3836">
            <v>157.99</v>
          </cell>
          <cell r="L3836">
            <v>7.0649000000000013E-8</v>
          </cell>
          <cell r="M3836">
            <v>0</v>
          </cell>
          <cell r="N3836">
            <v>158.48931924611153</v>
          </cell>
          <cell r="O3836">
            <v>8.86</v>
          </cell>
          <cell r="Q3836">
            <v>8.86</v>
          </cell>
        </row>
        <row r="3837">
          <cell r="D3837" t="str">
            <v>59875-04-6</v>
          </cell>
          <cell r="E3837">
            <v>59875046</v>
          </cell>
          <cell r="F3837">
            <v>3292</v>
          </cell>
          <cell r="G3837" t="str">
            <v>Reach_4367</v>
          </cell>
          <cell r="H3837">
            <v>3829</v>
          </cell>
          <cell r="J3837">
            <v>159.19</v>
          </cell>
          <cell r="K3837">
            <v>120.53</v>
          </cell>
          <cell r="L3837">
            <v>2.8126300000000004E-3</v>
          </cell>
          <cell r="M3837">
            <v>7630.6</v>
          </cell>
          <cell r="N3837">
            <v>2.3988329190194908</v>
          </cell>
          <cell r="Q3837">
            <v>14</v>
          </cell>
        </row>
        <row r="3838">
          <cell r="D3838" t="str">
            <v>1103-38-4</v>
          </cell>
          <cell r="E3838">
            <v>1103384</v>
          </cell>
          <cell r="F3838">
            <v>5606</v>
          </cell>
          <cell r="G3838" t="str">
            <v>Reach_1646</v>
          </cell>
          <cell r="H3838">
            <v>3830</v>
          </cell>
          <cell r="J3838">
            <v>892.16</v>
          </cell>
          <cell r="K3838">
            <v>0</v>
          </cell>
          <cell r="L3838">
            <v>0</v>
          </cell>
          <cell r="M3838">
            <v>0</v>
          </cell>
          <cell r="N3838">
            <v>0</v>
          </cell>
          <cell r="Q3838">
            <v>14</v>
          </cell>
        </row>
        <row r="3839">
          <cell r="D3839" t="str">
            <v>1176-81-4</v>
          </cell>
          <cell r="E3839">
            <v>1176814</v>
          </cell>
          <cell r="F3839">
            <v>1662</v>
          </cell>
          <cell r="G3839" t="str">
            <v>Reach_4091</v>
          </cell>
          <cell r="H3839">
            <v>3831</v>
          </cell>
          <cell r="J3839">
            <v>420.52</v>
          </cell>
          <cell r="K3839">
            <v>206.96</v>
          </cell>
          <cell r="L3839">
            <v>6.8516200000000006E-10</v>
          </cell>
          <cell r="M3839">
            <v>3.6379999999999999</v>
          </cell>
          <cell r="N3839">
            <v>281.83829312644554</v>
          </cell>
          <cell r="O3839">
            <v>15.57</v>
          </cell>
          <cell r="Q3839">
            <v>14</v>
          </cell>
        </row>
        <row r="3840">
          <cell r="D3840" t="str">
            <v>3409-21-0</v>
          </cell>
          <cell r="E3840">
            <v>3409210</v>
          </cell>
          <cell r="F3840">
            <v>2691</v>
          </cell>
          <cell r="G3840" t="str">
            <v>Reach_4947</v>
          </cell>
          <cell r="H3840">
            <v>3832</v>
          </cell>
          <cell r="J3840">
            <v>203.29</v>
          </cell>
          <cell r="K3840">
            <v>85.27</v>
          </cell>
          <cell r="L3840">
            <v>3.9590100000000003E-2</v>
          </cell>
          <cell r="M3840">
            <v>6968.2</v>
          </cell>
          <cell r="N3840">
            <v>165.95869074375622</v>
          </cell>
          <cell r="P3840">
            <v>4.7</v>
          </cell>
          <cell r="Q3840">
            <v>9.3000000000000007</v>
          </cell>
        </row>
        <row r="3841">
          <cell r="D3841" t="str">
            <v>3222-49-9</v>
          </cell>
          <cell r="E3841">
            <v>3222499</v>
          </cell>
          <cell r="F3841">
            <v>2645</v>
          </cell>
          <cell r="G3841" t="str">
            <v>Reach_4280</v>
          </cell>
          <cell r="H3841">
            <v>3833</v>
          </cell>
          <cell r="J3841">
            <v>137.13999999999999</v>
          </cell>
          <cell r="K3841">
            <v>76.5</v>
          </cell>
          <cell r="L3841">
            <v>0.32791800000000004</v>
          </cell>
          <cell r="M3841">
            <v>3911.2</v>
          </cell>
          <cell r="N3841">
            <v>16.982436524617448</v>
          </cell>
          <cell r="O3841">
            <v>1.96</v>
          </cell>
          <cell r="P3841">
            <v>9.16</v>
          </cell>
          <cell r="Q3841">
            <v>1.96</v>
          </cell>
        </row>
        <row r="3842">
          <cell r="D3842" t="str">
            <v>191605-10-4</v>
          </cell>
          <cell r="E3842">
            <v>191605104</v>
          </cell>
          <cell r="F3842">
            <v>2223</v>
          </cell>
          <cell r="G3842" t="str">
            <v>Reach_4200</v>
          </cell>
          <cell r="H3842">
            <v>3834</v>
          </cell>
          <cell r="J3842">
            <v>418.35</v>
          </cell>
          <cell r="K3842">
            <v>236.35</v>
          </cell>
          <cell r="L3842">
            <v>9.6909100000000012E-10</v>
          </cell>
          <cell r="M3842">
            <v>1777.3</v>
          </cell>
          <cell r="N3842">
            <v>11220.184543019639</v>
          </cell>
          <cell r="O3842">
            <v>1.1000000000000001</v>
          </cell>
          <cell r="Q3842">
            <v>1.1000000000000001</v>
          </cell>
        </row>
        <row r="3843">
          <cell r="D3843" t="str">
            <v>61320-65-8</v>
          </cell>
          <cell r="E3843">
            <v>61320658</v>
          </cell>
          <cell r="F3843">
            <v>3331</v>
          </cell>
          <cell r="G3843" t="str">
            <v>Reach_4896</v>
          </cell>
          <cell r="H3843">
            <v>3835</v>
          </cell>
          <cell r="J3843">
            <v>196.23</v>
          </cell>
          <cell r="K3843">
            <v>125.11</v>
          </cell>
          <cell r="L3843">
            <v>2.6660000000000004E-3</v>
          </cell>
          <cell r="M3843">
            <v>1256.8</v>
          </cell>
          <cell r="N3843">
            <v>23.988329190194907</v>
          </cell>
          <cell r="Q3843">
            <v>14</v>
          </cell>
        </row>
        <row r="3844">
          <cell r="D3844" t="str">
            <v>16298-03-6</v>
          </cell>
          <cell r="E3844">
            <v>16298036</v>
          </cell>
          <cell r="F3844">
            <v>2087</v>
          </cell>
          <cell r="G3844" t="str">
            <v>Reach_2417</v>
          </cell>
          <cell r="H3844">
            <v>3836</v>
          </cell>
          <cell r="J3844">
            <v>153.13999999999999</v>
          </cell>
          <cell r="K3844">
            <v>84.85</v>
          </cell>
          <cell r="L3844">
            <v>0.21194700000000002</v>
          </cell>
          <cell r="M3844">
            <v>87480</v>
          </cell>
          <cell r="N3844">
            <v>11.748975549395301</v>
          </cell>
          <cell r="Q3844">
            <v>14</v>
          </cell>
        </row>
        <row r="3845">
          <cell r="D3845" t="str">
            <v>82410-32-0</v>
          </cell>
          <cell r="E3845">
            <v>82410320</v>
          </cell>
          <cell r="F3845">
            <v>3823</v>
          </cell>
          <cell r="G3845" t="str">
            <v>Reach_4582</v>
          </cell>
          <cell r="H3845">
            <v>3837</v>
          </cell>
          <cell r="J3845">
            <v>255.24</v>
          </cell>
          <cell r="K3845">
            <v>265.8</v>
          </cell>
          <cell r="L3845">
            <v>5.9718400000000004E-15</v>
          </cell>
          <cell r="M3845">
            <v>53150</v>
          </cell>
          <cell r="N3845">
            <v>5.3703179637025256E-2</v>
          </cell>
          <cell r="O3845">
            <v>9.3699999999999992</v>
          </cell>
          <cell r="P3845">
            <v>11.85</v>
          </cell>
          <cell r="Q3845">
            <v>2.1500000000000004</v>
          </cell>
        </row>
        <row r="3846">
          <cell r="D3846" t="str">
            <v>17270-01-8</v>
          </cell>
          <cell r="E3846">
            <v>17270018</v>
          </cell>
          <cell r="F3846">
            <v>2130</v>
          </cell>
          <cell r="G3846" t="str">
            <v>Reach_4955</v>
          </cell>
          <cell r="H3846">
            <v>3838</v>
          </cell>
          <cell r="J3846">
            <v>650.55999999999995</v>
          </cell>
          <cell r="K3846">
            <v>90.27</v>
          </cell>
          <cell r="L3846">
            <v>2.7459799999999999E-6</v>
          </cell>
          <cell r="M3846">
            <v>6.8199999999999999E-6</v>
          </cell>
          <cell r="N3846">
            <v>1479108388.1682093</v>
          </cell>
          <cell r="Q3846">
            <v>14</v>
          </cell>
        </row>
        <row r="3847">
          <cell r="D3847" t="str">
            <v>87392-07-2</v>
          </cell>
          <cell r="E3847">
            <v>87392072</v>
          </cell>
          <cell r="F3847">
            <v>3930</v>
          </cell>
          <cell r="G3847" t="str">
            <v>Reach_4484</v>
          </cell>
          <cell r="H3847">
            <v>3839</v>
          </cell>
          <cell r="J3847">
            <v>116.12</v>
          </cell>
          <cell r="K3847">
            <v>33.450000000000003</v>
          </cell>
          <cell r="L3847">
            <v>17.728900000000003</v>
          </cell>
          <cell r="M3847">
            <v>52426</v>
          </cell>
          <cell r="N3847">
            <v>1.3182567385564072</v>
          </cell>
          <cell r="Q3847">
            <v>14</v>
          </cell>
        </row>
        <row r="3848">
          <cell r="D3848" t="str">
            <v>143183-03-3</v>
          </cell>
          <cell r="E3848">
            <v>143183033</v>
          </cell>
          <cell r="F3848">
            <v>1958</v>
          </cell>
          <cell r="G3848" t="str">
            <v>Reach_4768</v>
          </cell>
          <cell r="H3848">
            <v>3840</v>
          </cell>
          <cell r="J3848">
            <v>578.74</v>
          </cell>
          <cell r="K3848">
            <v>335.79</v>
          </cell>
          <cell r="L3848">
            <v>1.2623510000000003E-16</v>
          </cell>
          <cell r="M3848">
            <v>7.4399999999999999E-6</v>
          </cell>
          <cell r="N3848">
            <v>2454708915.6850371</v>
          </cell>
          <cell r="O3848">
            <v>0</v>
          </cell>
          <cell r="Q3848">
            <v>0</v>
          </cell>
        </row>
        <row r="3849">
          <cell r="D3849" t="str">
            <v>131-56-6</v>
          </cell>
          <cell r="E3849">
            <v>131566</v>
          </cell>
          <cell r="F3849">
            <v>1850</v>
          </cell>
          <cell r="G3849" t="str">
            <v>Reach_1121</v>
          </cell>
          <cell r="H3849">
            <v>3841</v>
          </cell>
          <cell r="J3849">
            <v>214.22</v>
          </cell>
          <cell r="K3849">
            <v>141.91</v>
          </cell>
          <cell r="L3849">
            <v>1.8795300000000003E-5</v>
          </cell>
          <cell r="M3849">
            <v>2468.8000000000002</v>
          </cell>
          <cell r="N3849">
            <v>912.01083935590987</v>
          </cell>
          <cell r="O3849">
            <v>7.83</v>
          </cell>
          <cell r="Q3849">
            <v>7.83</v>
          </cell>
        </row>
        <row r="3850">
          <cell r="D3850" t="str">
            <v>15934-01-7</v>
          </cell>
          <cell r="E3850">
            <v>15934017</v>
          </cell>
          <cell r="F3850">
            <v>5727</v>
          </cell>
          <cell r="G3850" t="str">
            <v>Reach_2405</v>
          </cell>
          <cell r="H3850">
            <v>3842</v>
          </cell>
          <cell r="J3850">
            <v>343.34</v>
          </cell>
          <cell r="K3850">
            <v>0</v>
          </cell>
          <cell r="L3850">
            <v>0</v>
          </cell>
          <cell r="M3850">
            <v>0</v>
          </cell>
          <cell r="N3850">
            <v>0</v>
          </cell>
          <cell r="Q3850">
            <v>14</v>
          </cell>
        </row>
        <row r="3851">
          <cell r="D3851" t="str">
            <v>154477-55-1</v>
          </cell>
          <cell r="E3851">
            <v>154477551</v>
          </cell>
          <cell r="F3851">
            <v>2036</v>
          </cell>
          <cell r="G3851" t="str">
            <v>Reach_4670</v>
          </cell>
          <cell r="H3851">
            <v>3843</v>
          </cell>
          <cell r="J3851">
            <v>513.67999999999995</v>
          </cell>
          <cell r="K3851">
            <v>262.82</v>
          </cell>
          <cell r="L3851">
            <v>2.82596E-14</v>
          </cell>
          <cell r="M3851">
            <v>5.0410000000000003E-2</v>
          </cell>
          <cell r="N3851">
            <v>2754228.7033381732</v>
          </cell>
          <cell r="O3851">
            <v>13.42</v>
          </cell>
          <cell r="P3851">
            <v>4.95</v>
          </cell>
          <cell r="Q3851">
            <v>9.0500000000000007</v>
          </cell>
        </row>
        <row r="3852">
          <cell r="D3852" t="str">
            <v>924663-38-7</v>
          </cell>
          <cell r="E3852">
            <v>924663387</v>
          </cell>
          <cell r="F3852">
            <v>4035</v>
          </cell>
          <cell r="G3852" t="str">
            <v>Reach_4609</v>
          </cell>
          <cell r="H3852">
            <v>3844</v>
          </cell>
          <cell r="J3852">
            <v>375.45</v>
          </cell>
          <cell r="K3852">
            <v>285.29000000000002</v>
          </cell>
          <cell r="L3852">
            <v>4.37224E-16</v>
          </cell>
          <cell r="M3852">
            <v>6.3963000000000001</v>
          </cell>
          <cell r="N3852">
            <v>6.0255958607435796</v>
          </cell>
          <cell r="O3852">
            <v>8.8000000000000007</v>
          </cell>
          <cell r="P3852">
            <v>11</v>
          </cell>
          <cell r="Q3852">
            <v>3</v>
          </cell>
        </row>
        <row r="3853">
          <cell r="D3853" t="str">
            <v>477-29-2</v>
          </cell>
          <cell r="E3853">
            <v>477292</v>
          </cell>
          <cell r="F3853">
            <v>2969</v>
          </cell>
          <cell r="G3853" t="str">
            <v>Reach_1290</v>
          </cell>
          <cell r="H3853">
            <v>3845</v>
          </cell>
          <cell r="J3853">
            <v>547.55999999999995</v>
          </cell>
          <cell r="K3853">
            <v>347.83</v>
          </cell>
          <cell r="L3853">
            <v>6.0918100000000008E-23</v>
          </cell>
          <cell r="M3853">
            <v>108.11</v>
          </cell>
          <cell r="N3853">
            <v>0.19054607179632471</v>
          </cell>
          <cell r="O3853">
            <v>14</v>
          </cell>
          <cell r="P3853">
            <v>14.67</v>
          </cell>
          <cell r="Q3853">
            <v>-0.66999999999999993</v>
          </cell>
        </row>
        <row r="3854">
          <cell r="D3854" t="str">
            <v>1001320-38-2</v>
          </cell>
          <cell r="E3854">
            <v>1001320382</v>
          </cell>
          <cell r="F3854">
            <v>1294</v>
          </cell>
          <cell r="G3854" t="str">
            <v>Reach_4664</v>
          </cell>
          <cell r="H3854">
            <v>3846</v>
          </cell>
          <cell r="J3854">
            <v>249.4</v>
          </cell>
          <cell r="K3854">
            <v>101.83</v>
          </cell>
          <cell r="L3854">
            <v>5.8385400000000006E-3</v>
          </cell>
          <cell r="M3854">
            <v>23.012</v>
          </cell>
          <cell r="N3854">
            <v>5011.8723362727324</v>
          </cell>
          <cell r="O3854">
            <v>8.5</v>
          </cell>
          <cell r="Q3854">
            <v>8.5</v>
          </cell>
        </row>
        <row r="3855">
          <cell r="D3855" t="str">
            <v>73612-34-7</v>
          </cell>
          <cell r="E3855">
            <v>73612347</v>
          </cell>
          <cell r="F3855">
            <v>6017</v>
          </cell>
          <cell r="G3855" t="str">
            <v>Reach_2940</v>
          </cell>
          <cell r="H3855">
            <v>3847</v>
          </cell>
          <cell r="J3855">
            <v>888.98</v>
          </cell>
          <cell r="K3855">
            <v>0</v>
          </cell>
          <cell r="L3855">
            <v>0</v>
          </cell>
          <cell r="M3855">
            <v>0</v>
          </cell>
          <cell r="N3855">
            <v>0</v>
          </cell>
          <cell r="Q3855">
            <v>14</v>
          </cell>
        </row>
        <row r="3856">
          <cell r="D3856" t="str">
            <v>111298-82-9</v>
          </cell>
          <cell r="E3856">
            <v>111298829</v>
          </cell>
          <cell r="F3856">
            <v>1546</v>
          </cell>
          <cell r="G3856" t="str">
            <v>Reach_4550</v>
          </cell>
          <cell r="H3856">
            <v>3848</v>
          </cell>
          <cell r="J3856">
            <v>401.49</v>
          </cell>
          <cell r="K3856">
            <v>332.3</v>
          </cell>
          <cell r="L3856">
            <v>3.7057400000000003E-14</v>
          </cell>
          <cell r="M3856">
            <v>27.013999999999999</v>
          </cell>
          <cell r="N3856">
            <v>0.54954087385762451</v>
          </cell>
          <cell r="O3856">
            <v>2.48</v>
          </cell>
          <cell r="P3856">
            <v>7.03</v>
          </cell>
          <cell r="Q3856">
            <v>2.48</v>
          </cell>
        </row>
        <row r="3857">
          <cell r="D3857" t="str">
            <v>24650-42-8</v>
          </cell>
          <cell r="E3857">
            <v>24650428</v>
          </cell>
          <cell r="F3857">
            <v>2400</v>
          </cell>
          <cell r="G3857" t="str">
            <v>Reach_2552</v>
          </cell>
          <cell r="H3857">
            <v>3849</v>
          </cell>
          <cell r="J3857">
            <v>256.3</v>
          </cell>
          <cell r="K3857">
            <v>110.2</v>
          </cell>
          <cell r="L3857">
            <v>2.2661000000000001E-3</v>
          </cell>
          <cell r="M3857">
            <v>72.926000000000002</v>
          </cell>
          <cell r="N3857">
            <v>891.25093813374656</v>
          </cell>
          <cell r="O3857">
            <v>0</v>
          </cell>
          <cell r="Q3857">
            <v>0</v>
          </cell>
        </row>
        <row r="3858">
          <cell r="D3858" t="str">
            <v>210223-97-5</v>
          </cell>
          <cell r="E3858">
            <v>210223975</v>
          </cell>
          <cell r="F3858">
            <v>5770</v>
          </cell>
          <cell r="G3858" t="str">
            <v>Reach_5066</v>
          </cell>
          <cell r="H3858">
            <v>3850</v>
          </cell>
          <cell r="J3858">
            <v>302.8</v>
          </cell>
          <cell r="K3858">
            <v>0</v>
          </cell>
          <cell r="L3858">
            <v>0</v>
          </cell>
          <cell r="M3858">
            <v>0</v>
          </cell>
          <cell r="N3858">
            <v>0</v>
          </cell>
          <cell r="O3858">
            <v>0</v>
          </cell>
          <cell r="Q3858">
            <v>0</v>
          </cell>
        </row>
        <row r="3859">
          <cell r="D3859" t="str">
            <v>120202-68-8</v>
          </cell>
          <cell r="E3859">
            <v>120202688</v>
          </cell>
          <cell r="F3859">
            <v>5625</v>
          </cell>
          <cell r="G3859" t="str">
            <v>Reach_4100</v>
          </cell>
          <cell r="H3859">
            <v>3851</v>
          </cell>
          <cell r="J3859">
            <v>554.13</v>
          </cell>
          <cell r="K3859">
            <v>0</v>
          </cell>
          <cell r="L3859">
            <v>0</v>
          </cell>
          <cell r="M3859">
            <v>0</v>
          </cell>
          <cell r="N3859">
            <v>0</v>
          </cell>
          <cell r="Q3859">
            <v>14</v>
          </cell>
        </row>
        <row r="3860">
          <cell r="D3860" t="str">
            <v>54981-42-9</v>
          </cell>
          <cell r="E3860">
            <v>54981429</v>
          </cell>
          <cell r="F3860">
            <v>5928</v>
          </cell>
          <cell r="G3860" t="str">
            <v>Reach_5062</v>
          </cell>
          <cell r="H3860">
            <v>3852</v>
          </cell>
          <cell r="J3860">
            <v>328.78</v>
          </cell>
          <cell r="K3860">
            <v>0</v>
          </cell>
          <cell r="L3860">
            <v>0</v>
          </cell>
          <cell r="M3860">
            <v>0</v>
          </cell>
          <cell r="N3860">
            <v>0</v>
          </cell>
          <cell r="Q3860">
            <v>14</v>
          </cell>
        </row>
        <row r="3861">
          <cell r="D3861" t="str">
            <v>25628-08-4</v>
          </cell>
          <cell r="E3861">
            <v>25628084</v>
          </cell>
          <cell r="F3861">
            <v>5798</v>
          </cell>
          <cell r="G3861" t="str">
            <v>Reach_4926</v>
          </cell>
          <cell r="H3861">
            <v>3853</v>
          </cell>
          <cell r="J3861">
            <v>430.35</v>
          </cell>
          <cell r="K3861">
            <v>0</v>
          </cell>
          <cell r="L3861">
            <v>0</v>
          </cell>
          <cell r="M3861">
            <v>0</v>
          </cell>
          <cell r="N3861">
            <v>0</v>
          </cell>
          <cell r="Q3861">
            <v>14</v>
          </cell>
        </row>
        <row r="3862">
          <cell r="D3862" t="str">
            <v>22450-96-0</v>
          </cell>
          <cell r="E3862">
            <v>22450960</v>
          </cell>
          <cell r="F3862">
            <v>5783</v>
          </cell>
          <cell r="G3862" t="str">
            <v>Reach_5022</v>
          </cell>
          <cell r="H3862">
            <v>3854</v>
          </cell>
          <cell r="J3862">
            <v>469.4</v>
          </cell>
          <cell r="K3862">
            <v>0</v>
          </cell>
          <cell r="L3862">
            <v>0</v>
          </cell>
          <cell r="M3862">
            <v>0</v>
          </cell>
          <cell r="N3862">
            <v>0</v>
          </cell>
          <cell r="O3862">
            <v>0</v>
          </cell>
          <cell r="Q3862">
            <v>0</v>
          </cell>
        </row>
        <row r="3863">
          <cell r="D3863" t="str">
            <v>102601-34-3</v>
          </cell>
          <cell r="E3863">
            <v>102601343</v>
          </cell>
          <cell r="F3863">
            <v>5592</v>
          </cell>
          <cell r="G3863" t="str">
            <v>Reach_4956</v>
          </cell>
          <cell r="H3863">
            <v>3855</v>
          </cell>
          <cell r="J3863">
            <v>259.3</v>
          </cell>
          <cell r="K3863">
            <v>0</v>
          </cell>
          <cell r="L3863">
            <v>0</v>
          </cell>
          <cell r="M3863">
            <v>0</v>
          </cell>
          <cell r="N3863">
            <v>0</v>
          </cell>
          <cell r="Q3863">
            <v>14</v>
          </cell>
        </row>
        <row r="3864">
          <cell r="D3864" t="str">
            <v>125700-67-6</v>
          </cell>
          <cell r="E3864">
            <v>125700676</v>
          </cell>
          <cell r="F3864">
            <v>6112</v>
          </cell>
          <cell r="G3864" t="str">
            <v>Reach_4111</v>
          </cell>
          <cell r="H3864">
            <v>3856</v>
          </cell>
          <cell r="J3864">
            <v>321.10000000000002</v>
          </cell>
          <cell r="K3864">
            <v>0</v>
          </cell>
          <cell r="L3864">
            <v>0</v>
          </cell>
          <cell r="M3864">
            <v>0</v>
          </cell>
          <cell r="N3864">
            <v>0</v>
          </cell>
          <cell r="Q3864">
            <v>14</v>
          </cell>
        </row>
        <row r="3865">
          <cell r="D3865" t="str">
            <v>674347-28-5</v>
          </cell>
          <cell r="E3865">
            <v>674347285</v>
          </cell>
          <cell r="F3865">
            <v>5985</v>
          </cell>
          <cell r="G3865" t="str">
            <v>Reach_4736</v>
          </cell>
          <cell r="H3865">
            <v>3857</v>
          </cell>
          <cell r="J3865">
            <v>178.12</v>
          </cell>
          <cell r="K3865">
            <v>0</v>
          </cell>
          <cell r="L3865">
            <v>0</v>
          </cell>
          <cell r="M3865">
            <v>0</v>
          </cell>
          <cell r="N3865">
            <v>0</v>
          </cell>
          <cell r="Q3865">
            <v>14</v>
          </cell>
        </row>
        <row r="3866">
          <cell r="D3866" t="str">
            <v>1266664-66-7</v>
          </cell>
          <cell r="E3866">
            <v>1266664667</v>
          </cell>
          <cell r="F3866">
            <v>5645</v>
          </cell>
          <cell r="G3866" t="str">
            <v>Reach_4661</v>
          </cell>
          <cell r="H3866">
            <v>3858</v>
          </cell>
          <cell r="J3866">
            <v>302.20999999999998</v>
          </cell>
          <cell r="K3866">
            <v>0</v>
          </cell>
          <cell r="L3866">
            <v>0</v>
          </cell>
          <cell r="M3866">
            <v>0</v>
          </cell>
          <cell r="N3866">
            <v>0</v>
          </cell>
          <cell r="O3866">
            <v>0</v>
          </cell>
          <cell r="Q3866">
            <v>0</v>
          </cell>
        </row>
        <row r="3867">
          <cell r="D3867" t="str">
            <v>872-36-6</v>
          </cell>
          <cell r="E3867">
            <v>872366</v>
          </cell>
          <cell r="F3867">
            <v>3923</v>
          </cell>
          <cell r="G3867" t="str">
            <v>Reach_1579</v>
          </cell>
          <cell r="H3867">
            <v>3859</v>
          </cell>
          <cell r="J3867">
            <v>86.046000000000006</v>
          </cell>
          <cell r="K3867">
            <v>13.87</v>
          </cell>
          <cell r="L3867">
            <v>0.47188200000000008</v>
          </cell>
          <cell r="M3867">
            <v>42943</v>
          </cell>
          <cell r="N3867">
            <v>0.28183829312644532</v>
          </cell>
          <cell r="Q3867">
            <v>14</v>
          </cell>
        </row>
        <row r="3868">
          <cell r="D3868" t="str">
            <v>4062-46-8</v>
          </cell>
          <cell r="E3868">
            <v>4062468</v>
          </cell>
          <cell r="F3868">
            <v>2861</v>
          </cell>
          <cell r="G3868" t="str">
            <v>Reach_2008</v>
          </cell>
          <cell r="H3868">
            <v>3860</v>
          </cell>
          <cell r="J3868">
            <v>346.51</v>
          </cell>
          <cell r="K3868">
            <v>149.83000000000001</v>
          </cell>
          <cell r="L3868">
            <v>4.7454800000000005E-5</v>
          </cell>
          <cell r="M3868">
            <v>2.4304000000000001</v>
          </cell>
          <cell r="N3868">
            <v>30902.954325135954</v>
          </cell>
          <cell r="Q3868">
            <v>14</v>
          </cell>
        </row>
        <row r="3869">
          <cell r="D3869" t="str">
            <v>60924-38-1</v>
          </cell>
          <cell r="E3869">
            <v>60924381</v>
          </cell>
          <cell r="F3869">
            <v>3320</v>
          </cell>
          <cell r="G3869" t="str">
            <v>Reach_4886</v>
          </cell>
          <cell r="H3869">
            <v>3861</v>
          </cell>
          <cell r="J3869">
            <v>456.6</v>
          </cell>
          <cell r="K3869">
            <v>230.01</v>
          </cell>
          <cell r="L3869">
            <v>1.113055E-11</v>
          </cell>
          <cell r="M3869">
            <v>6.8795000000000002</v>
          </cell>
          <cell r="N3869">
            <v>316.22776601683825</v>
          </cell>
          <cell r="P3869">
            <v>0</v>
          </cell>
          <cell r="Q3869">
            <v>14</v>
          </cell>
        </row>
        <row r="3870">
          <cell r="D3870" t="str">
            <v>1836-62-0</v>
          </cell>
          <cell r="E3870">
            <v>1836620</v>
          </cell>
          <cell r="F3870">
            <v>2186</v>
          </cell>
          <cell r="G3870" t="str">
            <v>Reach_4189</v>
          </cell>
          <cell r="H3870">
            <v>3862</v>
          </cell>
          <cell r="J3870">
            <v>167.21</v>
          </cell>
          <cell r="K3870">
            <v>53.77</v>
          </cell>
          <cell r="L3870">
            <v>1.1330500000000001</v>
          </cell>
          <cell r="M3870">
            <v>125000</v>
          </cell>
          <cell r="N3870">
            <v>4.5708818961487507</v>
          </cell>
          <cell r="P3870">
            <v>4.9000000000000004</v>
          </cell>
          <cell r="Q3870">
            <v>9.1</v>
          </cell>
        </row>
        <row r="3871">
          <cell r="D3871" t="str">
            <v>833-86-3</v>
          </cell>
          <cell r="E3871">
            <v>833863</v>
          </cell>
          <cell r="F3871">
            <v>6047</v>
          </cell>
          <cell r="G3871" t="str">
            <v>Reach_1561</v>
          </cell>
          <cell r="H3871">
            <v>3863</v>
          </cell>
          <cell r="J3871">
            <v>239.75</v>
          </cell>
          <cell r="K3871">
            <v>0</v>
          </cell>
          <cell r="L3871">
            <v>0</v>
          </cell>
          <cell r="M3871">
            <v>0</v>
          </cell>
          <cell r="N3871">
            <v>0</v>
          </cell>
          <cell r="Q3871">
            <v>14</v>
          </cell>
        </row>
        <row r="3872">
          <cell r="D3872" t="str">
            <v>14352-61-5</v>
          </cell>
          <cell r="E3872">
            <v>14352615</v>
          </cell>
          <cell r="F3872">
            <v>1967</v>
          </cell>
          <cell r="G3872" t="str">
            <v>Reach_4995</v>
          </cell>
          <cell r="H3872">
            <v>3864</v>
          </cell>
          <cell r="J3872">
            <v>156.22</v>
          </cell>
          <cell r="K3872">
            <v>-14.63</v>
          </cell>
          <cell r="L3872">
            <v>48.654500000000006</v>
          </cell>
          <cell r="M3872">
            <v>261.18</v>
          </cell>
          <cell r="N3872">
            <v>1348.9628825916541</v>
          </cell>
          <cell r="Q3872">
            <v>14</v>
          </cell>
        </row>
        <row r="3873">
          <cell r="D3873" t="str">
            <v>35130-97-3</v>
          </cell>
          <cell r="E3873">
            <v>35130973</v>
          </cell>
          <cell r="F3873">
            <v>2724</v>
          </cell>
          <cell r="G3873" t="str">
            <v>Reach_4876</v>
          </cell>
          <cell r="H3873">
            <v>3865</v>
          </cell>
          <cell r="J3873">
            <v>219.3</v>
          </cell>
          <cell r="K3873">
            <v>99.32</v>
          </cell>
          <cell r="L3873">
            <v>2.2527700000000001E-2</v>
          </cell>
          <cell r="M3873">
            <v>98999</v>
          </cell>
          <cell r="N3873">
            <v>1.6595869074375607</v>
          </cell>
          <cell r="P3873">
            <v>5.2</v>
          </cell>
          <cell r="Q3873">
            <v>8.8000000000000007</v>
          </cell>
        </row>
        <row r="3874">
          <cell r="D3874" t="str">
            <v>2730-71-4</v>
          </cell>
          <cell r="E3874">
            <v>2730714</v>
          </cell>
          <cell r="F3874">
            <v>2499</v>
          </cell>
          <cell r="G3874" t="str">
            <v>Reach_1859</v>
          </cell>
          <cell r="H3874">
            <v>3866</v>
          </cell>
          <cell r="J3874">
            <v>415.51</v>
          </cell>
          <cell r="K3874">
            <v>251.68</v>
          </cell>
          <cell r="L3874">
            <v>8.9311000000000008E-11</v>
          </cell>
          <cell r="M3874">
            <v>3.7366999999999999</v>
          </cell>
          <cell r="N3874">
            <v>323.59365692962825</v>
          </cell>
          <cell r="O3874">
            <v>14.64</v>
          </cell>
          <cell r="P3874">
            <v>14.66</v>
          </cell>
          <cell r="Q3874">
            <v>-0.66000000000000014</v>
          </cell>
        </row>
        <row r="3875">
          <cell r="D3875" t="str">
            <v>153-00-4</v>
          </cell>
          <cell r="E3875">
            <v>153004</v>
          </cell>
          <cell r="F3875">
            <v>2027</v>
          </cell>
          <cell r="G3875" t="str">
            <v>Reach_1210</v>
          </cell>
          <cell r="H3875">
            <v>3867</v>
          </cell>
          <cell r="J3875">
            <v>302.45999999999998</v>
          </cell>
          <cell r="K3875">
            <v>149.82</v>
          </cell>
          <cell r="L3875">
            <v>1.4929600000000001E-6</v>
          </cell>
          <cell r="M3875">
            <v>35.180999999999997</v>
          </cell>
          <cell r="N3875">
            <v>4897.7881936844633</v>
          </cell>
          <cell r="O3875">
            <v>15.99</v>
          </cell>
          <cell r="P3875">
            <v>0</v>
          </cell>
          <cell r="Q3875">
            <v>14</v>
          </cell>
        </row>
        <row r="3876">
          <cell r="D3876" t="str">
            <v>2766-74-7</v>
          </cell>
          <cell r="E3876">
            <v>2766747</v>
          </cell>
          <cell r="F3876">
            <v>2515</v>
          </cell>
          <cell r="G3876" t="str">
            <v>Reach_4820</v>
          </cell>
          <cell r="H3876">
            <v>3868</v>
          </cell>
          <cell r="J3876">
            <v>217.09</v>
          </cell>
          <cell r="K3876">
            <v>96.64</v>
          </cell>
          <cell r="L3876">
            <v>3.7190700000000007E-2</v>
          </cell>
          <cell r="M3876">
            <v>471.44</v>
          </cell>
          <cell r="N3876">
            <v>2570.3957827688669</v>
          </cell>
          <cell r="Q3876">
            <v>14</v>
          </cell>
        </row>
        <row r="3877">
          <cell r="D3877" t="str">
            <v>438193-30-7</v>
          </cell>
          <cell r="E3877">
            <v>438193307</v>
          </cell>
          <cell r="F3877">
            <v>5887</v>
          </cell>
          <cell r="G3877" t="str">
            <v>Reach_4324</v>
          </cell>
          <cell r="H3877">
            <v>3869</v>
          </cell>
          <cell r="J3877">
            <v>526.44000000000005</v>
          </cell>
          <cell r="K3877">
            <v>0</v>
          </cell>
          <cell r="L3877">
            <v>0</v>
          </cell>
          <cell r="M3877">
            <v>0</v>
          </cell>
          <cell r="N3877">
            <v>0</v>
          </cell>
          <cell r="Q3877">
            <v>14</v>
          </cell>
        </row>
        <row r="3878">
          <cell r="D3878" t="str">
            <v>31981-44-9</v>
          </cell>
          <cell r="E3878">
            <v>31981449</v>
          </cell>
          <cell r="F3878">
            <v>2641</v>
          </cell>
          <cell r="G3878" t="str">
            <v>Reach_2659</v>
          </cell>
          <cell r="H3878">
            <v>3870</v>
          </cell>
          <cell r="J3878">
            <v>358.48</v>
          </cell>
          <cell r="K3878">
            <v>178.14</v>
          </cell>
          <cell r="L3878">
            <v>4.1856200000000008E-6</v>
          </cell>
          <cell r="M3878">
            <v>62.412999999999997</v>
          </cell>
          <cell r="N3878">
            <v>1659.5869074375626</v>
          </cell>
          <cell r="Q3878">
            <v>14</v>
          </cell>
        </row>
        <row r="3879">
          <cell r="D3879" t="str">
            <v>119302-20-4</v>
          </cell>
          <cell r="E3879">
            <v>119302204</v>
          </cell>
          <cell r="F3879">
            <v>1687</v>
          </cell>
          <cell r="G3879" t="str">
            <v>Reach_4094</v>
          </cell>
          <cell r="H3879">
            <v>3871</v>
          </cell>
          <cell r="J3879">
            <v>446.68</v>
          </cell>
          <cell r="K3879">
            <v>228.34</v>
          </cell>
          <cell r="L3879">
            <v>4.4122300000000005E-12</v>
          </cell>
          <cell r="M3879">
            <v>29.515000000000001</v>
          </cell>
          <cell r="N3879">
            <v>537.03179637025301</v>
          </cell>
          <cell r="O3879">
            <v>14.66</v>
          </cell>
          <cell r="P3879">
            <v>4.21</v>
          </cell>
          <cell r="Q3879">
            <v>9.7899999999999991</v>
          </cell>
        </row>
        <row r="3880">
          <cell r="D3880" t="str">
            <v>2137-18-0</v>
          </cell>
          <cell r="E3880">
            <v>2137180</v>
          </cell>
          <cell r="F3880">
            <v>2292</v>
          </cell>
          <cell r="G3880" t="str">
            <v>Reach_1762</v>
          </cell>
          <cell r="H3880">
            <v>3872</v>
          </cell>
          <cell r="J3880">
            <v>316.44</v>
          </cell>
          <cell r="K3880">
            <v>170.28</v>
          </cell>
          <cell r="L3880">
            <v>2.1594600000000002E-7</v>
          </cell>
          <cell r="M3880">
            <v>92.555000000000007</v>
          </cell>
          <cell r="N3880">
            <v>426.57951880159294</v>
          </cell>
          <cell r="O3880">
            <v>13.86</v>
          </cell>
          <cell r="P3880">
            <v>0</v>
          </cell>
          <cell r="Q3880">
            <v>13.86</v>
          </cell>
        </row>
        <row r="3881">
          <cell r="D3881" t="str">
            <v>380843-75-4</v>
          </cell>
          <cell r="E3881">
            <v>380843754</v>
          </cell>
          <cell r="F3881">
            <v>2814</v>
          </cell>
          <cell r="G3881" t="str">
            <v>Reach_4902</v>
          </cell>
          <cell r="H3881">
            <v>3873</v>
          </cell>
          <cell r="J3881">
            <v>530.46</v>
          </cell>
          <cell r="K3881">
            <v>278.32</v>
          </cell>
          <cell r="L3881">
            <v>1.34633E-12</v>
          </cell>
          <cell r="M3881">
            <v>0.21806</v>
          </cell>
          <cell r="N3881">
            <v>21379.620895022348</v>
          </cell>
          <cell r="O3881">
            <v>14.68</v>
          </cell>
          <cell r="P3881">
            <v>5.95</v>
          </cell>
          <cell r="Q3881">
            <v>8.0500000000000007</v>
          </cell>
        </row>
        <row r="3882">
          <cell r="D3882" t="str">
            <v>133978-15-1</v>
          </cell>
          <cell r="E3882">
            <v>133978151</v>
          </cell>
          <cell r="F3882">
            <v>1874</v>
          </cell>
          <cell r="G3882" t="str">
            <v>Reach_5009</v>
          </cell>
          <cell r="H3882">
            <v>3874</v>
          </cell>
          <cell r="J3882">
            <v>209.29</v>
          </cell>
          <cell r="K3882">
            <v>36.33</v>
          </cell>
          <cell r="L3882">
            <v>0.23594100000000004</v>
          </cell>
          <cell r="M3882">
            <v>39.670999999999999</v>
          </cell>
          <cell r="N3882">
            <v>19498.445997580486</v>
          </cell>
          <cell r="O3882">
            <v>0</v>
          </cell>
          <cell r="Q3882">
            <v>0</v>
          </cell>
        </row>
        <row r="3883">
          <cell r="D3883" t="str">
            <v>53595-66-7</v>
          </cell>
          <cell r="E3883">
            <v>53595667</v>
          </cell>
          <cell r="F3883">
            <v>3106</v>
          </cell>
          <cell r="G3883" t="str">
            <v>Reach_4823</v>
          </cell>
          <cell r="H3883">
            <v>3875</v>
          </cell>
          <cell r="J3883">
            <v>197.66</v>
          </cell>
          <cell r="K3883">
            <v>116.92</v>
          </cell>
          <cell r="L3883">
            <v>9.71757E-3</v>
          </cell>
          <cell r="M3883">
            <v>5341.3</v>
          </cell>
          <cell r="N3883">
            <v>6.7608297539198183</v>
          </cell>
          <cell r="Q3883">
            <v>14</v>
          </cell>
        </row>
        <row r="3884">
          <cell r="D3884" t="str">
            <v>54605-02-6</v>
          </cell>
          <cell r="E3884">
            <v>54605026</v>
          </cell>
          <cell r="F3884">
            <v>3148</v>
          </cell>
          <cell r="G3884" t="str">
            <v>Reach_4350</v>
          </cell>
          <cell r="H3884">
            <v>3876</v>
          </cell>
          <cell r="J3884">
            <v>539.49</v>
          </cell>
          <cell r="K3884">
            <v>238.64</v>
          </cell>
          <cell r="L3884">
            <v>2.34608E-12</v>
          </cell>
          <cell r="M3884">
            <v>0.20108000000000001</v>
          </cell>
          <cell r="N3884">
            <v>10471.285480509003</v>
          </cell>
          <cell r="O3884">
            <v>14.12</v>
          </cell>
          <cell r="P3884">
            <v>0</v>
          </cell>
          <cell r="Q3884">
            <v>14</v>
          </cell>
        </row>
        <row r="3885">
          <cell r="D3885" t="str">
            <v>18979-61-8</v>
          </cell>
          <cell r="E3885">
            <v>18979618</v>
          </cell>
          <cell r="F3885">
            <v>2219</v>
          </cell>
          <cell r="G3885" t="str">
            <v>Reach_4196</v>
          </cell>
          <cell r="H3885">
            <v>3877</v>
          </cell>
          <cell r="J3885">
            <v>166.22</v>
          </cell>
          <cell r="K3885">
            <v>89.39</v>
          </cell>
          <cell r="L3885">
            <v>9.810880000000001E-3</v>
          </cell>
          <cell r="M3885">
            <v>938.3</v>
          </cell>
          <cell r="N3885">
            <v>1122.0184543019636</v>
          </cell>
          <cell r="O3885">
            <v>9.6</v>
          </cell>
          <cell r="Q3885">
            <v>9.6</v>
          </cell>
        </row>
        <row r="3886">
          <cell r="D3886" t="str">
            <v>5534-13-4</v>
          </cell>
          <cell r="E3886">
            <v>5534134</v>
          </cell>
          <cell r="F3886">
            <v>3167</v>
          </cell>
          <cell r="G3886" t="str">
            <v>Reach_2122</v>
          </cell>
          <cell r="H3886">
            <v>3878</v>
          </cell>
          <cell r="J3886">
            <v>448.53</v>
          </cell>
          <cell r="K3886">
            <v>229.24</v>
          </cell>
          <cell r="L3886">
            <v>3.7324000000000005E-12</v>
          </cell>
          <cell r="M3886">
            <v>11.101000000000001</v>
          </cell>
          <cell r="N3886">
            <v>891.25093813374656</v>
          </cell>
          <cell r="Q3886">
            <v>14</v>
          </cell>
        </row>
        <row r="3887">
          <cell r="D3887" t="str">
            <v>36130-02-6</v>
          </cell>
          <cell r="E3887">
            <v>36130026</v>
          </cell>
          <cell r="F3887">
            <v>2757</v>
          </cell>
          <cell r="G3887" t="str">
            <v>Reach_4292</v>
          </cell>
          <cell r="H3887">
            <v>3879</v>
          </cell>
          <cell r="J3887">
            <v>460.59</v>
          </cell>
          <cell r="K3887">
            <v>223.93</v>
          </cell>
          <cell r="L3887">
            <v>3.3191700000000003E-11</v>
          </cell>
          <cell r="M3887">
            <v>1.9497</v>
          </cell>
          <cell r="N3887">
            <v>5128.6138399136489</v>
          </cell>
          <cell r="O3887">
            <v>15.57</v>
          </cell>
          <cell r="Q3887">
            <v>14</v>
          </cell>
        </row>
        <row r="3888">
          <cell r="D3888" t="str">
            <v>51997-51-4</v>
          </cell>
          <cell r="E3888">
            <v>51997514</v>
          </cell>
          <cell r="F3888">
            <v>3050</v>
          </cell>
          <cell r="G3888" t="str">
            <v>Reach_4335</v>
          </cell>
          <cell r="H3888">
            <v>3880</v>
          </cell>
          <cell r="J3888">
            <v>239.28</v>
          </cell>
          <cell r="K3888">
            <v>152.55000000000001</v>
          </cell>
          <cell r="L3888">
            <v>4.4922100000000008E-5</v>
          </cell>
          <cell r="M3888">
            <v>7.9725999999999999</v>
          </cell>
          <cell r="N3888">
            <v>707.94578438413873</v>
          </cell>
          <cell r="O3888">
            <v>0</v>
          </cell>
          <cell r="Q3888">
            <v>0</v>
          </cell>
        </row>
        <row r="3889">
          <cell r="D3889" t="str">
            <v>165115-73-1</v>
          </cell>
          <cell r="E3889">
            <v>165115731</v>
          </cell>
          <cell r="F3889">
            <v>2095</v>
          </cell>
          <cell r="G3889" t="str">
            <v>Reach_4173</v>
          </cell>
          <cell r="H3889">
            <v>3881</v>
          </cell>
          <cell r="J3889">
            <v>228.24</v>
          </cell>
          <cell r="K3889">
            <v>85.89</v>
          </cell>
          <cell r="L3889">
            <v>4.6255100000000001E-4</v>
          </cell>
          <cell r="M3889">
            <v>282.19</v>
          </cell>
          <cell r="N3889">
            <v>524.80746024977293</v>
          </cell>
          <cell r="P3889">
            <v>0</v>
          </cell>
          <cell r="Q3889">
            <v>14</v>
          </cell>
        </row>
        <row r="3890">
          <cell r="D3890" t="str">
            <v>63432-37-1</v>
          </cell>
          <cell r="E3890">
            <v>63432371</v>
          </cell>
          <cell r="F3890">
            <v>3401</v>
          </cell>
          <cell r="G3890" t="str">
            <v>Reach_4710</v>
          </cell>
          <cell r="H3890">
            <v>3882</v>
          </cell>
          <cell r="J3890">
            <v>210.24</v>
          </cell>
          <cell r="K3890">
            <v>128.43</v>
          </cell>
          <cell r="L3890">
            <v>1.9195200000000001E-3</v>
          </cell>
          <cell r="M3890">
            <v>354.14</v>
          </cell>
          <cell r="N3890">
            <v>426.57951880159294</v>
          </cell>
          <cell r="Q3890">
            <v>14</v>
          </cell>
        </row>
        <row r="3891">
          <cell r="D3891" t="str">
            <v>877670-90-1</v>
          </cell>
          <cell r="E3891">
            <v>877670901</v>
          </cell>
          <cell r="F3891">
            <v>3942</v>
          </cell>
          <cell r="G3891" t="str">
            <v>Reach_4628</v>
          </cell>
          <cell r="H3891">
            <v>3883</v>
          </cell>
          <cell r="J3891">
            <v>355.35</v>
          </cell>
          <cell r="K3891">
            <v>242.99</v>
          </cell>
          <cell r="L3891">
            <v>3.4524700000000005E-10</v>
          </cell>
          <cell r="M3891">
            <v>26.529</v>
          </cell>
          <cell r="N3891">
            <v>251.18864315095806</v>
          </cell>
          <cell r="Q3891">
            <v>14</v>
          </cell>
        </row>
        <row r="3892">
          <cell r="D3892" t="str">
            <v>936103-10-5</v>
          </cell>
          <cell r="E3892">
            <v>936103105</v>
          </cell>
          <cell r="F3892">
            <v>4075</v>
          </cell>
          <cell r="G3892" t="str">
            <v>Reach_5154</v>
          </cell>
          <cell r="H3892">
            <v>3884</v>
          </cell>
          <cell r="J3892">
            <v>224.2</v>
          </cell>
          <cell r="K3892">
            <v>156.22999999999999</v>
          </cell>
          <cell r="L3892">
            <v>4.0656500000000006E-6</v>
          </cell>
          <cell r="M3892">
            <v>3763.1</v>
          </cell>
          <cell r="N3892">
            <v>13.803842646028851</v>
          </cell>
          <cell r="Q3892">
            <v>14</v>
          </cell>
        </row>
        <row r="3893">
          <cell r="D3893" t="str">
            <v>398489-26-4</v>
          </cell>
          <cell r="E3893">
            <v>398489264</v>
          </cell>
          <cell r="F3893">
            <v>2850</v>
          </cell>
          <cell r="G3893" t="str">
            <v>Reach_4585</v>
          </cell>
          <cell r="H3893">
            <v>3885</v>
          </cell>
          <cell r="J3893">
            <v>171.2</v>
          </cell>
          <cell r="K3893">
            <v>47.3</v>
          </cell>
          <cell r="L3893">
            <v>3.7857200000000004</v>
          </cell>
          <cell r="M3893">
            <v>17247</v>
          </cell>
          <cell r="N3893">
            <v>45.708818961487509</v>
          </cell>
          <cell r="O3893">
            <v>0</v>
          </cell>
          <cell r="Q3893">
            <v>0</v>
          </cell>
        </row>
        <row r="3894">
          <cell r="D3894" t="str">
            <v>95748-46-2</v>
          </cell>
          <cell r="E3894">
            <v>95748462</v>
          </cell>
          <cell r="F3894">
            <v>4132</v>
          </cell>
          <cell r="G3894" t="str">
            <v>Reach_4511</v>
          </cell>
          <cell r="H3894">
            <v>3886</v>
          </cell>
          <cell r="J3894">
            <v>494.59</v>
          </cell>
          <cell r="K3894">
            <v>331.66</v>
          </cell>
          <cell r="L3894">
            <v>1.0677330000000002E-20</v>
          </cell>
          <cell r="M3894">
            <v>260.22000000000003</v>
          </cell>
          <cell r="N3894">
            <v>5.4954087385762458</v>
          </cell>
          <cell r="Q3894">
            <v>14</v>
          </cell>
        </row>
        <row r="3895">
          <cell r="D3895" t="str">
            <v>116539-55-0</v>
          </cell>
          <cell r="E3895">
            <v>116539550</v>
          </cell>
          <cell r="F3895">
            <v>1651</v>
          </cell>
          <cell r="G3895" t="str">
            <v>Reach_4089</v>
          </cell>
          <cell r="H3895">
            <v>3887</v>
          </cell>
          <cell r="J3895">
            <v>171.26</v>
          </cell>
          <cell r="K3895">
            <v>72.05</v>
          </cell>
          <cell r="L3895">
            <v>1.7995500000000001E-2</v>
          </cell>
          <cell r="M3895">
            <v>63943</v>
          </cell>
          <cell r="N3895">
            <v>6.3095734448019343</v>
          </cell>
          <cell r="O3895">
            <v>15.44</v>
          </cell>
          <cell r="P3895">
            <v>3.47</v>
          </cell>
          <cell r="Q3895">
            <v>10.53</v>
          </cell>
        </row>
        <row r="3896">
          <cell r="D3896" t="str">
            <v>501925-98-0</v>
          </cell>
          <cell r="E3896">
            <v>501925980</v>
          </cell>
          <cell r="F3896">
            <v>2997</v>
          </cell>
          <cell r="G3896" t="str">
            <v>Reach_4650</v>
          </cell>
          <cell r="H3896">
            <v>3888</v>
          </cell>
          <cell r="J3896">
            <v>528.75</v>
          </cell>
          <cell r="K3896">
            <v>189.25</v>
          </cell>
          <cell r="L3896">
            <v>2.07948E-7</v>
          </cell>
          <cell r="M3896">
            <v>6.5065999999999997</v>
          </cell>
          <cell r="N3896">
            <v>3.0902954325135905</v>
          </cell>
          <cell r="O3896">
            <v>11.34</v>
          </cell>
          <cell r="Q3896">
            <v>11.34</v>
          </cell>
        </row>
        <row r="3897">
          <cell r="D3897" t="str">
            <v>935859-71-5</v>
          </cell>
          <cell r="E3897">
            <v>935859715</v>
          </cell>
          <cell r="F3897">
            <v>4074</v>
          </cell>
          <cell r="G3897" t="str">
            <v>Reach_4709</v>
          </cell>
          <cell r="H3897">
            <v>3889</v>
          </cell>
          <cell r="J3897">
            <v>242.24</v>
          </cell>
          <cell r="K3897">
            <v>164.01</v>
          </cell>
          <cell r="L3897">
            <v>5.1587100000000006E-5</v>
          </cell>
          <cell r="M3897">
            <v>2146.4</v>
          </cell>
          <cell r="N3897">
            <v>1.4125375446227544</v>
          </cell>
          <cell r="O3897">
            <v>0</v>
          </cell>
          <cell r="P3897">
            <v>0</v>
          </cell>
          <cell r="Q3897">
            <v>0</v>
          </cell>
        </row>
        <row r="3898">
          <cell r="D3898" t="str">
            <v>956317-36-5</v>
          </cell>
          <cell r="E3898">
            <v>956317365</v>
          </cell>
          <cell r="F3898">
            <v>4128</v>
          </cell>
          <cell r="G3898" t="str">
            <v>Reach_4652</v>
          </cell>
          <cell r="H3898">
            <v>3890</v>
          </cell>
          <cell r="J3898">
            <v>203.2</v>
          </cell>
          <cell r="K3898">
            <v>153.41999999999999</v>
          </cell>
          <cell r="L3898">
            <v>2.3994000000000001E-4</v>
          </cell>
          <cell r="M3898">
            <v>3585.6</v>
          </cell>
          <cell r="N3898">
            <v>69.183097091893657</v>
          </cell>
          <cell r="Q3898">
            <v>14</v>
          </cell>
        </row>
        <row r="3899">
          <cell r="D3899" t="str">
            <v>849793-87-9</v>
          </cell>
          <cell r="E3899">
            <v>849793879</v>
          </cell>
          <cell r="F3899">
            <v>3882</v>
          </cell>
          <cell r="G3899" t="str">
            <v>Reach_4821</v>
          </cell>
          <cell r="H3899">
            <v>3891</v>
          </cell>
          <cell r="J3899">
            <v>269.73</v>
          </cell>
          <cell r="K3899">
            <v>142.52000000000001</v>
          </cell>
          <cell r="L3899">
            <v>2.7593100000000004E-4</v>
          </cell>
          <cell r="M3899">
            <v>697.32</v>
          </cell>
          <cell r="N3899">
            <v>83.176377110267126</v>
          </cell>
          <cell r="O3899">
            <v>4.37</v>
          </cell>
          <cell r="Q3899">
            <v>4.37</v>
          </cell>
        </row>
        <row r="3900">
          <cell r="D3900" t="str">
            <v>152845-00-6</v>
          </cell>
          <cell r="E3900">
            <v>152845006</v>
          </cell>
          <cell r="F3900">
            <v>5712</v>
          </cell>
          <cell r="G3900" t="str">
            <v>Reach_4734</v>
          </cell>
          <cell r="H3900">
            <v>3892</v>
          </cell>
          <cell r="J3900">
            <v>300.16000000000003</v>
          </cell>
          <cell r="K3900">
            <v>0</v>
          </cell>
          <cell r="L3900">
            <v>0</v>
          </cell>
          <cell r="M3900">
            <v>0</v>
          </cell>
          <cell r="N3900">
            <v>0</v>
          </cell>
          <cell r="Q3900">
            <v>14</v>
          </cell>
        </row>
        <row r="3901">
          <cell r="D3901" t="str">
            <v>24916-90-3</v>
          </cell>
          <cell r="E3901">
            <v>24916903</v>
          </cell>
          <cell r="F3901">
            <v>2406</v>
          </cell>
          <cell r="G3901" t="str">
            <v>Reach_2556</v>
          </cell>
          <cell r="H3901">
            <v>3893</v>
          </cell>
          <cell r="J3901">
            <v>372.46</v>
          </cell>
          <cell r="K3901">
            <v>206.07</v>
          </cell>
          <cell r="L3901">
            <v>2.6793300000000005E-10</v>
          </cell>
          <cell r="M3901">
            <v>66.739000000000004</v>
          </cell>
          <cell r="N3901">
            <v>75.857757502918361</v>
          </cell>
          <cell r="O3901">
            <v>13.16</v>
          </cell>
          <cell r="Q3901">
            <v>13.16</v>
          </cell>
        </row>
        <row r="3902">
          <cell r="D3902" t="str">
            <v>944730-39-6</v>
          </cell>
          <cell r="E3902">
            <v>944730396</v>
          </cell>
          <cell r="F3902">
            <v>6091</v>
          </cell>
          <cell r="G3902" t="str">
            <v>Reach_4707</v>
          </cell>
          <cell r="H3902">
            <v>3894</v>
          </cell>
          <cell r="J3902">
            <v>1372.5</v>
          </cell>
          <cell r="K3902">
            <v>0</v>
          </cell>
          <cell r="L3902">
            <v>0</v>
          </cell>
          <cell r="M3902">
            <v>0</v>
          </cell>
          <cell r="N3902">
            <v>0</v>
          </cell>
          <cell r="Q3902">
            <v>14</v>
          </cell>
        </row>
        <row r="3903">
          <cell r="D3903" t="str">
            <v>2441-41-0</v>
          </cell>
          <cell r="E3903">
            <v>2441410</v>
          </cell>
          <cell r="F3903">
            <v>2392</v>
          </cell>
          <cell r="G3903" t="str">
            <v>Reach_4581</v>
          </cell>
          <cell r="H3903">
            <v>3895</v>
          </cell>
          <cell r="J3903">
            <v>313.48</v>
          </cell>
          <cell r="K3903">
            <v>202.45</v>
          </cell>
          <cell r="L3903">
            <v>1.7195700000000004E-7</v>
          </cell>
          <cell r="M3903">
            <v>0.40908</v>
          </cell>
          <cell r="N3903">
            <v>707945.78438413853</v>
          </cell>
          <cell r="O3903">
            <v>3.5</v>
          </cell>
          <cell r="Q3903">
            <v>3.5</v>
          </cell>
        </row>
        <row r="3904">
          <cell r="D3904" t="str">
            <v>765-63-9</v>
          </cell>
          <cell r="E3904">
            <v>765639</v>
          </cell>
          <cell r="F3904">
            <v>3718</v>
          </cell>
          <cell r="G3904" t="str">
            <v>Reach_4801</v>
          </cell>
          <cell r="H3904">
            <v>3896</v>
          </cell>
          <cell r="J3904">
            <v>130.04</v>
          </cell>
          <cell r="K3904">
            <v>-85.79</v>
          </cell>
          <cell r="L3904">
            <v>181288.00000000003</v>
          </cell>
          <cell r="M3904">
            <v>16322</v>
          </cell>
          <cell r="N3904">
            <v>89.125093813374562</v>
          </cell>
          <cell r="Q3904">
            <v>14</v>
          </cell>
        </row>
        <row r="3905">
          <cell r="D3905" t="str">
            <v>23680-84-4</v>
          </cell>
          <cell r="E3905">
            <v>23680844</v>
          </cell>
          <cell r="F3905">
            <v>2354</v>
          </cell>
          <cell r="G3905" t="str">
            <v>Reach_2532</v>
          </cell>
          <cell r="H3905">
            <v>3897</v>
          </cell>
          <cell r="J3905">
            <v>239.66</v>
          </cell>
          <cell r="K3905">
            <v>152.94999999999999</v>
          </cell>
          <cell r="L3905">
            <v>1.98617E-4</v>
          </cell>
          <cell r="M3905">
            <v>770.31</v>
          </cell>
          <cell r="N3905">
            <v>31.622776601683803</v>
          </cell>
          <cell r="P3905">
            <v>14.21</v>
          </cell>
          <cell r="Q3905">
            <v>-0.21000000000000085</v>
          </cell>
        </row>
        <row r="3906">
          <cell r="D3906" t="str">
            <v>20826-04-4</v>
          </cell>
          <cell r="E3906">
            <v>20826044</v>
          </cell>
          <cell r="F3906">
            <v>2275</v>
          </cell>
          <cell r="G3906" t="str">
            <v>Reach_2500</v>
          </cell>
          <cell r="H3906">
            <v>3898</v>
          </cell>
          <cell r="J3906">
            <v>202.01</v>
          </cell>
          <cell r="K3906">
            <v>99.77</v>
          </cell>
          <cell r="L3906">
            <v>4.9587600000000003E-2</v>
          </cell>
          <cell r="M3906">
            <v>1730.6</v>
          </cell>
          <cell r="N3906">
            <v>38.018939632056139</v>
          </cell>
          <cell r="O3906">
            <v>3.43</v>
          </cell>
          <cell r="P3906">
            <v>13.34</v>
          </cell>
          <cell r="Q3906">
            <v>0.66000000000000014</v>
          </cell>
        </row>
        <row r="3907">
          <cell r="D3907" t="str">
            <v>17273-79-9</v>
          </cell>
          <cell r="E3907">
            <v>17273799</v>
          </cell>
          <cell r="F3907">
            <v>5739</v>
          </cell>
          <cell r="G3907" t="str">
            <v>Reach_4735</v>
          </cell>
          <cell r="H3907">
            <v>3899</v>
          </cell>
          <cell r="J3907">
            <v>194.17</v>
          </cell>
          <cell r="K3907">
            <v>0</v>
          </cell>
          <cell r="L3907">
            <v>0</v>
          </cell>
          <cell r="M3907">
            <v>0</v>
          </cell>
          <cell r="N3907">
            <v>0</v>
          </cell>
          <cell r="Q3907">
            <v>14</v>
          </cell>
        </row>
        <row r="3908">
          <cell r="D3908" t="str">
            <v>1204232-63-2</v>
          </cell>
          <cell r="E3908">
            <v>1204232632</v>
          </cell>
          <cell r="F3908">
            <v>5626</v>
          </cell>
          <cell r="G3908" t="str">
            <v>Reach_4986</v>
          </cell>
          <cell r="H3908">
            <v>3900</v>
          </cell>
          <cell r="J3908">
            <v>768.76</v>
          </cell>
          <cell r="K3908">
            <v>0</v>
          </cell>
          <cell r="L3908">
            <v>0</v>
          </cell>
          <cell r="M3908">
            <v>0</v>
          </cell>
          <cell r="N3908">
            <v>0</v>
          </cell>
          <cell r="Q3908">
            <v>14</v>
          </cell>
        </row>
        <row r="3909">
          <cell r="D3909" t="str">
            <v>18978-78-4</v>
          </cell>
          <cell r="E3909">
            <v>18978784</v>
          </cell>
          <cell r="F3909">
            <v>2218</v>
          </cell>
          <cell r="G3909" t="str">
            <v>Reach_4195</v>
          </cell>
          <cell r="H3909">
            <v>3901</v>
          </cell>
          <cell r="J3909">
            <v>158.21</v>
          </cell>
          <cell r="K3909">
            <v>94.47</v>
          </cell>
          <cell r="L3909">
            <v>2.5726900000000004E-2</v>
          </cell>
          <cell r="M3909">
            <v>321.33</v>
          </cell>
          <cell r="N3909">
            <v>371.53522909717265</v>
          </cell>
          <cell r="P3909">
            <v>9.98</v>
          </cell>
          <cell r="Q3909">
            <v>4.0199999999999996</v>
          </cell>
        </row>
        <row r="3910">
          <cell r="D3910" t="str">
            <v>116817-12-0</v>
          </cell>
          <cell r="E3910">
            <v>116817120</v>
          </cell>
          <cell r="F3910">
            <v>5613</v>
          </cell>
          <cell r="G3910" t="str">
            <v>Reach_4655</v>
          </cell>
          <cell r="H3910">
            <v>3902</v>
          </cell>
          <cell r="J3910">
            <v>401.48</v>
          </cell>
          <cell r="K3910">
            <v>0</v>
          </cell>
          <cell r="L3910">
            <v>0</v>
          </cell>
          <cell r="M3910">
            <v>0</v>
          </cell>
          <cell r="N3910">
            <v>0</v>
          </cell>
          <cell r="Q3910">
            <v>14</v>
          </cell>
        </row>
        <row r="3911">
          <cell r="D3911" t="str">
            <v>2594-21-0</v>
          </cell>
          <cell r="E3911">
            <v>2594210</v>
          </cell>
          <cell r="F3911">
            <v>2447</v>
          </cell>
          <cell r="G3911" t="str">
            <v>Reach_5068</v>
          </cell>
          <cell r="H3911">
            <v>3903</v>
          </cell>
          <cell r="J3911">
            <v>131.18</v>
          </cell>
          <cell r="K3911">
            <v>-18.39</v>
          </cell>
          <cell r="L3911">
            <v>237.27400000000003</v>
          </cell>
          <cell r="M3911">
            <v>11545</v>
          </cell>
          <cell r="N3911">
            <v>26.915348039269158</v>
          </cell>
          <cell r="O3911">
            <v>12</v>
          </cell>
          <cell r="Q3911">
            <v>12</v>
          </cell>
        </row>
        <row r="3912">
          <cell r="D3912" t="str">
            <v>943586-12-7</v>
          </cell>
          <cell r="E3912">
            <v>943586127</v>
          </cell>
          <cell r="F3912">
            <v>4102</v>
          </cell>
          <cell r="G3912" t="str">
            <v>Reach_5013</v>
          </cell>
          <cell r="H3912">
            <v>3904</v>
          </cell>
          <cell r="J3912">
            <v>512.6</v>
          </cell>
          <cell r="K3912">
            <v>349.84</v>
          </cell>
          <cell r="L3912">
            <v>7.398150000000001E-18</v>
          </cell>
          <cell r="M3912">
            <v>2.5129999999999999</v>
          </cell>
          <cell r="N3912">
            <v>93.325430079699174</v>
          </cell>
          <cell r="O3912">
            <v>3.17</v>
          </cell>
          <cell r="Q3912">
            <v>3.17</v>
          </cell>
        </row>
        <row r="3913">
          <cell r="D3913" t="str">
            <v>2516-96-3</v>
          </cell>
          <cell r="E3913">
            <v>2516963</v>
          </cell>
          <cell r="F3913">
            <v>2421</v>
          </cell>
          <cell r="G3913" t="str">
            <v>Reach_1826</v>
          </cell>
          <cell r="H3913">
            <v>3905</v>
          </cell>
          <cell r="J3913">
            <v>201.57</v>
          </cell>
          <cell r="K3913">
            <v>125.62</v>
          </cell>
          <cell r="L3913">
            <v>8.8644500000000003E-4</v>
          </cell>
          <cell r="M3913">
            <v>516.95000000000005</v>
          </cell>
          <cell r="N3913">
            <v>97.723722095581124</v>
          </cell>
          <cell r="O3913">
            <v>2.16</v>
          </cell>
          <cell r="Q3913">
            <v>2.16</v>
          </cell>
        </row>
        <row r="3914">
          <cell r="D3914" t="str">
            <v>22473-78-5</v>
          </cell>
          <cell r="E3914">
            <v>22473785</v>
          </cell>
          <cell r="F3914">
            <v>1206</v>
          </cell>
          <cell r="G3914" t="str">
            <v>Reach_2523</v>
          </cell>
          <cell r="H3914">
            <v>3906</v>
          </cell>
          <cell r="J3914">
            <v>360.37</v>
          </cell>
          <cell r="K3914">
            <v>0</v>
          </cell>
          <cell r="L3914">
            <v>0</v>
          </cell>
          <cell r="M3914">
            <v>0</v>
          </cell>
          <cell r="N3914">
            <v>0</v>
          </cell>
          <cell r="Q3914">
            <v>14</v>
          </cell>
        </row>
        <row r="3915">
          <cell r="D3915" t="str">
            <v>70-51-9</v>
          </cell>
          <cell r="E3915">
            <v>70519</v>
          </cell>
          <cell r="F3915">
            <v>3564</v>
          </cell>
          <cell r="G3915" t="str">
            <v>Reach_96</v>
          </cell>
          <cell r="H3915">
            <v>3907</v>
          </cell>
          <cell r="J3915">
            <v>560.70000000000005</v>
          </cell>
          <cell r="K3915">
            <v>349.84</v>
          </cell>
          <cell r="L3915">
            <v>8.3712400000000006E-26</v>
          </cell>
          <cell r="M3915">
            <v>50690</v>
          </cell>
          <cell r="N3915">
            <v>2.8840315031266042E-3</v>
          </cell>
          <cell r="O3915">
            <v>7.89</v>
          </cell>
          <cell r="P3915">
            <v>3.37</v>
          </cell>
          <cell r="Q3915">
            <v>7.89</v>
          </cell>
        </row>
        <row r="3916">
          <cell r="D3916" t="str">
            <v>1207339-61-4</v>
          </cell>
          <cell r="E3916">
            <v>1207339614</v>
          </cell>
          <cell r="F3916">
            <v>1719</v>
          </cell>
          <cell r="G3916" t="str">
            <v>Reach_4970</v>
          </cell>
          <cell r="H3916">
            <v>3908</v>
          </cell>
          <cell r="J3916">
            <v>281.33</v>
          </cell>
          <cell r="K3916">
            <v>50.84</v>
          </cell>
          <cell r="L3916">
            <v>6.7983000000000002E-3</v>
          </cell>
          <cell r="M3916">
            <v>151.77000000000001</v>
          </cell>
          <cell r="N3916">
            <v>549.54087385762534</v>
          </cell>
          <cell r="O3916">
            <v>12.69</v>
          </cell>
          <cell r="Q3916">
            <v>12.69</v>
          </cell>
        </row>
        <row r="3917">
          <cell r="D3917" t="str">
            <v>15848-49-4</v>
          </cell>
          <cell r="E3917">
            <v>15848494</v>
          </cell>
          <cell r="F3917">
            <v>2062</v>
          </cell>
          <cell r="G3917" t="str">
            <v>Reach_4168</v>
          </cell>
          <cell r="H3917">
            <v>3909</v>
          </cell>
          <cell r="J3917">
            <v>154.21</v>
          </cell>
          <cell r="K3917">
            <v>-12.26</v>
          </cell>
          <cell r="L3917">
            <v>46.7883</v>
          </cell>
          <cell r="M3917">
            <v>2039.3</v>
          </cell>
          <cell r="N3917">
            <v>831.7637711026714</v>
          </cell>
          <cell r="Q3917">
            <v>14</v>
          </cell>
        </row>
        <row r="3918">
          <cell r="D3918" t="str">
            <v>25858-24-6</v>
          </cell>
          <cell r="E3918">
            <v>25858246</v>
          </cell>
          <cell r="F3918">
            <v>2445</v>
          </cell>
          <cell r="G3918" t="str">
            <v>Reach_4248</v>
          </cell>
          <cell r="H3918">
            <v>3910</v>
          </cell>
          <cell r="J3918">
            <v>354.47</v>
          </cell>
          <cell r="K3918">
            <v>213.29</v>
          </cell>
          <cell r="L3918">
            <v>3.3325000000000002E-8</v>
          </cell>
          <cell r="M3918">
            <v>2.0602999999999998</v>
          </cell>
          <cell r="N3918">
            <v>9772.3722095581161</v>
          </cell>
          <cell r="Q3918">
            <v>14</v>
          </cell>
        </row>
        <row r="3919">
          <cell r="D3919" t="str">
            <v>813-60-5</v>
          </cell>
          <cell r="E3919">
            <v>813605</v>
          </cell>
          <cell r="F3919">
            <v>3805</v>
          </cell>
          <cell r="G3919" t="str">
            <v>Reach_1550</v>
          </cell>
          <cell r="H3919">
            <v>3911</v>
          </cell>
          <cell r="J3919">
            <v>146.22999999999999</v>
          </cell>
          <cell r="K3919">
            <v>21.5</v>
          </cell>
          <cell r="L3919">
            <v>0.48121300000000006</v>
          </cell>
          <cell r="M3919">
            <v>6100.2</v>
          </cell>
          <cell r="N3919">
            <v>36.307805477010156</v>
          </cell>
          <cell r="O3919">
            <v>15.28</v>
          </cell>
          <cell r="Q3919">
            <v>14</v>
          </cell>
        </row>
        <row r="3920">
          <cell r="D3920" t="str">
            <v>1315251-11-6</v>
          </cell>
          <cell r="E3920">
            <v>1315251116</v>
          </cell>
          <cell r="F3920">
            <v>1849</v>
          </cell>
          <cell r="G3920" t="str">
            <v>Reach_5052</v>
          </cell>
          <cell r="H3920">
            <v>3912</v>
          </cell>
          <cell r="J3920">
            <v>242.37</v>
          </cell>
          <cell r="K3920">
            <v>116.65</v>
          </cell>
          <cell r="L3920">
            <v>8.8377899999999999E-3</v>
          </cell>
          <cell r="M3920">
            <v>10.398</v>
          </cell>
          <cell r="N3920">
            <v>43651.583224016598</v>
          </cell>
          <cell r="P3920">
            <v>10.5</v>
          </cell>
          <cell r="Q3920">
            <v>3.5</v>
          </cell>
        </row>
        <row r="3921">
          <cell r="D3921" t="str">
            <v>847565-09-7</v>
          </cell>
          <cell r="E3921">
            <v>847565097</v>
          </cell>
          <cell r="F3921">
            <v>3876</v>
          </cell>
          <cell r="G3921" t="str">
            <v>Reach_4760</v>
          </cell>
          <cell r="H3921">
            <v>3913</v>
          </cell>
          <cell r="J3921">
            <v>288.44</v>
          </cell>
          <cell r="K3921">
            <v>173.16</v>
          </cell>
          <cell r="L3921">
            <v>5.8252100000000004E-6</v>
          </cell>
          <cell r="M3921">
            <v>295.49</v>
          </cell>
          <cell r="N3921">
            <v>21379.620895022348</v>
          </cell>
          <cell r="O3921">
            <v>14.28</v>
          </cell>
          <cell r="P3921">
            <v>8.33</v>
          </cell>
          <cell r="Q3921">
            <v>5.67</v>
          </cell>
        </row>
        <row r="3922">
          <cell r="D3922" t="str">
            <v>67828-72-2</v>
          </cell>
          <cell r="E3922">
            <v>67828722</v>
          </cell>
          <cell r="F3922">
            <v>5988</v>
          </cell>
          <cell r="G3922" t="str">
            <v>Reach_2890</v>
          </cell>
          <cell r="H3922">
            <v>3914</v>
          </cell>
          <cell r="J3922">
            <v>506.44</v>
          </cell>
          <cell r="K3922">
            <v>0</v>
          </cell>
          <cell r="L3922">
            <v>0</v>
          </cell>
          <cell r="M3922">
            <v>0</v>
          </cell>
          <cell r="N3922">
            <v>0</v>
          </cell>
          <cell r="Q3922">
            <v>14</v>
          </cell>
        </row>
        <row r="3923">
          <cell r="D3923" t="str">
            <v>1378867-81-2</v>
          </cell>
          <cell r="E3923">
            <v>1378867812</v>
          </cell>
          <cell r="F3923">
            <v>1914</v>
          </cell>
          <cell r="G3923" t="str">
            <v>Reach_5018</v>
          </cell>
          <cell r="H3923">
            <v>3915</v>
          </cell>
          <cell r="J3923">
            <v>180.29</v>
          </cell>
          <cell r="K3923">
            <v>16.100000000000001</v>
          </cell>
          <cell r="L3923">
            <v>3.5057900000000002</v>
          </cell>
          <cell r="M3923">
            <v>29.803000000000001</v>
          </cell>
          <cell r="N3923">
            <v>21379.620895022348</v>
          </cell>
          <cell r="Q3923">
            <v>14</v>
          </cell>
        </row>
        <row r="3924">
          <cell r="D3924" t="str">
            <v>1015689-48-1</v>
          </cell>
          <cell r="E3924">
            <v>1015689481</v>
          </cell>
          <cell r="F3924">
            <v>1324</v>
          </cell>
          <cell r="G3924" t="str">
            <v>Reach_4881</v>
          </cell>
          <cell r="H3924">
            <v>3916</v>
          </cell>
          <cell r="J3924">
            <v>794.72</v>
          </cell>
          <cell r="K3924">
            <v>349.84</v>
          </cell>
          <cell r="L3924">
            <v>7.0915600000000005E-19</v>
          </cell>
          <cell r="M3924">
            <v>1.011E-4</v>
          </cell>
          <cell r="N3924">
            <v>11748.975549395318</v>
          </cell>
          <cell r="Q3924">
            <v>14</v>
          </cell>
        </row>
        <row r="3925">
          <cell r="D3925" t="str">
            <v>10305-41-6</v>
          </cell>
          <cell r="E3925">
            <v>10305416</v>
          </cell>
          <cell r="F3925">
            <v>1358</v>
          </cell>
          <cell r="G3925" t="str">
            <v>Reach_5067</v>
          </cell>
          <cell r="H3925">
            <v>3917</v>
          </cell>
          <cell r="J3925">
            <v>174.24</v>
          </cell>
          <cell r="K3925">
            <v>55.96</v>
          </cell>
          <cell r="L3925">
            <v>7.8647000000000005E-3</v>
          </cell>
          <cell r="M3925">
            <v>95856</v>
          </cell>
          <cell r="N3925">
            <v>13.182567385564075</v>
          </cell>
          <cell r="O3925">
            <v>14.13</v>
          </cell>
          <cell r="Q3925">
            <v>14</v>
          </cell>
        </row>
        <row r="3926">
          <cell r="D3926" t="str">
            <v>1599-67-3</v>
          </cell>
          <cell r="E3926">
            <v>1599673</v>
          </cell>
          <cell r="F3926">
            <v>2070</v>
          </cell>
          <cell r="G3926" t="str">
            <v>Reach_1698</v>
          </cell>
          <cell r="H3926">
            <v>3918</v>
          </cell>
          <cell r="J3926">
            <v>308.58999999999997</v>
          </cell>
          <cell r="K3926">
            <v>70.75</v>
          </cell>
          <cell r="L3926">
            <v>1.151712E-2</v>
          </cell>
          <cell r="M3926">
            <v>4.6999999999999999E-6</v>
          </cell>
          <cell r="N3926">
            <v>102329299228.07556</v>
          </cell>
          <cell r="Q3926">
            <v>14</v>
          </cell>
        </row>
        <row r="3927">
          <cell r="D3927" t="str">
            <v>3905-19-9</v>
          </cell>
          <cell r="E3927">
            <v>3905199</v>
          </cell>
          <cell r="F3927">
            <v>2832</v>
          </cell>
          <cell r="G3927" t="str">
            <v>Reach_2000</v>
          </cell>
          <cell r="H3927">
            <v>3919</v>
          </cell>
          <cell r="J3927">
            <v>794.49</v>
          </cell>
          <cell r="K3927">
            <v>349.84</v>
          </cell>
          <cell r="L3927">
            <v>6.3317500000000007E-32</v>
          </cell>
          <cell r="M3927">
            <v>1.18E-12</v>
          </cell>
          <cell r="N3927">
            <v>19054607179632.492</v>
          </cell>
          <cell r="Q3927">
            <v>14</v>
          </cell>
        </row>
        <row r="3928">
          <cell r="D3928" t="str">
            <v>1163-19-5</v>
          </cell>
          <cell r="E3928">
            <v>1163195</v>
          </cell>
          <cell r="F3928">
            <v>345</v>
          </cell>
          <cell r="G3928" t="str">
            <v>Reach_1664</v>
          </cell>
          <cell r="H3928">
            <v>3920</v>
          </cell>
          <cell r="J3928">
            <v>959.23</v>
          </cell>
          <cell r="K3928">
            <v>254.5</v>
          </cell>
          <cell r="L3928">
            <v>6.2251100000000006E-10</v>
          </cell>
          <cell r="M3928">
            <v>1.86E-10</v>
          </cell>
          <cell r="N3928">
            <v>1288249551693.136</v>
          </cell>
          <cell r="Q3928">
            <v>14</v>
          </cell>
        </row>
        <row r="3929">
          <cell r="D3929" t="str">
            <v>2082-79-3</v>
          </cell>
          <cell r="E3929">
            <v>2082793</v>
          </cell>
          <cell r="F3929">
            <v>2276</v>
          </cell>
          <cell r="G3929" t="str">
            <v>Reach_1755</v>
          </cell>
          <cell r="H3929">
            <v>3921</v>
          </cell>
          <cell r="J3929">
            <v>530.88</v>
          </cell>
          <cell r="K3929">
            <v>241.01</v>
          </cell>
          <cell r="L3929">
            <v>4.5055400000000004E-11</v>
          </cell>
          <cell r="M3929">
            <v>5.02E-8</v>
          </cell>
          <cell r="N3929">
            <v>25703957827688.723</v>
          </cell>
          <cell r="O3929">
            <v>11.94</v>
          </cell>
          <cell r="Q3929">
            <v>11.94</v>
          </cell>
        </row>
        <row r="3930">
          <cell r="D3930" t="str">
            <v>111-01-3</v>
          </cell>
          <cell r="E3930">
            <v>111013</v>
          </cell>
          <cell r="F3930">
            <v>1535</v>
          </cell>
          <cell r="G3930" t="str">
            <v>Reach_841</v>
          </cell>
          <cell r="H3930">
            <v>3922</v>
          </cell>
          <cell r="J3930">
            <v>422.83</v>
          </cell>
          <cell r="K3930">
            <v>74.73</v>
          </cell>
          <cell r="L3930">
            <v>3.6657500000000003E-2</v>
          </cell>
          <cell r="M3930">
            <v>6.6599999999999997E-9</v>
          </cell>
          <cell r="N3930">
            <v>426579518801593.69</v>
          </cell>
          <cell r="Q3930">
            <v>14</v>
          </cell>
        </row>
        <row r="3931">
          <cell r="D3931" t="str">
            <v>27676-62-6</v>
          </cell>
          <cell r="E3931">
            <v>27676626</v>
          </cell>
          <cell r="F3931">
            <v>2516</v>
          </cell>
          <cell r="G3931" t="str">
            <v>Reach_2611</v>
          </cell>
          <cell r="H3931">
            <v>3923</v>
          </cell>
          <cell r="J3931">
            <v>784.1</v>
          </cell>
          <cell r="K3931">
            <v>349.84</v>
          </cell>
          <cell r="L3931">
            <v>6.2384400000000012E-26</v>
          </cell>
          <cell r="M3931">
            <v>3.2500000000000002E-10</v>
          </cell>
          <cell r="N3931">
            <v>1513561248436214.5</v>
          </cell>
          <cell r="O3931">
            <v>10.66</v>
          </cell>
          <cell r="P3931">
            <v>13.03</v>
          </cell>
          <cell r="Q3931">
            <v>0.97000000000000064</v>
          </cell>
        </row>
        <row r="3932">
          <cell r="D3932" t="str">
            <v>3320-83-0</v>
          </cell>
          <cell r="E3932">
            <v>3320830</v>
          </cell>
          <cell r="F3932">
            <v>2677</v>
          </cell>
          <cell r="G3932" t="str">
            <v>Reach_1946</v>
          </cell>
          <cell r="H3932">
            <v>3924</v>
          </cell>
          <cell r="J3932">
            <v>153.57</v>
          </cell>
          <cell r="K3932">
            <v>-6.23</v>
          </cell>
          <cell r="L3932">
            <v>39.323500000000003</v>
          </cell>
          <cell r="M3932">
            <v>17383</v>
          </cell>
          <cell r="N3932">
            <v>1737.8008287493772</v>
          </cell>
          <cell r="Q3932">
            <v>14</v>
          </cell>
        </row>
        <row r="3933">
          <cell r="D3933" t="str">
            <v>111-02-4</v>
          </cell>
          <cell r="E3933">
            <v>111024</v>
          </cell>
          <cell r="F3933">
            <v>1536</v>
          </cell>
          <cell r="G3933" t="str">
            <v>Reach_842</v>
          </cell>
          <cell r="H3933">
            <v>3925</v>
          </cell>
          <cell r="J3933">
            <v>410.73</v>
          </cell>
          <cell r="K3933">
            <v>58.85</v>
          </cell>
          <cell r="L3933">
            <v>1.5196200000000003E-4</v>
          </cell>
          <cell r="M3933">
            <v>3.2899999999999999E-7</v>
          </cell>
          <cell r="N3933">
            <v>131825673855640.72</v>
          </cell>
          <cell r="Q3933">
            <v>14</v>
          </cell>
        </row>
        <row r="3934">
          <cell r="D3934" t="str">
            <v>10094-45-8</v>
          </cell>
          <cell r="E3934">
            <v>10094458</v>
          </cell>
          <cell r="F3934">
            <v>1313</v>
          </cell>
          <cell r="G3934" t="str">
            <v>Reach_2281</v>
          </cell>
          <cell r="H3934">
            <v>3926</v>
          </cell>
          <cell r="J3934">
            <v>590.08000000000004</v>
          </cell>
          <cell r="K3934">
            <v>290.27999999999997</v>
          </cell>
          <cell r="L3934">
            <v>1.9995E-13</v>
          </cell>
          <cell r="M3934">
            <v>9.2799999999999992E-12</v>
          </cell>
          <cell r="N3934">
            <v>1.8197008586099936E+17</v>
          </cell>
          <cell r="O3934">
            <v>15.1</v>
          </cell>
          <cell r="P3934">
            <v>14.3</v>
          </cell>
          <cell r="Q3934">
            <v>-0.30000000000000071</v>
          </cell>
        </row>
        <row r="3935">
          <cell r="D3935" t="str">
            <v>3806-34-6</v>
          </cell>
          <cell r="E3935">
            <v>3806346</v>
          </cell>
          <cell r="F3935">
            <v>2813</v>
          </cell>
          <cell r="G3935" t="str">
            <v>Reach_1993</v>
          </cell>
          <cell r="H3935">
            <v>3927</v>
          </cell>
          <cell r="J3935">
            <v>733.05</v>
          </cell>
          <cell r="K3935">
            <v>308.5</v>
          </cell>
          <cell r="L3935">
            <v>1.0664000000000001E-14</v>
          </cell>
          <cell r="M3935">
            <v>1.9599999999999999E-11</v>
          </cell>
          <cell r="N3935">
            <v>1122018454301969.5</v>
          </cell>
          <cell r="Q3935">
            <v>14</v>
          </cell>
        </row>
        <row r="3936">
          <cell r="D3936" t="str">
            <v>5280-78-4</v>
          </cell>
          <cell r="E3936">
            <v>5280784</v>
          </cell>
          <cell r="F3936">
            <v>3075</v>
          </cell>
          <cell r="G3936" t="str">
            <v>Reach_2091</v>
          </cell>
          <cell r="H3936">
            <v>3928</v>
          </cell>
          <cell r="J3936">
            <v>828.93</v>
          </cell>
          <cell r="K3936">
            <v>349.84</v>
          </cell>
          <cell r="L3936">
            <v>1.2023660000000001E-30</v>
          </cell>
          <cell r="M3936">
            <v>7.7200000000000002E-12</v>
          </cell>
          <cell r="N3936">
            <v>1778279410038929</v>
          </cell>
          <cell r="O3936">
            <v>8.91</v>
          </cell>
          <cell r="Q3936">
            <v>8.91</v>
          </cell>
        </row>
        <row r="3937">
          <cell r="D3937" t="str">
            <v>506-51-4</v>
          </cell>
          <cell r="E3937">
            <v>506514</v>
          </cell>
          <cell r="F3937">
            <v>3014</v>
          </cell>
          <cell r="G3937" t="str">
            <v>Reach_1311</v>
          </cell>
          <cell r="H3937">
            <v>3929</v>
          </cell>
          <cell r="J3937">
            <v>354.66</v>
          </cell>
          <cell r="K3937">
            <v>140.99</v>
          </cell>
          <cell r="L3937">
            <v>3.1992000000000002E-7</v>
          </cell>
          <cell r="M3937">
            <v>1.105E-4</v>
          </cell>
          <cell r="N3937">
            <v>45708818961.487556</v>
          </cell>
          <cell r="O3937">
            <v>15.9</v>
          </cell>
          <cell r="Q3937">
            <v>14</v>
          </cell>
        </row>
        <row r="3938">
          <cell r="D3938" t="str">
            <v>3687-45-4</v>
          </cell>
          <cell r="E3938">
            <v>3687454</v>
          </cell>
          <cell r="F3938">
            <v>2781</v>
          </cell>
          <cell r="G3938" t="str">
            <v>Reach_1981</v>
          </cell>
          <cell r="H3938">
            <v>3930</v>
          </cell>
          <cell r="J3938">
            <v>532.94000000000005</v>
          </cell>
          <cell r="K3938">
            <v>218.47</v>
          </cell>
          <cell r="L3938">
            <v>1.37299E-9</v>
          </cell>
          <cell r="M3938">
            <v>4.5099999999999999E-10</v>
          </cell>
          <cell r="N3938">
            <v>1.4125375446227572E+16</v>
          </cell>
          <cell r="Q3938">
            <v>14</v>
          </cell>
        </row>
        <row r="3939">
          <cell r="D3939" t="str">
            <v>93803-89-5</v>
          </cell>
          <cell r="E3939">
            <v>93803895</v>
          </cell>
          <cell r="F3939">
            <v>4083</v>
          </cell>
          <cell r="G3939" t="str">
            <v>Reach_2997</v>
          </cell>
          <cell r="H3939">
            <v>3931</v>
          </cell>
          <cell r="J3939">
            <v>697.05</v>
          </cell>
          <cell r="K3939">
            <v>253.78</v>
          </cell>
          <cell r="L3939">
            <v>6.4117300000000006E-12</v>
          </cell>
          <cell r="M3939">
            <v>2.6500000000000002E-9</v>
          </cell>
          <cell r="N3939">
            <v>199526231496889.06</v>
          </cell>
          <cell r="Q3939">
            <v>14</v>
          </cell>
        </row>
        <row r="3940">
          <cell r="D3940" t="str">
            <v>26322-14-5</v>
          </cell>
          <cell r="E3940">
            <v>26322145</v>
          </cell>
          <cell r="F3940">
            <v>2464</v>
          </cell>
          <cell r="G3940" t="str">
            <v>Reach_2579</v>
          </cell>
          <cell r="H3940">
            <v>3932</v>
          </cell>
          <cell r="J3940">
            <v>570.9</v>
          </cell>
          <cell r="K3940">
            <v>245.41</v>
          </cell>
          <cell r="L3940">
            <v>2.46605E-11</v>
          </cell>
          <cell r="M3940">
            <v>9.569999999999999E-10</v>
          </cell>
          <cell r="N3940">
            <v>954992586021441.75</v>
          </cell>
          <cell r="Q3940">
            <v>14</v>
          </cell>
        </row>
        <row r="3941">
          <cell r="D3941" t="str">
            <v>67845-93-6</v>
          </cell>
          <cell r="E3941">
            <v>67845936</v>
          </cell>
          <cell r="F3941">
            <v>3501</v>
          </cell>
          <cell r="G3941" t="str">
            <v>Reach_2891</v>
          </cell>
          <cell r="H3941">
            <v>3933</v>
          </cell>
          <cell r="J3941">
            <v>474.77</v>
          </cell>
          <cell r="K3941">
            <v>219.33</v>
          </cell>
          <cell r="L3941">
            <v>1.5996000000000001E-9</v>
          </cell>
          <cell r="M3941">
            <v>1.26E-6</v>
          </cell>
          <cell r="N3941">
            <v>2137962089502.2385</v>
          </cell>
          <cell r="O3941">
            <v>8.5</v>
          </cell>
          <cell r="Q3941">
            <v>8.5</v>
          </cell>
        </row>
        <row r="3942">
          <cell r="D3942" t="str">
            <v>53220-22-7</v>
          </cell>
          <cell r="E3942">
            <v>53220227</v>
          </cell>
          <cell r="F3942">
            <v>3092</v>
          </cell>
          <cell r="G3942" t="str">
            <v>Reach_2790</v>
          </cell>
          <cell r="H3942">
            <v>3934</v>
          </cell>
          <cell r="J3942">
            <v>514.79</v>
          </cell>
          <cell r="K3942">
            <v>215.4</v>
          </cell>
          <cell r="L3942">
            <v>9.1443800000000008E-10</v>
          </cell>
          <cell r="M3942">
            <v>7.0399999999999995E-8</v>
          </cell>
          <cell r="N3942">
            <v>10232929922807.578</v>
          </cell>
          <cell r="Q3942">
            <v>14</v>
          </cell>
        </row>
        <row r="3943">
          <cell r="D3943" t="str">
            <v>5036-48-6</v>
          </cell>
          <cell r="E3943">
            <v>5036486</v>
          </cell>
          <cell r="F3943">
            <v>3003</v>
          </cell>
          <cell r="G3943" t="str">
            <v>Reach_2072</v>
          </cell>
          <cell r="H3943">
            <v>3935</v>
          </cell>
          <cell r="J3943">
            <v>125.18</v>
          </cell>
          <cell r="K3943">
            <v>69.66</v>
          </cell>
          <cell r="L3943">
            <v>0.30925600000000003</v>
          </cell>
          <cell r="M3943">
            <v>1000000</v>
          </cell>
          <cell r="N3943">
            <v>1.3182567385564072</v>
          </cell>
          <cell r="O3943">
            <v>0</v>
          </cell>
          <cell r="Q3943">
            <v>0</v>
          </cell>
        </row>
        <row r="3944">
          <cell r="D3944" t="str">
            <v>40618-31-3</v>
          </cell>
          <cell r="E3944">
            <v>40618313</v>
          </cell>
          <cell r="F3944">
            <v>2860</v>
          </cell>
          <cell r="G3944" t="str">
            <v>Reach_2732</v>
          </cell>
          <cell r="H3944">
            <v>3936</v>
          </cell>
          <cell r="J3944">
            <v>863.38</v>
          </cell>
          <cell r="K3944">
            <v>349.84</v>
          </cell>
          <cell r="L3944">
            <v>2.8526199999999998E-31</v>
          </cell>
          <cell r="M3944">
            <v>1.2100000000000001E-12</v>
          </cell>
          <cell r="N3944">
            <v>2137962089502238</v>
          </cell>
          <cell r="O3944">
            <v>8.84</v>
          </cell>
          <cell r="Q3944">
            <v>8.84</v>
          </cell>
        </row>
        <row r="3945">
          <cell r="D3945" t="str">
            <v>16260-09-6</v>
          </cell>
          <cell r="E3945">
            <v>16260096</v>
          </cell>
          <cell r="F3945">
            <v>2086</v>
          </cell>
          <cell r="G3945" t="str">
            <v>Reach_2416</v>
          </cell>
          <cell r="H3945">
            <v>3937</v>
          </cell>
          <cell r="J3945">
            <v>505.92</v>
          </cell>
          <cell r="K3945">
            <v>257.76</v>
          </cell>
          <cell r="L3945">
            <v>3.4524700000000006E-11</v>
          </cell>
          <cell r="M3945">
            <v>5.86E-9</v>
          </cell>
          <cell r="N3945">
            <v>204173794466954.03</v>
          </cell>
          <cell r="O3945">
            <v>15.1</v>
          </cell>
          <cell r="P3945">
            <v>14.3</v>
          </cell>
          <cell r="Q3945">
            <v>-0.30000000000000071</v>
          </cell>
        </row>
        <row r="3946">
          <cell r="D3946" t="str">
            <v>1283129-18-9</v>
          </cell>
          <cell r="E3946">
            <v>1283129189</v>
          </cell>
          <cell r="F3946">
            <v>1819</v>
          </cell>
          <cell r="G3946" t="str">
            <v>Reach_4696</v>
          </cell>
          <cell r="H3946">
            <v>3938</v>
          </cell>
          <cell r="J3946">
            <v>780.99</v>
          </cell>
          <cell r="K3946">
            <v>317.98</v>
          </cell>
          <cell r="L3946">
            <v>2.30609E-15</v>
          </cell>
          <cell r="M3946">
            <v>6.89E-9</v>
          </cell>
          <cell r="N3946">
            <v>204173794466.95337</v>
          </cell>
          <cell r="Q3946">
            <v>14</v>
          </cell>
        </row>
        <row r="3947">
          <cell r="D3947" t="str">
            <v>897626-46-9</v>
          </cell>
          <cell r="E3947">
            <v>897626469</v>
          </cell>
          <cell r="F3947">
            <v>3984</v>
          </cell>
          <cell r="G3947" t="str">
            <v>Reach_4490</v>
          </cell>
          <cell r="H3947">
            <v>3939</v>
          </cell>
          <cell r="J3947">
            <v>749.3</v>
          </cell>
          <cell r="K3947">
            <v>291.26</v>
          </cell>
          <cell r="L3947">
            <v>3.8790300000000001E-14</v>
          </cell>
          <cell r="M3947">
            <v>4.5500000000000002E-15</v>
          </cell>
          <cell r="N3947">
            <v>2.3988329190194948E+21</v>
          </cell>
          <cell r="Q3947">
            <v>14</v>
          </cell>
        </row>
        <row r="3948">
          <cell r="D3948" t="str">
            <v>555-43-1</v>
          </cell>
          <cell r="E3948">
            <v>555431</v>
          </cell>
          <cell r="F3948">
            <v>3174</v>
          </cell>
          <cell r="G3948" t="str">
            <v>Reach_1365</v>
          </cell>
          <cell r="H3948">
            <v>3940</v>
          </cell>
          <cell r="J3948">
            <v>891.5</v>
          </cell>
          <cell r="K3948">
            <v>349.84</v>
          </cell>
          <cell r="L3948">
            <v>2.6393400000000004E-18</v>
          </cell>
          <cell r="M3948">
            <v>2.0599999999999998E-18</v>
          </cell>
          <cell r="N3948">
            <v>8.7096358995608566E+23</v>
          </cell>
          <cell r="Q3948">
            <v>14</v>
          </cell>
        </row>
        <row r="3949">
          <cell r="D3949" t="str">
            <v>52238-92-3</v>
          </cell>
          <cell r="E3949">
            <v>52238923</v>
          </cell>
          <cell r="F3949">
            <v>3055</v>
          </cell>
          <cell r="G3949" t="str">
            <v>Reach_2778</v>
          </cell>
          <cell r="H3949">
            <v>3941</v>
          </cell>
          <cell r="J3949">
            <v>930.48</v>
          </cell>
          <cell r="K3949">
            <v>349.84</v>
          </cell>
          <cell r="L3949">
            <v>2.9859200000000002E-30</v>
          </cell>
          <cell r="M3949">
            <v>1.3299999999999999E-13</v>
          </cell>
          <cell r="N3949">
            <v>9332543007969946</v>
          </cell>
          <cell r="O3949">
            <v>8.75</v>
          </cell>
          <cell r="Q3949">
            <v>8.75</v>
          </cell>
        </row>
        <row r="3950">
          <cell r="D3950" t="str">
            <v>68516-75-6</v>
          </cell>
          <cell r="E3950">
            <v>68516756</v>
          </cell>
          <cell r="F3950">
            <v>3519</v>
          </cell>
          <cell r="G3950" t="str">
            <v>Reach_2908</v>
          </cell>
          <cell r="H3950">
            <v>3942</v>
          </cell>
          <cell r="J3950">
            <v>844.55</v>
          </cell>
          <cell r="K3950">
            <v>349.84</v>
          </cell>
          <cell r="L3950">
            <v>2.1461300000000004E-32</v>
          </cell>
          <cell r="M3950">
            <v>1.9199999999999999E-12</v>
          </cell>
          <cell r="N3950">
            <v>2.1877616239495532E+16</v>
          </cell>
          <cell r="O3950">
            <v>8.98</v>
          </cell>
          <cell r="Q3950">
            <v>8.98</v>
          </cell>
        </row>
        <row r="3953">
          <cell r="J3953">
            <v>0</v>
          </cell>
          <cell r="K3953">
            <v>0</v>
          </cell>
          <cell r="L3953">
            <v>0</v>
          </cell>
          <cell r="M3953">
            <v>0</v>
          </cell>
          <cell r="N3953">
            <v>0</v>
          </cell>
          <cell r="O3953">
            <v>0</v>
          </cell>
          <cell r="P3953">
            <v>0</v>
          </cell>
        </row>
        <row r="3959">
          <cell r="D3959" t="str">
            <v>98-95-3</v>
          </cell>
          <cell r="E3959">
            <v>98953</v>
          </cell>
          <cell r="F3959" t="str">
            <v>-</v>
          </cell>
          <cell r="G3959" t="str">
            <v>-</v>
          </cell>
          <cell r="H3959">
            <v>3944</v>
          </cell>
          <cell r="Q3959">
            <v>14</v>
          </cell>
        </row>
        <row r="3960">
          <cell r="D3960" t="str">
            <v>75-86-5</v>
          </cell>
          <cell r="E3960">
            <v>75865</v>
          </cell>
          <cell r="F3960" t="str">
            <v>-</v>
          </cell>
          <cell r="G3960" t="str">
            <v>-</v>
          </cell>
          <cell r="H3960">
            <v>3945</v>
          </cell>
          <cell r="Q3960">
            <v>14</v>
          </cell>
        </row>
        <row r="3961">
          <cell r="D3961" t="str">
            <v>141-53-7</v>
          </cell>
          <cell r="E3961">
            <v>141537</v>
          </cell>
          <cell r="F3961" t="str">
            <v>-</v>
          </cell>
          <cell r="G3961" t="str">
            <v>-</v>
          </cell>
          <cell r="H3961">
            <v>3946</v>
          </cell>
          <cell r="Q3961">
            <v>14</v>
          </cell>
        </row>
        <row r="3962">
          <cell r="D3962" t="str">
            <v>30989-05-0</v>
          </cell>
          <cell r="E3962">
            <v>30989050</v>
          </cell>
          <cell r="F3962" t="str">
            <v>-</v>
          </cell>
          <cell r="G3962" t="str">
            <v>-</v>
          </cell>
          <cell r="H3962">
            <v>3947</v>
          </cell>
          <cell r="Q3962">
            <v>14</v>
          </cell>
        </row>
        <row r="3963">
          <cell r="D3963" t="str">
            <v>127-09-3</v>
          </cell>
          <cell r="E3963">
            <v>127093</v>
          </cell>
          <cell r="F3963" t="str">
            <v>-</v>
          </cell>
          <cell r="G3963" t="str">
            <v>-</v>
          </cell>
          <cell r="H3963">
            <v>3948</v>
          </cell>
          <cell r="Q3963">
            <v>14</v>
          </cell>
        </row>
        <row r="3964">
          <cell r="D3964" t="str">
            <v>147-14-8</v>
          </cell>
          <cell r="E3964">
            <v>147148</v>
          </cell>
          <cell r="F3964" t="str">
            <v>-</v>
          </cell>
          <cell r="G3964" t="str">
            <v>-</v>
          </cell>
          <cell r="H3964">
            <v>3949</v>
          </cell>
          <cell r="Q3964">
            <v>14</v>
          </cell>
        </row>
        <row r="3965">
          <cell r="D3965" t="str">
            <v>97-93-8</v>
          </cell>
          <cell r="E3965">
            <v>97938</v>
          </cell>
          <cell r="F3965" t="str">
            <v>-</v>
          </cell>
          <cell r="G3965" t="str">
            <v>-</v>
          </cell>
          <cell r="H3965">
            <v>3950</v>
          </cell>
          <cell r="Q3965">
            <v>14</v>
          </cell>
        </row>
        <row r="3966">
          <cell r="D3966" t="str">
            <v>98-88-4</v>
          </cell>
          <cell r="E3966">
            <v>98884</v>
          </cell>
          <cell r="F3966" t="str">
            <v>-</v>
          </cell>
          <cell r="G3966" t="str">
            <v>-</v>
          </cell>
          <cell r="H3966">
            <v>3951</v>
          </cell>
          <cell r="Q3966">
            <v>14</v>
          </cell>
        </row>
        <row r="3967">
          <cell r="D3967" t="str">
            <v>95-50-1</v>
          </cell>
          <cell r="E3967">
            <v>95501</v>
          </cell>
          <cell r="F3967" t="str">
            <v>-</v>
          </cell>
          <cell r="G3967" t="str">
            <v>-</v>
          </cell>
          <cell r="H3967">
            <v>3952</v>
          </cell>
          <cell r="Q3967">
            <v>14</v>
          </cell>
        </row>
        <row r="3968">
          <cell r="D3968" t="str">
            <v>94581-02-9</v>
          </cell>
          <cell r="E3968">
            <v>94581029</v>
          </cell>
          <cell r="F3968" t="str">
            <v>-</v>
          </cell>
          <cell r="G3968" t="str">
            <v>-</v>
          </cell>
          <cell r="H3968">
            <v>3953</v>
          </cell>
          <cell r="Q3968">
            <v>14</v>
          </cell>
        </row>
        <row r="3969">
          <cell r="D3969" t="str">
            <v>5281-04-9</v>
          </cell>
          <cell r="E3969">
            <v>5281049</v>
          </cell>
          <cell r="F3969" t="str">
            <v>-</v>
          </cell>
          <cell r="G3969" t="str">
            <v>-</v>
          </cell>
          <cell r="H3969">
            <v>3954</v>
          </cell>
          <cell r="Q3969">
            <v>14</v>
          </cell>
        </row>
        <row r="3970">
          <cell r="D3970" t="str">
            <v>87-69-4</v>
          </cell>
          <cell r="E3970">
            <v>87694</v>
          </cell>
          <cell r="F3970" t="str">
            <v>-</v>
          </cell>
          <cell r="G3970" t="str">
            <v>-</v>
          </cell>
          <cell r="H3970">
            <v>3955</v>
          </cell>
          <cell r="Q3970">
            <v>14</v>
          </cell>
        </row>
        <row r="3971">
          <cell r="D3971" t="str">
            <v>302-01-2</v>
          </cell>
          <cell r="E3971">
            <v>302012</v>
          </cell>
          <cell r="F3971" t="str">
            <v>-</v>
          </cell>
          <cell r="G3971" t="str">
            <v>-</v>
          </cell>
          <cell r="H3971">
            <v>3956</v>
          </cell>
          <cell r="Q3971">
            <v>14</v>
          </cell>
        </row>
        <row r="3972">
          <cell r="D3972" t="str">
            <v>127-19-5</v>
          </cell>
          <cell r="E3972">
            <v>127195</v>
          </cell>
          <cell r="F3972" t="str">
            <v>-</v>
          </cell>
          <cell r="G3972" t="str">
            <v>-</v>
          </cell>
          <cell r="H3972">
            <v>3957</v>
          </cell>
          <cell r="Q3972">
            <v>14</v>
          </cell>
        </row>
        <row r="3973">
          <cell r="D3973" t="str">
            <v>1461-22-9</v>
          </cell>
          <cell r="E3973">
            <v>1461229</v>
          </cell>
          <cell r="F3973" t="str">
            <v>-</v>
          </cell>
          <cell r="G3973" t="str">
            <v>-</v>
          </cell>
          <cell r="H3973">
            <v>3958</v>
          </cell>
          <cell r="Q3973">
            <v>14</v>
          </cell>
        </row>
        <row r="3974">
          <cell r="D3974" t="str">
            <v>95-76-1</v>
          </cell>
          <cell r="E3974">
            <v>95761</v>
          </cell>
          <cell r="F3974" t="str">
            <v>-</v>
          </cell>
          <cell r="G3974" t="str">
            <v>-</v>
          </cell>
          <cell r="H3974">
            <v>3959</v>
          </cell>
          <cell r="Q3974">
            <v>14</v>
          </cell>
        </row>
        <row r="3975">
          <cell r="D3975" t="str">
            <v>127-08-2</v>
          </cell>
          <cell r="E3975">
            <v>127082</v>
          </cell>
          <cell r="F3975" t="str">
            <v>-</v>
          </cell>
          <cell r="G3975" t="str">
            <v>-</v>
          </cell>
          <cell r="H3975">
            <v>3960</v>
          </cell>
          <cell r="Q3975">
            <v>14</v>
          </cell>
        </row>
        <row r="3976">
          <cell r="D3976" t="str">
            <v>109-72-8</v>
          </cell>
          <cell r="E3976">
            <v>109728</v>
          </cell>
          <cell r="F3976" t="str">
            <v>-</v>
          </cell>
          <cell r="G3976" t="str">
            <v>-</v>
          </cell>
          <cell r="H3976">
            <v>3961</v>
          </cell>
          <cell r="Q3976">
            <v>14</v>
          </cell>
        </row>
        <row r="3977">
          <cell r="D3977" t="str">
            <v>12075-68-2</v>
          </cell>
          <cell r="E3977">
            <v>12075682</v>
          </cell>
          <cell r="F3977" t="str">
            <v>-</v>
          </cell>
          <cell r="G3977" t="str">
            <v>-</v>
          </cell>
          <cell r="H3977">
            <v>3962</v>
          </cell>
          <cell r="Q3977">
            <v>14</v>
          </cell>
        </row>
        <row r="3978">
          <cell r="D3978" t="str">
            <v>57583-35-4</v>
          </cell>
          <cell r="E3978">
            <v>57583354</v>
          </cell>
          <cell r="F3978" t="str">
            <v>-</v>
          </cell>
          <cell r="G3978" t="str">
            <v>-</v>
          </cell>
          <cell r="H3978">
            <v>3963</v>
          </cell>
          <cell r="Q3978">
            <v>14</v>
          </cell>
        </row>
        <row r="3979">
          <cell r="D3979" t="str">
            <v>57583-34-3</v>
          </cell>
          <cell r="E3979">
            <v>57583343</v>
          </cell>
          <cell r="F3979" t="str">
            <v>-</v>
          </cell>
          <cell r="G3979" t="str">
            <v>-</v>
          </cell>
          <cell r="H3979">
            <v>3964</v>
          </cell>
          <cell r="Q3979">
            <v>14</v>
          </cell>
        </row>
        <row r="3980">
          <cell r="D3980" t="str">
            <v>3811-73-2</v>
          </cell>
          <cell r="E3980">
            <v>3811732</v>
          </cell>
          <cell r="F3980" t="str">
            <v>-</v>
          </cell>
          <cell r="G3980" t="str">
            <v>-</v>
          </cell>
          <cell r="H3980">
            <v>3965</v>
          </cell>
          <cell r="Q3980">
            <v>14</v>
          </cell>
        </row>
        <row r="3981">
          <cell r="D3981" t="str">
            <v>13014-24-9</v>
          </cell>
          <cell r="E3981">
            <v>13014249</v>
          </cell>
          <cell r="F3981" t="str">
            <v>-</v>
          </cell>
          <cell r="G3981" t="str">
            <v>-</v>
          </cell>
          <cell r="H3981">
            <v>3966</v>
          </cell>
          <cell r="Q3981">
            <v>14</v>
          </cell>
        </row>
        <row r="3982">
          <cell r="D3982" t="str">
            <v>15571-58-1</v>
          </cell>
          <cell r="E3982">
            <v>15571581</v>
          </cell>
          <cell r="F3982" t="str">
            <v>-</v>
          </cell>
          <cell r="G3982" t="str">
            <v>-</v>
          </cell>
          <cell r="H3982">
            <v>3967</v>
          </cell>
          <cell r="Q3982">
            <v>14</v>
          </cell>
        </row>
        <row r="3983">
          <cell r="D3983" t="str">
            <v>35884-66-3</v>
          </cell>
          <cell r="E3983">
            <v>35884663</v>
          </cell>
          <cell r="F3983" t="str">
            <v>-</v>
          </cell>
          <cell r="G3983" t="str">
            <v>-</v>
          </cell>
          <cell r="H3983">
            <v>3968</v>
          </cell>
          <cell r="Q3983">
            <v>14</v>
          </cell>
        </row>
        <row r="3984">
          <cell r="D3984" t="str">
            <v>13162-05-5</v>
          </cell>
          <cell r="E3984">
            <v>13162055</v>
          </cell>
          <cell r="F3984" t="str">
            <v>-</v>
          </cell>
          <cell r="G3984" t="str">
            <v>-</v>
          </cell>
          <cell r="H3984">
            <v>3969</v>
          </cell>
          <cell r="Q3984">
            <v>14</v>
          </cell>
        </row>
        <row r="3985">
          <cell r="D3985" t="str">
            <v>6846-50-0</v>
          </cell>
          <cell r="E3985">
            <v>6846500</v>
          </cell>
          <cell r="F3985" t="str">
            <v>-</v>
          </cell>
          <cell r="G3985" t="str">
            <v>-</v>
          </cell>
          <cell r="H3985">
            <v>3970</v>
          </cell>
          <cell r="Q3985">
            <v>14</v>
          </cell>
        </row>
        <row r="3986">
          <cell r="D3986" t="str">
            <v>12239-87-1</v>
          </cell>
          <cell r="E3986">
            <v>12239871</v>
          </cell>
          <cell r="F3986" t="str">
            <v>-</v>
          </cell>
          <cell r="G3986" t="str">
            <v>-</v>
          </cell>
          <cell r="H3986">
            <v>3971</v>
          </cell>
          <cell r="Q3986">
            <v>14</v>
          </cell>
        </row>
        <row r="3987">
          <cell r="D3987" t="str">
            <v>598-30-1</v>
          </cell>
          <cell r="E3987">
            <v>598301</v>
          </cell>
          <cell r="F3987" t="str">
            <v>-</v>
          </cell>
          <cell r="G3987" t="str">
            <v>-</v>
          </cell>
          <cell r="H3987">
            <v>3972</v>
          </cell>
          <cell r="Q3987">
            <v>14</v>
          </cell>
        </row>
        <row r="3988">
          <cell r="D3988" t="str">
            <v>27107-89-7</v>
          </cell>
          <cell r="E3988">
            <v>27107897</v>
          </cell>
          <cell r="F3988" t="str">
            <v>-</v>
          </cell>
          <cell r="G3988" t="str">
            <v>-</v>
          </cell>
          <cell r="H3988">
            <v>3973</v>
          </cell>
          <cell r="Q3988">
            <v>14</v>
          </cell>
        </row>
        <row r="3989">
          <cell r="D3989" t="str">
            <v>1461-25-2</v>
          </cell>
          <cell r="E3989">
            <v>1461252</v>
          </cell>
          <cell r="F3989" t="str">
            <v>-</v>
          </cell>
          <cell r="G3989" t="str">
            <v>-</v>
          </cell>
          <cell r="H3989">
            <v>3974</v>
          </cell>
          <cell r="Q3989">
            <v>14</v>
          </cell>
        </row>
        <row r="3990">
          <cell r="D3990" t="str">
            <v>546-68-9</v>
          </cell>
          <cell r="E3990">
            <v>546689</v>
          </cell>
          <cell r="F3990" t="str">
            <v>-</v>
          </cell>
          <cell r="G3990" t="str">
            <v>-</v>
          </cell>
          <cell r="H3990">
            <v>3975</v>
          </cell>
          <cell r="Q3990">
            <v>14</v>
          </cell>
        </row>
        <row r="3991">
          <cell r="D3991" t="str">
            <v>119-36-8</v>
          </cell>
          <cell r="E3991">
            <v>119368</v>
          </cell>
          <cell r="F3991" t="str">
            <v>-</v>
          </cell>
          <cell r="G3991" t="str">
            <v>-</v>
          </cell>
          <cell r="H3991">
            <v>3976</v>
          </cell>
          <cell r="Q3991">
            <v>14</v>
          </cell>
        </row>
        <row r="3992">
          <cell r="D3992" t="str">
            <v>101-83-7</v>
          </cell>
          <cell r="E3992">
            <v>101837</v>
          </cell>
          <cell r="F3992" t="str">
            <v>-</v>
          </cell>
          <cell r="G3992" t="str">
            <v>-</v>
          </cell>
          <cell r="H3992">
            <v>3977</v>
          </cell>
          <cell r="Q3992">
            <v>14</v>
          </cell>
        </row>
        <row r="3993">
          <cell r="D3993" t="str">
            <v>78-00-2</v>
          </cell>
          <cell r="E3993">
            <v>78002</v>
          </cell>
          <cell r="F3993" t="str">
            <v>-</v>
          </cell>
          <cell r="G3993" t="str">
            <v>-</v>
          </cell>
          <cell r="H3993">
            <v>3978</v>
          </cell>
          <cell r="Q3993">
            <v>14</v>
          </cell>
        </row>
        <row r="3994">
          <cell r="D3994" t="str">
            <v>2452-01-9</v>
          </cell>
          <cell r="E3994">
            <v>2452019</v>
          </cell>
          <cell r="F3994" t="str">
            <v>-</v>
          </cell>
          <cell r="G3994" t="str">
            <v>-</v>
          </cell>
          <cell r="H3994">
            <v>3979</v>
          </cell>
          <cell r="Q3994">
            <v>14</v>
          </cell>
        </row>
        <row r="3995">
          <cell r="D3995" t="str">
            <v>148-18-5</v>
          </cell>
          <cell r="E3995">
            <v>148185</v>
          </cell>
          <cell r="F3995" t="str">
            <v>-</v>
          </cell>
          <cell r="G3995" t="str">
            <v>-</v>
          </cell>
          <cell r="H3995">
            <v>3980</v>
          </cell>
          <cell r="Q3995">
            <v>14</v>
          </cell>
        </row>
        <row r="3996">
          <cell r="D3996" t="str">
            <v>1118-46-3</v>
          </cell>
          <cell r="E3996">
            <v>1118463</v>
          </cell>
          <cell r="F3996" t="str">
            <v>-</v>
          </cell>
          <cell r="G3996" t="str">
            <v>-</v>
          </cell>
          <cell r="H3996">
            <v>3981</v>
          </cell>
          <cell r="Q3996">
            <v>14</v>
          </cell>
        </row>
        <row r="3997">
          <cell r="D3997" t="str">
            <v>3590-84-9</v>
          </cell>
          <cell r="E3997">
            <v>3590849</v>
          </cell>
          <cell r="F3997" t="str">
            <v>-</v>
          </cell>
          <cell r="G3997" t="str">
            <v>-</v>
          </cell>
          <cell r="H3997">
            <v>3982</v>
          </cell>
          <cell r="Q3997">
            <v>14</v>
          </cell>
        </row>
        <row r="3998">
          <cell r="D3998" t="str">
            <v>126-96-5</v>
          </cell>
          <cell r="E3998">
            <v>126965</v>
          </cell>
          <cell r="F3998" t="str">
            <v>-</v>
          </cell>
          <cell r="G3998" t="str">
            <v>-</v>
          </cell>
          <cell r="H3998">
            <v>3983</v>
          </cell>
          <cell r="Q3998">
            <v>14</v>
          </cell>
        </row>
        <row r="3999">
          <cell r="D3999" t="str">
            <v>3006-82-4</v>
          </cell>
          <cell r="E3999">
            <v>3006824</v>
          </cell>
          <cell r="F3999" t="str">
            <v>-</v>
          </cell>
          <cell r="G3999" t="str">
            <v>-</v>
          </cell>
          <cell r="H3999">
            <v>3984</v>
          </cell>
          <cell r="Q3999">
            <v>14</v>
          </cell>
        </row>
        <row r="4000">
          <cell r="D4000" t="str">
            <v>4039-32-1</v>
          </cell>
          <cell r="E4000">
            <v>4039321</v>
          </cell>
          <cell r="F4000" t="str">
            <v>-</v>
          </cell>
          <cell r="G4000" t="str">
            <v>-</v>
          </cell>
          <cell r="H4000">
            <v>3985</v>
          </cell>
          <cell r="Q4000">
            <v>14</v>
          </cell>
        </row>
        <row r="4001">
          <cell r="D4001" t="str">
            <v>1624-02-8</v>
          </cell>
          <cell r="E4001">
            <v>1624028</v>
          </cell>
          <cell r="F4001" t="str">
            <v>-</v>
          </cell>
          <cell r="G4001" t="str">
            <v>-</v>
          </cell>
          <cell r="H4001">
            <v>3986</v>
          </cell>
          <cell r="Q4001">
            <v>14</v>
          </cell>
        </row>
        <row r="4002">
          <cell r="D4002" t="str">
            <v>4111-54-0</v>
          </cell>
          <cell r="E4002">
            <v>4111540</v>
          </cell>
          <cell r="F4002" t="str">
            <v>-</v>
          </cell>
          <cell r="G4002" t="str">
            <v>-</v>
          </cell>
          <cell r="H4002">
            <v>3987</v>
          </cell>
          <cell r="Q4002">
            <v>14</v>
          </cell>
        </row>
        <row r="4003">
          <cell r="D4003" t="str">
            <v>3542-36-7</v>
          </cell>
          <cell r="E4003">
            <v>3542367</v>
          </cell>
          <cell r="F4003" t="str">
            <v>-</v>
          </cell>
          <cell r="G4003" t="str">
            <v>-</v>
          </cell>
          <cell r="H4003">
            <v>3988</v>
          </cell>
          <cell r="Q4003">
            <v>14</v>
          </cell>
        </row>
        <row r="4004">
          <cell r="D4004" t="str">
            <v>14324-55-1</v>
          </cell>
          <cell r="E4004">
            <v>14324551</v>
          </cell>
          <cell r="F4004" t="str">
            <v>-</v>
          </cell>
          <cell r="G4004" t="str">
            <v>-</v>
          </cell>
          <cell r="H4004">
            <v>3989</v>
          </cell>
          <cell r="Q4004">
            <v>14</v>
          </cell>
        </row>
        <row r="4005">
          <cell r="D4005" t="str">
            <v>136-23-2</v>
          </cell>
          <cell r="E4005">
            <v>136232</v>
          </cell>
          <cell r="F4005" t="str">
            <v>-</v>
          </cell>
          <cell r="G4005" t="str">
            <v>-</v>
          </cell>
          <cell r="H4005">
            <v>3990</v>
          </cell>
          <cell r="Q4005">
            <v>14</v>
          </cell>
        </row>
        <row r="4006">
          <cell r="D4006" t="str">
            <v>301-10-0</v>
          </cell>
          <cell r="E4006">
            <v>301100</v>
          </cell>
          <cell r="F4006" t="str">
            <v>-</v>
          </cell>
          <cell r="G4006" t="str">
            <v>-</v>
          </cell>
          <cell r="H4006">
            <v>3991</v>
          </cell>
          <cell r="Q4006">
            <v>14</v>
          </cell>
        </row>
        <row r="4007">
          <cell r="D4007" t="str">
            <v>625-45-6</v>
          </cell>
          <cell r="E4007">
            <v>625456</v>
          </cell>
          <cell r="F4007" t="str">
            <v>-</v>
          </cell>
          <cell r="G4007" t="str">
            <v>-</v>
          </cell>
          <cell r="H4007">
            <v>3992</v>
          </cell>
          <cell r="Q4007">
            <v>14</v>
          </cell>
        </row>
        <row r="4008">
          <cell r="D4008" t="str">
            <v>1116-70-7</v>
          </cell>
          <cell r="E4008">
            <v>1116707</v>
          </cell>
          <cell r="F4008" t="str">
            <v>-</v>
          </cell>
          <cell r="G4008" t="str">
            <v>-</v>
          </cell>
          <cell r="H4008">
            <v>3993</v>
          </cell>
          <cell r="Q4008">
            <v>14</v>
          </cell>
        </row>
        <row r="4009">
          <cell r="D4009" t="str">
            <v>591-51-5</v>
          </cell>
          <cell r="E4009">
            <v>591515</v>
          </cell>
          <cell r="F4009" t="str">
            <v>-</v>
          </cell>
          <cell r="G4009" t="str">
            <v>-</v>
          </cell>
          <cell r="H4009">
            <v>3994</v>
          </cell>
          <cell r="Q4009">
            <v>14</v>
          </cell>
        </row>
        <row r="4010">
          <cell r="D4010" t="str">
            <v>143-29-3</v>
          </cell>
          <cell r="E4010">
            <v>143293</v>
          </cell>
          <cell r="F4010" t="str">
            <v>-</v>
          </cell>
          <cell r="G4010" t="str">
            <v>-</v>
          </cell>
          <cell r="H4010">
            <v>3995</v>
          </cell>
          <cell r="Q4010">
            <v>14</v>
          </cell>
        </row>
        <row r="4011">
          <cell r="D4011" t="str">
            <v>10584-98-2</v>
          </cell>
          <cell r="E4011">
            <v>10584982</v>
          </cell>
          <cell r="F4011" t="str">
            <v>-</v>
          </cell>
          <cell r="G4011" t="str">
            <v>-</v>
          </cell>
          <cell r="H4011">
            <v>3996</v>
          </cell>
          <cell r="Q4011">
            <v>14</v>
          </cell>
        </row>
        <row r="4012">
          <cell r="D4012" t="str">
            <v>818-08-6</v>
          </cell>
          <cell r="E4012">
            <v>818086</v>
          </cell>
          <cell r="F4012" t="str">
            <v>-</v>
          </cell>
          <cell r="G4012" t="str">
            <v>-</v>
          </cell>
          <cell r="H4012">
            <v>3997</v>
          </cell>
          <cell r="Q4012">
            <v>14</v>
          </cell>
        </row>
        <row r="4013">
          <cell r="D4013" t="str">
            <v>631-61-8</v>
          </cell>
          <cell r="E4013">
            <v>631618</v>
          </cell>
          <cell r="F4013" t="str">
            <v>-</v>
          </cell>
          <cell r="G4013" t="str">
            <v>-</v>
          </cell>
          <cell r="H4013">
            <v>3998</v>
          </cell>
          <cell r="Q4013">
            <v>14</v>
          </cell>
        </row>
        <row r="4014">
          <cell r="D4014" t="str">
            <v>683-18-1</v>
          </cell>
          <cell r="E4014">
            <v>683181</v>
          </cell>
          <cell r="F4014" t="str">
            <v>-</v>
          </cell>
          <cell r="G4014" t="str">
            <v>-</v>
          </cell>
          <cell r="H4014">
            <v>3999</v>
          </cell>
          <cell r="Q4014">
            <v>14</v>
          </cell>
        </row>
        <row r="4015">
          <cell r="D4015" t="str">
            <v>5205-93-6</v>
          </cell>
          <cell r="E4015">
            <v>5205936</v>
          </cell>
          <cell r="F4015" t="str">
            <v>-</v>
          </cell>
          <cell r="G4015" t="str">
            <v>-</v>
          </cell>
          <cell r="H4015">
            <v>4000</v>
          </cell>
          <cell r="Q4015">
            <v>14</v>
          </cell>
        </row>
        <row r="4016">
          <cell r="D4016" t="str">
            <v>288-32-4</v>
          </cell>
          <cell r="E4016">
            <v>288324</v>
          </cell>
          <cell r="F4016" t="str">
            <v>-</v>
          </cell>
          <cell r="G4016" t="str">
            <v>-</v>
          </cell>
          <cell r="H4016">
            <v>4001</v>
          </cell>
          <cell r="Q4016">
            <v>14</v>
          </cell>
        </row>
        <row r="4017">
          <cell r="D4017" t="str">
            <v>3091-25-6</v>
          </cell>
          <cell r="E4017">
            <v>3091256</v>
          </cell>
          <cell r="F4017" t="str">
            <v>-</v>
          </cell>
          <cell r="G4017" t="str">
            <v>-</v>
          </cell>
          <cell r="H4017">
            <v>4002</v>
          </cell>
          <cell r="Q4017">
            <v>14</v>
          </cell>
        </row>
        <row r="4018">
          <cell r="D4018" t="str">
            <v>55310-46-8</v>
          </cell>
          <cell r="E4018">
            <v>55310468</v>
          </cell>
          <cell r="F4018" t="str">
            <v>-</v>
          </cell>
          <cell r="G4018" t="str">
            <v>-</v>
          </cell>
          <cell r="H4018">
            <v>4003</v>
          </cell>
          <cell r="Q4018">
            <v>14</v>
          </cell>
        </row>
        <row r="4019">
          <cell r="D4019" t="str">
            <v>7360-53-4</v>
          </cell>
          <cell r="E4019">
            <v>7360534</v>
          </cell>
          <cell r="F4019" t="str">
            <v>-</v>
          </cell>
          <cell r="G4019" t="str">
            <v>-</v>
          </cell>
          <cell r="H4019">
            <v>4004</v>
          </cell>
          <cell r="Q4019">
            <v>14</v>
          </cell>
        </row>
        <row r="4020">
          <cell r="D4020" t="str">
            <v>867-56-1</v>
          </cell>
          <cell r="E4020">
            <v>867561</v>
          </cell>
          <cell r="F4020" t="str">
            <v>-</v>
          </cell>
          <cell r="G4020" t="str">
            <v>-</v>
          </cell>
          <cell r="H4020">
            <v>4005</v>
          </cell>
          <cell r="Q4020">
            <v>14</v>
          </cell>
        </row>
        <row r="4021">
          <cell r="D4021" t="str">
            <v>2440-22-4</v>
          </cell>
          <cell r="E4021">
            <v>2440224</v>
          </cell>
          <cell r="F4021" t="str">
            <v>-</v>
          </cell>
          <cell r="G4021" t="str">
            <v>-</v>
          </cell>
          <cell r="H4021">
            <v>4006</v>
          </cell>
          <cell r="Q4021">
            <v>14</v>
          </cell>
        </row>
        <row r="4022">
          <cell r="D4022" t="str">
            <v>96-10-6</v>
          </cell>
          <cell r="E4022">
            <v>96106</v>
          </cell>
          <cell r="F4022" t="str">
            <v>-</v>
          </cell>
          <cell r="G4022" t="str">
            <v>-</v>
          </cell>
          <cell r="H4022">
            <v>4007</v>
          </cell>
          <cell r="Q4022">
            <v>14</v>
          </cell>
        </row>
        <row r="4023">
          <cell r="D4023" t="str">
            <v>870-08-6</v>
          </cell>
          <cell r="E4023">
            <v>870086</v>
          </cell>
          <cell r="F4023" t="str">
            <v>-</v>
          </cell>
          <cell r="G4023" t="str">
            <v>-</v>
          </cell>
          <cell r="H4023">
            <v>4008</v>
          </cell>
          <cell r="Q4023">
            <v>14</v>
          </cell>
        </row>
        <row r="4024">
          <cell r="D4024" t="str">
            <v>557-20-0</v>
          </cell>
          <cell r="E4024">
            <v>557200</v>
          </cell>
          <cell r="F4024" t="str">
            <v>-</v>
          </cell>
          <cell r="G4024" t="str">
            <v>-</v>
          </cell>
          <cell r="H4024">
            <v>4009</v>
          </cell>
          <cell r="Q4024">
            <v>14</v>
          </cell>
        </row>
        <row r="4025">
          <cell r="D4025" t="str">
            <v>13014-18-1</v>
          </cell>
          <cell r="E4025">
            <v>13014181</v>
          </cell>
          <cell r="F4025" t="str">
            <v>-</v>
          </cell>
          <cell r="G4025" t="str">
            <v>-</v>
          </cell>
          <cell r="H4025">
            <v>4010</v>
          </cell>
          <cell r="Q4025">
            <v>14</v>
          </cell>
        </row>
        <row r="4026">
          <cell r="D4026" t="str">
            <v>1191-15-7</v>
          </cell>
          <cell r="E4026">
            <v>1191157</v>
          </cell>
          <cell r="F4026" t="str">
            <v>-</v>
          </cell>
          <cell r="G4026" t="str">
            <v>-</v>
          </cell>
          <cell r="H4026">
            <v>4011</v>
          </cell>
          <cell r="Q4026">
            <v>14</v>
          </cell>
        </row>
        <row r="4027">
          <cell r="D4027" t="str">
            <v>301-04-2</v>
          </cell>
          <cell r="E4027">
            <v>301042</v>
          </cell>
          <cell r="F4027" t="str">
            <v>-</v>
          </cell>
          <cell r="G4027" t="str">
            <v>-</v>
          </cell>
          <cell r="H4027">
            <v>4012</v>
          </cell>
          <cell r="Q4027">
            <v>14</v>
          </cell>
        </row>
        <row r="4028">
          <cell r="D4028" t="str">
            <v>68649-12-7</v>
          </cell>
          <cell r="E4028">
            <v>68649127</v>
          </cell>
          <cell r="F4028" t="str">
            <v>-</v>
          </cell>
          <cell r="G4028" t="str">
            <v>-</v>
          </cell>
          <cell r="H4028">
            <v>4013</v>
          </cell>
          <cell r="Q4028">
            <v>14</v>
          </cell>
        </row>
        <row r="4029">
          <cell r="D4029" t="str">
            <v>77168-63-9</v>
          </cell>
          <cell r="E4029">
            <v>77168639</v>
          </cell>
          <cell r="F4029" t="str">
            <v>-</v>
          </cell>
          <cell r="G4029" t="str">
            <v>-</v>
          </cell>
          <cell r="H4029">
            <v>4014</v>
          </cell>
          <cell r="Q4029">
            <v>14</v>
          </cell>
        </row>
        <row r="4030">
          <cell r="D4030" t="str">
            <v>6921-34-2</v>
          </cell>
          <cell r="E4030">
            <v>6921342</v>
          </cell>
          <cell r="F4030" t="str">
            <v>-</v>
          </cell>
          <cell r="G4030" t="str">
            <v>-</v>
          </cell>
          <cell r="H4030">
            <v>4015</v>
          </cell>
          <cell r="Q4030">
            <v>14</v>
          </cell>
        </row>
        <row r="4031">
          <cell r="D4031" t="str">
            <v>95-52-3</v>
          </cell>
          <cell r="E4031">
            <v>95523</v>
          </cell>
          <cell r="F4031" t="str">
            <v>-</v>
          </cell>
          <cell r="G4031" t="str">
            <v>-</v>
          </cell>
          <cell r="H4031">
            <v>4016</v>
          </cell>
          <cell r="Q4031">
            <v>14</v>
          </cell>
        </row>
        <row r="4032">
          <cell r="D4032" t="str">
            <v>78182-00-0</v>
          </cell>
          <cell r="E4032">
            <v>78182000</v>
          </cell>
          <cell r="F4032" t="str">
            <v>-</v>
          </cell>
          <cell r="G4032" t="str">
            <v>-</v>
          </cell>
          <cell r="H4032">
            <v>4017</v>
          </cell>
          <cell r="Q4032">
            <v>14</v>
          </cell>
        </row>
        <row r="4033">
          <cell r="D4033" t="str">
            <v>1558-25-4</v>
          </cell>
          <cell r="E4033">
            <v>1558254</v>
          </cell>
          <cell r="F4033" t="str">
            <v>-</v>
          </cell>
          <cell r="G4033" t="str">
            <v>-</v>
          </cell>
          <cell r="H4033">
            <v>4018</v>
          </cell>
          <cell r="Q4033">
            <v>14</v>
          </cell>
        </row>
        <row r="4034">
          <cell r="D4034" t="str">
            <v>103-34-4</v>
          </cell>
          <cell r="E4034">
            <v>103344</v>
          </cell>
          <cell r="F4034" t="str">
            <v>-</v>
          </cell>
          <cell r="G4034" t="str">
            <v>-</v>
          </cell>
          <cell r="H4034">
            <v>4019</v>
          </cell>
          <cell r="Q4034">
            <v>14</v>
          </cell>
        </row>
        <row r="4035">
          <cell r="D4035" t="str">
            <v>2414-98-4</v>
          </cell>
          <cell r="E4035">
            <v>2414984</v>
          </cell>
          <cell r="F4035" t="str">
            <v>-</v>
          </cell>
          <cell r="G4035" t="str">
            <v>-</v>
          </cell>
          <cell r="H4035">
            <v>4020</v>
          </cell>
          <cell r="Q4035">
            <v>14</v>
          </cell>
        </row>
        <row r="4036">
          <cell r="D4036" t="str">
            <v>104-78-9</v>
          </cell>
          <cell r="E4036">
            <v>104789</v>
          </cell>
          <cell r="F4036" t="str">
            <v>-</v>
          </cell>
          <cell r="G4036" t="str">
            <v>-</v>
          </cell>
          <cell r="H4036">
            <v>4021</v>
          </cell>
          <cell r="Q4036">
            <v>14</v>
          </cell>
        </row>
        <row r="4037">
          <cell r="D4037" t="str">
            <v>12108-13-3</v>
          </cell>
          <cell r="E4037">
            <v>12108133</v>
          </cell>
          <cell r="F4037" t="str">
            <v>-</v>
          </cell>
          <cell r="G4037" t="str">
            <v>-</v>
          </cell>
          <cell r="H4037">
            <v>4022</v>
          </cell>
          <cell r="Q4037">
            <v>14</v>
          </cell>
        </row>
        <row r="4038">
          <cell r="D4038" t="str">
            <v>35674-68-1</v>
          </cell>
          <cell r="E4038">
            <v>35674681</v>
          </cell>
          <cell r="F4038" t="str">
            <v>-</v>
          </cell>
          <cell r="G4038" t="str">
            <v>-</v>
          </cell>
          <cell r="H4038">
            <v>4023</v>
          </cell>
          <cell r="Q4038">
            <v>14</v>
          </cell>
        </row>
        <row r="4039">
          <cell r="D4039" t="str">
            <v>102-54-5</v>
          </cell>
          <cell r="E4039">
            <v>102545</v>
          </cell>
          <cell r="F4039" t="str">
            <v>-</v>
          </cell>
          <cell r="G4039" t="str">
            <v>-</v>
          </cell>
          <cell r="H4039">
            <v>4024</v>
          </cell>
          <cell r="Q4039">
            <v>14</v>
          </cell>
        </row>
        <row r="4040">
          <cell r="D4040" t="str">
            <v>68109-88-6</v>
          </cell>
          <cell r="E4040">
            <v>68109886</v>
          </cell>
          <cell r="F4040" t="str">
            <v>-</v>
          </cell>
          <cell r="G4040" t="str">
            <v>-</v>
          </cell>
          <cell r="H4040">
            <v>4025</v>
          </cell>
          <cell r="Q4040">
            <v>14</v>
          </cell>
        </row>
        <row r="4041">
          <cell r="D4041" t="str">
            <v>12626-81-2</v>
          </cell>
          <cell r="E4041">
            <v>12626812</v>
          </cell>
          <cell r="F4041" t="str">
            <v>-</v>
          </cell>
          <cell r="G4041" t="str">
            <v>-</v>
          </cell>
          <cell r="H4041">
            <v>4026</v>
          </cell>
          <cell r="Q4041">
            <v>14</v>
          </cell>
        </row>
        <row r="4042">
          <cell r="D4042" t="str">
            <v>77-58-7</v>
          </cell>
          <cell r="E4042">
            <v>77587</v>
          </cell>
          <cell r="F4042" t="str">
            <v>-</v>
          </cell>
          <cell r="G4042" t="str">
            <v>-</v>
          </cell>
          <cell r="H4042">
            <v>4027</v>
          </cell>
          <cell r="Q4042">
            <v>14</v>
          </cell>
        </row>
        <row r="4043">
          <cell r="D4043" t="str">
            <v>3087-36-3</v>
          </cell>
          <cell r="E4043">
            <v>3087363</v>
          </cell>
          <cell r="F4043" t="str">
            <v>-</v>
          </cell>
          <cell r="G4043" t="str">
            <v>-</v>
          </cell>
          <cell r="H4043">
            <v>4028</v>
          </cell>
          <cell r="Q4043">
            <v>14</v>
          </cell>
        </row>
        <row r="4044">
          <cell r="D4044" t="str">
            <v>563-43-9</v>
          </cell>
          <cell r="E4044">
            <v>563439</v>
          </cell>
          <cell r="F4044" t="str">
            <v>-</v>
          </cell>
          <cell r="G4044" t="str">
            <v>-</v>
          </cell>
          <cell r="H4044">
            <v>4029</v>
          </cell>
          <cell r="Q4044">
            <v>14</v>
          </cell>
        </row>
        <row r="4045">
          <cell r="D4045" t="str">
            <v>66069-34-9</v>
          </cell>
          <cell r="E4045">
            <v>66069349</v>
          </cell>
          <cell r="F4045" t="str">
            <v>-</v>
          </cell>
          <cell r="G4045" t="str">
            <v>-</v>
          </cell>
          <cell r="H4045">
            <v>4030</v>
          </cell>
          <cell r="Q4045">
            <v>14</v>
          </cell>
        </row>
        <row r="4046">
          <cell r="D4046" t="str">
            <v>1071-93-8</v>
          </cell>
          <cell r="E4046">
            <v>1071938</v>
          </cell>
          <cell r="F4046" t="str">
            <v>-</v>
          </cell>
          <cell r="G4046" t="str">
            <v>-</v>
          </cell>
          <cell r="H4046">
            <v>4031</v>
          </cell>
          <cell r="Q4046">
            <v>14</v>
          </cell>
        </row>
        <row r="4047">
          <cell r="D4047" t="str">
            <v>133-14-2</v>
          </cell>
          <cell r="E4047">
            <v>133142</v>
          </cell>
          <cell r="F4047" t="str">
            <v>-</v>
          </cell>
          <cell r="G4047" t="str">
            <v>-</v>
          </cell>
          <cell r="H4047">
            <v>4032</v>
          </cell>
          <cell r="Q4047">
            <v>14</v>
          </cell>
        </row>
        <row r="4048">
          <cell r="D4048" t="str">
            <v>72-17-3</v>
          </cell>
          <cell r="E4048">
            <v>72173</v>
          </cell>
          <cell r="F4048" t="str">
            <v>-</v>
          </cell>
          <cell r="G4048" t="str">
            <v>-</v>
          </cell>
          <cell r="H4048">
            <v>4033</v>
          </cell>
          <cell r="Q4048">
            <v>14</v>
          </cell>
        </row>
        <row r="4049">
          <cell r="D4049" t="str">
            <v>14882-18-9</v>
          </cell>
          <cell r="E4049">
            <v>14882189</v>
          </cell>
          <cell r="F4049" t="str">
            <v>-</v>
          </cell>
          <cell r="G4049" t="str">
            <v>-</v>
          </cell>
          <cell r="H4049">
            <v>4034</v>
          </cell>
          <cell r="Q4049">
            <v>14</v>
          </cell>
        </row>
        <row r="4050">
          <cell r="D4050" t="str">
            <v>142-71-2</v>
          </cell>
          <cell r="E4050">
            <v>142712</v>
          </cell>
          <cell r="F4050" t="str">
            <v>-</v>
          </cell>
          <cell r="G4050" t="str">
            <v>-</v>
          </cell>
          <cell r="H4050">
            <v>4035</v>
          </cell>
          <cell r="Q4050">
            <v>14</v>
          </cell>
        </row>
        <row r="4051">
          <cell r="D4051" t="str">
            <v>555-31-7</v>
          </cell>
          <cell r="E4051">
            <v>555317</v>
          </cell>
          <cell r="F4051" t="str">
            <v>-</v>
          </cell>
          <cell r="G4051" t="str">
            <v>-</v>
          </cell>
          <cell r="H4051">
            <v>4036</v>
          </cell>
          <cell r="Q4051">
            <v>14</v>
          </cell>
        </row>
        <row r="4052">
          <cell r="D4052" t="str">
            <v>22722-98-1</v>
          </cell>
          <cell r="E4052">
            <v>22722981</v>
          </cell>
          <cell r="F4052" t="str">
            <v>-</v>
          </cell>
          <cell r="G4052" t="str">
            <v>-</v>
          </cell>
          <cell r="H4052">
            <v>4037</v>
          </cell>
          <cell r="Q4052">
            <v>14</v>
          </cell>
        </row>
        <row r="4053">
          <cell r="D4053" t="str">
            <v>66108-89-2</v>
          </cell>
          <cell r="E4053">
            <v>66108892</v>
          </cell>
          <cell r="F4053" t="str">
            <v>-</v>
          </cell>
          <cell r="G4053" t="str">
            <v>-</v>
          </cell>
          <cell r="H4053">
            <v>4038</v>
          </cell>
          <cell r="Q4053">
            <v>14</v>
          </cell>
        </row>
        <row r="4054">
          <cell r="D4054" t="str">
            <v>52406-71-0</v>
          </cell>
          <cell r="E4054">
            <v>52406710</v>
          </cell>
          <cell r="F4054" t="str">
            <v>-</v>
          </cell>
          <cell r="G4054" t="str">
            <v>-</v>
          </cell>
          <cell r="H4054">
            <v>4039</v>
          </cell>
          <cell r="Q4054">
            <v>14</v>
          </cell>
        </row>
        <row r="4055">
          <cell r="D4055" t="str">
            <v>15535-79-2</v>
          </cell>
          <cell r="E4055">
            <v>15535792</v>
          </cell>
          <cell r="F4055" t="str">
            <v>-</v>
          </cell>
          <cell r="G4055" t="str">
            <v>-</v>
          </cell>
          <cell r="H4055">
            <v>4040</v>
          </cell>
          <cell r="Q4055">
            <v>14</v>
          </cell>
        </row>
        <row r="4056">
          <cell r="D4056" t="str">
            <v>25973-55-1</v>
          </cell>
          <cell r="E4056">
            <v>25973551</v>
          </cell>
          <cell r="F4056" t="str">
            <v>-</v>
          </cell>
          <cell r="G4056" t="str">
            <v>-</v>
          </cell>
          <cell r="H4056">
            <v>4041</v>
          </cell>
          <cell r="Q4056">
            <v>14</v>
          </cell>
        </row>
        <row r="4057">
          <cell r="D4057" t="str">
            <v>68227-46-3</v>
          </cell>
          <cell r="E4057">
            <v>68227463</v>
          </cell>
          <cell r="F4057" t="str">
            <v>-</v>
          </cell>
          <cell r="G4057" t="str">
            <v>-</v>
          </cell>
          <cell r="H4057">
            <v>4042</v>
          </cell>
          <cell r="Q4057">
            <v>14</v>
          </cell>
        </row>
        <row r="4058">
          <cell r="D4058" t="str">
            <v>142-72-3</v>
          </cell>
          <cell r="E4058">
            <v>142723</v>
          </cell>
          <cell r="F4058" t="str">
            <v>-</v>
          </cell>
          <cell r="G4058" t="str">
            <v>-</v>
          </cell>
          <cell r="H4058">
            <v>4043</v>
          </cell>
          <cell r="Q4058">
            <v>14</v>
          </cell>
        </row>
        <row r="4059">
          <cell r="D4059" t="str">
            <v>873-57-4</v>
          </cell>
          <cell r="E4059">
            <v>873574</v>
          </cell>
          <cell r="F4059" t="str">
            <v>-</v>
          </cell>
          <cell r="G4059" t="str">
            <v>-</v>
          </cell>
          <cell r="H4059">
            <v>4044</v>
          </cell>
          <cell r="Q4059">
            <v>14</v>
          </cell>
        </row>
        <row r="4060">
          <cell r="D4060" t="str">
            <v>1070-10-6</v>
          </cell>
          <cell r="E4060">
            <v>1070106</v>
          </cell>
          <cell r="F4060" t="str">
            <v>-</v>
          </cell>
          <cell r="G4060" t="str">
            <v>-</v>
          </cell>
          <cell r="H4060">
            <v>4045</v>
          </cell>
          <cell r="Q4060">
            <v>14</v>
          </cell>
        </row>
        <row r="4061">
          <cell r="D4061" t="str">
            <v>14302-13-7</v>
          </cell>
          <cell r="E4061">
            <v>14302137</v>
          </cell>
          <cell r="F4061" t="str">
            <v>-</v>
          </cell>
          <cell r="G4061" t="str">
            <v>-</v>
          </cell>
          <cell r="H4061">
            <v>4046</v>
          </cell>
          <cell r="Q4061">
            <v>14</v>
          </cell>
        </row>
        <row r="4062">
          <cell r="D4062" t="str">
            <v>4985-85-7</v>
          </cell>
          <cell r="E4062">
            <v>4985857</v>
          </cell>
          <cell r="F4062" t="str">
            <v>-</v>
          </cell>
          <cell r="G4062" t="str">
            <v>-</v>
          </cell>
          <cell r="H4062">
            <v>4047</v>
          </cell>
          <cell r="Q4062">
            <v>14</v>
          </cell>
        </row>
        <row r="4063">
          <cell r="D4063" t="str">
            <v>86675-46-9</v>
          </cell>
          <cell r="E4063">
            <v>86675469</v>
          </cell>
          <cell r="F4063" t="str">
            <v>-</v>
          </cell>
          <cell r="G4063" t="str">
            <v>-</v>
          </cell>
          <cell r="H4063">
            <v>4048</v>
          </cell>
          <cell r="Q4063">
            <v>14</v>
          </cell>
        </row>
        <row r="4064">
          <cell r="D4064" t="str">
            <v>100-50-5</v>
          </cell>
          <cell r="E4064">
            <v>100505</v>
          </cell>
          <cell r="F4064" t="str">
            <v>-</v>
          </cell>
          <cell r="G4064" t="str">
            <v>-</v>
          </cell>
          <cell r="H4064">
            <v>4049</v>
          </cell>
          <cell r="Q4064">
            <v>14</v>
          </cell>
        </row>
        <row r="4065">
          <cell r="D4065" t="str">
            <v>2269-22-9</v>
          </cell>
          <cell r="E4065">
            <v>2269229</v>
          </cell>
          <cell r="F4065" t="str">
            <v>-</v>
          </cell>
          <cell r="G4065" t="str">
            <v>-</v>
          </cell>
          <cell r="H4065">
            <v>4050</v>
          </cell>
          <cell r="Q4065">
            <v>14</v>
          </cell>
        </row>
        <row r="4066">
          <cell r="D4066" t="str">
            <v>100-99-2</v>
          </cell>
          <cell r="E4066">
            <v>100992</v>
          </cell>
          <cell r="F4066" t="str">
            <v>-</v>
          </cell>
          <cell r="G4066" t="str">
            <v>-</v>
          </cell>
          <cell r="H4066">
            <v>4051</v>
          </cell>
          <cell r="Q4066">
            <v>14</v>
          </cell>
        </row>
        <row r="4067">
          <cell r="D4067" t="str">
            <v>15546-11-9</v>
          </cell>
          <cell r="E4067">
            <v>15546119</v>
          </cell>
          <cell r="F4067" t="str">
            <v>-</v>
          </cell>
          <cell r="G4067" t="str">
            <v>-</v>
          </cell>
          <cell r="H4067">
            <v>4052</v>
          </cell>
          <cell r="Q4067">
            <v>14</v>
          </cell>
        </row>
        <row r="4068">
          <cell r="D4068" t="str">
            <v>121-97-1</v>
          </cell>
          <cell r="E4068">
            <v>121971</v>
          </cell>
          <cell r="F4068" t="str">
            <v>-</v>
          </cell>
          <cell r="G4068" t="str">
            <v>-</v>
          </cell>
          <cell r="H4068">
            <v>4053</v>
          </cell>
          <cell r="Q4068">
            <v>14</v>
          </cell>
        </row>
        <row r="4069">
          <cell r="D4069" t="str">
            <v>75234-41-2</v>
          </cell>
          <cell r="E4069">
            <v>75234412</v>
          </cell>
          <cell r="F4069" t="str">
            <v>-</v>
          </cell>
          <cell r="G4069" t="str">
            <v>-</v>
          </cell>
          <cell r="H4069">
            <v>4054</v>
          </cell>
          <cell r="Q4069">
            <v>14</v>
          </cell>
        </row>
        <row r="4070">
          <cell r="D4070" t="str">
            <v>103-82-2</v>
          </cell>
          <cell r="E4070">
            <v>103822</v>
          </cell>
          <cell r="F4070" t="str">
            <v>-</v>
          </cell>
          <cell r="G4070" t="str">
            <v>-</v>
          </cell>
          <cell r="H4070">
            <v>4055</v>
          </cell>
          <cell r="Q4070">
            <v>14</v>
          </cell>
        </row>
        <row r="4071">
          <cell r="D4071" t="str">
            <v>99290-97-8</v>
          </cell>
          <cell r="E4071">
            <v>99290978</v>
          </cell>
          <cell r="F4071" t="str">
            <v>-</v>
          </cell>
          <cell r="G4071" t="str">
            <v>-</v>
          </cell>
          <cell r="H4071">
            <v>4056</v>
          </cell>
          <cell r="Q4071">
            <v>14</v>
          </cell>
        </row>
        <row r="4072">
          <cell r="D4072" t="str">
            <v>85-98-3</v>
          </cell>
          <cell r="E4072">
            <v>85983</v>
          </cell>
          <cell r="F4072" t="str">
            <v>-</v>
          </cell>
          <cell r="G4072" t="str">
            <v>-</v>
          </cell>
          <cell r="H4072">
            <v>4057</v>
          </cell>
          <cell r="Q4072">
            <v>14</v>
          </cell>
        </row>
        <row r="4073">
          <cell r="D4073" t="str">
            <v>1070-00-4</v>
          </cell>
          <cell r="E4073">
            <v>1070004</v>
          </cell>
          <cell r="F4073" t="str">
            <v>-</v>
          </cell>
          <cell r="G4073" t="str">
            <v>-</v>
          </cell>
          <cell r="H4073">
            <v>4058</v>
          </cell>
          <cell r="Q4073">
            <v>14</v>
          </cell>
        </row>
        <row r="4074">
          <cell r="D4074" t="str">
            <v>28305-25-1</v>
          </cell>
          <cell r="E4074">
            <v>28305251</v>
          </cell>
          <cell r="F4074" t="str">
            <v>-</v>
          </cell>
          <cell r="G4074" t="str">
            <v>-</v>
          </cell>
          <cell r="H4074">
            <v>4059</v>
          </cell>
          <cell r="Q4074">
            <v>14</v>
          </cell>
        </row>
        <row r="4075">
          <cell r="D4075" t="str">
            <v>93686-48-7</v>
          </cell>
          <cell r="E4075">
            <v>93686487</v>
          </cell>
          <cell r="F4075" t="str">
            <v>-</v>
          </cell>
          <cell r="G4075" t="str">
            <v>-</v>
          </cell>
          <cell r="H4075">
            <v>4060</v>
          </cell>
          <cell r="Q4075">
            <v>14</v>
          </cell>
        </row>
        <row r="4076">
          <cell r="D4076" t="str">
            <v>83877-91-2</v>
          </cell>
          <cell r="E4076">
            <v>83877912</v>
          </cell>
          <cell r="F4076" t="str">
            <v>-</v>
          </cell>
          <cell r="G4076" t="str">
            <v>-</v>
          </cell>
          <cell r="H4076">
            <v>4061</v>
          </cell>
          <cell r="Q4076">
            <v>14</v>
          </cell>
        </row>
        <row r="4077">
          <cell r="D4077" t="str">
            <v>14320-04-8</v>
          </cell>
          <cell r="E4077">
            <v>14320048</v>
          </cell>
          <cell r="F4077" t="str">
            <v>-</v>
          </cell>
          <cell r="G4077" t="str">
            <v>-</v>
          </cell>
          <cell r="H4077">
            <v>4062</v>
          </cell>
          <cell r="Q4077">
            <v>14</v>
          </cell>
        </row>
        <row r="4078">
          <cell r="D4078" t="str">
            <v>27858-32-8</v>
          </cell>
          <cell r="E4078">
            <v>27858328</v>
          </cell>
          <cell r="F4078" t="str">
            <v>-</v>
          </cell>
          <cell r="G4078" t="str">
            <v>-</v>
          </cell>
          <cell r="H4078">
            <v>4063</v>
          </cell>
          <cell r="Q4078">
            <v>14</v>
          </cell>
        </row>
        <row r="4079">
          <cell r="D4079" t="str">
            <v>74336-59-7</v>
          </cell>
          <cell r="E4079">
            <v>74336597</v>
          </cell>
          <cell r="F4079" t="str">
            <v>-</v>
          </cell>
          <cell r="G4079" t="str">
            <v>-</v>
          </cell>
          <cell r="H4079">
            <v>4064</v>
          </cell>
          <cell r="Q4079">
            <v>14</v>
          </cell>
        </row>
        <row r="4080">
          <cell r="D4080" t="str">
            <v>12542-85-7</v>
          </cell>
          <cell r="E4080">
            <v>12542857</v>
          </cell>
          <cell r="F4080" t="str">
            <v>-</v>
          </cell>
          <cell r="G4080" t="str">
            <v>-</v>
          </cell>
          <cell r="H4080">
            <v>4065</v>
          </cell>
          <cell r="Q4080">
            <v>14</v>
          </cell>
        </row>
        <row r="4081">
          <cell r="D4081" t="str">
            <v>753-73-1</v>
          </cell>
          <cell r="E4081">
            <v>753731</v>
          </cell>
          <cell r="F4081" t="str">
            <v>-</v>
          </cell>
          <cell r="G4081" t="str">
            <v>-</v>
          </cell>
          <cell r="H4081">
            <v>4066</v>
          </cell>
          <cell r="Q4081">
            <v>14</v>
          </cell>
        </row>
        <row r="4082">
          <cell r="D4082" t="str">
            <v>12237-62-6</v>
          </cell>
          <cell r="E4082">
            <v>12237626</v>
          </cell>
          <cell r="F4082" t="str">
            <v>-</v>
          </cell>
          <cell r="G4082" t="str">
            <v>-</v>
          </cell>
          <cell r="H4082">
            <v>4067</v>
          </cell>
          <cell r="Q4082">
            <v>14</v>
          </cell>
        </row>
        <row r="4083">
          <cell r="D4083" t="str">
            <v>12225-06-8</v>
          </cell>
          <cell r="E4083">
            <v>12225068</v>
          </cell>
          <cell r="F4083" t="str">
            <v>-</v>
          </cell>
          <cell r="G4083" t="str">
            <v>-</v>
          </cell>
          <cell r="H4083">
            <v>4068</v>
          </cell>
          <cell r="Q4083">
            <v>14</v>
          </cell>
        </row>
        <row r="4084">
          <cell r="D4084" t="str">
            <v>813-93-4</v>
          </cell>
          <cell r="E4084">
            <v>813934</v>
          </cell>
          <cell r="F4084" t="str">
            <v>-</v>
          </cell>
          <cell r="G4084" t="str">
            <v>-</v>
          </cell>
          <cell r="H4084">
            <v>4069</v>
          </cell>
          <cell r="Q4084">
            <v>14</v>
          </cell>
        </row>
        <row r="4085">
          <cell r="D4085" t="str">
            <v>22673-19-4</v>
          </cell>
          <cell r="E4085">
            <v>22673194</v>
          </cell>
          <cell r="F4085" t="str">
            <v>-</v>
          </cell>
          <cell r="G4085" t="str">
            <v>-</v>
          </cell>
          <cell r="H4085">
            <v>4070</v>
          </cell>
          <cell r="Q4085">
            <v>14</v>
          </cell>
        </row>
        <row r="4086">
          <cell r="D4086" t="str">
            <v>62202-86-2</v>
          </cell>
          <cell r="E4086">
            <v>62202862</v>
          </cell>
          <cell r="F4086" t="str">
            <v>-</v>
          </cell>
          <cell r="G4086" t="str">
            <v>-</v>
          </cell>
          <cell r="H4086">
            <v>4071</v>
          </cell>
          <cell r="Q4086">
            <v>14</v>
          </cell>
        </row>
        <row r="4087">
          <cell r="D4087" t="str">
            <v>90480-58-3</v>
          </cell>
          <cell r="E4087">
            <v>90480583</v>
          </cell>
          <cell r="F4087" t="str">
            <v>-</v>
          </cell>
          <cell r="G4087" t="str">
            <v>-</v>
          </cell>
          <cell r="H4087">
            <v>4072</v>
          </cell>
          <cell r="Q4087">
            <v>14</v>
          </cell>
        </row>
        <row r="4088">
          <cell r="D4088" t="str">
            <v>814-94-8</v>
          </cell>
          <cell r="E4088">
            <v>814948</v>
          </cell>
          <cell r="F4088" t="str">
            <v>-</v>
          </cell>
          <cell r="G4088" t="str">
            <v>-</v>
          </cell>
          <cell r="H4088">
            <v>4073</v>
          </cell>
          <cell r="Q4088">
            <v>14</v>
          </cell>
        </row>
        <row r="4089">
          <cell r="D4089" t="str">
            <v>68155-22-6</v>
          </cell>
          <cell r="E4089">
            <v>68155226</v>
          </cell>
          <cell r="F4089" t="str">
            <v>-</v>
          </cell>
          <cell r="G4089" t="str">
            <v>-</v>
          </cell>
          <cell r="H4089">
            <v>4074</v>
          </cell>
          <cell r="Q4089">
            <v>14</v>
          </cell>
        </row>
        <row r="4090">
          <cell r="D4090" t="str">
            <v>72207-62-6</v>
          </cell>
          <cell r="E4090">
            <v>72207626</v>
          </cell>
          <cell r="F4090" t="str">
            <v>-</v>
          </cell>
          <cell r="G4090" t="str">
            <v>-</v>
          </cell>
          <cell r="H4090">
            <v>4075</v>
          </cell>
          <cell r="Q4090">
            <v>14</v>
          </cell>
        </row>
        <row r="4091">
          <cell r="D4091" t="str">
            <v>69011-06-9</v>
          </cell>
          <cell r="E4091">
            <v>69011069</v>
          </cell>
          <cell r="F4091" t="str">
            <v>-</v>
          </cell>
          <cell r="G4091" t="str">
            <v>-</v>
          </cell>
          <cell r="H4091">
            <v>4076</v>
          </cell>
          <cell r="Q4091">
            <v>14</v>
          </cell>
        </row>
        <row r="4092">
          <cell r="D4092" t="str">
            <v>1888-87-5</v>
          </cell>
          <cell r="E4092">
            <v>1888875</v>
          </cell>
          <cell r="F4092" t="str">
            <v>-</v>
          </cell>
          <cell r="G4092" t="str">
            <v>-</v>
          </cell>
          <cell r="H4092">
            <v>4077</v>
          </cell>
          <cell r="Q4092">
            <v>14</v>
          </cell>
        </row>
        <row r="4093">
          <cell r="D4093" t="str">
            <v>23275-26-5</v>
          </cell>
          <cell r="E4093">
            <v>23275265</v>
          </cell>
          <cell r="F4093" t="str">
            <v>-</v>
          </cell>
          <cell r="G4093" t="str">
            <v>-</v>
          </cell>
          <cell r="H4093">
            <v>4078</v>
          </cell>
          <cell r="Q4093">
            <v>14</v>
          </cell>
        </row>
        <row r="4094">
          <cell r="D4094" t="str">
            <v>175217-23-9</v>
          </cell>
          <cell r="E4094">
            <v>175217239</v>
          </cell>
          <cell r="F4094" t="str">
            <v>-</v>
          </cell>
          <cell r="G4094" t="str">
            <v>-</v>
          </cell>
          <cell r="H4094">
            <v>4079</v>
          </cell>
          <cell r="Q4094">
            <v>14</v>
          </cell>
        </row>
        <row r="4095">
          <cell r="D4095" t="str">
            <v>117829-74-0</v>
          </cell>
          <cell r="E4095">
            <v>117829740</v>
          </cell>
          <cell r="F4095" t="str">
            <v>-</v>
          </cell>
          <cell r="G4095" t="str">
            <v>-</v>
          </cell>
          <cell r="H4095">
            <v>4080</v>
          </cell>
          <cell r="Q4095">
            <v>14</v>
          </cell>
        </row>
        <row r="4096">
          <cell r="D4096" t="str">
            <v>21178-63-2</v>
          </cell>
          <cell r="E4096">
            <v>21178632</v>
          </cell>
          <cell r="F4096" t="str">
            <v>-</v>
          </cell>
          <cell r="G4096" t="str">
            <v>-</v>
          </cell>
          <cell r="H4096">
            <v>4081</v>
          </cell>
          <cell r="Q4096">
            <v>14</v>
          </cell>
        </row>
        <row r="4097">
          <cell r="D4097" t="str">
            <v>14878-28-5</v>
          </cell>
          <cell r="E4097">
            <v>14878285</v>
          </cell>
          <cell r="F4097" t="str">
            <v>-</v>
          </cell>
          <cell r="G4097" t="str">
            <v>-</v>
          </cell>
          <cell r="H4097">
            <v>4082</v>
          </cell>
          <cell r="Q4097">
            <v>14</v>
          </cell>
        </row>
        <row r="4098">
          <cell r="D4098" t="str">
            <v>1636-27-7</v>
          </cell>
          <cell r="E4098">
            <v>1636277</v>
          </cell>
          <cell r="F4098" t="str">
            <v>-</v>
          </cell>
          <cell r="G4098" t="str">
            <v>-</v>
          </cell>
          <cell r="H4098">
            <v>4083</v>
          </cell>
          <cell r="Q4098">
            <v>14</v>
          </cell>
        </row>
        <row r="4099">
          <cell r="D4099" t="str">
            <v>299-35-4</v>
          </cell>
          <cell r="E4099">
            <v>299354</v>
          </cell>
          <cell r="F4099" t="str">
            <v>-</v>
          </cell>
          <cell r="G4099" t="str">
            <v>-</v>
          </cell>
          <cell r="H4099">
            <v>4084</v>
          </cell>
          <cell r="Q4099">
            <v>14</v>
          </cell>
        </row>
        <row r="4100">
          <cell r="D4100" t="str">
            <v>874209-13-9</v>
          </cell>
          <cell r="E4100">
            <v>874209139</v>
          </cell>
          <cell r="F4100" t="str">
            <v>-</v>
          </cell>
          <cell r="G4100" t="str">
            <v>-</v>
          </cell>
          <cell r="H4100">
            <v>4085</v>
          </cell>
          <cell r="Q4100">
            <v>14</v>
          </cell>
        </row>
        <row r="4101">
          <cell r="D4101" t="str">
            <v>68333-81-3</v>
          </cell>
          <cell r="E4101">
            <v>68333813</v>
          </cell>
          <cell r="F4101" t="str">
            <v>-</v>
          </cell>
          <cell r="G4101" t="str">
            <v>-</v>
          </cell>
          <cell r="H4101">
            <v>4086</v>
          </cell>
          <cell r="Q4101">
            <v>14</v>
          </cell>
        </row>
        <row r="4102">
          <cell r="D4102" t="str">
            <v>15245-44-0</v>
          </cell>
          <cell r="E4102">
            <v>15245440</v>
          </cell>
          <cell r="F4102" t="str">
            <v>-</v>
          </cell>
          <cell r="G4102" t="str">
            <v>-</v>
          </cell>
          <cell r="H4102">
            <v>4087</v>
          </cell>
          <cell r="Q4102">
            <v>14</v>
          </cell>
        </row>
        <row r="4103">
          <cell r="D4103" t="str">
            <v>1116-73-0</v>
          </cell>
          <cell r="E4103">
            <v>1116730</v>
          </cell>
          <cell r="F4103" t="str">
            <v>-</v>
          </cell>
          <cell r="G4103" t="str">
            <v>-</v>
          </cell>
          <cell r="H4103">
            <v>4088</v>
          </cell>
          <cell r="Q4103">
            <v>14</v>
          </cell>
        </row>
        <row r="4104">
          <cell r="D4104" t="str">
            <v>14593-46-5</v>
          </cell>
          <cell r="E4104">
            <v>14593465</v>
          </cell>
          <cell r="F4104" t="str">
            <v>-</v>
          </cell>
          <cell r="G4104" t="str">
            <v>-</v>
          </cell>
          <cell r="H4104">
            <v>4089</v>
          </cell>
          <cell r="Q4104">
            <v>14</v>
          </cell>
        </row>
        <row r="4105">
          <cell r="D4105" t="str">
            <v>75-24-1</v>
          </cell>
          <cell r="E4105">
            <v>75241</v>
          </cell>
          <cell r="F4105" t="str">
            <v>-</v>
          </cell>
          <cell r="G4105" t="str">
            <v>-</v>
          </cell>
          <cell r="H4105">
            <v>4090</v>
          </cell>
          <cell r="Q4105">
            <v>14</v>
          </cell>
        </row>
        <row r="4106">
          <cell r="D4106" t="str">
            <v>32149-57-8</v>
          </cell>
          <cell r="E4106">
            <v>32149578</v>
          </cell>
          <cell r="F4106" t="str">
            <v>-</v>
          </cell>
          <cell r="G4106" t="str">
            <v>-</v>
          </cell>
          <cell r="H4106">
            <v>4091</v>
          </cell>
          <cell r="Q4106">
            <v>14</v>
          </cell>
        </row>
        <row r="4107">
          <cell r="D4107" t="str">
            <v>22605-92-1</v>
          </cell>
          <cell r="E4107">
            <v>22605921</v>
          </cell>
          <cell r="F4107" t="str">
            <v>-</v>
          </cell>
          <cell r="G4107" t="str">
            <v>-</v>
          </cell>
          <cell r="H4107">
            <v>4092</v>
          </cell>
          <cell r="Q4107">
            <v>14</v>
          </cell>
        </row>
        <row r="4108">
          <cell r="D4108" t="str">
            <v>192704-54-4</v>
          </cell>
          <cell r="E4108">
            <v>192704544</v>
          </cell>
          <cell r="F4108" t="str">
            <v>-</v>
          </cell>
          <cell r="G4108" t="str">
            <v>-</v>
          </cell>
          <cell r="H4108">
            <v>4093</v>
          </cell>
          <cell r="Q4108">
            <v>14</v>
          </cell>
        </row>
        <row r="4109">
          <cell r="D4109" t="str">
            <v>3349-36-8</v>
          </cell>
          <cell r="E4109">
            <v>3349368</v>
          </cell>
          <cell r="F4109" t="str">
            <v>-</v>
          </cell>
          <cell r="G4109" t="str">
            <v>-</v>
          </cell>
          <cell r="H4109">
            <v>4094</v>
          </cell>
          <cell r="Q4109">
            <v>14</v>
          </cell>
        </row>
        <row r="4110">
          <cell r="D4110" t="str">
            <v>1067-55-6</v>
          </cell>
          <cell r="E4110">
            <v>1067556</v>
          </cell>
          <cell r="F4110" t="str">
            <v>-</v>
          </cell>
          <cell r="G4110" t="str">
            <v>-</v>
          </cell>
          <cell r="H4110">
            <v>4095</v>
          </cell>
          <cell r="Q4110">
            <v>14</v>
          </cell>
        </row>
        <row r="4111">
          <cell r="D4111" t="str">
            <v>1177247-66-3</v>
          </cell>
          <cell r="E4111">
            <v>1177247663</v>
          </cell>
          <cell r="F4111" t="str">
            <v>-</v>
          </cell>
          <cell r="G4111" t="str">
            <v>-</v>
          </cell>
          <cell r="H4111">
            <v>4096</v>
          </cell>
          <cell r="Q4111">
            <v>14</v>
          </cell>
        </row>
        <row r="4112">
          <cell r="D4112" t="str">
            <v>78-04-6</v>
          </cell>
          <cell r="E4112">
            <v>78046</v>
          </cell>
          <cell r="F4112" t="str">
            <v>-</v>
          </cell>
          <cell r="G4112" t="str">
            <v>-</v>
          </cell>
          <cell r="H4112">
            <v>4097</v>
          </cell>
          <cell r="Q4112">
            <v>14</v>
          </cell>
        </row>
        <row r="4113">
          <cell r="D4113" t="str">
            <v>92-79-5</v>
          </cell>
          <cell r="E4113">
            <v>92795</v>
          </cell>
          <cell r="F4113" t="str">
            <v>-</v>
          </cell>
          <cell r="G4113" t="str">
            <v>-</v>
          </cell>
          <cell r="H4113">
            <v>4098</v>
          </cell>
          <cell r="Q4113">
            <v>14</v>
          </cell>
        </row>
        <row r="4114">
          <cell r="D4114" t="str">
            <v>1066-30-4</v>
          </cell>
          <cell r="E4114">
            <v>1066304</v>
          </cell>
          <cell r="F4114" t="str">
            <v>-</v>
          </cell>
          <cell r="G4114" t="str">
            <v>-</v>
          </cell>
          <cell r="H4114">
            <v>4099</v>
          </cell>
          <cell r="Q4114">
            <v>14</v>
          </cell>
        </row>
        <row r="4115">
          <cell r="D4115" t="str">
            <v>56-35-9</v>
          </cell>
          <cell r="E4115">
            <v>56359</v>
          </cell>
          <cell r="F4115" t="str">
            <v>-</v>
          </cell>
          <cell r="G4115" t="str">
            <v>-</v>
          </cell>
          <cell r="H4115">
            <v>4100</v>
          </cell>
          <cell r="Q4115">
            <v>14</v>
          </cell>
        </row>
        <row r="4116">
          <cell r="D4116" t="str">
            <v>676-58-4</v>
          </cell>
          <cell r="E4116">
            <v>676584</v>
          </cell>
          <cell r="F4116" t="str">
            <v>-</v>
          </cell>
          <cell r="G4116" t="str">
            <v>-</v>
          </cell>
          <cell r="H4116">
            <v>4101</v>
          </cell>
          <cell r="Q4116">
            <v>14</v>
          </cell>
        </row>
        <row r="4117">
          <cell r="D4117" t="str">
            <v>1291070-04-6</v>
          </cell>
          <cell r="E4117">
            <v>1291070046</v>
          </cell>
          <cell r="F4117" t="str">
            <v>-</v>
          </cell>
          <cell r="G4117" t="str">
            <v>-</v>
          </cell>
          <cell r="H4117">
            <v>4102</v>
          </cell>
          <cell r="Q4117">
            <v>14</v>
          </cell>
        </row>
        <row r="4118">
          <cell r="D4118" t="str">
            <v>76-72-2</v>
          </cell>
          <cell r="E4118">
            <v>76722</v>
          </cell>
          <cell r="F4118" t="str">
            <v>-</v>
          </cell>
          <cell r="G4118" t="str">
            <v>-</v>
          </cell>
          <cell r="H4118">
            <v>4103</v>
          </cell>
          <cell r="Q4118">
            <v>14</v>
          </cell>
        </row>
        <row r="4119">
          <cell r="D4119" t="str">
            <v>12392-64-2</v>
          </cell>
          <cell r="E4119">
            <v>12392642</v>
          </cell>
          <cell r="F4119" t="str">
            <v>-</v>
          </cell>
          <cell r="G4119" t="str">
            <v>-</v>
          </cell>
          <cell r="H4119">
            <v>4104</v>
          </cell>
          <cell r="Q4119">
            <v>14</v>
          </cell>
        </row>
        <row r="4120">
          <cell r="D4120" t="str">
            <v>76359-37-0</v>
          </cell>
          <cell r="E4120">
            <v>76359370</v>
          </cell>
          <cell r="F4120" t="str">
            <v>-</v>
          </cell>
          <cell r="G4120" t="str">
            <v>-</v>
          </cell>
          <cell r="H4120">
            <v>4105</v>
          </cell>
          <cell r="Q4120">
            <v>14</v>
          </cell>
        </row>
        <row r="4121">
          <cell r="D4121" t="str">
            <v>1071838-81-7</v>
          </cell>
          <cell r="E4121">
            <v>1071838817</v>
          </cell>
          <cell r="F4121" t="str">
            <v>-</v>
          </cell>
          <cell r="G4121" t="str">
            <v>-</v>
          </cell>
          <cell r="H4121">
            <v>4106</v>
          </cell>
          <cell r="Q4121">
            <v>14</v>
          </cell>
        </row>
        <row r="4122">
          <cell r="D4122" t="str">
            <v>79992-76-0</v>
          </cell>
          <cell r="E4122">
            <v>79992760</v>
          </cell>
          <cell r="F4122" t="str">
            <v>-</v>
          </cell>
          <cell r="G4122" t="str">
            <v>-</v>
          </cell>
          <cell r="H4122">
            <v>4107</v>
          </cell>
          <cell r="Q4122">
            <v>14</v>
          </cell>
        </row>
        <row r="4123">
          <cell r="D4123" t="str">
            <v>6471-50-7</v>
          </cell>
          <cell r="E4123">
            <v>6471507</v>
          </cell>
          <cell r="F4123" t="str">
            <v>-</v>
          </cell>
          <cell r="G4123" t="str">
            <v>-</v>
          </cell>
          <cell r="H4123">
            <v>4108</v>
          </cell>
          <cell r="Q4123">
            <v>14</v>
          </cell>
        </row>
        <row r="4124">
          <cell r="D4124" t="str">
            <v>18721-51-2</v>
          </cell>
          <cell r="E4124">
            <v>18721512</v>
          </cell>
          <cell r="F4124" t="str">
            <v>-</v>
          </cell>
          <cell r="G4124" t="str">
            <v>-</v>
          </cell>
          <cell r="H4124">
            <v>4109</v>
          </cell>
          <cell r="Q4124">
            <v>14</v>
          </cell>
        </row>
        <row r="4125">
          <cell r="D4125" t="str">
            <v>18727-04-3</v>
          </cell>
          <cell r="E4125">
            <v>18727043</v>
          </cell>
          <cell r="F4125" t="str">
            <v>-</v>
          </cell>
          <cell r="G4125" t="str">
            <v>-</v>
          </cell>
          <cell r="H4125">
            <v>4110</v>
          </cell>
          <cell r="Q4125">
            <v>14</v>
          </cell>
        </row>
        <row r="4126">
          <cell r="D4126" t="str">
            <v>13963-57-0</v>
          </cell>
          <cell r="E4126">
            <v>13963570</v>
          </cell>
          <cell r="F4126" t="str">
            <v>-</v>
          </cell>
          <cell r="G4126" t="str">
            <v>-</v>
          </cell>
          <cell r="H4126">
            <v>4111</v>
          </cell>
          <cell r="Q4126">
            <v>14</v>
          </cell>
        </row>
        <row r="4127">
          <cell r="D4127" t="str">
            <v>52277-71-1</v>
          </cell>
          <cell r="E4127">
            <v>52277711</v>
          </cell>
          <cell r="F4127" t="str">
            <v>-</v>
          </cell>
          <cell r="G4127" t="str">
            <v>-</v>
          </cell>
          <cell r="H4127">
            <v>4112</v>
          </cell>
          <cell r="Q4127">
            <v>14</v>
          </cell>
        </row>
        <row r="4128">
          <cell r="D4128" t="str">
            <v>960404-59-5</v>
          </cell>
          <cell r="E4128">
            <v>960404595</v>
          </cell>
          <cell r="F4128" t="str">
            <v>-</v>
          </cell>
          <cell r="G4128" t="str">
            <v>-</v>
          </cell>
          <cell r="H4128">
            <v>4113</v>
          </cell>
          <cell r="Q4128">
            <v>14</v>
          </cell>
        </row>
        <row r="4129">
          <cell r="D4129" t="str">
            <v>98906-78-6</v>
          </cell>
          <cell r="E4129">
            <v>98906786</v>
          </cell>
          <cell r="F4129" t="str">
            <v>-</v>
          </cell>
          <cell r="G4129" t="str">
            <v>-</v>
          </cell>
          <cell r="H4129">
            <v>4114</v>
          </cell>
          <cell r="Q4129">
            <v>14</v>
          </cell>
        </row>
        <row r="4130">
          <cell r="D4130" t="str">
            <v>21145-77-7</v>
          </cell>
          <cell r="E4130">
            <v>21145777</v>
          </cell>
          <cell r="F4130" t="str">
            <v>-</v>
          </cell>
          <cell r="G4130" t="str">
            <v>-</v>
          </cell>
          <cell r="H4130">
            <v>4115</v>
          </cell>
          <cell r="Q4130">
            <v>14</v>
          </cell>
        </row>
        <row r="4131">
          <cell r="D4131" t="str">
            <v>1068-55-9</v>
          </cell>
          <cell r="E4131">
            <v>1068559</v>
          </cell>
          <cell r="F4131" t="str">
            <v>-</v>
          </cell>
          <cell r="G4131" t="str">
            <v>-</v>
          </cell>
          <cell r="H4131">
            <v>4116</v>
          </cell>
          <cell r="Q4131">
            <v>14</v>
          </cell>
        </row>
        <row r="4132">
          <cell r="D4132" t="str">
            <v>20039-37-6</v>
          </cell>
          <cell r="E4132">
            <v>20039376</v>
          </cell>
          <cell r="F4132" t="str">
            <v>-</v>
          </cell>
          <cell r="G4132" t="str">
            <v>-</v>
          </cell>
          <cell r="H4132">
            <v>4117</v>
          </cell>
          <cell r="Q4132">
            <v>14</v>
          </cell>
        </row>
        <row r="4133">
          <cell r="D4133" t="str">
            <v>6018-92-4</v>
          </cell>
          <cell r="E4133">
            <v>6018924</v>
          </cell>
          <cell r="F4133" t="str">
            <v>-</v>
          </cell>
          <cell r="G4133" t="str">
            <v>-</v>
          </cell>
          <cell r="H4133">
            <v>4118</v>
          </cell>
          <cell r="Q4133">
            <v>14</v>
          </cell>
        </row>
        <row r="4134">
          <cell r="D4134" t="str">
            <v>1337918-51-0</v>
          </cell>
          <cell r="E4134">
            <v>1337918510</v>
          </cell>
          <cell r="F4134" t="str">
            <v>-</v>
          </cell>
          <cell r="G4134" t="str">
            <v>-</v>
          </cell>
          <cell r="H4134">
            <v>4119</v>
          </cell>
          <cell r="Q4134">
            <v>14</v>
          </cell>
        </row>
        <row r="4135">
          <cell r="D4135" t="str">
            <v>68966-87-0</v>
          </cell>
          <cell r="E4135">
            <v>68966870</v>
          </cell>
          <cell r="F4135" t="str">
            <v>-</v>
          </cell>
          <cell r="G4135" t="str">
            <v>-</v>
          </cell>
          <cell r="H4135">
            <v>4120</v>
          </cell>
          <cell r="Q4135">
            <v>14</v>
          </cell>
        </row>
        <row r="4136">
          <cell r="D4136" t="str">
            <v>39430-51-8</v>
          </cell>
          <cell r="E4136">
            <v>39430518</v>
          </cell>
          <cell r="F4136" t="str">
            <v>-</v>
          </cell>
          <cell r="G4136" t="str">
            <v>-</v>
          </cell>
          <cell r="H4136">
            <v>4121</v>
          </cell>
          <cell r="Q4136">
            <v>14</v>
          </cell>
        </row>
        <row r="4137">
          <cell r="D4137" t="str">
            <v>1189052-95-6</v>
          </cell>
          <cell r="E4137">
            <v>1189052956</v>
          </cell>
          <cell r="F4137" t="str">
            <v>-</v>
          </cell>
          <cell r="G4137" t="str">
            <v>-</v>
          </cell>
          <cell r="H4137">
            <v>4122</v>
          </cell>
          <cell r="Q4137">
            <v>14</v>
          </cell>
        </row>
        <row r="4138">
          <cell r="D4138" t="str">
            <v>6283-86-9</v>
          </cell>
          <cell r="E4138">
            <v>6283869</v>
          </cell>
          <cell r="F4138" t="str">
            <v>-</v>
          </cell>
          <cell r="G4138" t="str">
            <v>-</v>
          </cell>
          <cell r="H4138">
            <v>4123</v>
          </cell>
          <cell r="Q4138">
            <v>14</v>
          </cell>
        </row>
        <row r="4139">
          <cell r="D4139" t="str">
            <v>61813-75-0</v>
          </cell>
          <cell r="E4139">
            <v>61813750</v>
          </cell>
          <cell r="F4139" t="str">
            <v>-</v>
          </cell>
          <cell r="G4139" t="str">
            <v>-</v>
          </cell>
          <cell r="H4139">
            <v>4124</v>
          </cell>
          <cell r="Q4139">
            <v>14</v>
          </cell>
        </row>
        <row r="4140">
          <cell r="D4140" t="str">
            <v>866-81-9</v>
          </cell>
          <cell r="E4140">
            <v>866819</v>
          </cell>
          <cell r="F4140" t="str">
            <v>-</v>
          </cell>
          <cell r="G4140" t="str">
            <v>-</v>
          </cell>
          <cell r="H4140">
            <v>4125</v>
          </cell>
          <cell r="Q4140">
            <v>14</v>
          </cell>
        </row>
        <row r="4143">
          <cell r="J4143">
            <v>1</v>
          </cell>
          <cell r="K4143">
            <v>1</v>
          </cell>
          <cell r="L4143">
            <v>1</v>
          </cell>
          <cell r="M4143">
            <v>1</v>
          </cell>
          <cell r="N4143">
            <v>1</v>
          </cell>
          <cell r="O4143">
            <v>1</v>
          </cell>
          <cell r="P4143">
            <v>1</v>
          </cell>
        </row>
        <row r="4149">
          <cell r="D4149" t="str">
            <v>67762-38-3</v>
          </cell>
          <cell r="E4149">
            <v>67762383</v>
          </cell>
          <cell r="F4149" t="str">
            <v>-</v>
          </cell>
          <cell r="G4149" t="str">
            <v>-</v>
          </cell>
          <cell r="H4149">
            <v>4127</v>
          </cell>
          <cell r="Q4149">
            <v>14</v>
          </cell>
        </row>
        <row r="4150">
          <cell r="D4150" t="str">
            <v>68990-52-3</v>
          </cell>
          <cell r="E4150">
            <v>68990523</v>
          </cell>
          <cell r="F4150" t="str">
            <v>-</v>
          </cell>
          <cell r="G4150" t="str">
            <v>-</v>
          </cell>
          <cell r="H4150">
            <v>4128</v>
          </cell>
          <cell r="Q4150">
            <v>14</v>
          </cell>
        </row>
        <row r="4151">
          <cell r="D4151" t="str">
            <v>928771-01-1</v>
          </cell>
          <cell r="E4151">
            <v>928771011</v>
          </cell>
          <cell r="F4151" t="str">
            <v>-</v>
          </cell>
          <cell r="G4151" t="str">
            <v>-</v>
          </cell>
          <cell r="H4151">
            <v>4129</v>
          </cell>
          <cell r="Q4151">
            <v>14</v>
          </cell>
        </row>
        <row r="4152">
          <cell r="D4152" t="str">
            <v>87741-01-3</v>
          </cell>
          <cell r="E4152">
            <v>87741013</v>
          </cell>
          <cell r="F4152" t="str">
            <v>-</v>
          </cell>
          <cell r="G4152" t="str">
            <v>-</v>
          </cell>
          <cell r="H4152">
            <v>4130</v>
          </cell>
          <cell r="Q4152">
            <v>14</v>
          </cell>
        </row>
        <row r="4153">
          <cell r="D4153" t="str">
            <v>67762-26-9</v>
          </cell>
          <cell r="E4153">
            <v>67762269</v>
          </cell>
          <cell r="F4153" t="str">
            <v>-</v>
          </cell>
          <cell r="G4153" t="str">
            <v>-</v>
          </cell>
          <cell r="H4153">
            <v>4131</v>
          </cell>
          <cell r="Q4153">
            <v>14</v>
          </cell>
        </row>
        <row r="4154">
          <cell r="D4154" t="str">
            <v>65996-78-3</v>
          </cell>
          <cell r="E4154">
            <v>65996783</v>
          </cell>
          <cell r="F4154" t="str">
            <v>-</v>
          </cell>
          <cell r="G4154" t="str">
            <v>-</v>
          </cell>
          <cell r="H4154">
            <v>4132</v>
          </cell>
          <cell r="Q4154">
            <v>14</v>
          </cell>
        </row>
        <row r="4155">
          <cell r="D4155" t="str">
            <v>85049-31-6</v>
          </cell>
          <cell r="E4155">
            <v>85049316</v>
          </cell>
          <cell r="F4155" t="str">
            <v>-</v>
          </cell>
          <cell r="G4155" t="str">
            <v>-</v>
          </cell>
          <cell r="H4155">
            <v>4133</v>
          </cell>
          <cell r="Q4155">
            <v>14</v>
          </cell>
        </row>
        <row r="4156">
          <cell r="D4156" t="str">
            <v>65996-89-6</v>
          </cell>
          <cell r="E4156">
            <v>65996896</v>
          </cell>
          <cell r="F4156" t="str">
            <v>-</v>
          </cell>
          <cell r="G4156" t="str">
            <v>-</v>
          </cell>
          <cell r="H4156">
            <v>4134</v>
          </cell>
          <cell r="Q4156">
            <v>14</v>
          </cell>
        </row>
        <row r="4157">
          <cell r="D4157" t="str">
            <v>68476-40-4</v>
          </cell>
          <cell r="E4157">
            <v>68476404</v>
          </cell>
          <cell r="F4157" t="str">
            <v>-</v>
          </cell>
          <cell r="G4157" t="str">
            <v>-</v>
          </cell>
          <cell r="H4157">
            <v>4135</v>
          </cell>
          <cell r="Q4157">
            <v>14</v>
          </cell>
        </row>
        <row r="4158">
          <cell r="D4158" t="str">
            <v>65996-93-2</v>
          </cell>
          <cell r="E4158">
            <v>65996932</v>
          </cell>
          <cell r="F4158" t="str">
            <v>-</v>
          </cell>
          <cell r="G4158" t="str">
            <v>-</v>
          </cell>
          <cell r="H4158">
            <v>4136</v>
          </cell>
          <cell r="Q4158">
            <v>14</v>
          </cell>
        </row>
        <row r="4159">
          <cell r="D4159" t="str">
            <v>32055-14-4</v>
          </cell>
          <cell r="E4159">
            <v>32055144</v>
          </cell>
          <cell r="F4159" t="str">
            <v>-</v>
          </cell>
          <cell r="G4159" t="str">
            <v>-</v>
          </cell>
          <cell r="H4159">
            <v>4137</v>
          </cell>
          <cell r="Q4159">
            <v>14</v>
          </cell>
        </row>
        <row r="4160">
          <cell r="D4160" t="str">
            <v>68476-86-8</v>
          </cell>
          <cell r="E4160">
            <v>68476868</v>
          </cell>
          <cell r="F4160" t="str">
            <v>-</v>
          </cell>
          <cell r="G4160" t="str">
            <v>-</v>
          </cell>
          <cell r="H4160">
            <v>4138</v>
          </cell>
          <cell r="Q4160">
            <v>14</v>
          </cell>
        </row>
        <row r="4161">
          <cell r="D4161" t="str">
            <v>16291-96-6</v>
          </cell>
          <cell r="E4161">
            <v>16291966</v>
          </cell>
          <cell r="F4161">
            <v>4995</v>
          </cell>
          <cell r="G4161" t="str">
            <v>PharmaBeta_418</v>
          </cell>
          <cell r="H4161">
            <v>4139</v>
          </cell>
          <cell r="J4161">
            <v>16.042999999999999</v>
          </cell>
          <cell r="K4161">
            <v>-152.93</v>
          </cell>
          <cell r="L4161">
            <v>70782300</v>
          </cell>
          <cell r="M4161">
            <v>2636.8</v>
          </cell>
          <cell r="N4161">
            <v>6.0255958607435796</v>
          </cell>
          <cell r="O4161">
            <v>0</v>
          </cell>
          <cell r="P4161">
            <v>0</v>
          </cell>
          <cell r="Q4161">
            <v>0</v>
          </cell>
        </row>
        <row r="4162">
          <cell r="D4162" t="str">
            <v>25214-70-4</v>
          </cell>
          <cell r="E4162">
            <v>25214704</v>
          </cell>
          <cell r="F4162" t="str">
            <v>-</v>
          </cell>
          <cell r="G4162" t="str">
            <v>-</v>
          </cell>
          <cell r="H4162">
            <v>4140</v>
          </cell>
          <cell r="Q4162">
            <v>14</v>
          </cell>
        </row>
        <row r="4163">
          <cell r="D4163" t="str">
            <v>67774-74-7</v>
          </cell>
          <cell r="E4163">
            <v>67774747</v>
          </cell>
          <cell r="F4163" t="str">
            <v>-</v>
          </cell>
          <cell r="G4163" t="str">
            <v>-</v>
          </cell>
          <cell r="H4163">
            <v>4141</v>
          </cell>
          <cell r="Q4163">
            <v>14</v>
          </cell>
        </row>
        <row r="4164">
          <cell r="D4164" t="str">
            <v>98219-47-7</v>
          </cell>
          <cell r="E4164">
            <v>98219477</v>
          </cell>
          <cell r="F4164" t="str">
            <v>-</v>
          </cell>
          <cell r="G4164" t="str">
            <v>-</v>
          </cell>
          <cell r="H4164">
            <v>4142</v>
          </cell>
          <cell r="Q4164">
            <v>14</v>
          </cell>
        </row>
        <row r="4165">
          <cell r="D4165" t="str">
            <v>26471-62-5</v>
          </cell>
          <cell r="E4165">
            <v>26471625</v>
          </cell>
          <cell r="F4165" t="str">
            <v>-</v>
          </cell>
          <cell r="G4165" t="str">
            <v>-</v>
          </cell>
          <cell r="H4165">
            <v>4143</v>
          </cell>
          <cell r="Q4165">
            <v>14</v>
          </cell>
        </row>
        <row r="4166">
          <cell r="D4166" t="str">
            <v>25321-14-6</v>
          </cell>
          <cell r="E4166">
            <v>25321146</v>
          </cell>
          <cell r="F4166" t="str">
            <v>-</v>
          </cell>
          <cell r="G4166" t="str">
            <v>-</v>
          </cell>
          <cell r="H4166">
            <v>4144</v>
          </cell>
          <cell r="Q4166">
            <v>14</v>
          </cell>
        </row>
        <row r="4167">
          <cell r="D4167" t="str">
            <v>85536-14-7</v>
          </cell>
          <cell r="E4167">
            <v>85536147</v>
          </cell>
          <cell r="F4167" t="str">
            <v>-</v>
          </cell>
          <cell r="G4167" t="str">
            <v>-</v>
          </cell>
          <cell r="H4167">
            <v>4145</v>
          </cell>
          <cell r="Q4167">
            <v>14</v>
          </cell>
        </row>
        <row r="4168">
          <cell r="D4168" t="str">
            <v>90640-86-1</v>
          </cell>
          <cell r="E4168">
            <v>90640861</v>
          </cell>
          <cell r="F4168" t="str">
            <v>-</v>
          </cell>
          <cell r="G4168" t="str">
            <v>-</v>
          </cell>
          <cell r="H4168">
            <v>4146</v>
          </cell>
          <cell r="Q4168">
            <v>14</v>
          </cell>
        </row>
        <row r="4169">
          <cell r="D4169" t="str">
            <v>65997-01-5</v>
          </cell>
          <cell r="E4169">
            <v>65997015</v>
          </cell>
          <cell r="F4169" t="str">
            <v>-</v>
          </cell>
          <cell r="G4169" t="str">
            <v>-</v>
          </cell>
          <cell r="H4169">
            <v>4147</v>
          </cell>
          <cell r="Q4169">
            <v>14</v>
          </cell>
        </row>
        <row r="4170">
          <cell r="D4170" t="str">
            <v>68891-38-3</v>
          </cell>
          <cell r="E4170">
            <v>68891383</v>
          </cell>
          <cell r="F4170" t="str">
            <v>-</v>
          </cell>
          <cell r="G4170" t="str">
            <v>-</v>
          </cell>
          <cell r="H4170">
            <v>4148</v>
          </cell>
          <cell r="Q4170">
            <v>14</v>
          </cell>
        </row>
        <row r="4171">
          <cell r="D4171" t="str">
            <v>25376-45-8</v>
          </cell>
          <cell r="E4171">
            <v>25376458</v>
          </cell>
          <cell r="F4171" t="str">
            <v>-</v>
          </cell>
          <cell r="G4171" t="str">
            <v>-</v>
          </cell>
          <cell r="H4171">
            <v>4149</v>
          </cell>
          <cell r="Q4171">
            <v>14</v>
          </cell>
        </row>
        <row r="4172">
          <cell r="D4172" t="str">
            <v>68527-26-4</v>
          </cell>
          <cell r="E4172">
            <v>68527264</v>
          </cell>
          <cell r="F4172" t="str">
            <v>-</v>
          </cell>
          <cell r="G4172" t="str">
            <v>-</v>
          </cell>
          <cell r="H4172">
            <v>4150</v>
          </cell>
          <cell r="Q4172">
            <v>14</v>
          </cell>
        </row>
        <row r="4173">
          <cell r="D4173" t="str">
            <v>68439-50-9</v>
          </cell>
          <cell r="E4173">
            <v>68439509</v>
          </cell>
          <cell r="F4173" t="str">
            <v>-</v>
          </cell>
          <cell r="G4173" t="str">
            <v>-</v>
          </cell>
          <cell r="H4173">
            <v>4151</v>
          </cell>
          <cell r="Q4173">
            <v>14</v>
          </cell>
        </row>
        <row r="4174">
          <cell r="D4174" t="str">
            <v>8050-09-7</v>
          </cell>
          <cell r="E4174">
            <v>8050097</v>
          </cell>
          <cell r="F4174" t="str">
            <v>-</v>
          </cell>
          <cell r="G4174" t="str">
            <v>-</v>
          </cell>
          <cell r="H4174">
            <v>4152</v>
          </cell>
          <cell r="Q4174">
            <v>14</v>
          </cell>
        </row>
        <row r="4175">
          <cell r="D4175" t="str">
            <v>84650-04-4</v>
          </cell>
          <cell r="E4175">
            <v>84650044</v>
          </cell>
          <cell r="F4175" t="str">
            <v>-</v>
          </cell>
          <cell r="G4175" t="str">
            <v>-</v>
          </cell>
          <cell r="H4175">
            <v>4153</v>
          </cell>
          <cell r="Q4175">
            <v>14</v>
          </cell>
        </row>
        <row r="4176">
          <cell r="D4176" t="str">
            <v>8016-81-7</v>
          </cell>
          <cell r="E4176">
            <v>8016817</v>
          </cell>
          <cell r="F4176" t="str">
            <v>-</v>
          </cell>
          <cell r="G4176" t="str">
            <v>-</v>
          </cell>
          <cell r="H4176">
            <v>4154</v>
          </cell>
          <cell r="Q4176">
            <v>14</v>
          </cell>
        </row>
        <row r="4177">
          <cell r="D4177" t="str">
            <v>84775-78-0</v>
          </cell>
          <cell r="E4177">
            <v>84775780</v>
          </cell>
          <cell r="F4177" t="str">
            <v>-</v>
          </cell>
          <cell r="G4177" t="str">
            <v>-</v>
          </cell>
          <cell r="H4177">
            <v>4155</v>
          </cell>
          <cell r="Q4177">
            <v>14</v>
          </cell>
        </row>
        <row r="4178">
          <cell r="D4178" t="str">
            <v>68308-34-9</v>
          </cell>
          <cell r="E4178">
            <v>68308349</v>
          </cell>
          <cell r="F4178" t="str">
            <v>-</v>
          </cell>
          <cell r="G4178" t="str">
            <v>-</v>
          </cell>
          <cell r="H4178">
            <v>4156</v>
          </cell>
          <cell r="Q4178">
            <v>14</v>
          </cell>
        </row>
        <row r="4179">
          <cell r="D4179" t="str">
            <v>67701-03-5</v>
          </cell>
          <cell r="E4179">
            <v>67701035</v>
          </cell>
          <cell r="F4179" t="str">
            <v>-</v>
          </cell>
          <cell r="G4179" t="str">
            <v>-</v>
          </cell>
          <cell r="H4179">
            <v>4157</v>
          </cell>
          <cell r="Q4179">
            <v>14</v>
          </cell>
        </row>
        <row r="4180">
          <cell r="D4180" t="str">
            <v>308065-15-8</v>
          </cell>
          <cell r="E4180">
            <v>308065158</v>
          </cell>
          <cell r="F4180" t="str">
            <v>-</v>
          </cell>
          <cell r="G4180" t="str">
            <v>-</v>
          </cell>
          <cell r="H4180">
            <v>4158</v>
          </cell>
          <cell r="Q4180">
            <v>14</v>
          </cell>
        </row>
        <row r="4181">
          <cell r="D4181" t="str">
            <v>68411-30-3</v>
          </cell>
          <cell r="E4181">
            <v>68411303</v>
          </cell>
          <cell r="F4181" t="str">
            <v>-</v>
          </cell>
          <cell r="G4181" t="str">
            <v>-</v>
          </cell>
          <cell r="H4181">
            <v>4159</v>
          </cell>
          <cell r="Q4181">
            <v>14</v>
          </cell>
        </row>
        <row r="4182">
          <cell r="D4182" t="str">
            <v>85535-87-1</v>
          </cell>
          <cell r="E4182">
            <v>85535871</v>
          </cell>
          <cell r="F4182" t="str">
            <v>-</v>
          </cell>
          <cell r="G4182" t="str">
            <v>-</v>
          </cell>
          <cell r="H4182">
            <v>4160</v>
          </cell>
          <cell r="Q4182">
            <v>14</v>
          </cell>
        </row>
        <row r="4183">
          <cell r="D4183" t="str">
            <v>92128-65-9</v>
          </cell>
          <cell r="E4183">
            <v>92128659</v>
          </cell>
          <cell r="F4183" t="str">
            <v>-</v>
          </cell>
          <cell r="G4183" t="str">
            <v>-</v>
          </cell>
          <cell r="H4183">
            <v>4161</v>
          </cell>
          <cell r="Q4183">
            <v>14</v>
          </cell>
        </row>
        <row r="4184">
          <cell r="D4184" t="str">
            <v>90640-80-5</v>
          </cell>
          <cell r="E4184">
            <v>90640805</v>
          </cell>
          <cell r="F4184" t="str">
            <v>-</v>
          </cell>
          <cell r="G4184" t="str">
            <v>-</v>
          </cell>
          <cell r="H4184">
            <v>4162</v>
          </cell>
          <cell r="Q4184">
            <v>14</v>
          </cell>
        </row>
        <row r="4185">
          <cell r="D4185" t="str">
            <v>67762-37-2</v>
          </cell>
          <cell r="E4185">
            <v>67762372</v>
          </cell>
          <cell r="F4185" t="str">
            <v>-</v>
          </cell>
          <cell r="G4185" t="str">
            <v>-</v>
          </cell>
          <cell r="H4185">
            <v>4163</v>
          </cell>
          <cell r="Q4185">
            <v>14</v>
          </cell>
        </row>
        <row r="4186">
          <cell r="D4186" t="str">
            <v>70514-12-4</v>
          </cell>
          <cell r="E4186">
            <v>70514124</v>
          </cell>
          <cell r="F4186" t="str">
            <v>-</v>
          </cell>
          <cell r="G4186" t="str">
            <v>-</v>
          </cell>
          <cell r="H4186">
            <v>4164</v>
          </cell>
          <cell r="Q4186">
            <v>14</v>
          </cell>
        </row>
        <row r="4187">
          <cell r="D4187" t="str">
            <v>100209-50-5</v>
          </cell>
          <cell r="E4187">
            <v>100209505</v>
          </cell>
          <cell r="F4187" t="str">
            <v>-</v>
          </cell>
          <cell r="G4187" t="str">
            <v>-</v>
          </cell>
          <cell r="H4187">
            <v>4165</v>
          </cell>
          <cell r="Q4187">
            <v>14</v>
          </cell>
        </row>
        <row r="4188">
          <cell r="D4188" t="str">
            <v>68515-49-1</v>
          </cell>
          <cell r="E4188">
            <v>68515491</v>
          </cell>
          <cell r="F4188" t="str">
            <v>-</v>
          </cell>
          <cell r="G4188" t="str">
            <v>-</v>
          </cell>
          <cell r="H4188">
            <v>4166</v>
          </cell>
          <cell r="Q4188">
            <v>14</v>
          </cell>
        </row>
        <row r="4189">
          <cell r="D4189" t="str">
            <v>8002-26-4</v>
          </cell>
          <cell r="E4189">
            <v>8002264</v>
          </cell>
          <cell r="F4189" t="str">
            <v>-</v>
          </cell>
          <cell r="G4189" t="str">
            <v>-</v>
          </cell>
          <cell r="H4189">
            <v>4167</v>
          </cell>
          <cell r="Q4189">
            <v>14</v>
          </cell>
        </row>
        <row r="4190">
          <cell r="D4190" t="str">
            <v>68526-85-2</v>
          </cell>
          <cell r="E4190">
            <v>68526852</v>
          </cell>
          <cell r="F4190" t="str">
            <v>-</v>
          </cell>
          <cell r="G4190" t="str">
            <v>-</v>
          </cell>
          <cell r="H4190">
            <v>4168</v>
          </cell>
          <cell r="Q4190">
            <v>14</v>
          </cell>
        </row>
        <row r="4191">
          <cell r="D4191" t="str">
            <v>68647-86-9</v>
          </cell>
          <cell r="E4191">
            <v>68647869</v>
          </cell>
          <cell r="F4191" t="str">
            <v>-</v>
          </cell>
          <cell r="G4191" t="str">
            <v>-</v>
          </cell>
          <cell r="H4191">
            <v>4169</v>
          </cell>
          <cell r="Q4191">
            <v>14</v>
          </cell>
        </row>
        <row r="4192">
          <cell r="D4192" t="str">
            <v>68515-48-0</v>
          </cell>
          <cell r="E4192">
            <v>68515480</v>
          </cell>
          <cell r="F4192" t="str">
            <v>-</v>
          </cell>
          <cell r="G4192" t="str">
            <v>-</v>
          </cell>
          <cell r="H4192">
            <v>4170</v>
          </cell>
          <cell r="Q4192">
            <v>14</v>
          </cell>
        </row>
        <row r="4193">
          <cell r="D4193" t="str">
            <v>67701-06-8</v>
          </cell>
          <cell r="E4193">
            <v>67701068</v>
          </cell>
          <cell r="F4193" t="str">
            <v>-</v>
          </cell>
          <cell r="G4193" t="str">
            <v>-</v>
          </cell>
          <cell r="H4193">
            <v>4171</v>
          </cell>
          <cell r="Q4193">
            <v>14</v>
          </cell>
        </row>
        <row r="4194">
          <cell r="D4194" t="str">
            <v>90640-84-9</v>
          </cell>
          <cell r="E4194">
            <v>90640849</v>
          </cell>
          <cell r="F4194" t="str">
            <v>-</v>
          </cell>
          <cell r="G4194" t="str">
            <v>-</v>
          </cell>
          <cell r="H4194">
            <v>4172</v>
          </cell>
          <cell r="Q4194">
            <v>14</v>
          </cell>
        </row>
        <row r="4195">
          <cell r="D4195" t="str">
            <v>68526-84-1</v>
          </cell>
          <cell r="E4195">
            <v>68526841</v>
          </cell>
          <cell r="F4195" t="str">
            <v>-</v>
          </cell>
          <cell r="G4195" t="str">
            <v>-</v>
          </cell>
          <cell r="H4195">
            <v>4173</v>
          </cell>
          <cell r="Q4195">
            <v>14</v>
          </cell>
        </row>
        <row r="4196">
          <cell r="D4196" t="str">
            <v>66071-94-1</v>
          </cell>
          <cell r="E4196">
            <v>66071941</v>
          </cell>
          <cell r="F4196" t="str">
            <v>-</v>
          </cell>
          <cell r="G4196" t="str">
            <v>-</v>
          </cell>
          <cell r="H4196">
            <v>4174</v>
          </cell>
          <cell r="Q4196">
            <v>14</v>
          </cell>
        </row>
        <row r="4197">
          <cell r="D4197" t="str">
            <v>68425-17-2</v>
          </cell>
          <cell r="E4197">
            <v>68425172</v>
          </cell>
          <cell r="F4197" t="str">
            <v>-</v>
          </cell>
          <cell r="G4197" t="str">
            <v>-</v>
          </cell>
          <cell r="H4197">
            <v>4175</v>
          </cell>
          <cell r="Q4197">
            <v>14</v>
          </cell>
        </row>
        <row r="4198">
          <cell r="D4198" t="str">
            <v>68037-01-4</v>
          </cell>
          <cell r="E4198">
            <v>68037014</v>
          </cell>
          <cell r="F4198" t="str">
            <v>-</v>
          </cell>
          <cell r="G4198" t="str">
            <v>-</v>
          </cell>
          <cell r="H4198">
            <v>4176</v>
          </cell>
          <cell r="Q4198">
            <v>14</v>
          </cell>
        </row>
        <row r="4199">
          <cell r="D4199" t="str">
            <v>68333-89-1</v>
          </cell>
          <cell r="E4199">
            <v>68333891</v>
          </cell>
          <cell r="F4199" t="str">
            <v>-</v>
          </cell>
          <cell r="G4199" t="str">
            <v>-</v>
          </cell>
          <cell r="H4199">
            <v>4177</v>
          </cell>
          <cell r="Q4199">
            <v>14</v>
          </cell>
        </row>
        <row r="4200">
          <cell r="D4200" t="str">
            <v>85535-85-9</v>
          </cell>
          <cell r="E4200">
            <v>85535859</v>
          </cell>
          <cell r="F4200" t="str">
            <v>-</v>
          </cell>
          <cell r="G4200" t="str">
            <v>-</v>
          </cell>
          <cell r="H4200">
            <v>4178</v>
          </cell>
          <cell r="Q4200">
            <v>14</v>
          </cell>
        </row>
        <row r="4201">
          <cell r="D4201" t="str">
            <v>64742-91-2</v>
          </cell>
          <cell r="E4201">
            <v>64742912</v>
          </cell>
          <cell r="F4201" t="str">
            <v>-</v>
          </cell>
          <cell r="G4201" t="str">
            <v>-</v>
          </cell>
          <cell r="H4201">
            <v>4179</v>
          </cell>
          <cell r="Q4201">
            <v>14</v>
          </cell>
        </row>
        <row r="4202">
          <cell r="D4202" t="str">
            <v>101316-84-1</v>
          </cell>
          <cell r="E4202">
            <v>101316841</v>
          </cell>
          <cell r="F4202" t="str">
            <v>-</v>
          </cell>
          <cell r="G4202" t="str">
            <v>-</v>
          </cell>
          <cell r="H4202">
            <v>4180</v>
          </cell>
          <cell r="Q4202">
            <v>14</v>
          </cell>
        </row>
        <row r="4203">
          <cell r="D4203" t="str">
            <v>9049-71-2</v>
          </cell>
          <cell r="E4203">
            <v>9049712</v>
          </cell>
          <cell r="F4203" t="str">
            <v>-</v>
          </cell>
          <cell r="G4203" t="str">
            <v>-</v>
          </cell>
          <cell r="H4203">
            <v>4181</v>
          </cell>
          <cell r="Q4203">
            <v>14</v>
          </cell>
        </row>
        <row r="4204">
          <cell r="D4204" t="str">
            <v>51000-52-3</v>
          </cell>
          <cell r="E4204">
            <v>51000523</v>
          </cell>
          <cell r="F4204" t="str">
            <v>-</v>
          </cell>
          <cell r="G4204" t="str">
            <v>-</v>
          </cell>
          <cell r="H4204">
            <v>4182</v>
          </cell>
          <cell r="Q4204">
            <v>14</v>
          </cell>
        </row>
        <row r="4205">
          <cell r="D4205" t="str">
            <v>740817-83-8</v>
          </cell>
          <cell r="E4205">
            <v>740817838</v>
          </cell>
          <cell r="F4205" t="str">
            <v>-</v>
          </cell>
          <cell r="G4205" t="str">
            <v>-</v>
          </cell>
          <cell r="H4205">
            <v>4183</v>
          </cell>
          <cell r="Q4205">
            <v>14</v>
          </cell>
        </row>
        <row r="4206">
          <cell r="D4206" t="str">
            <v>102242-52-4</v>
          </cell>
          <cell r="E4206">
            <v>102242524</v>
          </cell>
          <cell r="F4206" t="str">
            <v>-</v>
          </cell>
          <cell r="G4206" t="str">
            <v>-</v>
          </cell>
          <cell r="H4206">
            <v>4184</v>
          </cell>
          <cell r="Q4206">
            <v>14</v>
          </cell>
        </row>
        <row r="4207">
          <cell r="D4207" t="str">
            <v>52625-13-5</v>
          </cell>
          <cell r="E4207">
            <v>52625135</v>
          </cell>
          <cell r="F4207" t="str">
            <v>-</v>
          </cell>
          <cell r="G4207" t="str">
            <v>-</v>
          </cell>
          <cell r="H4207">
            <v>4185</v>
          </cell>
          <cell r="Q4207">
            <v>14</v>
          </cell>
        </row>
        <row r="4208">
          <cell r="D4208" t="str">
            <v>92128-68-2</v>
          </cell>
          <cell r="E4208">
            <v>92128682</v>
          </cell>
          <cell r="F4208" t="str">
            <v>-</v>
          </cell>
          <cell r="G4208" t="str">
            <v>-</v>
          </cell>
          <cell r="H4208">
            <v>4186</v>
          </cell>
          <cell r="Q4208">
            <v>14</v>
          </cell>
        </row>
        <row r="4209">
          <cell r="D4209" t="str">
            <v>25791-96-2</v>
          </cell>
          <cell r="E4209">
            <v>25791962</v>
          </cell>
          <cell r="F4209" t="str">
            <v>-</v>
          </cell>
          <cell r="G4209" t="str">
            <v>-</v>
          </cell>
          <cell r="H4209">
            <v>4187</v>
          </cell>
          <cell r="Q4209">
            <v>14</v>
          </cell>
        </row>
        <row r="4210">
          <cell r="D4210" t="str">
            <v>71808-39-4</v>
          </cell>
          <cell r="E4210">
            <v>71808394</v>
          </cell>
          <cell r="F4210" t="str">
            <v>-</v>
          </cell>
          <cell r="G4210" t="str">
            <v>-</v>
          </cell>
          <cell r="H4210">
            <v>4188</v>
          </cell>
          <cell r="Q4210">
            <v>14</v>
          </cell>
        </row>
        <row r="4211">
          <cell r="D4211" t="str">
            <v>84649-84-3</v>
          </cell>
          <cell r="E4211">
            <v>84649843</v>
          </cell>
          <cell r="F4211" t="str">
            <v>-</v>
          </cell>
          <cell r="G4211" t="str">
            <v>-</v>
          </cell>
          <cell r="H4211">
            <v>4189</v>
          </cell>
          <cell r="Q4211">
            <v>14</v>
          </cell>
        </row>
        <row r="4212">
          <cell r="D4212" t="str">
            <v>8013-07-8</v>
          </cell>
          <cell r="E4212">
            <v>8013078</v>
          </cell>
          <cell r="F4212" t="str">
            <v>-</v>
          </cell>
          <cell r="G4212" t="str">
            <v>-</v>
          </cell>
          <cell r="H4212">
            <v>4190</v>
          </cell>
          <cell r="Q4212">
            <v>14</v>
          </cell>
        </row>
        <row r="4213">
          <cell r="D4213" t="str">
            <v>61788-89-4</v>
          </cell>
          <cell r="E4213">
            <v>61788894</v>
          </cell>
          <cell r="F4213" t="str">
            <v>-</v>
          </cell>
          <cell r="G4213" t="str">
            <v>-</v>
          </cell>
          <cell r="H4213">
            <v>4191</v>
          </cell>
          <cell r="Q4213">
            <v>14</v>
          </cell>
        </row>
        <row r="4214">
          <cell r="D4214" t="str">
            <v>91995-60-7</v>
          </cell>
          <cell r="E4214">
            <v>91995607</v>
          </cell>
          <cell r="F4214" t="str">
            <v>-</v>
          </cell>
          <cell r="G4214" t="str">
            <v>-</v>
          </cell>
          <cell r="H4214">
            <v>4192</v>
          </cell>
          <cell r="Q4214">
            <v>14</v>
          </cell>
        </row>
        <row r="4215">
          <cell r="D4215" t="str">
            <v>68187-58-6</v>
          </cell>
          <cell r="E4215">
            <v>68187586</v>
          </cell>
          <cell r="F4215" t="str">
            <v>-</v>
          </cell>
          <cell r="G4215" t="str">
            <v>-</v>
          </cell>
          <cell r="H4215">
            <v>4193</v>
          </cell>
          <cell r="Q4215">
            <v>14</v>
          </cell>
        </row>
        <row r="4216">
          <cell r="D4216" t="str">
            <v>68477-35-0</v>
          </cell>
          <cell r="E4216">
            <v>68477350</v>
          </cell>
          <cell r="F4216" t="str">
            <v>-</v>
          </cell>
          <cell r="G4216" t="str">
            <v>-</v>
          </cell>
          <cell r="H4216">
            <v>4194</v>
          </cell>
          <cell r="Q4216">
            <v>14</v>
          </cell>
        </row>
        <row r="4217">
          <cell r="D4217" t="str">
            <v>42978-66-5</v>
          </cell>
          <cell r="E4217">
            <v>42978665</v>
          </cell>
          <cell r="F4217" t="str">
            <v>-</v>
          </cell>
          <cell r="G4217" t="str">
            <v>-</v>
          </cell>
          <cell r="H4217">
            <v>4195</v>
          </cell>
          <cell r="Q4217">
            <v>14</v>
          </cell>
        </row>
        <row r="4218">
          <cell r="D4218" t="str">
            <v>9003-29-6</v>
          </cell>
          <cell r="E4218">
            <v>9003296</v>
          </cell>
          <cell r="F4218" t="str">
            <v>-</v>
          </cell>
          <cell r="G4218" t="str">
            <v>-</v>
          </cell>
          <cell r="H4218">
            <v>4196</v>
          </cell>
          <cell r="Q4218">
            <v>14</v>
          </cell>
        </row>
        <row r="4219">
          <cell r="D4219" t="str">
            <v>68915-38-8</v>
          </cell>
          <cell r="E4219">
            <v>68915388</v>
          </cell>
          <cell r="F4219" t="str">
            <v>-</v>
          </cell>
          <cell r="G4219" t="str">
            <v>-</v>
          </cell>
          <cell r="H4219">
            <v>4197</v>
          </cell>
          <cell r="Q4219">
            <v>14</v>
          </cell>
        </row>
        <row r="4220">
          <cell r="D4220" t="str">
            <v>67701-05-7</v>
          </cell>
          <cell r="E4220">
            <v>67701057</v>
          </cell>
          <cell r="F4220" t="str">
            <v>-</v>
          </cell>
          <cell r="G4220" t="str">
            <v>-</v>
          </cell>
          <cell r="H4220">
            <v>4198</v>
          </cell>
          <cell r="Q4220">
            <v>14</v>
          </cell>
        </row>
        <row r="4221">
          <cell r="D4221" t="str">
            <v>8006-64-2</v>
          </cell>
          <cell r="E4221">
            <v>8006642</v>
          </cell>
          <cell r="F4221" t="str">
            <v>-</v>
          </cell>
          <cell r="G4221" t="str">
            <v>-</v>
          </cell>
          <cell r="H4221">
            <v>4199</v>
          </cell>
          <cell r="Q4221">
            <v>14</v>
          </cell>
        </row>
        <row r="4222">
          <cell r="D4222" t="str">
            <v>85586-07-8</v>
          </cell>
          <cell r="E4222">
            <v>85586078</v>
          </cell>
          <cell r="F4222" t="str">
            <v>-</v>
          </cell>
          <cell r="G4222" t="str">
            <v>-</v>
          </cell>
          <cell r="H4222">
            <v>4200</v>
          </cell>
          <cell r="Q4222">
            <v>14</v>
          </cell>
        </row>
        <row r="4223">
          <cell r="D4223" t="str">
            <v>84961-70-6</v>
          </cell>
          <cell r="E4223">
            <v>84961706</v>
          </cell>
          <cell r="F4223" t="str">
            <v>-</v>
          </cell>
          <cell r="G4223" t="str">
            <v>-</v>
          </cell>
          <cell r="H4223">
            <v>4201</v>
          </cell>
          <cell r="Q4223">
            <v>14</v>
          </cell>
        </row>
        <row r="4224">
          <cell r="D4224" t="str">
            <v>27458-92-0</v>
          </cell>
          <cell r="E4224">
            <v>27458920</v>
          </cell>
          <cell r="F4224" t="str">
            <v>-</v>
          </cell>
          <cell r="G4224" t="str">
            <v>-</v>
          </cell>
          <cell r="H4224">
            <v>4202</v>
          </cell>
          <cell r="Q4224">
            <v>14</v>
          </cell>
        </row>
        <row r="4225">
          <cell r="D4225" t="str">
            <v>84650-02-2</v>
          </cell>
          <cell r="E4225">
            <v>84650022</v>
          </cell>
          <cell r="F4225" t="str">
            <v>-</v>
          </cell>
          <cell r="G4225" t="str">
            <v>-</v>
          </cell>
          <cell r="H4225">
            <v>4203</v>
          </cell>
          <cell r="Q4225">
            <v>14</v>
          </cell>
        </row>
        <row r="4226">
          <cell r="D4226" t="str">
            <v>85566-26-3</v>
          </cell>
          <cell r="E4226">
            <v>85566263</v>
          </cell>
          <cell r="F4226" t="str">
            <v>-</v>
          </cell>
          <cell r="G4226" t="str">
            <v>-</v>
          </cell>
          <cell r="H4226">
            <v>4204</v>
          </cell>
          <cell r="Q4226">
            <v>14</v>
          </cell>
        </row>
        <row r="4227">
          <cell r="D4227" t="str">
            <v>8050-26-8</v>
          </cell>
          <cell r="E4227">
            <v>8050268</v>
          </cell>
          <cell r="F4227" t="str">
            <v>-</v>
          </cell>
          <cell r="G4227" t="str">
            <v>-</v>
          </cell>
          <cell r="H4227">
            <v>4205</v>
          </cell>
          <cell r="Q4227">
            <v>14</v>
          </cell>
        </row>
        <row r="4228">
          <cell r="D4228" t="str">
            <v>84650-03-3</v>
          </cell>
          <cell r="E4228">
            <v>84650033</v>
          </cell>
          <cell r="F4228" t="str">
            <v>-</v>
          </cell>
          <cell r="G4228" t="str">
            <v>-</v>
          </cell>
          <cell r="H4228">
            <v>4206</v>
          </cell>
          <cell r="Q4228">
            <v>14</v>
          </cell>
        </row>
        <row r="4229">
          <cell r="D4229" t="str">
            <v>161074-79-9</v>
          </cell>
          <cell r="E4229">
            <v>161074799</v>
          </cell>
          <cell r="F4229" t="str">
            <v>-</v>
          </cell>
          <cell r="G4229" t="str">
            <v>-</v>
          </cell>
          <cell r="H4229">
            <v>4207</v>
          </cell>
          <cell r="Q4229">
            <v>14</v>
          </cell>
        </row>
        <row r="4230">
          <cell r="D4230" t="str">
            <v>68937-75-7</v>
          </cell>
          <cell r="E4230">
            <v>68937757</v>
          </cell>
          <cell r="F4230" t="str">
            <v>-</v>
          </cell>
          <cell r="G4230" t="str">
            <v>-</v>
          </cell>
          <cell r="H4230">
            <v>4208</v>
          </cell>
          <cell r="Q4230">
            <v>14</v>
          </cell>
        </row>
        <row r="4231">
          <cell r="D4231" t="str">
            <v>97280-83-6</v>
          </cell>
          <cell r="E4231">
            <v>97280836</v>
          </cell>
          <cell r="F4231" t="str">
            <v>-</v>
          </cell>
          <cell r="G4231" t="str">
            <v>-</v>
          </cell>
          <cell r="H4231">
            <v>4209</v>
          </cell>
          <cell r="Q4231">
            <v>14</v>
          </cell>
        </row>
        <row r="4232">
          <cell r="D4232" t="str">
            <v>91051-01-3</v>
          </cell>
          <cell r="E4232">
            <v>91051013</v>
          </cell>
          <cell r="F4232" t="str">
            <v>-</v>
          </cell>
          <cell r="G4232" t="str">
            <v>-</v>
          </cell>
          <cell r="H4232">
            <v>4210</v>
          </cell>
          <cell r="Q4232">
            <v>14</v>
          </cell>
        </row>
        <row r="4233">
          <cell r="D4233" t="str">
            <v>1234694-02-0</v>
          </cell>
          <cell r="E4233">
            <v>1234694020</v>
          </cell>
          <cell r="F4233" t="str">
            <v>-</v>
          </cell>
          <cell r="G4233" t="str">
            <v>-</v>
          </cell>
          <cell r="H4233">
            <v>4211</v>
          </cell>
          <cell r="Q4233">
            <v>14</v>
          </cell>
        </row>
        <row r="4234">
          <cell r="D4234" t="str">
            <v>26780-96-1</v>
          </cell>
          <cell r="E4234">
            <v>26780961</v>
          </cell>
          <cell r="F4234" t="str">
            <v>-</v>
          </cell>
          <cell r="G4234" t="str">
            <v>-</v>
          </cell>
          <cell r="H4234">
            <v>4212</v>
          </cell>
          <cell r="Q4234">
            <v>14</v>
          </cell>
        </row>
        <row r="4235">
          <cell r="D4235" t="str">
            <v>1079184-43-2</v>
          </cell>
          <cell r="E4235">
            <v>1079184432</v>
          </cell>
          <cell r="F4235" t="str">
            <v>-</v>
          </cell>
          <cell r="G4235" t="str">
            <v>-</v>
          </cell>
          <cell r="H4235">
            <v>4213</v>
          </cell>
          <cell r="Q4235">
            <v>14</v>
          </cell>
        </row>
        <row r="4236">
          <cell r="D4236" t="str">
            <v>34590-94-8</v>
          </cell>
          <cell r="E4236">
            <v>34590948</v>
          </cell>
          <cell r="F4236" t="str">
            <v>-</v>
          </cell>
          <cell r="G4236" t="str">
            <v>-</v>
          </cell>
          <cell r="H4236">
            <v>4214</v>
          </cell>
          <cell r="Q4236">
            <v>14</v>
          </cell>
        </row>
        <row r="4237">
          <cell r="D4237" t="str">
            <v>65997-03-7</v>
          </cell>
          <cell r="E4237">
            <v>65997037</v>
          </cell>
          <cell r="F4237" t="str">
            <v>-</v>
          </cell>
          <cell r="G4237" t="str">
            <v>-</v>
          </cell>
          <cell r="H4237">
            <v>4215</v>
          </cell>
          <cell r="Q4237">
            <v>14</v>
          </cell>
        </row>
        <row r="4238">
          <cell r="D4238" t="str">
            <v>97489-15-1</v>
          </cell>
          <cell r="E4238">
            <v>97489151</v>
          </cell>
          <cell r="F4238" t="str">
            <v>-</v>
          </cell>
          <cell r="G4238" t="str">
            <v>-</v>
          </cell>
          <cell r="H4238">
            <v>4216</v>
          </cell>
          <cell r="Q4238">
            <v>14</v>
          </cell>
        </row>
        <row r="4239">
          <cell r="D4239" t="str">
            <v>25686-28-6</v>
          </cell>
          <cell r="E4239">
            <v>25686286</v>
          </cell>
          <cell r="F4239" t="str">
            <v>-</v>
          </cell>
          <cell r="G4239" t="str">
            <v>-</v>
          </cell>
          <cell r="H4239">
            <v>4217</v>
          </cell>
          <cell r="Q4239">
            <v>14</v>
          </cell>
        </row>
        <row r="4240">
          <cell r="D4240" t="str">
            <v>5392-40-5</v>
          </cell>
          <cell r="E4240">
            <v>5392405</v>
          </cell>
          <cell r="F4240" t="str">
            <v>-</v>
          </cell>
          <cell r="G4240" t="str">
            <v>-</v>
          </cell>
          <cell r="H4240">
            <v>4218</v>
          </cell>
          <cell r="Q4240">
            <v>14</v>
          </cell>
        </row>
        <row r="4241">
          <cell r="D4241" t="str">
            <v>121158-58-5</v>
          </cell>
          <cell r="E4241">
            <v>121158585</v>
          </cell>
          <cell r="F4241" t="str">
            <v>-</v>
          </cell>
          <cell r="G4241" t="str">
            <v>-</v>
          </cell>
          <cell r="H4241">
            <v>4219</v>
          </cell>
          <cell r="Q4241">
            <v>14</v>
          </cell>
        </row>
        <row r="4242">
          <cell r="D4242" t="str">
            <v>68002-71-1</v>
          </cell>
          <cell r="E4242">
            <v>68002711</v>
          </cell>
          <cell r="F4242" t="str">
            <v>-</v>
          </cell>
          <cell r="G4242" t="str">
            <v>-</v>
          </cell>
          <cell r="H4242">
            <v>4220</v>
          </cell>
          <cell r="Q4242">
            <v>14</v>
          </cell>
        </row>
        <row r="4243">
          <cell r="D4243" t="str">
            <v>65996-83-0</v>
          </cell>
          <cell r="E4243">
            <v>65996830</v>
          </cell>
          <cell r="F4243" t="str">
            <v>-</v>
          </cell>
          <cell r="G4243" t="str">
            <v>-</v>
          </cell>
          <cell r="H4243">
            <v>4221</v>
          </cell>
          <cell r="Q4243">
            <v>14</v>
          </cell>
        </row>
        <row r="4244">
          <cell r="D4244" t="str">
            <v>68603-87-2</v>
          </cell>
          <cell r="E4244">
            <v>68603872</v>
          </cell>
          <cell r="F4244" t="str">
            <v>-</v>
          </cell>
          <cell r="G4244" t="str">
            <v>-</v>
          </cell>
          <cell r="H4244">
            <v>4222</v>
          </cell>
          <cell r="Q4244">
            <v>14</v>
          </cell>
        </row>
        <row r="4245">
          <cell r="D4245" t="str">
            <v>68784-26-9</v>
          </cell>
          <cell r="E4245">
            <v>68784269</v>
          </cell>
          <cell r="F4245" t="str">
            <v>-</v>
          </cell>
          <cell r="G4245" t="str">
            <v>-</v>
          </cell>
          <cell r="H4245">
            <v>4223</v>
          </cell>
          <cell r="Q4245">
            <v>14</v>
          </cell>
        </row>
        <row r="4246">
          <cell r="D4246" t="str">
            <v>65997-04-8</v>
          </cell>
          <cell r="E4246">
            <v>65997048</v>
          </cell>
          <cell r="F4246" t="str">
            <v>-</v>
          </cell>
          <cell r="G4246" t="str">
            <v>-</v>
          </cell>
          <cell r="H4246">
            <v>4224</v>
          </cell>
          <cell r="Q4246">
            <v>14</v>
          </cell>
        </row>
        <row r="4247">
          <cell r="D4247" t="str">
            <v>85566-16-1</v>
          </cell>
          <cell r="E4247">
            <v>85566161</v>
          </cell>
          <cell r="F4247" t="str">
            <v>-</v>
          </cell>
          <cell r="G4247" t="str">
            <v>-</v>
          </cell>
          <cell r="H4247">
            <v>4225</v>
          </cell>
          <cell r="Q4247">
            <v>14</v>
          </cell>
        </row>
        <row r="4248">
          <cell r="D4248" t="str">
            <v>90640-81-6</v>
          </cell>
          <cell r="E4248">
            <v>90640816</v>
          </cell>
          <cell r="F4248" t="str">
            <v>-</v>
          </cell>
          <cell r="G4248" t="str">
            <v>-</v>
          </cell>
          <cell r="H4248">
            <v>4226</v>
          </cell>
          <cell r="Q4248">
            <v>14</v>
          </cell>
        </row>
        <row r="4249">
          <cell r="D4249" t="str">
            <v>8050-31-5</v>
          </cell>
          <cell r="E4249">
            <v>8050315</v>
          </cell>
          <cell r="F4249" t="str">
            <v>-</v>
          </cell>
          <cell r="G4249" t="str">
            <v>-</v>
          </cell>
          <cell r="H4249">
            <v>4227</v>
          </cell>
          <cell r="Q4249">
            <v>14</v>
          </cell>
        </row>
        <row r="4250">
          <cell r="D4250" t="str">
            <v>1207435-39-9</v>
          </cell>
          <cell r="E4250">
            <v>1207435399</v>
          </cell>
          <cell r="F4250" t="str">
            <v>-</v>
          </cell>
          <cell r="G4250" t="str">
            <v>-</v>
          </cell>
          <cell r="H4250">
            <v>4228</v>
          </cell>
          <cell r="Q4250">
            <v>14</v>
          </cell>
        </row>
        <row r="4251">
          <cell r="D4251" t="str">
            <v>160901-19-9</v>
          </cell>
          <cell r="E4251">
            <v>160901199</v>
          </cell>
          <cell r="F4251" t="str">
            <v>-</v>
          </cell>
          <cell r="G4251" t="str">
            <v>-</v>
          </cell>
          <cell r="H4251">
            <v>4229</v>
          </cell>
          <cell r="Q4251">
            <v>14</v>
          </cell>
        </row>
        <row r="4252">
          <cell r="D4252" t="str">
            <v>68955-98-6</v>
          </cell>
          <cell r="E4252">
            <v>68955986</v>
          </cell>
          <cell r="F4252" t="str">
            <v>-</v>
          </cell>
          <cell r="G4252" t="str">
            <v>-</v>
          </cell>
          <cell r="H4252">
            <v>4230</v>
          </cell>
          <cell r="Q4252">
            <v>14</v>
          </cell>
        </row>
        <row r="4253">
          <cell r="D4253" t="str">
            <v>97280-95-0</v>
          </cell>
          <cell r="E4253">
            <v>97280950</v>
          </cell>
          <cell r="F4253" t="str">
            <v>-</v>
          </cell>
          <cell r="G4253" t="str">
            <v>-</v>
          </cell>
          <cell r="H4253">
            <v>4231</v>
          </cell>
          <cell r="Q4253">
            <v>14</v>
          </cell>
        </row>
        <row r="4254">
          <cell r="D4254" t="str">
            <v>93924-10-8</v>
          </cell>
          <cell r="E4254">
            <v>93924108</v>
          </cell>
          <cell r="F4254" t="str">
            <v>-</v>
          </cell>
          <cell r="G4254" t="str">
            <v>-</v>
          </cell>
          <cell r="H4254">
            <v>4232</v>
          </cell>
          <cell r="Q4254">
            <v>14</v>
          </cell>
        </row>
        <row r="4255">
          <cell r="D4255" t="str">
            <v>9003-36-5</v>
          </cell>
          <cell r="E4255">
            <v>9003365</v>
          </cell>
          <cell r="F4255" t="str">
            <v>-</v>
          </cell>
          <cell r="G4255" t="str">
            <v>-</v>
          </cell>
          <cell r="H4255">
            <v>4233</v>
          </cell>
          <cell r="Q4255">
            <v>14</v>
          </cell>
        </row>
        <row r="4256">
          <cell r="D4256" t="str">
            <v>75782-86-4</v>
          </cell>
          <cell r="E4256">
            <v>75782864</v>
          </cell>
          <cell r="F4256" t="str">
            <v>-</v>
          </cell>
          <cell r="G4256" t="str">
            <v>-</v>
          </cell>
          <cell r="H4256">
            <v>4234</v>
          </cell>
          <cell r="Q4256">
            <v>14</v>
          </cell>
        </row>
        <row r="4257">
          <cell r="D4257" t="str">
            <v>85408-62-4</v>
          </cell>
          <cell r="E4257">
            <v>85408624</v>
          </cell>
          <cell r="F4257" t="str">
            <v>-</v>
          </cell>
          <cell r="G4257" t="str">
            <v>-</v>
          </cell>
          <cell r="H4257">
            <v>4235</v>
          </cell>
          <cell r="Q4257">
            <v>14</v>
          </cell>
        </row>
        <row r="4258">
          <cell r="D4258" t="str">
            <v>90640-67-8</v>
          </cell>
          <cell r="E4258">
            <v>90640678</v>
          </cell>
          <cell r="F4258" t="str">
            <v>-</v>
          </cell>
          <cell r="G4258" t="str">
            <v>-</v>
          </cell>
          <cell r="H4258">
            <v>4236</v>
          </cell>
          <cell r="Q4258">
            <v>14</v>
          </cell>
        </row>
        <row r="4259">
          <cell r="D4259" t="str">
            <v>8028-48-6</v>
          </cell>
          <cell r="E4259">
            <v>8028486</v>
          </cell>
          <cell r="F4259" t="str">
            <v>-</v>
          </cell>
          <cell r="G4259" t="str">
            <v>-</v>
          </cell>
          <cell r="H4259">
            <v>4237</v>
          </cell>
          <cell r="Q4259">
            <v>14</v>
          </cell>
        </row>
        <row r="4260">
          <cell r="D4260" t="str">
            <v>67701-01-3</v>
          </cell>
          <cell r="E4260">
            <v>67701013</v>
          </cell>
          <cell r="F4260" t="str">
            <v>-</v>
          </cell>
          <cell r="G4260" t="str">
            <v>-</v>
          </cell>
          <cell r="H4260">
            <v>4238</v>
          </cell>
          <cell r="Q4260">
            <v>14</v>
          </cell>
        </row>
        <row r="4261">
          <cell r="D4261" t="str">
            <v>90990-08-2</v>
          </cell>
          <cell r="E4261">
            <v>90990082</v>
          </cell>
          <cell r="F4261" t="str">
            <v>-</v>
          </cell>
          <cell r="G4261" t="str">
            <v>-</v>
          </cell>
          <cell r="H4261">
            <v>4239</v>
          </cell>
          <cell r="Q4261">
            <v>14</v>
          </cell>
        </row>
        <row r="4262">
          <cell r="D4262" t="str">
            <v>25637-99-4</v>
          </cell>
          <cell r="E4262">
            <v>25637994</v>
          </cell>
          <cell r="F4262" t="str">
            <v>-</v>
          </cell>
          <cell r="G4262" t="str">
            <v>-</v>
          </cell>
          <cell r="H4262">
            <v>4240</v>
          </cell>
          <cell r="Q4262">
            <v>14</v>
          </cell>
        </row>
        <row r="4263">
          <cell r="D4263" t="str">
            <v>39202-17-0</v>
          </cell>
          <cell r="E4263">
            <v>39202170</v>
          </cell>
          <cell r="F4263" t="str">
            <v>-</v>
          </cell>
          <cell r="G4263" t="str">
            <v>-</v>
          </cell>
          <cell r="H4263">
            <v>4241</v>
          </cell>
          <cell r="Q4263">
            <v>14</v>
          </cell>
        </row>
        <row r="4264">
          <cell r="D4264" t="str">
            <v>25103-58-6</v>
          </cell>
          <cell r="E4264">
            <v>25103586</v>
          </cell>
          <cell r="F4264" t="str">
            <v>-</v>
          </cell>
          <cell r="G4264" t="str">
            <v>-</v>
          </cell>
          <cell r="H4264">
            <v>4242</v>
          </cell>
          <cell r="Q4264">
            <v>14</v>
          </cell>
        </row>
        <row r="4265">
          <cell r="D4265" t="str">
            <v>90604-40-3</v>
          </cell>
          <cell r="E4265">
            <v>90604403</v>
          </cell>
          <cell r="F4265" t="str">
            <v>-</v>
          </cell>
          <cell r="G4265" t="str">
            <v>-</v>
          </cell>
          <cell r="H4265">
            <v>4243</v>
          </cell>
          <cell r="Q4265">
            <v>14</v>
          </cell>
        </row>
        <row r="4266">
          <cell r="D4266" t="str">
            <v>61790-51-0</v>
          </cell>
          <cell r="E4266">
            <v>61790510</v>
          </cell>
          <cell r="F4266" t="str">
            <v>-</v>
          </cell>
          <cell r="G4266" t="str">
            <v>-</v>
          </cell>
          <cell r="H4266">
            <v>4244</v>
          </cell>
          <cell r="Q4266">
            <v>14</v>
          </cell>
        </row>
        <row r="4267">
          <cell r="D4267" t="str">
            <v>161907-77-3</v>
          </cell>
          <cell r="E4267">
            <v>161907773</v>
          </cell>
          <cell r="F4267" t="str">
            <v>-</v>
          </cell>
          <cell r="G4267" t="str">
            <v>-</v>
          </cell>
          <cell r="H4267">
            <v>4245</v>
          </cell>
          <cell r="Q4267">
            <v>14</v>
          </cell>
        </row>
        <row r="4268">
          <cell r="D4268" t="str">
            <v>164383-22-6</v>
          </cell>
          <cell r="E4268">
            <v>164383226</v>
          </cell>
          <cell r="F4268" t="str">
            <v>-</v>
          </cell>
          <cell r="G4268" t="str">
            <v>-</v>
          </cell>
          <cell r="H4268">
            <v>4246</v>
          </cell>
          <cell r="Q4268">
            <v>14</v>
          </cell>
        </row>
        <row r="4269">
          <cell r="D4269" t="str">
            <v>84989-41-3</v>
          </cell>
          <cell r="E4269">
            <v>84989413</v>
          </cell>
          <cell r="F4269" t="str">
            <v>-</v>
          </cell>
          <cell r="G4269" t="str">
            <v>-</v>
          </cell>
          <cell r="H4269">
            <v>4247</v>
          </cell>
          <cell r="Q4269">
            <v>14</v>
          </cell>
        </row>
        <row r="4270">
          <cell r="D4270" t="str">
            <v>85586-21-6</v>
          </cell>
          <cell r="E4270">
            <v>85586216</v>
          </cell>
          <cell r="F4270" t="str">
            <v>-</v>
          </cell>
          <cell r="G4270" t="str">
            <v>-</v>
          </cell>
          <cell r="H4270">
            <v>4248</v>
          </cell>
          <cell r="Q4270">
            <v>14</v>
          </cell>
        </row>
        <row r="4271">
          <cell r="D4271" t="str">
            <v>68784-12-3</v>
          </cell>
          <cell r="E4271">
            <v>68784123</v>
          </cell>
          <cell r="F4271" t="str">
            <v>-</v>
          </cell>
          <cell r="G4271" t="str">
            <v>-</v>
          </cell>
          <cell r="H4271">
            <v>4249</v>
          </cell>
          <cell r="Q4271">
            <v>14</v>
          </cell>
        </row>
        <row r="4272">
          <cell r="D4272" t="str">
            <v>8001-78-3</v>
          </cell>
          <cell r="E4272">
            <v>8001783</v>
          </cell>
          <cell r="F4272" t="str">
            <v>-</v>
          </cell>
          <cell r="G4272" t="str">
            <v>-</v>
          </cell>
          <cell r="H4272">
            <v>4250</v>
          </cell>
          <cell r="Q4272">
            <v>14</v>
          </cell>
        </row>
        <row r="4273">
          <cell r="D4273" t="str">
            <v>8013-17-0</v>
          </cell>
          <cell r="E4273">
            <v>8013170</v>
          </cell>
          <cell r="F4273" t="str">
            <v>-</v>
          </cell>
          <cell r="G4273" t="str">
            <v>-</v>
          </cell>
          <cell r="H4273">
            <v>4251</v>
          </cell>
          <cell r="Q4273">
            <v>14</v>
          </cell>
        </row>
        <row r="4274">
          <cell r="D4274" t="str">
            <v>66455-17-2</v>
          </cell>
          <cell r="E4274">
            <v>66455172</v>
          </cell>
          <cell r="F4274" t="str">
            <v>-</v>
          </cell>
          <cell r="G4274" t="str">
            <v>-</v>
          </cell>
          <cell r="H4274">
            <v>4252</v>
          </cell>
          <cell r="Q4274">
            <v>14</v>
          </cell>
        </row>
        <row r="4275">
          <cell r="D4275" t="str">
            <v>91051-05-7</v>
          </cell>
          <cell r="E4275">
            <v>91051057</v>
          </cell>
          <cell r="F4275" t="str">
            <v>-</v>
          </cell>
          <cell r="G4275" t="str">
            <v>-</v>
          </cell>
          <cell r="H4275">
            <v>4253</v>
          </cell>
          <cell r="Q4275">
            <v>14</v>
          </cell>
        </row>
        <row r="4276">
          <cell r="D4276" t="str">
            <v>94581-15-4</v>
          </cell>
          <cell r="E4276">
            <v>94581154</v>
          </cell>
          <cell r="F4276" t="str">
            <v>-</v>
          </cell>
          <cell r="G4276" t="str">
            <v>-</v>
          </cell>
          <cell r="H4276">
            <v>4254</v>
          </cell>
          <cell r="Q4276">
            <v>14</v>
          </cell>
        </row>
        <row r="4277">
          <cell r="D4277" t="str">
            <v>68037-95-6</v>
          </cell>
          <cell r="E4277">
            <v>68037956</v>
          </cell>
          <cell r="F4277" t="str">
            <v>-</v>
          </cell>
          <cell r="G4277" t="str">
            <v>-</v>
          </cell>
          <cell r="H4277">
            <v>4255</v>
          </cell>
          <cell r="Q4277">
            <v>14</v>
          </cell>
        </row>
        <row r="4278">
          <cell r="D4278" t="str">
            <v>68526-86-3</v>
          </cell>
          <cell r="E4278">
            <v>68526863</v>
          </cell>
          <cell r="F4278" t="str">
            <v>-</v>
          </cell>
          <cell r="G4278" t="str">
            <v>-</v>
          </cell>
          <cell r="H4278">
            <v>4256</v>
          </cell>
          <cell r="Q4278">
            <v>14</v>
          </cell>
        </row>
        <row r="4279">
          <cell r="D4279" t="str">
            <v>68526-89-6</v>
          </cell>
          <cell r="E4279">
            <v>68526896</v>
          </cell>
          <cell r="F4279" t="str">
            <v>-</v>
          </cell>
          <cell r="G4279" t="str">
            <v>-</v>
          </cell>
          <cell r="H4279">
            <v>4257</v>
          </cell>
          <cell r="Q4279">
            <v>14</v>
          </cell>
        </row>
        <row r="4280">
          <cell r="D4280" t="str">
            <v>68938-03-4</v>
          </cell>
          <cell r="E4280">
            <v>68938034</v>
          </cell>
          <cell r="F4280" t="str">
            <v>-</v>
          </cell>
          <cell r="G4280" t="str">
            <v>-</v>
          </cell>
          <cell r="H4280">
            <v>4258</v>
          </cell>
          <cell r="Q4280">
            <v>14</v>
          </cell>
        </row>
        <row r="4281">
          <cell r="D4281" t="str">
            <v>67701-28-4</v>
          </cell>
          <cell r="E4281">
            <v>67701284</v>
          </cell>
          <cell r="F4281" t="str">
            <v>-</v>
          </cell>
          <cell r="G4281" t="str">
            <v>-</v>
          </cell>
          <cell r="H4281">
            <v>4259</v>
          </cell>
          <cell r="Q4281">
            <v>14</v>
          </cell>
        </row>
        <row r="4282">
          <cell r="D4282" t="str">
            <v>1345668-40-7</v>
          </cell>
          <cell r="E4282">
            <v>1345668407</v>
          </cell>
          <cell r="F4282" t="str">
            <v>-</v>
          </cell>
          <cell r="G4282" t="str">
            <v>-</v>
          </cell>
          <cell r="H4282">
            <v>4260</v>
          </cell>
          <cell r="Q4282">
            <v>14</v>
          </cell>
        </row>
        <row r="4283">
          <cell r="D4283" t="str">
            <v>91082-17-6</v>
          </cell>
          <cell r="E4283">
            <v>91082176</v>
          </cell>
          <cell r="F4283" t="str">
            <v>-</v>
          </cell>
          <cell r="G4283" t="str">
            <v>-</v>
          </cell>
          <cell r="H4283">
            <v>4261</v>
          </cell>
          <cell r="Q4283">
            <v>14</v>
          </cell>
        </row>
        <row r="4284">
          <cell r="D4284" t="str">
            <v>90640-32-7</v>
          </cell>
          <cell r="E4284">
            <v>90640327</v>
          </cell>
          <cell r="F4284" t="str">
            <v>-</v>
          </cell>
          <cell r="G4284" t="str">
            <v>-</v>
          </cell>
          <cell r="H4284">
            <v>4262</v>
          </cell>
          <cell r="Q4284">
            <v>14</v>
          </cell>
        </row>
        <row r="4285">
          <cell r="D4285" t="str">
            <v>63449-39-8</v>
          </cell>
          <cell r="E4285">
            <v>63449398</v>
          </cell>
          <cell r="F4285" t="str">
            <v>-</v>
          </cell>
          <cell r="G4285" t="str">
            <v>-</v>
          </cell>
          <cell r="H4285">
            <v>4263</v>
          </cell>
          <cell r="Q4285">
            <v>14</v>
          </cell>
        </row>
        <row r="4286">
          <cell r="D4286" t="str">
            <v>26966-75-6</v>
          </cell>
          <cell r="E4286">
            <v>26966756</v>
          </cell>
          <cell r="F4286" t="str">
            <v>-</v>
          </cell>
          <cell r="G4286" t="str">
            <v>-</v>
          </cell>
          <cell r="H4286">
            <v>4264</v>
          </cell>
          <cell r="Q4286">
            <v>14</v>
          </cell>
        </row>
        <row r="4287">
          <cell r="D4287" t="str">
            <v>68188-19-2</v>
          </cell>
          <cell r="E4287">
            <v>68188192</v>
          </cell>
          <cell r="F4287" t="str">
            <v>-</v>
          </cell>
          <cell r="G4287" t="str">
            <v>-</v>
          </cell>
          <cell r="H4287">
            <v>4265</v>
          </cell>
          <cell r="Q4287">
            <v>14</v>
          </cell>
        </row>
        <row r="4288">
          <cell r="D4288" t="str">
            <v>71076-48-7</v>
          </cell>
          <cell r="E4288">
            <v>71076487</v>
          </cell>
          <cell r="F4288" t="str">
            <v>-</v>
          </cell>
          <cell r="G4288" t="str">
            <v>-</v>
          </cell>
          <cell r="H4288">
            <v>4266</v>
          </cell>
          <cell r="Q4288">
            <v>14</v>
          </cell>
        </row>
        <row r="4289">
          <cell r="D4289" t="str">
            <v>68514-35-2</v>
          </cell>
          <cell r="E4289">
            <v>68514352</v>
          </cell>
          <cell r="F4289" t="str">
            <v>-</v>
          </cell>
          <cell r="G4289" t="str">
            <v>-</v>
          </cell>
          <cell r="H4289">
            <v>4267</v>
          </cell>
          <cell r="Q4289">
            <v>14</v>
          </cell>
        </row>
        <row r="4290">
          <cell r="D4290" t="str">
            <v>68609-04-1</v>
          </cell>
          <cell r="E4290">
            <v>68609041</v>
          </cell>
          <cell r="F4290" t="str">
            <v>-</v>
          </cell>
          <cell r="G4290" t="str">
            <v>-</v>
          </cell>
          <cell r="H4290">
            <v>4268</v>
          </cell>
          <cell r="Q4290">
            <v>14</v>
          </cell>
        </row>
        <row r="4291">
          <cell r="D4291" t="str">
            <v>85117-10-8</v>
          </cell>
          <cell r="E4291">
            <v>85117108</v>
          </cell>
          <cell r="F4291" t="str">
            <v>-</v>
          </cell>
          <cell r="G4291" t="str">
            <v>-</v>
          </cell>
          <cell r="H4291">
            <v>4269</v>
          </cell>
          <cell r="Q4291">
            <v>14</v>
          </cell>
        </row>
        <row r="4292">
          <cell r="D4292" t="str">
            <v>91994-95-5</v>
          </cell>
          <cell r="E4292">
            <v>91994955</v>
          </cell>
          <cell r="F4292" t="str">
            <v>-</v>
          </cell>
          <cell r="G4292" t="str">
            <v>-</v>
          </cell>
          <cell r="H4292">
            <v>4270</v>
          </cell>
          <cell r="Q4292">
            <v>14</v>
          </cell>
        </row>
        <row r="4293">
          <cell r="D4293" t="str">
            <v>97593-00-5</v>
          </cell>
          <cell r="E4293">
            <v>97593005</v>
          </cell>
          <cell r="F4293" t="str">
            <v>-</v>
          </cell>
          <cell r="G4293" t="str">
            <v>-</v>
          </cell>
          <cell r="H4293">
            <v>4271</v>
          </cell>
          <cell r="Q4293">
            <v>14</v>
          </cell>
        </row>
        <row r="4294">
          <cell r="D4294" t="str">
            <v>68915-39-9</v>
          </cell>
          <cell r="E4294">
            <v>68915399</v>
          </cell>
          <cell r="F4294" t="str">
            <v>-</v>
          </cell>
          <cell r="G4294" t="str">
            <v>-</v>
          </cell>
          <cell r="H4294">
            <v>4272</v>
          </cell>
          <cell r="Q4294">
            <v>14</v>
          </cell>
        </row>
        <row r="4295">
          <cell r="D4295" t="str">
            <v>36878-20-3</v>
          </cell>
          <cell r="E4295">
            <v>36878203</v>
          </cell>
          <cell r="F4295" t="str">
            <v>-</v>
          </cell>
          <cell r="G4295" t="str">
            <v>-</v>
          </cell>
          <cell r="H4295">
            <v>4273</v>
          </cell>
          <cell r="Q4295">
            <v>14</v>
          </cell>
        </row>
        <row r="4296">
          <cell r="D4296" t="str">
            <v>85251-77-0</v>
          </cell>
          <cell r="E4296">
            <v>85251770</v>
          </cell>
          <cell r="F4296" t="str">
            <v>-</v>
          </cell>
          <cell r="G4296" t="str">
            <v>-</v>
          </cell>
          <cell r="H4296">
            <v>4274</v>
          </cell>
          <cell r="Q4296">
            <v>14</v>
          </cell>
        </row>
        <row r="4297">
          <cell r="D4297" t="str">
            <v>61789-28-4</v>
          </cell>
          <cell r="E4297">
            <v>61789284</v>
          </cell>
          <cell r="F4297" t="str">
            <v>-</v>
          </cell>
          <cell r="G4297" t="str">
            <v>-</v>
          </cell>
          <cell r="H4297">
            <v>4275</v>
          </cell>
          <cell r="Q4297">
            <v>14</v>
          </cell>
        </row>
        <row r="4298">
          <cell r="D4298" t="str">
            <v>93685-81-5</v>
          </cell>
          <cell r="E4298">
            <v>93685815</v>
          </cell>
          <cell r="F4298" t="str">
            <v>-</v>
          </cell>
          <cell r="G4298" t="str">
            <v>-</v>
          </cell>
          <cell r="H4298">
            <v>4276</v>
          </cell>
          <cell r="Q4298">
            <v>14</v>
          </cell>
        </row>
        <row r="4299">
          <cell r="D4299" t="str">
            <v>90640-82-7</v>
          </cell>
          <cell r="E4299">
            <v>90640827</v>
          </cell>
          <cell r="F4299" t="str">
            <v>-</v>
          </cell>
          <cell r="G4299" t="str">
            <v>-</v>
          </cell>
          <cell r="H4299">
            <v>4277</v>
          </cell>
          <cell r="Q4299">
            <v>14</v>
          </cell>
        </row>
        <row r="4300">
          <cell r="D4300" t="str">
            <v>90552-02-6</v>
          </cell>
          <cell r="E4300">
            <v>90552026</v>
          </cell>
          <cell r="F4300" t="str">
            <v>-</v>
          </cell>
          <cell r="G4300" t="str">
            <v>-</v>
          </cell>
          <cell r="H4300">
            <v>4278</v>
          </cell>
          <cell r="Q4300">
            <v>14</v>
          </cell>
        </row>
        <row r="4301">
          <cell r="D4301" t="str">
            <v>25214-63-5</v>
          </cell>
          <cell r="E4301">
            <v>25214635</v>
          </cell>
          <cell r="F4301" t="str">
            <v>-</v>
          </cell>
          <cell r="G4301" t="str">
            <v>-</v>
          </cell>
          <cell r="H4301">
            <v>4279</v>
          </cell>
          <cell r="Q4301">
            <v>14</v>
          </cell>
        </row>
        <row r="4302">
          <cell r="D4302" t="str">
            <v>94279-54-6</v>
          </cell>
          <cell r="E4302">
            <v>94279546</v>
          </cell>
          <cell r="F4302" t="str">
            <v>-</v>
          </cell>
          <cell r="G4302" t="str">
            <v>-</v>
          </cell>
          <cell r="H4302">
            <v>4280</v>
          </cell>
          <cell r="Q4302">
            <v>14</v>
          </cell>
        </row>
        <row r="4303">
          <cell r="D4303" t="str">
            <v>68526-83-0</v>
          </cell>
          <cell r="E4303">
            <v>68526830</v>
          </cell>
          <cell r="F4303" t="str">
            <v>-</v>
          </cell>
          <cell r="G4303" t="str">
            <v>-</v>
          </cell>
          <cell r="H4303">
            <v>4281</v>
          </cell>
          <cell r="Q4303">
            <v>14</v>
          </cell>
        </row>
        <row r="4304">
          <cell r="D4304" t="str">
            <v>1321-12-6</v>
          </cell>
          <cell r="E4304">
            <v>1321126</v>
          </cell>
          <cell r="F4304" t="str">
            <v>-</v>
          </cell>
          <cell r="G4304" t="str">
            <v>-</v>
          </cell>
          <cell r="H4304">
            <v>4282</v>
          </cell>
          <cell r="Q4304">
            <v>14</v>
          </cell>
        </row>
        <row r="4305">
          <cell r="D4305" t="str">
            <v>65996-92-1</v>
          </cell>
          <cell r="E4305">
            <v>65996921</v>
          </cell>
          <cell r="F4305" t="str">
            <v>-</v>
          </cell>
          <cell r="G4305" t="str">
            <v>-</v>
          </cell>
          <cell r="H4305">
            <v>4283</v>
          </cell>
          <cell r="Q4305">
            <v>14</v>
          </cell>
        </row>
        <row r="4306">
          <cell r="D4306" t="str">
            <v>121575-60-8</v>
          </cell>
          <cell r="E4306">
            <v>121575608</v>
          </cell>
          <cell r="F4306" t="str">
            <v>-</v>
          </cell>
          <cell r="G4306" t="str">
            <v>-</v>
          </cell>
          <cell r="H4306">
            <v>4284</v>
          </cell>
          <cell r="Q4306">
            <v>14</v>
          </cell>
        </row>
        <row r="4307">
          <cell r="D4307" t="str">
            <v>94624-12-1</v>
          </cell>
          <cell r="E4307">
            <v>94624121</v>
          </cell>
          <cell r="F4307" t="str">
            <v>-</v>
          </cell>
          <cell r="G4307" t="str">
            <v>-</v>
          </cell>
          <cell r="H4307">
            <v>4285</v>
          </cell>
          <cell r="Q4307">
            <v>14</v>
          </cell>
        </row>
        <row r="4308">
          <cell r="D4308" t="str">
            <v>88288-99-7</v>
          </cell>
          <cell r="E4308">
            <v>88288997</v>
          </cell>
          <cell r="F4308" t="str">
            <v>-</v>
          </cell>
          <cell r="G4308" t="str">
            <v>-</v>
          </cell>
          <cell r="H4308">
            <v>4286</v>
          </cell>
          <cell r="Q4308">
            <v>14</v>
          </cell>
        </row>
        <row r="4309">
          <cell r="D4309" t="str">
            <v>1227096-04-9</v>
          </cell>
          <cell r="E4309">
            <v>1227096049</v>
          </cell>
          <cell r="F4309" t="str">
            <v>-</v>
          </cell>
          <cell r="G4309" t="str">
            <v>-</v>
          </cell>
          <cell r="H4309">
            <v>4287</v>
          </cell>
          <cell r="Q4309">
            <v>14</v>
          </cell>
        </row>
        <row r="4310">
          <cell r="D4310" t="str">
            <v>9004-77-7</v>
          </cell>
          <cell r="E4310">
            <v>9004777</v>
          </cell>
          <cell r="F4310" t="str">
            <v>-</v>
          </cell>
          <cell r="G4310" t="str">
            <v>-</v>
          </cell>
          <cell r="H4310">
            <v>4288</v>
          </cell>
          <cell r="Q4310">
            <v>14</v>
          </cell>
        </row>
        <row r="4311">
          <cell r="D4311" t="str">
            <v>110615-47-9</v>
          </cell>
          <cell r="E4311">
            <v>110615479</v>
          </cell>
          <cell r="F4311" t="str">
            <v>-</v>
          </cell>
          <cell r="G4311" t="str">
            <v>-</v>
          </cell>
          <cell r="H4311">
            <v>4289</v>
          </cell>
          <cell r="Q4311">
            <v>14</v>
          </cell>
        </row>
        <row r="4312">
          <cell r="D4312" t="str">
            <v>73398-61-5</v>
          </cell>
          <cell r="E4312">
            <v>73398615</v>
          </cell>
          <cell r="F4312" t="str">
            <v>-</v>
          </cell>
          <cell r="G4312" t="str">
            <v>-</v>
          </cell>
          <cell r="H4312">
            <v>4290</v>
          </cell>
          <cell r="Q4312">
            <v>14</v>
          </cell>
        </row>
        <row r="4313">
          <cell r="D4313" t="str">
            <v>27813-02-1</v>
          </cell>
          <cell r="E4313">
            <v>27813021</v>
          </cell>
          <cell r="F4313" t="str">
            <v>-</v>
          </cell>
          <cell r="G4313" t="str">
            <v>-</v>
          </cell>
          <cell r="H4313">
            <v>4291</v>
          </cell>
          <cell r="Q4313">
            <v>14</v>
          </cell>
        </row>
        <row r="4314">
          <cell r="D4314" t="str">
            <v>68515-73-1</v>
          </cell>
          <cell r="E4314">
            <v>68515731</v>
          </cell>
          <cell r="F4314" t="str">
            <v>-</v>
          </cell>
          <cell r="G4314" t="str">
            <v>-</v>
          </cell>
          <cell r="H4314">
            <v>4292</v>
          </cell>
          <cell r="Q4314">
            <v>14</v>
          </cell>
        </row>
        <row r="4315">
          <cell r="D4315" t="str">
            <v>65996-85-2</v>
          </cell>
          <cell r="E4315">
            <v>65996852</v>
          </cell>
          <cell r="F4315" t="str">
            <v>-</v>
          </cell>
          <cell r="G4315" t="str">
            <v>-</v>
          </cell>
          <cell r="H4315">
            <v>4293</v>
          </cell>
          <cell r="Q4315">
            <v>14</v>
          </cell>
        </row>
        <row r="4316">
          <cell r="D4316" t="str">
            <v>68955-19-1</v>
          </cell>
          <cell r="E4316">
            <v>68955191</v>
          </cell>
          <cell r="F4316" t="str">
            <v>-</v>
          </cell>
          <cell r="G4316" t="str">
            <v>-</v>
          </cell>
          <cell r="H4316">
            <v>4294</v>
          </cell>
          <cell r="Q4316">
            <v>14</v>
          </cell>
        </row>
        <row r="4317">
          <cell r="D4317" t="str">
            <v>68515-40-2</v>
          </cell>
          <cell r="E4317">
            <v>68515402</v>
          </cell>
          <cell r="F4317" t="str">
            <v>-</v>
          </cell>
          <cell r="G4317" t="str">
            <v>-</v>
          </cell>
          <cell r="H4317">
            <v>4295</v>
          </cell>
          <cell r="Q4317">
            <v>14</v>
          </cell>
        </row>
        <row r="4318">
          <cell r="D4318" t="str">
            <v>55818-57-0</v>
          </cell>
          <cell r="E4318">
            <v>55818570</v>
          </cell>
          <cell r="F4318" t="str">
            <v>-</v>
          </cell>
          <cell r="G4318" t="str">
            <v>-</v>
          </cell>
          <cell r="H4318">
            <v>4296</v>
          </cell>
          <cell r="Q4318">
            <v>14</v>
          </cell>
        </row>
        <row r="4319">
          <cell r="D4319" t="str">
            <v>90480-88-9</v>
          </cell>
          <cell r="E4319">
            <v>90480889</v>
          </cell>
          <cell r="F4319" t="str">
            <v>-</v>
          </cell>
          <cell r="G4319" t="str">
            <v>-</v>
          </cell>
          <cell r="H4319">
            <v>4297</v>
          </cell>
          <cell r="Q4319">
            <v>14</v>
          </cell>
        </row>
        <row r="4320">
          <cell r="D4320" t="str">
            <v>67800-94-6</v>
          </cell>
          <cell r="E4320">
            <v>67800946</v>
          </cell>
          <cell r="F4320" t="str">
            <v>-</v>
          </cell>
          <cell r="G4320" t="str">
            <v>-</v>
          </cell>
          <cell r="H4320">
            <v>4298</v>
          </cell>
          <cell r="Q4320">
            <v>14</v>
          </cell>
        </row>
        <row r="4321">
          <cell r="D4321" t="str">
            <v>91031-31-1</v>
          </cell>
          <cell r="E4321">
            <v>91031311</v>
          </cell>
          <cell r="F4321" t="str">
            <v>-</v>
          </cell>
          <cell r="G4321" t="str">
            <v>-</v>
          </cell>
          <cell r="H4321">
            <v>4299</v>
          </cell>
          <cell r="Q4321">
            <v>14</v>
          </cell>
        </row>
        <row r="4322">
          <cell r="D4322" t="str">
            <v>68990-47-6</v>
          </cell>
          <cell r="E4322">
            <v>68990476</v>
          </cell>
          <cell r="F4322" t="str">
            <v>-</v>
          </cell>
          <cell r="G4322" t="str">
            <v>-</v>
          </cell>
          <cell r="H4322">
            <v>4300</v>
          </cell>
          <cell r="Q4322">
            <v>14</v>
          </cell>
        </row>
        <row r="4323">
          <cell r="D4323" t="str">
            <v>68131-73-7</v>
          </cell>
          <cell r="E4323">
            <v>68131737</v>
          </cell>
          <cell r="F4323" t="str">
            <v>-</v>
          </cell>
          <cell r="G4323" t="str">
            <v>-</v>
          </cell>
          <cell r="H4323">
            <v>4301</v>
          </cell>
          <cell r="Q4323">
            <v>14</v>
          </cell>
        </row>
        <row r="4324">
          <cell r="D4324" t="str">
            <v>25723-16-4</v>
          </cell>
          <cell r="E4324">
            <v>25723164</v>
          </cell>
          <cell r="F4324" t="str">
            <v>-</v>
          </cell>
          <cell r="G4324" t="str">
            <v>-</v>
          </cell>
          <cell r="H4324">
            <v>4302</v>
          </cell>
          <cell r="Q4324">
            <v>14</v>
          </cell>
        </row>
        <row r="4325">
          <cell r="D4325" t="str">
            <v>93164-85-3</v>
          </cell>
          <cell r="E4325">
            <v>93164853</v>
          </cell>
          <cell r="F4325" t="str">
            <v>-</v>
          </cell>
          <cell r="G4325" t="str">
            <v>-</v>
          </cell>
          <cell r="H4325">
            <v>4303</v>
          </cell>
          <cell r="Q4325">
            <v>14</v>
          </cell>
        </row>
        <row r="4326">
          <cell r="D4326" t="str">
            <v>90640-66-7</v>
          </cell>
          <cell r="E4326">
            <v>90640667</v>
          </cell>
          <cell r="F4326" t="str">
            <v>-</v>
          </cell>
          <cell r="G4326" t="str">
            <v>-</v>
          </cell>
          <cell r="H4326">
            <v>4304</v>
          </cell>
          <cell r="Q4326">
            <v>14</v>
          </cell>
        </row>
        <row r="4327">
          <cell r="D4327" t="str">
            <v>25377-72-4</v>
          </cell>
          <cell r="E4327">
            <v>25377724</v>
          </cell>
          <cell r="F4327" t="str">
            <v>-</v>
          </cell>
          <cell r="G4327" t="str">
            <v>-</v>
          </cell>
          <cell r="H4327">
            <v>4305</v>
          </cell>
          <cell r="Q4327">
            <v>14</v>
          </cell>
        </row>
        <row r="4328">
          <cell r="D4328" t="str">
            <v>68411-46-1</v>
          </cell>
          <cell r="E4328">
            <v>68411461</v>
          </cell>
          <cell r="F4328" t="str">
            <v>-</v>
          </cell>
          <cell r="G4328" t="str">
            <v>-</v>
          </cell>
          <cell r="H4328">
            <v>4306</v>
          </cell>
          <cell r="Q4328">
            <v>14</v>
          </cell>
        </row>
        <row r="4329">
          <cell r="D4329" t="str">
            <v>68002-79-9</v>
          </cell>
          <cell r="E4329">
            <v>68002799</v>
          </cell>
          <cell r="F4329" t="str">
            <v>-</v>
          </cell>
          <cell r="G4329" t="str">
            <v>-</v>
          </cell>
          <cell r="H4329">
            <v>4307</v>
          </cell>
          <cell r="Q4329">
            <v>14</v>
          </cell>
        </row>
        <row r="4330">
          <cell r="D4330" t="str">
            <v>102110-15-6</v>
          </cell>
          <cell r="E4330">
            <v>102110156</v>
          </cell>
          <cell r="F4330" t="str">
            <v>-</v>
          </cell>
          <cell r="G4330" t="str">
            <v>-</v>
          </cell>
          <cell r="H4330">
            <v>4308</v>
          </cell>
          <cell r="Q4330">
            <v>14</v>
          </cell>
        </row>
        <row r="4331">
          <cell r="D4331" t="str">
            <v>92062-22-1</v>
          </cell>
          <cell r="E4331">
            <v>92062221</v>
          </cell>
          <cell r="F4331" t="str">
            <v>-</v>
          </cell>
          <cell r="G4331" t="str">
            <v>-</v>
          </cell>
          <cell r="H4331">
            <v>4309</v>
          </cell>
          <cell r="Q4331">
            <v>14</v>
          </cell>
        </row>
        <row r="4332">
          <cell r="D4332" t="str">
            <v>68476-80-2</v>
          </cell>
          <cell r="E4332">
            <v>68476802</v>
          </cell>
          <cell r="F4332" t="str">
            <v>-</v>
          </cell>
          <cell r="G4332" t="str">
            <v>-</v>
          </cell>
          <cell r="H4332">
            <v>4310</v>
          </cell>
          <cell r="Q4332">
            <v>14</v>
          </cell>
        </row>
        <row r="4333">
          <cell r="D4333" t="str">
            <v>91052-47-0</v>
          </cell>
          <cell r="E4333">
            <v>91052470</v>
          </cell>
          <cell r="F4333" t="str">
            <v>-</v>
          </cell>
          <cell r="G4333" t="str">
            <v>-</v>
          </cell>
          <cell r="H4333">
            <v>4311</v>
          </cell>
          <cell r="Q4333">
            <v>14</v>
          </cell>
        </row>
        <row r="4334">
          <cell r="D4334" t="str">
            <v>97488-98-7</v>
          </cell>
          <cell r="E4334">
            <v>97488987</v>
          </cell>
          <cell r="F4334" t="str">
            <v>-</v>
          </cell>
          <cell r="G4334" t="str">
            <v>-</v>
          </cell>
          <cell r="H4334">
            <v>4312</v>
          </cell>
          <cell r="Q4334">
            <v>14</v>
          </cell>
        </row>
        <row r="4335">
          <cell r="D4335" t="str">
            <v>35176-06-8</v>
          </cell>
          <cell r="E4335">
            <v>35176068</v>
          </cell>
          <cell r="F4335" t="str">
            <v>-</v>
          </cell>
          <cell r="G4335" t="str">
            <v>-</v>
          </cell>
          <cell r="H4335">
            <v>4313</v>
          </cell>
          <cell r="Q4335">
            <v>14</v>
          </cell>
        </row>
        <row r="4336">
          <cell r="D4336" t="str">
            <v>61790-50-9</v>
          </cell>
          <cell r="E4336">
            <v>61790509</v>
          </cell>
          <cell r="F4336" t="str">
            <v>-</v>
          </cell>
          <cell r="G4336" t="str">
            <v>-</v>
          </cell>
          <cell r="H4336">
            <v>4314</v>
          </cell>
          <cell r="Q4336">
            <v>14</v>
          </cell>
        </row>
        <row r="4337">
          <cell r="D4337" t="str">
            <v>84539-55-9</v>
          </cell>
          <cell r="E4337">
            <v>84539559</v>
          </cell>
          <cell r="F4337" t="str">
            <v>-</v>
          </cell>
          <cell r="G4337" t="str">
            <v>-</v>
          </cell>
          <cell r="H4337">
            <v>4315</v>
          </cell>
          <cell r="Q4337">
            <v>14</v>
          </cell>
        </row>
        <row r="4338">
          <cell r="D4338" t="str">
            <v>52408-84-1</v>
          </cell>
          <cell r="E4338">
            <v>52408841</v>
          </cell>
          <cell r="F4338" t="str">
            <v>-</v>
          </cell>
          <cell r="G4338" t="str">
            <v>-</v>
          </cell>
          <cell r="H4338">
            <v>4316</v>
          </cell>
          <cell r="Q4338">
            <v>14</v>
          </cell>
        </row>
        <row r="4339">
          <cell r="D4339" t="str">
            <v>88895-93-6</v>
          </cell>
          <cell r="E4339">
            <v>88895936</v>
          </cell>
          <cell r="F4339" t="str">
            <v>-</v>
          </cell>
          <cell r="G4339" t="str">
            <v>-</v>
          </cell>
          <cell r="H4339">
            <v>4317</v>
          </cell>
          <cell r="Q4339">
            <v>14</v>
          </cell>
        </row>
        <row r="4340">
          <cell r="D4340" t="str">
            <v>9007-13-0</v>
          </cell>
          <cell r="E4340">
            <v>9007130</v>
          </cell>
          <cell r="F4340" t="str">
            <v>-</v>
          </cell>
          <cell r="G4340" t="str">
            <v>-</v>
          </cell>
          <cell r="H4340">
            <v>4318</v>
          </cell>
          <cell r="Q4340">
            <v>14</v>
          </cell>
        </row>
        <row r="4341">
          <cell r="D4341" t="str">
            <v>68937-41-7</v>
          </cell>
          <cell r="E4341">
            <v>68937417</v>
          </cell>
          <cell r="F4341" t="str">
            <v>-</v>
          </cell>
          <cell r="G4341" t="str">
            <v>-</v>
          </cell>
          <cell r="H4341">
            <v>4319</v>
          </cell>
          <cell r="Q4341">
            <v>14</v>
          </cell>
        </row>
        <row r="4342">
          <cell r="D4342" t="str">
            <v>31923-84-9</v>
          </cell>
          <cell r="E4342">
            <v>31923849</v>
          </cell>
          <cell r="F4342" t="str">
            <v>-</v>
          </cell>
          <cell r="G4342" t="str">
            <v>-</v>
          </cell>
          <cell r="H4342">
            <v>4320</v>
          </cell>
          <cell r="Q4342">
            <v>14</v>
          </cell>
        </row>
        <row r="4343">
          <cell r="D4343" t="str">
            <v>68953-70-8</v>
          </cell>
          <cell r="E4343">
            <v>68953708</v>
          </cell>
          <cell r="F4343" t="str">
            <v>-</v>
          </cell>
          <cell r="G4343" t="str">
            <v>-</v>
          </cell>
          <cell r="H4343">
            <v>4321</v>
          </cell>
          <cell r="Q4343">
            <v>14</v>
          </cell>
        </row>
        <row r="4344">
          <cell r="D4344" t="str">
            <v>85116-93-4</v>
          </cell>
          <cell r="E4344">
            <v>85116934</v>
          </cell>
          <cell r="F4344" t="str">
            <v>-</v>
          </cell>
          <cell r="G4344" t="str">
            <v>-</v>
          </cell>
          <cell r="H4344">
            <v>4322</v>
          </cell>
          <cell r="Q4344">
            <v>14</v>
          </cell>
        </row>
        <row r="4345">
          <cell r="D4345" t="str">
            <v>101316-62-5</v>
          </cell>
          <cell r="E4345">
            <v>101316625</v>
          </cell>
          <cell r="F4345" t="str">
            <v>-</v>
          </cell>
          <cell r="G4345" t="str">
            <v>-</v>
          </cell>
          <cell r="H4345">
            <v>4323</v>
          </cell>
          <cell r="Q4345">
            <v>14</v>
          </cell>
        </row>
        <row r="4346">
          <cell r="D4346" t="str">
            <v>28961-43-5</v>
          </cell>
          <cell r="E4346">
            <v>28961435</v>
          </cell>
          <cell r="F4346" t="str">
            <v>-</v>
          </cell>
          <cell r="G4346" t="str">
            <v>-</v>
          </cell>
          <cell r="H4346">
            <v>4324</v>
          </cell>
          <cell r="Q4346">
            <v>14</v>
          </cell>
        </row>
        <row r="4347">
          <cell r="D4347" t="str">
            <v>68988-22-7</v>
          </cell>
          <cell r="E4347">
            <v>68988227</v>
          </cell>
          <cell r="F4347" t="str">
            <v>-</v>
          </cell>
          <cell r="G4347" t="str">
            <v>-</v>
          </cell>
          <cell r="H4347">
            <v>4325</v>
          </cell>
          <cell r="Q4347">
            <v>14</v>
          </cell>
        </row>
        <row r="4348">
          <cell r="D4348" t="str">
            <v>8002-53-7</v>
          </cell>
          <cell r="E4348">
            <v>8002537</v>
          </cell>
          <cell r="F4348" t="str">
            <v>-</v>
          </cell>
          <cell r="G4348" t="str">
            <v>-</v>
          </cell>
          <cell r="H4348">
            <v>4326</v>
          </cell>
          <cell r="Q4348">
            <v>14</v>
          </cell>
        </row>
        <row r="4349">
          <cell r="D4349" t="str">
            <v>30399-84-9</v>
          </cell>
          <cell r="E4349">
            <v>30399849</v>
          </cell>
          <cell r="F4349" t="str">
            <v>-</v>
          </cell>
          <cell r="G4349" t="str">
            <v>-</v>
          </cell>
          <cell r="H4349">
            <v>4327</v>
          </cell>
          <cell r="Q4349">
            <v>14</v>
          </cell>
        </row>
        <row r="4350">
          <cell r="D4350" t="str">
            <v>68937-96-2</v>
          </cell>
          <cell r="E4350">
            <v>68937962</v>
          </cell>
          <cell r="F4350" t="str">
            <v>-</v>
          </cell>
          <cell r="G4350" t="str">
            <v>-</v>
          </cell>
          <cell r="H4350">
            <v>4328</v>
          </cell>
          <cell r="Q4350">
            <v>14</v>
          </cell>
        </row>
        <row r="4351">
          <cell r="D4351" t="str">
            <v>85536-20-5</v>
          </cell>
          <cell r="E4351">
            <v>85536205</v>
          </cell>
          <cell r="F4351" t="str">
            <v>-</v>
          </cell>
          <cell r="G4351" t="str">
            <v>-</v>
          </cell>
          <cell r="H4351">
            <v>4329</v>
          </cell>
          <cell r="Q4351">
            <v>14</v>
          </cell>
        </row>
        <row r="4352">
          <cell r="D4352" t="str">
            <v>90218-76-1</v>
          </cell>
          <cell r="E4352">
            <v>90218761</v>
          </cell>
          <cell r="F4352" t="str">
            <v>-</v>
          </cell>
          <cell r="G4352" t="str">
            <v>-</v>
          </cell>
          <cell r="H4352">
            <v>4330</v>
          </cell>
          <cell r="Q4352">
            <v>14</v>
          </cell>
        </row>
        <row r="4353">
          <cell r="D4353" t="str">
            <v>128973-77-3</v>
          </cell>
          <cell r="E4353">
            <v>128973773</v>
          </cell>
          <cell r="F4353" t="str">
            <v>-</v>
          </cell>
          <cell r="G4353" t="str">
            <v>-</v>
          </cell>
          <cell r="H4353">
            <v>4331</v>
          </cell>
          <cell r="Q4353">
            <v>14</v>
          </cell>
        </row>
        <row r="4354">
          <cell r="D4354" t="str">
            <v>68155-27-1</v>
          </cell>
          <cell r="E4354">
            <v>68155271</v>
          </cell>
          <cell r="F4354" t="str">
            <v>-</v>
          </cell>
          <cell r="G4354" t="str">
            <v>-</v>
          </cell>
          <cell r="H4354">
            <v>4332</v>
          </cell>
          <cell r="Q4354">
            <v>14</v>
          </cell>
        </row>
        <row r="4355">
          <cell r="D4355" t="str">
            <v>68440-56-2</v>
          </cell>
          <cell r="E4355">
            <v>68440562</v>
          </cell>
          <cell r="F4355" t="str">
            <v>-</v>
          </cell>
          <cell r="G4355" t="str">
            <v>-</v>
          </cell>
          <cell r="H4355">
            <v>4333</v>
          </cell>
          <cell r="Q4355">
            <v>14</v>
          </cell>
        </row>
        <row r="4356">
          <cell r="D4356" t="str">
            <v>949109-75-5</v>
          </cell>
          <cell r="E4356">
            <v>949109755</v>
          </cell>
          <cell r="F4356" t="str">
            <v>-</v>
          </cell>
          <cell r="G4356" t="str">
            <v>-</v>
          </cell>
          <cell r="H4356">
            <v>4334</v>
          </cell>
          <cell r="Q4356">
            <v>14</v>
          </cell>
        </row>
        <row r="4357">
          <cell r="D4357" t="str">
            <v>26038-87-9</v>
          </cell>
          <cell r="E4357">
            <v>26038879</v>
          </cell>
          <cell r="F4357" t="str">
            <v>-</v>
          </cell>
          <cell r="G4357" t="str">
            <v>-</v>
          </cell>
          <cell r="H4357">
            <v>4335</v>
          </cell>
          <cell r="Q4357">
            <v>14</v>
          </cell>
        </row>
        <row r="4358">
          <cell r="D4358" t="str">
            <v>67701-12-6</v>
          </cell>
          <cell r="E4358">
            <v>67701126</v>
          </cell>
          <cell r="F4358" t="str">
            <v>-</v>
          </cell>
          <cell r="G4358" t="str">
            <v>-</v>
          </cell>
          <cell r="H4358">
            <v>4336</v>
          </cell>
          <cell r="Q4358">
            <v>14</v>
          </cell>
        </row>
        <row r="4359">
          <cell r="D4359" t="str">
            <v>97722-02-6</v>
          </cell>
          <cell r="E4359">
            <v>97722026</v>
          </cell>
          <cell r="F4359" t="str">
            <v>-</v>
          </cell>
          <cell r="G4359" t="str">
            <v>-</v>
          </cell>
          <cell r="H4359">
            <v>4337</v>
          </cell>
          <cell r="Q4359">
            <v>14</v>
          </cell>
        </row>
        <row r="4360">
          <cell r="D4360" t="str">
            <v>68526-92-1</v>
          </cell>
          <cell r="E4360">
            <v>68526921</v>
          </cell>
          <cell r="F4360" t="str">
            <v>-</v>
          </cell>
          <cell r="G4360" t="str">
            <v>-</v>
          </cell>
          <cell r="H4360">
            <v>4338</v>
          </cell>
          <cell r="Q4360">
            <v>14</v>
          </cell>
        </row>
        <row r="4361">
          <cell r="D4361" t="str">
            <v>11070-44-3</v>
          </cell>
          <cell r="E4361">
            <v>11070443</v>
          </cell>
          <cell r="F4361" t="str">
            <v>-</v>
          </cell>
          <cell r="G4361" t="str">
            <v>-</v>
          </cell>
          <cell r="H4361">
            <v>4339</v>
          </cell>
          <cell r="Q4361">
            <v>14</v>
          </cell>
        </row>
        <row r="4362">
          <cell r="D4362" t="str">
            <v>84604-16-0</v>
          </cell>
          <cell r="E4362">
            <v>84604160</v>
          </cell>
          <cell r="F4362" t="str">
            <v>-</v>
          </cell>
          <cell r="G4362" t="str">
            <v>-</v>
          </cell>
          <cell r="H4362">
            <v>4340</v>
          </cell>
          <cell r="Q4362">
            <v>14</v>
          </cell>
        </row>
        <row r="4363">
          <cell r="D4363" t="str">
            <v>68514-38-5</v>
          </cell>
          <cell r="E4363">
            <v>68514385</v>
          </cell>
          <cell r="F4363" t="str">
            <v>-</v>
          </cell>
          <cell r="G4363" t="str">
            <v>-</v>
          </cell>
          <cell r="H4363">
            <v>4341</v>
          </cell>
          <cell r="Q4363">
            <v>14</v>
          </cell>
        </row>
        <row r="4364">
          <cell r="D4364" t="str">
            <v>97592-99-9</v>
          </cell>
          <cell r="E4364">
            <v>97592999</v>
          </cell>
          <cell r="F4364" t="str">
            <v>-</v>
          </cell>
          <cell r="G4364" t="str">
            <v>-</v>
          </cell>
          <cell r="H4364">
            <v>4342</v>
          </cell>
          <cell r="Q4364">
            <v>14</v>
          </cell>
        </row>
        <row r="4365">
          <cell r="D4365" t="str">
            <v>101631-14-5</v>
          </cell>
          <cell r="E4365">
            <v>101631145</v>
          </cell>
          <cell r="F4365" t="str">
            <v>-</v>
          </cell>
          <cell r="G4365" t="str">
            <v>-</v>
          </cell>
          <cell r="H4365">
            <v>4343</v>
          </cell>
          <cell r="Q4365">
            <v>14</v>
          </cell>
        </row>
        <row r="4366">
          <cell r="D4366" t="str">
            <v>90641-12-6</v>
          </cell>
          <cell r="E4366">
            <v>90641126</v>
          </cell>
          <cell r="F4366" t="str">
            <v>-</v>
          </cell>
          <cell r="G4366" t="str">
            <v>-</v>
          </cell>
          <cell r="H4366">
            <v>4344</v>
          </cell>
          <cell r="Q4366">
            <v>14</v>
          </cell>
        </row>
        <row r="4367">
          <cell r="D4367" t="str">
            <v>93762-77-7</v>
          </cell>
          <cell r="E4367">
            <v>93762777</v>
          </cell>
          <cell r="F4367" t="str">
            <v>-</v>
          </cell>
          <cell r="G4367" t="str">
            <v>-</v>
          </cell>
          <cell r="H4367">
            <v>4345</v>
          </cell>
          <cell r="Q4367">
            <v>14</v>
          </cell>
        </row>
        <row r="4368">
          <cell r="D4368" t="str">
            <v>68606-29-1</v>
          </cell>
          <cell r="E4368">
            <v>68606291</v>
          </cell>
          <cell r="F4368" t="str">
            <v>-</v>
          </cell>
          <cell r="G4368" t="str">
            <v>-</v>
          </cell>
          <cell r="H4368">
            <v>4346</v>
          </cell>
          <cell r="Q4368">
            <v>14</v>
          </cell>
        </row>
        <row r="4369">
          <cell r="D4369" t="str">
            <v>101316-44-3</v>
          </cell>
          <cell r="E4369">
            <v>101316443</v>
          </cell>
          <cell r="F4369" t="str">
            <v>-</v>
          </cell>
          <cell r="G4369" t="str">
            <v>-</v>
          </cell>
          <cell r="H4369">
            <v>4347</v>
          </cell>
          <cell r="Q4369">
            <v>14</v>
          </cell>
        </row>
        <row r="4370">
          <cell r="D4370" t="str">
            <v>84852-02-8</v>
          </cell>
          <cell r="E4370">
            <v>84852028</v>
          </cell>
          <cell r="F4370" t="str">
            <v>-</v>
          </cell>
          <cell r="G4370" t="str">
            <v>-</v>
          </cell>
          <cell r="H4370">
            <v>4348</v>
          </cell>
          <cell r="Q4370">
            <v>14</v>
          </cell>
        </row>
        <row r="4371">
          <cell r="D4371" t="str">
            <v>68937-17-7</v>
          </cell>
          <cell r="E4371">
            <v>68937177</v>
          </cell>
          <cell r="F4371" t="str">
            <v>-</v>
          </cell>
          <cell r="G4371" t="str">
            <v>-</v>
          </cell>
          <cell r="H4371">
            <v>4349</v>
          </cell>
          <cell r="Q4371">
            <v>14</v>
          </cell>
        </row>
        <row r="4372">
          <cell r="D4372" t="str">
            <v>67701-27-3</v>
          </cell>
          <cell r="E4372">
            <v>67701273</v>
          </cell>
          <cell r="F4372" t="str">
            <v>-</v>
          </cell>
          <cell r="G4372" t="str">
            <v>-</v>
          </cell>
          <cell r="H4372">
            <v>4350</v>
          </cell>
          <cell r="Q4372">
            <v>14</v>
          </cell>
        </row>
        <row r="4373">
          <cell r="D4373" t="str">
            <v>68526-52-3</v>
          </cell>
          <cell r="E4373">
            <v>68526523</v>
          </cell>
          <cell r="F4373" t="str">
            <v>-</v>
          </cell>
          <cell r="G4373" t="str">
            <v>-</v>
          </cell>
          <cell r="H4373">
            <v>4351</v>
          </cell>
          <cell r="Q4373">
            <v>14</v>
          </cell>
        </row>
        <row r="4374">
          <cell r="D4374" t="str">
            <v>91995-17-4</v>
          </cell>
          <cell r="E4374">
            <v>91995174</v>
          </cell>
          <cell r="F4374" t="str">
            <v>-</v>
          </cell>
          <cell r="G4374" t="str">
            <v>-</v>
          </cell>
          <cell r="H4374">
            <v>4352</v>
          </cell>
          <cell r="Q4374">
            <v>14</v>
          </cell>
        </row>
        <row r="4375">
          <cell r="D4375" t="str">
            <v>68551-11-1</v>
          </cell>
          <cell r="E4375">
            <v>68551111</v>
          </cell>
          <cell r="F4375" t="str">
            <v>-</v>
          </cell>
          <cell r="G4375" t="str">
            <v>-</v>
          </cell>
          <cell r="H4375">
            <v>4353</v>
          </cell>
          <cell r="Q4375">
            <v>14</v>
          </cell>
        </row>
        <row r="4376">
          <cell r="D4376" t="str">
            <v>85995-91-1</v>
          </cell>
          <cell r="E4376">
            <v>85995911</v>
          </cell>
          <cell r="F4376" t="str">
            <v>-</v>
          </cell>
          <cell r="G4376" t="str">
            <v>-</v>
          </cell>
          <cell r="H4376">
            <v>4354</v>
          </cell>
          <cell r="Q4376">
            <v>14</v>
          </cell>
        </row>
        <row r="4377">
          <cell r="D4377" t="str">
            <v>68526-57-8</v>
          </cell>
          <cell r="E4377">
            <v>68526578</v>
          </cell>
          <cell r="F4377" t="str">
            <v>-</v>
          </cell>
          <cell r="G4377" t="str">
            <v>-</v>
          </cell>
          <cell r="H4377">
            <v>4355</v>
          </cell>
          <cell r="Q4377">
            <v>14</v>
          </cell>
        </row>
        <row r="4378">
          <cell r="D4378" t="str">
            <v>68526-82-9</v>
          </cell>
          <cell r="E4378">
            <v>68526829</v>
          </cell>
          <cell r="F4378" t="str">
            <v>-</v>
          </cell>
          <cell r="G4378" t="str">
            <v>-</v>
          </cell>
          <cell r="H4378">
            <v>4356</v>
          </cell>
          <cell r="Q4378">
            <v>14</v>
          </cell>
        </row>
        <row r="4379">
          <cell r="D4379" t="str">
            <v>141-91-3</v>
          </cell>
          <cell r="E4379">
            <v>141913</v>
          </cell>
          <cell r="F4379" t="str">
            <v>-</v>
          </cell>
          <cell r="G4379" t="str">
            <v>-</v>
          </cell>
          <cell r="H4379">
            <v>4357</v>
          </cell>
          <cell r="Q4379">
            <v>14</v>
          </cell>
        </row>
        <row r="4380">
          <cell r="D4380" t="str">
            <v>38640-62-9</v>
          </cell>
          <cell r="E4380">
            <v>38640629</v>
          </cell>
          <cell r="F4380" t="str">
            <v>-</v>
          </cell>
          <cell r="G4380" t="str">
            <v>-</v>
          </cell>
          <cell r="H4380">
            <v>4358</v>
          </cell>
          <cell r="Q4380">
            <v>14</v>
          </cell>
        </row>
        <row r="4381">
          <cell r="D4381" t="str">
            <v>50586-59-9</v>
          </cell>
          <cell r="E4381">
            <v>50586599</v>
          </cell>
          <cell r="F4381" t="str">
            <v>-</v>
          </cell>
          <cell r="G4381" t="str">
            <v>-</v>
          </cell>
          <cell r="H4381">
            <v>4359</v>
          </cell>
          <cell r="Q4381">
            <v>14</v>
          </cell>
        </row>
        <row r="4382">
          <cell r="D4382" t="str">
            <v>8000-41-7</v>
          </cell>
          <cell r="E4382">
            <v>8000417</v>
          </cell>
          <cell r="F4382" t="str">
            <v>-</v>
          </cell>
          <cell r="G4382" t="str">
            <v>-</v>
          </cell>
          <cell r="H4382">
            <v>4360</v>
          </cell>
          <cell r="Q4382">
            <v>14</v>
          </cell>
        </row>
        <row r="4383">
          <cell r="D4383" t="str">
            <v>27138-31-4</v>
          </cell>
          <cell r="E4383">
            <v>27138314</v>
          </cell>
          <cell r="F4383" t="str">
            <v>-</v>
          </cell>
          <cell r="G4383" t="str">
            <v>-</v>
          </cell>
          <cell r="H4383">
            <v>4361</v>
          </cell>
          <cell r="Q4383">
            <v>14</v>
          </cell>
        </row>
        <row r="4384">
          <cell r="D4384" t="str">
            <v>68188-18-1</v>
          </cell>
          <cell r="E4384">
            <v>68188181</v>
          </cell>
          <cell r="F4384" t="str">
            <v>-</v>
          </cell>
          <cell r="G4384" t="str">
            <v>-</v>
          </cell>
          <cell r="H4384">
            <v>4362</v>
          </cell>
          <cell r="Q4384">
            <v>14</v>
          </cell>
        </row>
        <row r="4385">
          <cell r="D4385" t="str">
            <v>119345-04-9</v>
          </cell>
          <cell r="E4385">
            <v>119345049</v>
          </cell>
          <cell r="F4385" t="str">
            <v>-</v>
          </cell>
          <cell r="G4385" t="str">
            <v>-</v>
          </cell>
          <cell r="H4385">
            <v>4363</v>
          </cell>
          <cell r="Q4385">
            <v>14</v>
          </cell>
        </row>
        <row r="4386">
          <cell r="D4386" t="str">
            <v>125904-11-2</v>
          </cell>
          <cell r="E4386">
            <v>125904112</v>
          </cell>
          <cell r="F4386" t="str">
            <v>-</v>
          </cell>
          <cell r="G4386" t="str">
            <v>-</v>
          </cell>
          <cell r="H4386">
            <v>4364</v>
          </cell>
          <cell r="Q4386">
            <v>14</v>
          </cell>
        </row>
        <row r="4387">
          <cell r="D4387" t="str">
            <v>24851-98-7</v>
          </cell>
          <cell r="E4387">
            <v>24851987</v>
          </cell>
          <cell r="F4387" t="str">
            <v>-</v>
          </cell>
          <cell r="G4387" t="str">
            <v>-</v>
          </cell>
          <cell r="H4387">
            <v>4365</v>
          </cell>
          <cell r="Q4387">
            <v>14</v>
          </cell>
        </row>
        <row r="4388">
          <cell r="D4388" t="str">
            <v>1761-71-3</v>
          </cell>
          <cell r="E4388">
            <v>1761713</v>
          </cell>
          <cell r="F4388" t="str">
            <v>-</v>
          </cell>
          <cell r="G4388" t="str">
            <v>-</v>
          </cell>
          <cell r="H4388">
            <v>4366</v>
          </cell>
          <cell r="Q4388">
            <v>14</v>
          </cell>
        </row>
        <row r="4389">
          <cell r="D4389" t="str">
            <v>33703-08-1</v>
          </cell>
          <cell r="E4389">
            <v>33703081</v>
          </cell>
          <cell r="F4389" t="str">
            <v>-</v>
          </cell>
          <cell r="G4389" t="str">
            <v>-</v>
          </cell>
          <cell r="H4389">
            <v>4367</v>
          </cell>
          <cell r="Q4389">
            <v>14</v>
          </cell>
        </row>
        <row r="4390">
          <cell r="D4390" t="str">
            <v>91081-53-7</v>
          </cell>
          <cell r="E4390">
            <v>91081537</v>
          </cell>
          <cell r="F4390" t="str">
            <v>-</v>
          </cell>
          <cell r="G4390" t="str">
            <v>-</v>
          </cell>
          <cell r="H4390">
            <v>4368</v>
          </cell>
          <cell r="Q4390">
            <v>14</v>
          </cell>
        </row>
        <row r="4391">
          <cell r="D4391" t="str">
            <v>28299-41-4</v>
          </cell>
          <cell r="E4391">
            <v>28299414</v>
          </cell>
          <cell r="F4391" t="str">
            <v>-</v>
          </cell>
          <cell r="G4391" t="str">
            <v>-</v>
          </cell>
          <cell r="H4391">
            <v>4369</v>
          </cell>
          <cell r="Q4391">
            <v>14</v>
          </cell>
        </row>
        <row r="4392">
          <cell r="D4392" t="str">
            <v>1213789-63-9</v>
          </cell>
          <cell r="E4392">
            <v>1213789639</v>
          </cell>
          <cell r="F4392" t="str">
            <v>-</v>
          </cell>
          <cell r="G4392" t="str">
            <v>-</v>
          </cell>
          <cell r="H4392">
            <v>4370</v>
          </cell>
          <cell r="Q4392">
            <v>14</v>
          </cell>
        </row>
        <row r="4393">
          <cell r="D4393" t="str">
            <v>68140-01-2</v>
          </cell>
          <cell r="E4393">
            <v>68140012</v>
          </cell>
          <cell r="F4393" t="str">
            <v>-</v>
          </cell>
          <cell r="G4393" t="str">
            <v>-</v>
          </cell>
          <cell r="H4393">
            <v>4371</v>
          </cell>
          <cell r="Q4393">
            <v>14</v>
          </cell>
        </row>
        <row r="4394">
          <cell r="D4394" t="str">
            <v>68649-95-6</v>
          </cell>
          <cell r="E4394">
            <v>68649956</v>
          </cell>
          <cell r="F4394" t="str">
            <v>-</v>
          </cell>
          <cell r="G4394" t="str">
            <v>-</v>
          </cell>
          <cell r="H4394">
            <v>4372</v>
          </cell>
          <cell r="Q4394">
            <v>14</v>
          </cell>
        </row>
        <row r="4395">
          <cell r="D4395" t="str">
            <v>68424-31-7</v>
          </cell>
          <cell r="E4395">
            <v>68424317</v>
          </cell>
          <cell r="F4395" t="str">
            <v>-</v>
          </cell>
          <cell r="G4395" t="str">
            <v>-</v>
          </cell>
          <cell r="H4395">
            <v>4373</v>
          </cell>
          <cell r="Q4395">
            <v>14</v>
          </cell>
        </row>
        <row r="4396">
          <cell r="D4396" t="str">
            <v>68610-51-5</v>
          </cell>
          <cell r="E4396">
            <v>68610515</v>
          </cell>
          <cell r="F4396" t="str">
            <v>-</v>
          </cell>
          <cell r="G4396" t="str">
            <v>-</v>
          </cell>
          <cell r="H4396">
            <v>4374</v>
          </cell>
          <cell r="Q4396">
            <v>14</v>
          </cell>
        </row>
        <row r="4397">
          <cell r="D4397" t="str">
            <v>26952-14-7</v>
          </cell>
          <cell r="E4397">
            <v>26952147</v>
          </cell>
          <cell r="F4397" t="str">
            <v>-</v>
          </cell>
          <cell r="G4397" t="str">
            <v>-</v>
          </cell>
          <cell r="H4397">
            <v>4375</v>
          </cell>
          <cell r="Q4397">
            <v>14</v>
          </cell>
        </row>
        <row r="4398">
          <cell r="D4398" t="str">
            <v>9051-51-8</v>
          </cell>
          <cell r="E4398">
            <v>9051518</v>
          </cell>
          <cell r="F4398" t="str">
            <v>-</v>
          </cell>
          <cell r="G4398" t="str">
            <v>-</v>
          </cell>
          <cell r="H4398">
            <v>4376</v>
          </cell>
          <cell r="Q4398">
            <v>14</v>
          </cell>
        </row>
        <row r="4399">
          <cell r="D4399" t="str">
            <v>85480-55-3</v>
          </cell>
          <cell r="E4399">
            <v>85480553</v>
          </cell>
          <cell r="F4399" t="str">
            <v>-</v>
          </cell>
          <cell r="G4399" t="str">
            <v>-</v>
          </cell>
          <cell r="H4399">
            <v>4377</v>
          </cell>
          <cell r="Q4399">
            <v>14</v>
          </cell>
        </row>
        <row r="4400">
          <cell r="D4400" t="str">
            <v>97404-33-6</v>
          </cell>
          <cell r="E4400">
            <v>97404336</v>
          </cell>
          <cell r="F4400" t="str">
            <v>-</v>
          </cell>
          <cell r="G4400" t="str">
            <v>-</v>
          </cell>
          <cell r="H4400">
            <v>4378</v>
          </cell>
          <cell r="Q4400">
            <v>14</v>
          </cell>
        </row>
        <row r="4401">
          <cell r="D4401" t="str">
            <v>16096-31-4</v>
          </cell>
          <cell r="E4401">
            <v>16096314</v>
          </cell>
          <cell r="F4401" t="str">
            <v>-</v>
          </cell>
          <cell r="G4401" t="str">
            <v>-</v>
          </cell>
          <cell r="H4401">
            <v>4379</v>
          </cell>
          <cell r="Q4401">
            <v>14</v>
          </cell>
        </row>
        <row r="4402">
          <cell r="D4402" t="str">
            <v>68551-08-6</v>
          </cell>
          <cell r="E4402">
            <v>68551086</v>
          </cell>
          <cell r="F4402" t="str">
            <v>-</v>
          </cell>
          <cell r="G4402" t="str">
            <v>-</v>
          </cell>
          <cell r="H4402">
            <v>4380</v>
          </cell>
          <cell r="Q4402">
            <v>14</v>
          </cell>
        </row>
        <row r="4403">
          <cell r="D4403" t="str">
            <v>65997-06-0</v>
          </cell>
          <cell r="E4403">
            <v>65997060</v>
          </cell>
          <cell r="F4403" t="str">
            <v>-</v>
          </cell>
          <cell r="G4403" t="str">
            <v>-</v>
          </cell>
          <cell r="H4403">
            <v>4381</v>
          </cell>
          <cell r="Q4403">
            <v>14</v>
          </cell>
        </row>
        <row r="4404">
          <cell r="D4404" t="str">
            <v>100085-61-8</v>
          </cell>
          <cell r="E4404">
            <v>100085618</v>
          </cell>
          <cell r="F4404" t="str">
            <v>-</v>
          </cell>
          <cell r="G4404" t="str">
            <v>-</v>
          </cell>
          <cell r="H4404">
            <v>4382</v>
          </cell>
          <cell r="Q4404">
            <v>14</v>
          </cell>
        </row>
        <row r="4405">
          <cell r="D4405" t="str">
            <v>68649-11-6</v>
          </cell>
          <cell r="E4405">
            <v>68649116</v>
          </cell>
          <cell r="F4405" t="str">
            <v>-</v>
          </cell>
          <cell r="G4405" t="str">
            <v>-</v>
          </cell>
          <cell r="H4405">
            <v>4383</v>
          </cell>
          <cell r="Q4405">
            <v>14</v>
          </cell>
        </row>
        <row r="4406">
          <cell r="D4406" t="str">
            <v>75880-28-3</v>
          </cell>
          <cell r="E4406">
            <v>75880283</v>
          </cell>
          <cell r="F4406" t="str">
            <v>-</v>
          </cell>
          <cell r="G4406" t="str">
            <v>-</v>
          </cell>
          <cell r="H4406">
            <v>4384</v>
          </cell>
          <cell r="Q4406">
            <v>14</v>
          </cell>
        </row>
        <row r="4407">
          <cell r="D4407" t="str">
            <v>1190630-03-5</v>
          </cell>
          <cell r="E4407">
            <v>1190630035</v>
          </cell>
          <cell r="F4407" t="str">
            <v>-</v>
          </cell>
          <cell r="G4407" t="str">
            <v>-</v>
          </cell>
          <cell r="H4407">
            <v>4385</v>
          </cell>
          <cell r="Q4407">
            <v>14</v>
          </cell>
        </row>
        <row r="4408">
          <cell r="D4408" t="str">
            <v>85507-79-5</v>
          </cell>
          <cell r="E4408">
            <v>85507795</v>
          </cell>
          <cell r="F4408" t="str">
            <v>-</v>
          </cell>
          <cell r="G4408" t="str">
            <v>-</v>
          </cell>
          <cell r="H4408">
            <v>4386</v>
          </cell>
          <cell r="Q4408">
            <v>14</v>
          </cell>
        </row>
        <row r="4409">
          <cell r="D4409" t="str">
            <v>57472-68-1</v>
          </cell>
          <cell r="E4409">
            <v>57472681</v>
          </cell>
          <cell r="F4409" t="str">
            <v>-</v>
          </cell>
          <cell r="G4409" t="str">
            <v>-</v>
          </cell>
          <cell r="H4409">
            <v>4387</v>
          </cell>
          <cell r="Q4409">
            <v>14</v>
          </cell>
        </row>
        <row r="4410">
          <cell r="D4410" t="str">
            <v>26401-35-4</v>
          </cell>
          <cell r="E4410">
            <v>26401354</v>
          </cell>
          <cell r="F4410" t="str">
            <v>-</v>
          </cell>
          <cell r="G4410" t="str">
            <v>-</v>
          </cell>
          <cell r="H4410">
            <v>4388</v>
          </cell>
          <cell r="Q4410">
            <v>14</v>
          </cell>
        </row>
        <row r="4411">
          <cell r="D4411" t="str">
            <v>1328-53-6</v>
          </cell>
          <cell r="E4411">
            <v>1328536</v>
          </cell>
          <cell r="F4411" t="str">
            <v>-</v>
          </cell>
          <cell r="G4411" t="str">
            <v>-</v>
          </cell>
          <cell r="H4411">
            <v>4389</v>
          </cell>
          <cell r="Q4411">
            <v>14</v>
          </cell>
        </row>
        <row r="4412">
          <cell r="D4412" t="str">
            <v>68936-98-1</v>
          </cell>
          <cell r="E4412">
            <v>68936981</v>
          </cell>
          <cell r="F4412" t="str">
            <v>-</v>
          </cell>
          <cell r="G4412" t="str">
            <v>-</v>
          </cell>
          <cell r="H4412">
            <v>4390</v>
          </cell>
          <cell r="Q4412">
            <v>14</v>
          </cell>
        </row>
        <row r="4413">
          <cell r="D4413" t="str">
            <v>90193-76-3</v>
          </cell>
          <cell r="E4413">
            <v>90193763</v>
          </cell>
          <cell r="F4413" t="str">
            <v>-</v>
          </cell>
          <cell r="G4413" t="str">
            <v>-</v>
          </cell>
          <cell r="H4413">
            <v>4391</v>
          </cell>
          <cell r="Q4413">
            <v>14</v>
          </cell>
        </row>
        <row r="4414">
          <cell r="D4414" t="str">
            <v>8050-25-7</v>
          </cell>
          <cell r="E4414">
            <v>8050257</v>
          </cell>
          <cell r="F4414" t="str">
            <v>-</v>
          </cell>
          <cell r="G4414" t="str">
            <v>-</v>
          </cell>
          <cell r="H4414">
            <v>4392</v>
          </cell>
          <cell r="Q4414">
            <v>14</v>
          </cell>
        </row>
        <row r="4415">
          <cell r="D4415" t="str">
            <v>68515-47-9</v>
          </cell>
          <cell r="E4415">
            <v>68515479</v>
          </cell>
          <cell r="F4415" t="str">
            <v>-</v>
          </cell>
          <cell r="G4415" t="str">
            <v>-</v>
          </cell>
          <cell r="H4415">
            <v>4393</v>
          </cell>
          <cell r="Q4415">
            <v>14</v>
          </cell>
        </row>
        <row r="4416">
          <cell r="D4416" t="str">
            <v>1218787-29-1</v>
          </cell>
          <cell r="E4416">
            <v>1218787291</v>
          </cell>
          <cell r="F4416" t="str">
            <v>-</v>
          </cell>
          <cell r="G4416" t="str">
            <v>-</v>
          </cell>
          <cell r="H4416">
            <v>4394</v>
          </cell>
          <cell r="Q4416">
            <v>14</v>
          </cell>
        </row>
        <row r="4417">
          <cell r="D4417" t="str">
            <v>11138-60-6</v>
          </cell>
          <cell r="E4417">
            <v>11138606</v>
          </cell>
          <cell r="F4417" t="str">
            <v>-</v>
          </cell>
          <cell r="G4417" t="str">
            <v>-</v>
          </cell>
          <cell r="H4417">
            <v>4395</v>
          </cell>
          <cell r="Q4417">
            <v>14</v>
          </cell>
        </row>
        <row r="4418">
          <cell r="D4418" t="str">
            <v>102242-49-9</v>
          </cell>
          <cell r="E4418">
            <v>102242499</v>
          </cell>
          <cell r="F4418" t="str">
            <v>-</v>
          </cell>
          <cell r="G4418" t="str">
            <v>-</v>
          </cell>
          <cell r="H4418">
            <v>4396</v>
          </cell>
          <cell r="Q4418">
            <v>14</v>
          </cell>
        </row>
        <row r="4419">
          <cell r="D4419" t="str">
            <v>151006-60-9</v>
          </cell>
          <cell r="E4419">
            <v>151006609</v>
          </cell>
          <cell r="F4419" t="str">
            <v>-</v>
          </cell>
          <cell r="G4419" t="str">
            <v>-</v>
          </cell>
          <cell r="H4419">
            <v>4397</v>
          </cell>
          <cell r="Q4419">
            <v>14</v>
          </cell>
        </row>
        <row r="4420">
          <cell r="D4420" t="str">
            <v>68604-41-1</v>
          </cell>
          <cell r="E4420">
            <v>68604411</v>
          </cell>
          <cell r="F4420" t="str">
            <v>-</v>
          </cell>
          <cell r="G4420" t="str">
            <v>-</v>
          </cell>
          <cell r="H4420">
            <v>4398</v>
          </cell>
          <cell r="Q4420">
            <v>14</v>
          </cell>
        </row>
        <row r="4421">
          <cell r="D4421" t="str">
            <v>84605-29-8</v>
          </cell>
          <cell r="E4421">
            <v>84605298</v>
          </cell>
          <cell r="F4421" t="str">
            <v>-</v>
          </cell>
          <cell r="G4421" t="str">
            <v>-</v>
          </cell>
          <cell r="H4421">
            <v>4399</v>
          </cell>
          <cell r="Q4421">
            <v>14</v>
          </cell>
        </row>
        <row r="4422">
          <cell r="D4422" t="str">
            <v>26898-17-9</v>
          </cell>
          <cell r="E4422">
            <v>26898179</v>
          </cell>
          <cell r="F4422" t="str">
            <v>-</v>
          </cell>
          <cell r="G4422" t="str">
            <v>-</v>
          </cell>
          <cell r="H4422">
            <v>4400</v>
          </cell>
          <cell r="Q4422">
            <v>14</v>
          </cell>
        </row>
        <row r="4423">
          <cell r="D4423" t="str">
            <v>68784-31-6</v>
          </cell>
          <cell r="E4423">
            <v>68784316</v>
          </cell>
          <cell r="F4423" t="str">
            <v>-</v>
          </cell>
          <cell r="G4423" t="str">
            <v>-</v>
          </cell>
          <cell r="H4423">
            <v>4401</v>
          </cell>
          <cell r="Q4423">
            <v>14</v>
          </cell>
        </row>
        <row r="4424">
          <cell r="D4424" t="str">
            <v>85940-28-9</v>
          </cell>
          <cell r="E4424">
            <v>85940289</v>
          </cell>
          <cell r="F4424" t="str">
            <v>-</v>
          </cell>
          <cell r="G4424" t="str">
            <v>-</v>
          </cell>
          <cell r="H4424">
            <v>4402</v>
          </cell>
          <cell r="Q4424">
            <v>14</v>
          </cell>
        </row>
        <row r="4425">
          <cell r="D4425" t="str">
            <v>68187-75-7</v>
          </cell>
          <cell r="E4425">
            <v>68187757</v>
          </cell>
          <cell r="F4425" t="str">
            <v>-</v>
          </cell>
          <cell r="G4425" t="str">
            <v>-</v>
          </cell>
          <cell r="H4425">
            <v>4403</v>
          </cell>
          <cell r="Q4425">
            <v>14</v>
          </cell>
        </row>
        <row r="4426">
          <cell r="D4426" t="str">
            <v>68609-97-2</v>
          </cell>
          <cell r="E4426">
            <v>68609972</v>
          </cell>
          <cell r="F4426" t="str">
            <v>-</v>
          </cell>
          <cell r="G4426" t="str">
            <v>-</v>
          </cell>
          <cell r="H4426">
            <v>4404</v>
          </cell>
          <cell r="Q4426">
            <v>14</v>
          </cell>
        </row>
        <row r="4427">
          <cell r="D4427" t="str">
            <v>3648-20-2</v>
          </cell>
          <cell r="E4427">
            <v>3648202</v>
          </cell>
          <cell r="F4427" t="str">
            <v>-</v>
          </cell>
          <cell r="G4427" t="str">
            <v>-</v>
          </cell>
          <cell r="H4427">
            <v>4405</v>
          </cell>
          <cell r="Q4427">
            <v>14</v>
          </cell>
        </row>
        <row r="4428">
          <cell r="D4428" t="str">
            <v>29590-42-9</v>
          </cell>
          <cell r="E4428">
            <v>29590429</v>
          </cell>
          <cell r="F4428" t="str">
            <v>-</v>
          </cell>
          <cell r="G4428" t="str">
            <v>-</v>
          </cell>
          <cell r="H4428">
            <v>4406</v>
          </cell>
          <cell r="Q4428">
            <v>14</v>
          </cell>
        </row>
        <row r="4429">
          <cell r="D4429" t="str">
            <v>1222-05-5</v>
          </cell>
          <cell r="E4429">
            <v>1222055</v>
          </cell>
          <cell r="F4429" t="str">
            <v>-</v>
          </cell>
          <cell r="G4429" t="str">
            <v>-</v>
          </cell>
          <cell r="H4429">
            <v>4407</v>
          </cell>
          <cell r="Q4429">
            <v>14</v>
          </cell>
        </row>
        <row r="4430">
          <cell r="D4430" t="str">
            <v>70084-85-4</v>
          </cell>
          <cell r="E4430">
            <v>70084854</v>
          </cell>
          <cell r="F4430" t="str">
            <v>-</v>
          </cell>
          <cell r="G4430" t="str">
            <v>-</v>
          </cell>
          <cell r="H4430">
            <v>4408</v>
          </cell>
          <cell r="Q4430">
            <v>14</v>
          </cell>
        </row>
        <row r="4431">
          <cell r="D4431" t="str">
            <v>161907-79-5</v>
          </cell>
          <cell r="E4431">
            <v>161907795</v>
          </cell>
          <cell r="F4431" t="str">
            <v>-</v>
          </cell>
          <cell r="G4431" t="str">
            <v>-</v>
          </cell>
          <cell r="H4431">
            <v>4409</v>
          </cell>
          <cell r="Q4431">
            <v>14</v>
          </cell>
        </row>
        <row r="4432">
          <cell r="D4432" t="str">
            <v>68441-94-1</v>
          </cell>
          <cell r="E4432">
            <v>68441941</v>
          </cell>
          <cell r="F4432" t="str">
            <v>-</v>
          </cell>
          <cell r="G4432" t="str">
            <v>-</v>
          </cell>
          <cell r="H4432">
            <v>4410</v>
          </cell>
          <cell r="Q4432">
            <v>14</v>
          </cell>
        </row>
        <row r="4433">
          <cell r="D4433" t="str">
            <v>160901-14-4</v>
          </cell>
          <cell r="E4433">
            <v>160901144</v>
          </cell>
          <cell r="F4433" t="str">
            <v>-</v>
          </cell>
          <cell r="G4433" t="str">
            <v>-</v>
          </cell>
          <cell r="H4433">
            <v>4411</v>
          </cell>
          <cell r="Q4433">
            <v>14</v>
          </cell>
        </row>
        <row r="4434">
          <cell r="D4434" t="str">
            <v>8007-24-7</v>
          </cell>
          <cell r="E4434">
            <v>8007247</v>
          </cell>
          <cell r="F4434" t="str">
            <v>-</v>
          </cell>
          <cell r="G4434" t="str">
            <v>-</v>
          </cell>
          <cell r="H4434">
            <v>4412</v>
          </cell>
          <cell r="Q4434">
            <v>14</v>
          </cell>
        </row>
        <row r="4435">
          <cell r="D4435" t="str">
            <v>4259-15-8</v>
          </cell>
          <cell r="E4435">
            <v>4259158</v>
          </cell>
          <cell r="F4435" t="str">
            <v>-</v>
          </cell>
          <cell r="G4435" t="str">
            <v>-</v>
          </cell>
          <cell r="H4435">
            <v>4413</v>
          </cell>
          <cell r="Q4435">
            <v>14</v>
          </cell>
        </row>
        <row r="4436">
          <cell r="D4436" t="str">
            <v>92129-33-4</v>
          </cell>
          <cell r="E4436">
            <v>92129334</v>
          </cell>
          <cell r="F4436" t="str">
            <v>-</v>
          </cell>
          <cell r="G4436" t="str">
            <v>-</v>
          </cell>
          <cell r="H4436">
            <v>4414</v>
          </cell>
          <cell r="Q4436">
            <v>14</v>
          </cell>
        </row>
        <row r="4437">
          <cell r="D4437" t="str">
            <v>68920-66-1</v>
          </cell>
          <cell r="E4437">
            <v>68920661</v>
          </cell>
          <cell r="F4437" t="str">
            <v>-</v>
          </cell>
          <cell r="G4437" t="str">
            <v>-</v>
          </cell>
          <cell r="H4437">
            <v>4415</v>
          </cell>
          <cell r="Q4437">
            <v>14</v>
          </cell>
        </row>
        <row r="4438">
          <cell r="D4438" t="str">
            <v>97489-04-8</v>
          </cell>
          <cell r="E4438">
            <v>97489048</v>
          </cell>
          <cell r="F4438" t="str">
            <v>-</v>
          </cell>
          <cell r="G4438" t="str">
            <v>-</v>
          </cell>
          <cell r="H4438">
            <v>4416</v>
          </cell>
          <cell r="Q4438">
            <v>14</v>
          </cell>
        </row>
        <row r="4439">
          <cell r="D4439" t="str">
            <v>90641-05-7</v>
          </cell>
          <cell r="E4439">
            <v>90641057</v>
          </cell>
          <cell r="F4439" t="str">
            <v>-</v>
          </cell>
          <cell r="G4439" t="str">
            <v>-</v>
          </cell>
          <cell r="H4439">
            <v>4417</v>
          </cell>
          <cell r="Q4439">
            <v>14</v>
          </cell>
        </row>
        <row r="4440">
          <cell r="D4440" t="str">
            <v>93821-38-6</v>
          </cell>
          <cell r="E4440">
            <v>93821386</v>
          </cell>
          <cell r="F4440" t="str">
            <v>-</v>
          </cell>
          <cell r="G4440" t="str">
            <v>-</v>
          </cell>
          <cell r="H4440">
            <v>4418</v>
          </cell>
          <cell r="Q4440">
            <v>14</v>
          </cell>
        </row>
        <row r="4441">
          <cell r="D4441" t="str">
            <v>1490-04-6</v>
          </cell>
          <cell r="E4441">
            <v>1490046</v>
          </cell>
          <cell r="F4441" t="str">
            <v>-</v>
          </cell>
          <cell r="G4441" t="str">
            <v>-</v>
          </cell>
          <cell r="H4441">
            <v>4419</v>
          </cell>
          <cell r="Q4441">
            <v>14</v>
          </cell>
        </row>
        <row r="4442">
          <cell r="D4442" t="str">
            <v>90622-59-6</v>
          </cell>
          <cell r="E4442">
            <v>90622596</v>
          </cell>
          <cell r="F4442" t="str">
            <v>-</v>
          </cell>
          <cell r="G4442" t="str">
            <v>-</v>
          </cell>
          <cell r="H4442">
            <v>4420</v>
          </cell>
          <cell r="Q4442">
            <v>14</v>
          </cell>
        </row>
        <row r="4443">
          <cell r="D4443" t="str">
            <v>68514-28-3</v>
          </cell>
          <cell r="E4443">
            <v>68514283</v>
          </cell>
          <cell r="F4443" t="str">
            <v>-</v>
          </cell>
          <cell r="G4443" t="str">
            <v>-</v>
          </cell>
          <cell r="H4443">
            <v>4421</v>
          </cell>
          <cell r="Q4443">
            <v>14</v>
          </cell>
        </row>
        <row r="4444">
          <cell r="D4444" t="str">
            <v>27070-58-2</v>
          </cell>
          <cell r="E4444">
            <v>27070582</v>
          </cell>
          <cell r="F4444" t="str">
            <v>-</v>
          </cell>
          <cell r="G4444" t="str">
            <v>-</v>
          </cell>
          <cell r="H4444">
            <v>4422</v>
          </cell>
          <cell r="Q4444">
            <v>14</v>
          </cell>
        </row>
        <row r="4445">
          <cell r="D4445" t="str">
            <v>25321-41-9</v>
          </cell>
          <cell r="E4445">
            <v>25321419</v>
          </cell>
          <cell r="F4445" t="str">
            <v>-</v>
          </cell>
          <cell r="G4445" t="str">
            <v>-</v>
          </cell>
          <cell r="H4445">
            <v>4423</v>
          </cell>
          <cell r="Q4445">
            <v>14</v>
          </cell>
        </row>
        <row r="4446">
          <cell r="D4446" t="str">
            <v>68515-43-5</v>
          </cell>
          <cell r="E4446">
            <v>68515435</v>
          </cell>
          <cell r="F4446" t="str">
            <v>-</v>
          </cell>
          <cell r="G4446" t="str">
            <v>-</v>
          </cell>
          <cell r="H4446">
            <v>4424</v>
          </cell>
          <cell r="Q4446">
            <v>14</v>
          </cell>
        </row>
        <row r="4447">
          <cell r="D4447" t="str">
            <v>85049-37-2</v>
          </cell>
          <cell r="E4447">
            <v>85049372</v>
          </cell>
          <cell r="F4447" t="str">
            <v>-</v>
          </cell>
          <cell r="G4447" t="str">
            <v>-</v>
          </cell>
          <cell r="H4447">
            <v>4425</v>
          </cell>
          <cell r="Q4447">
            <v>14</v>
          </cell>
        </row>
        <row r="4448">
          <cell r="D4448" t="str">
            <v>73296-89-6</v>
          </cell>
          <cell r="E4448">
            <v>73296896</v>
          </cell>
          <cell r="F4448" t="str">
            <v>-</v>
          </cell>
          <cell r="G4448" t="str">
            <v>-</v>
          </cell>
          <cell r="H4448">
            <v>4426</v>
          </cell>
          <cell r="Q4448">
            <v>14</v>
          </cell>
        </row>
        <row r="4449">
          <cell r="D4449" t="str">
            <v>71302-83-5</v>
          </cell>
          <cell r="E4449">
            <v>71302835</v>
          </cell>
          <cell r="F4449" t="str">
            <v>-</v>
          </cell>
          <cell r="G4449" t="str">
            <v>-</v>
          </cell>
          <cell r="H4449">
            <v>4427</v>
          </cell>
          <cell r="Q4449">
            <v>14</v>
          </cell>
        </row>
        <row r="4450">
          <cell r="D4450" t="str">
            <v>31795-24-1</v>
          </cell>
          <cell r="E4450">
            <v>31795241</v>
          </cell>
          <cell r="F4450" t="str">
            <v>-</v>
          </cell>
          <cell r="G4450" t="str">
            <v>-</v>
          </cell>
          <cell r="H4450">
            <v>4428</v>
          </cell>
          <cell r="Q4450">
            <v>14</v>
          </cell>
        </row>
        <row r="4451">
          <cell r="D4451" t="str">
            <v>65997-13-9</v>
          </cell>
          <cell r="E4451">
            <v>65997139</v>
          </cell>
          <cell r="F4451" t="str">
            <v>-</v>
          </cell>
          <cell r="G4451" t="str">
            <v>-</v>
          </cell>
          <cell r="H4451">
            <v>4429</v>
          </cell>
          <cell r="Q4451">
            <v>14</v>
          </cell>
        </row>
        <row r="4452">
          <cell r="D4452" t="str">
            <v>91995-49-2</v>
          </cell>
          <cell r="E4452">
            <v>91995492</v>
          </cell>
          <cell r="F4452" t="str">
            <v>-</v>
          </cell>
          <cell r="G4452" t="str">
            <v>-</v>
          </cell>
          <cell r="H4452">
            <v>4430</v>
          </cell>
          <cell r="Q4452">
            <v>14</v>
          </cell>
        </row>
        <row r="4453">
          <cell r="D4453" t="str">
            <v>98072-31-2</v>
          </cell>
          <cell r="E4453">
            <v>98072312</v>
          </cell>
          <cell r="F4453" t="str">
            <v>-</v>
          </cell>
          <cell r="G4453" t="str">
            <v>-</v>
          </cell>
          <cell r="H4453">
            <v>4431</v>
          </cell>
          <cell r="Q4453">
            <v>14</v>
          </cell>
        </row>
        <row r="4454">
          <cell r="D4454" t="str">
            <v>85711-26-8</v>
          </cell>
          <cell r="E4454">
            <v>85711268</v>
          </cell>
          <cell r="F4454" t="str">
            <v>-</v>
          </cell>
          <cell r="G4454" t="str">
            <v>-</v>
          </cell>
          <cell r="H4454">
            <v>4432</v>
          </cell>
          <cell r="Q4454">
            <v>14</v>
          </cell>
        </row>
        <row r="4455">
          <cell r="D4455" t="str">
            <v>91031-48-0</v>
          </cell>
          <cell r="E4455">
            <v>91031480</v>
          </cell>
          <cell r="F4455" t="str">
            <v>-</v>
          </cell>
          <cell r="G4455" t="str">
            <v>-</v>
          </cell>
          <cell r="H4455">
            <v>4433</v>
          </cell>
          <cell r="Q4455">
            <v>14</v>
          </cell>
        </row>
        <row r="4456">
          <cell r="D4456" t="str">
            <v>57583-54-7</v>
          </cell>
          <cell r="E4456">
            <v>57583547</v>
          </cell>
          <cell r="F4456" t="str">
            <v>-</v>
          </cell>
          <cell r="G4456" t="str">
            <v>-</v>
          </cell>
          <cell r="H4456">
            <v>4434</v>
          </cell>
          <cell r="Q4456">
            <v>14</v>
          </cell>
        </row>
        <row r="4457">
          <cell r="D4457" t="str">
            <v>68609-68-7</v>
          </cell>
          <cell r="E4457">
            <v>68609687</v>
          </cell>
          <cell r="F4457" t="str">
            <v>-</v>
          </cell>
          <cell r="G4457" t="str">
            <v>-</v>
          </cell>
          <cell r="H4457">
            <v>4435</v>
          </cell>
          <cell r="Q4457">
            <v>14</v>
          </cell>
        </row>
        <row r="4458">
          <cell r="D4458" t="str">
            <v>84989-04-8</v>
          </cell>
          <cell r="E4458">
            <v>84989048</v>
          </cell>
          <cell r="F4458" t="str">
            <v>-</v>
          </cell>
          <cell r="G4458" t="str">
            <v>-</v>
          </cell>
          <cell r="H4458">
            <v>4436</v>
          </cell>
          <cell r="Q4458">
            <v>14</v>
          </cell>
        </row>
        <row r="4459">
          <cell r="D4459" t="str">
            <v>1226892-43-8</v>
          </cell>
          <cell r="E4459">
            <v>1226892438</v>
          </cell>
          <cell r="F4459" t="str">
            <v>-</v>
          </cell>
          <cell r="G4459" t="str">
            <v>-</v>
          </cell>
          <cell r="H4459">
            <v>4437</v>
          </cell>
          <cell r="Q4459">
            <v>14</v>
          </cell>
        </row>
        <row r="4460">
          <cell r="D4460" t="str">
            <v>6864-37-5</v>
          </cell>
          <cell r="E4460">
            <v>6864375</v>
          </cell>
          <cell r="F4460" t="str">
            <v>-</v>
          </cell>
          <cell r="G4460" t="str">
            <v>-</v>
          </cell>
          <cell r="H4460">
            <v>4438</v>
          </cell>
          <cell r="Q4460">
            <v>14</v>
          </cell>
        </row>
        <row r="4461">
          <cell r="D4461" t="str">
            <v>85631-26-1</v>
          </cell>
          <cell r="E4461">
            <v>85631261</v>
          </cell>
          <cell r="F4461" t="str">
            <v>-</v>
          </cell>
          <cell r="G4461" t="str">
            <v>-</v>
          </cell>
          <cell r="H4461">
            <v>4439</v>
          </cell>
          <cell r="Q4461">
            <v>14</v>
          </cell>
        </row>
        <row r="4462">
          <cell r="D4462" t="str">
            <v>68910-05-4</v>
          </cell>
          <cell r="E4462">
            <v>68910054</v>
          </cell>
          <cell r="F4462" t="str">
            <v>-</v>
          </cell>
          <cell r="G4462" t="str">
            <v>-</v>
          </cell>
          <cell r="H4462">
            <v>4440</v>
          </cell>
          <cell r="Q4462">
            <v>14</v>
          </cell>
        </row>
        <row r="4463">
          <cell r="D4463" t="str">
            <v>308062-60-4</v>
          </cell>
          <cell r="E4463">
            <v>308062604</v>
          </cell>
          <cell r="F4463" t="str">
            <v>-</v>
          </cell>
          <cell r="G4463" t="str">
            <v>-</v>
          </cell>
          <cell r="H4463">
            <v>4441</v>
          </cell>
          <cell r="Q4463">
            <v>14</v>
          </cell>
        </row>
        <row r="4464">
          <cell r="D4464" t="str">
            <v>68953-84-4</v>
          </cell>
          <cell r="E4464">
            <v>68953844</v>
          </cell>
          <cell r="F4464" t="str">
            <v>-</v>
          </cell>
          <cell r="G4464" t="str">
            <v>-</v>
          </cell>
          <cell r="H4464">
            <v>4442</v>
          </cell>
          <cell r="Q4464">
            <v>14</v>
          </cell>
        </row>
        <row r="4465">
          <cell r="D4465" t="str">
            <v>1236007-63-8</v>
          </cell>
          <cell r="E4465">
            <v>1236007638</v>
          </cell>
          <cell r="F4465" t="str">
            <v>-</v>
          </cell>
          <cell r="G4465" t="str">
            <v>-</v>
          </cell>
          <cell r="H4465">
            <v>4443</v>
          </cell>
          <cell r="Q4465">
            <v>14</v>
          </cell>
        </row>
        <row r="4466">
          <cell r="D4466" t="str">
            <v>68411-27-8</v>
          </cell>
          <cell r="E4466">
            <v>68411278</v>
          </cell>
          <cell r="F4466" t="str">
            <v>-</v>
          </cell>
          <cell r="G4466" t="str">
            <v>-</v>
          </cell>
          <cell r="H4466">
            <v>4444</v>
          </cell>
          <cell r="Q4466">
            <v>14</v>
          </cell>
        </row>
        <row r="4467">
          <cell r="D4467" t="str">
            <v>1300-72-7</v>
          </cell>
          <cell r="E4467">
            <v>1300727</v>
          </cell>
          <cell r="F4467" t="str">
            <v>-</v>
          </cell>
          <cell r="G4467" t="str">
            <v>-</v>
          </cell>
          <cell r="H4467">
            <v>4445</v>
          </cell>
          <cell r="Q4467">
            <v>14</v>
          </cell>
        </row>
        <row r="4468">
          <cell r="D4468" t="str">
            <v>26140-60-3</v>
          </cell>
          <cell r="E4468">
            <v>26140603</v>
          </cell>
          <cell r="F4468" t="str">
            <v>-</v>
          </cell>
          <cell r="G4468" t="str">
            <v>-</v>
          </cell>
          <cell r="H4468">
            <v>4446</v>
          </cell>
          <cell r="Q4468">
            <v>14</v>
          </cell>
        </row>
        <row r="4469">
          <cell r="D4469" t="str">
            <v>1319-77-3</v>
          </cell>
          <cell r="E4469">
            <v>1319773</v>
          </cell>
          <cell r="F4469" t="str">
            <v>-</v>
          </cell>
          <cell r="G4469" t="str">
            <v>-</v>
          </cell>
          <cell r="H4469">
            <v>4447</v>
          </cell>
          <cell r="Q4469">
            <v>14</v>
          </cell>
        </row>
        <row r="4470">
          <cell r="D4470" t="str">
            <v>61788-32-7</v>
          </cell>
          <cell r="E4470">
            <v>61788327</v>
          </cell>
          <cell r="F4470" t="str">
            <v>-</v>
          </cell>
          <cell r="G4470" t="str">
            <v>-</v>
          </cell>
          <cell r="H4470">
            <v>4448</v>
          </cell>
          <cell r="Q4470">
            <v>14</v>
          </cell>
        </row>
        <row r="4471">
          <cell r="D4471" t="str">
            <v>2425-79-8</v>
          </cell>
          <cell r="E4471">
            <v>2425798</v>
          </cell>
          <cell r="F4471" t="str">
            <v>-</v>
          </cell>
          <cell r="G4471" t="str">
            <v>-</v>
          </cell>
          <cell r="H4471">
            <v>4449</v>
          </cell>
          <cell r="Q4471">
            <v>14</v>
          </cell>
        </row>
        <row r="4472">
          <cell r="D4472" t="str">
            <v>29797-40-8</v>
          </cell>
          <cell r="E4472">
            <v>29797408</v>
          </cell>
          <cell r="F4472" t="str">
            <v>-</v>
          </cell>
          <cell r="G4472" t="str">
            <v>-</v>
          </cell>
          <cell r="H4472">
            <v>4450</v>
          </cell>
          <cell r="Q4472">
            <v>14</v>
          </cell>
        </row>
        <row r="4473">
          <cell r="D4473" t="str">
            <v>85940-94-9</v>
          </cell>
          <cell r="E4473">
            <v>85940949</v>
          </cell>
          <cell r="F4473" t="str">
            <v>-</v>
          </cell>
          <cell r="G4473" t="str">
            <v>-</v>
          </cell>
          <cell r="H4473">
            <v>4451</v>
          </cell>
          <cell r="Q4473">
            <v>14</v>
          </cell>
        </row>
        <row r="4474">
          <cell r="D4474" t="str">
            <v>67701-26-2</v>
          </cell>
          <cell r="E4474">
            <v>67701262</v>
          </cell>
          <cell r="F4474" t="str">
            <v>-</v>
          </cell>
          <cell r="G4474" t="str">
            <v>-</v>
          </cell>
          <cell r="H4474">
            <v>4452</v>
          </cell>
          <cell r="Q4474">
            <v>14</v>
          </cell>
        </row>
        <row r="4475">
          <cell r="D4475" t="str">
            <v>1219010-04-4</v>
          </cell>
          <cell r="E4475">
            <v>1219010044</v>
          </cell>
          <cell r="F4475" t="str">
            <v>-</v>
          </cell>
          <cell r="G4475" t="str">
            <v>-</v>
          </cell>
          <cell r="H4475">
            <v>4453</v>
          </cell>
          <cell r="Q4475">
            <v>14</v>
          </cell>
        </row>
        <row r="4476">
          <cell r="D4476" t="str">
            <v>68424-30-6</v>
          </cell>
          <cell r="E4476">
            <v>68424306</v>
          </cell>
          <cell r="F4476" t="str">
            <v>-</v>
          </cell>
          <cell r="G4476" t="str">
            <v>-</v>
          </cell>
          <cell r="H4476">
            <v>4454</v>
          </cell>
          <cell r="Q4476">
            <v>14</v>
          </cell>
        </row>
        <row r="4477">
          <cell r="D4477" t="str">
            <v>113163-37-4</v>
          </cell>
          <cell r="E4477">
            <v>113163374</v>
          </cell>
          <cell r="F4477" t="str">
            <v>-</v>
          </cell>
          <cell r="G4477" t="str">
            <v>-</v>
          </cell>
          <cell r="H4477">
            <v>4455</v>
          </cell>
          <cell r="Q4477">
            <v>14</v>
          </cell>
        </row>
        <row r="4478">
          <cell r="D4478" t="str">
            <v>123714-19-2</v>
          </cell>
          <cell r="E4478">
            <v>123714192</v>
          </cell>
          <cell r="F4478" t="str">
            <v>-</v>
          </cell>
          <cell r="G4478" t="str">
            <v>-</v>
          </cell>
          <cell r="H4478">
            <v>4456</v>
          </cell>
          <cell r="Q4478">
            <v>14</v>
          </cell>
        </row>
        <row r="4479">
          <cell r="D4479" t="str">
            <v>25584-83-2</v>
          </cell>
          <cell r="E4479">
            <v>25584832</v>
          </cell>
          <cell r="F4479" t="str">
            <v>-</v>
          </cell>
          <cell r="G4479" t="str">
            <v>-</v>
          </cell>
          <cell r="H4479">
            <v>4457</v>
          </cell>
          <cell r="Q4479">
            <v>14</v>
          </cell>
        </row>
        <row r="4480">
          <cell r="D4480" t="str">
            <v>147256-33-5</v>
          </cell>
          <cell r="E4480">
            <v>147256335</v>
          </cell>
          <cell r="F4480" t="str">
            <v>-</v>
          </cell>
          <cell r="G4480" t="str">
            <v>-</v>
          </cell>
          <cell r="H4480">
            <v>4458</v>
          </cell>
          <cell r="Q4480">
            <v>14</v>
          </cell>
        </row>
        <row r="4481">
          <cell r="D4481" t="str">
            <v>68526-91-0</v>
          </cell>
          <cell r="E4481">
            <v>68526910</v>
          </cell>
          <cell r="F4481" t="str">
            <v>-</v>
          </cell>
          <cell r="G4481" t="str">
            <v>-</v>
          </cell>
          <cell r="H4481">
            <v>4459</v>
          </cell>
          <cell r="Q4481">
            <v>14</v>
          </cell>
        </row>
        <row r="4482">
          <cell r="D4482" t="str">
            <v>68920-03-6</v>
          </cell>
          <cell r="E4482">
            <v>68920036</v>
          </cell>
          <cell r="F4482" t="str">
            <v>-</v>
          </cell>
          <cell r="G4482" t="str">
            <v>-</v>
          </cell>
          <cell r="H4482">
            <v>4460</v>
          </cell>
          <cell r="Q4482">
            <v>14</v>
          </cell>
        </row>
        <row r="4483">
          <cell r="D4483" t="str">
            <v>68424-38-4</v>
          </cell>
          <cell r="E4483">
            <v>68424384</v>
          </cell>
          <cell r="F4483" t="str">
            <v>-</v>
          </cell>
          <cell r="G4483" t="str">
            <v>-</v>
          </cell>
          <cell r="H4483">
            <v>4461</v>
          </cell>
          <cell r="Q4483">
            <v>14</v>
          </cell>
        </row>
        <row r="4484">
          <cell r="D4484" t="str">
            <v>91744-09-1</v>
          </cell>
          <cell r="E4484">
            <v>91744091</v>
          </cell>
          <cell r="F4484" t="str">
            <v>-</v>
          </cell>
          <cell r="G4484" t="str">
            <v>-</v>
          </cell>
          <cell r="H4484">
            <v>4462</v>
          </cell>
          <cell r="Q4484">
            <v>14</v>
          </cell>
        </row>
        <row r="4485">
          <cell r="D4485" t="str">
            <v>9051-49-4</v>
          </cell>
          <cell r="E4485">
            <v>9051494</v>
          </cell>
          <cell r="F4485" t="str">
            <v>-</v>
          </cell>
          <cell r="G4485" t="str">
            <v>-</v>
          </cell>
          <cell r="H4485">
            <v>4463</v>
          </cell>
          <cell r="Q4485">
            <v>14</v>
          </cell>
        </row>
        <row r="4486">
          <cell r="D4486" t="str">
            <v>91744-20-6</v>
          </cell>
          <cell r="E4486">
            <v>91744206</v>
          </cell>
          <cell r="F4486" t="str">
            <v>-</v>
          </cell>
          <cell r="G4486" t="str">
            <v>-</v>
          </cell>
          <cell r="H4486">
            <v>4464</v>
          </cell>
          <cell r="Q4486">
            <v>14</v>
          </cell>
        </row>
        <row r="4487">
          <cell r="D4487" t="str">
            <v>9014-01-1</v>
          </cell>
          <cell r="E4487">
            <v>9014011</v>
          </cell>
          <cell r="F4487" t="str">
            <v>-</v>
          </cell>
          <cell r="G4487" t="str">
            <v>-</v>
          </cell>
          <cell r="H4487">
            <v>4465</v>
          </cell>
          <cell r="Q4487">
            <v>14</v>
          </cell>
        </row>
        <row r="4488">
          <cell r="D4488" t="str">
            <v>31566-31-1</v>
          </cell>
          <cell r="E4488">
            <v>31566311</v>
          </cell>
          <cell r="F4488" t="str">
            <v>-</v>
          </cell>
          <cell r="G4488" t="str">
            <v>-</v>
          </cell>
          <cell r="H4488">
            <v>4466</v>
          </cell>
          <cell r="Q4488">
            <v>14</v>
          </cell>
        </row>
        <row r="4489">
          <cell r="D4489" t="str">
            <v>68607-24-9</v>
          </cell>
          <cell r="E4489">
            <v>68607249</v>
          </cell>
          <cell r="F4489" t="str">
            <v>-</v>
          </cell>
          <cell r="G4489" t="str">
            <v>-</v>
          </cell>
          <cell r="H4489">
            <v>4467</v>
          </cell>
          <cell r="Q4489">
            <v>14</v>
          </cell>
        </row>
        <row r="4490">
          <cell r="D4490" t="str">
            <v>68479-98-1</v>
          </cell>
          <cell r="E4490">
            <v>68479981</v>
          </cell>
          <cell r="F4490" t="str">
            <v>-</v>
          </cell>
          <cell r="G4490" t="str">
            <v>-</v>
          </cell>
          <cell r="H4490">
            <v>4468</v>
          </cell>
          <cell r="Q4490">
            <v>14</v>
          </cell>
        </row>
        <row r="4491">
          <cell r="D4491" t="str">
            <v>68425-15-0</v>
          </cell>
          <cell r="E4491">
            <v>68425150</v>
          </cell>
          <cell r="F4491" t="str">
            <v>-</v>
          </cell>
          <cell r="G4491" t="str">
            <v>-</v>
          </cell>
          <cell r="H4491">
            <v>4469</v>
          </cell>
          <cell r="Q4491">
            <v>14</v>
          </cell>
        </row>
        <row r="4492">
          <cell r="D4492" t="str">
            <v>92044-87-6</v>
          </cell>
          <cell r="E4492">
            <v>92044876</v>
          </cell>
          <cell r="F4492" t="str">
            <v>-</v>
          </cell>
          <cell r="G4492" t="str">
            <v>-</v>
          </cell>
          <cell r="H4492">
            <v>4470</v>
          </cell>
          <cell r="Q4492">
            <v>14</v>
          </cell>
        </row>
        <row r="4493">
          <cell r="D4493" t="str">
            <v>37208-53-0</v>
          </cell>
          <cell r="E4493">
            <v>37208530</v>
          </cell>
          <cell r="F4493" t="str">
            <v>-</v>
          </cell>
          <cell r="G4493" t="str">
            <v>-</v>
          </cell>
          <cell r="H4493">
            <v>4471</v>
          </cell>
          <cell r="Q4493">
            <v>14</v>
          </cell>
        </row>
        <row r="4494">
          <cell r="D4494" t="str">
            <v>25340-17-4</v>
          </cell>
          <cell r="E4494">
            <v>25340174</v>
          </cell>
          <cell r="F4494" t="str">
            <v>-</v>
          </cell>
          <cell r="G4494" t="str">
            <v>-</v>
          </cell>
          <cell r="H4494">
            <v>4472</v>
          </cell>
          <cell r="Q4494">
            <v>14</v>
          </cell>
        </row>
        <row r="4495">
          <cell r="D4495" t="str">
            <v>101896-26-8</v>
          </cell>
          <cell r="E4495">
            <v>101896268</v>
          </cell>
          <cell r="F4495" t="str">
            <v>-</v>
          </cell>
          <cell r="G4495" t="str">
            <v>-</v>
          </cell>
          <cell r="H4495">
            <v>4473</v>
          </cell>
          <cell r="Q4495">
            <v>14</v>
          </cell>
        </row>
        <row r="4496">
          <cell r="D4496" t="str">
            <v>65996-79-4</v>
          </cell>
          <cell r="E4496">
            <v>65996794</v>
          </cell>
          <cell r="F4496" t="str">
            <v>-</v>
          </cell>
          <cell r="G4496" t="str">
            <v>-</v>
          </cell>
          <cell r="H4496">
            <v>4474</v>
          </cell>
          <cell r="Q4496">
            <v>14</v>
          </cell>
        </row>
        <row r="4497">
          <cell r="D4497" t="str">
            <v>41583-09-9</v>
          </cell>
          <cell r="E4497">
            <v>41583099</v>
          </cell>
          <cell r="F4497" t="str">
            <v>-</v>
          </cell>
          <cell r="G4497" t="str">
            <v>-</v>
          </cell>
          <cell r="H4497">
            <v>4475</v>
          </cell>
          <cell r="Q4497">
            <v>14</v>
          </cell>
        </row>
        <row r="4498">
          <cell r="D4498" t="str">
            <v>95370-96-0</v>
          </cell>
          <cell r="E4498">
            <v>95370960</v>
          </cell>
          <cell r="F4498" t="str">
            <v>-</v>
          </cell>
          <cell r="G4498" t="str">
            <v>-</v>
          </cell>
          <cell r="H4498">
            <v>4476</v>
          </cell>
          <cell r="Q4498">
            <v>14</v>
          </cell>
        </row>
        <row r="4499">
          <cell r="D4499" t="str">
            <v>95193-59-2</v>
          </cell>
          <cell r="E4499">
            <v>95193592</v>
          </cell>
          <cell r="F4499" t="str">
            <v>-</v>
          </cell>
          <cell r="G4499" t="str">
            <v>-</v>
          </cell>
          <cell r="H4499">
            <v>4477</v>
          </cell>
          <cell r="Q4499">
            <v>14</v>
          </cell>
        </row>
        <row r="4500">
          <cell r="D4500" t="str">
            <v>37353-75-6</v>
          </cell>
          <cell r="E4500">
            <v>37353756</v>
          </cell>
          <cell r="F4500" t="str">
            <v>-</v>
          </cell>
          <cell r="G4500" t="str">
            <v>-</v>
          </cell>
          <cell r="H4500">
            <v>4478</v>
          </cell>
          <cell r="Q4500">
            <v>14</v>
          </cell>
        </row>
        <row r="4501">
          <cell r="D4501" t="str">
            <v>8027-33-6</v>
          </cell>
          <cell r="E4501">
            <v>8027336</v>
          </cell>
          <cell r="F4501" t="str">
            <v>-</v>
          </cell>
          <cell r="G4501" t="str">
            <v>-</v>
          </cell>
          <cell r="H4501">
            <v>4479</v>
          </cell>
          <cell r="Q4501">
            <v>14</v>
          </cell>
        </row>
        <row r="4502">
          <cell r="D4502" t="str">
            <v>66241-11-0</v>
          </cell>
          <cell r="E4502">
            <v>66241110</v>
          </cell>
          <cell r="F4502" t="str">
            <v>-</v>
          </cell>
          <cell r="G4502" t="str">
            <v>-</v>
          </cell>
          <cell r="H4502">
            <v>4480</v>
          </cell>
          <cell r="Q4502">
            <v>14</v>
          </cell>
        </row>
        <row r="4503">
          <cell r="D4503" t="str">
            <v>68424-43-1</v>
          </cell>
          <cell r="E4503">
            <v>68424431</v>
          </cell>
          <cell r="F4503" t="str">
            <v>-</v>
          </cell>
          <cell r="G4503" t="str">
            <v>-</v>
          </cell>
          <cell r="H4503">
            <v>4481</v>
          </cell>
          <cell r="Q4503">
            <v>14</v>
          </cell>
        </row>
        <row r="4504">
          <cell r="D4504" t="str">
            <v>27776-01-8</v>
          </cell>
          <cell r="E4504">
            <v>27776018</v>
          </cell>
          <cell r="F4504" t="str">
            <v>-</v>
          </cell>
          <cell r="G4504" t="str">
            <v>-</v>
          </cell>
          <cell r="H4504">
            <v>4482</v>
          </cell>
          <cell r="Q4504">
            <v>14</v>
          </cell>
        </row>
        <row r="4505">
          <cell r="D4505" t="str">
            <v>68441-62-3</v>
          </cell>
          <cell r="E4505">
            <v>68441623</v>
          </cell>
          <cell r="F4505" t="str">
            <v>-</v>
          </cell>
          <cell r="G4505" t="str">
            <v>-</v>
          </cell>
          <cell r="H4505">
            <v>4483</v>
          </cell>
          <cell r="Q4505">
            <v>14</v>
          </cell>
        </row>
        <row r="4506">
          <cell r="D4506" t="str">
            <v>25513-64-8</v>
          </cell>
          <cell r="E4506">
            <v>25513648</v>
          </cell>
          <cell r="F4506" t="str">
            <v>-</v>
          </cell>
          <cell r="G4506" t="str">
            <v>-</v>
          </cell>
          <cell r="H4506">
            <v>4484</v>
          </cell>
          <cell r="Q4506">
            <v>14</v>
          </cell>
        </row>
        <row r="4507">
          <cell r="D4507" t="str">
            <v>84988-74-9</v>
          </cell>
          <cell r="E4507">
            <v>84988749</v>
          </cell>
          <cell r="F4507" t="str">
            <v>-</v>
          </cell>
          <cell r="G4507" t="str">
            <v>-</v>
          </cell>
          <cell r="H4507">
            <v>4485</v>
          </cell>
          <cell r="Q4507">
            <v>14</v>
          </cell>
        </row>
        <row r="4508">
          <cell r="D4508" t="str">
            <v>68334-05-4</v>
          </cell>
          <cell r="E4508">
            <v>68334054</v>
          </cell>
          <cell r="F4508" t="str">
            <v>-</v>
          </cell>
          <cell r="G4508" t="str">
            <v>-</v>
          </cell>
          <cell r="H4508">
            <v>4486</v>
          </cell>
          <cell r="Q4508">
            <v>14</v>
          </cell>
        </row>
        <row r="4509">
          <cell r="D4509" t="str">
            <v>92202-14-7</v>
          </cell>
          <cell r="E4509">
            <v>92202147</v>
          </cell>
          <cell r="F4509" t="str">
            <v>-</v>
          </cell>
          <cell r="G4509" t="str">
            <v>-</v>
          </cell>
          <cell r="H4509">
            <v>4487</v>
          </cell>
          <cell r="Q4509">
            <v>14</v>
          </cell>
        </row>
        <row r="4510">
          <cell r="D4510" t="str">
            <v>92062-36-7</v>
          </cell>
          <cell r="E4510">
            <v>92062367</v>
          </cell>
          <cell r="F4510" t="str">
            <v>-</v>
          </cell>
          <cell r="G4510" t="str">
            <v>-</v>
          </cell>
          <cell r="H4510">
            <v>4488</v>
          </cell>
          <cell r="Q4510">
            <v>14</v>
          </cell>
        </row>
        <row r="4511">
          <cell r="D4511" t="str">
            <v>4067-16-7</v>
          </cell>
          <cell r="E4511">
            <v>4067167</v>
          </cell>
          <cell r="F4511" t="str">
            <v>-</v>
          </cell>
          <cell r="G4511" t="str">
            <v>-</v>
          </cell>
          <cell r="H4511">
            <v>4489</v>
          </cell>
          <cell r="Q4511">
            <v>14</v>
          </cell>
        </row>
        <row r="4512">
          <cell r="D4512" t="str">
            <v>127-96-8</v>
          </cell>
          <cell r="E4512">
            <v>127968</v>
          </cell>
          <cell r="F4512" t="str">
            <v>-</v>
          </cell>
          <cell r="G4512" t="str">
            <v>-</v>
          </cell>
          <cell r="H4512">
            <v>4490</v>
          </cell>
          <cell r="Q4512">
            <v>14</v>
          </cell>
        </row>
        <row r="4513">
          <cell r="D4513" t="str">
            <v>91053-50-8</v>
          </cell>
          <cell r="E4513">
            <v>91053508</v>
          </cell>
          <cell r="F4513" t="str">
            <v>-</v>
          </cell>
          <cell r="G4513" t="str">
            <v>-</v>
          </cell>
          <cell r="H4513">
            <v>4491</v>
          </cell>
          <cell r="Q4513">
            <v>14</v>
          </cell>
        </row>
        <row r="4514">
          <cell r="D4514" t="str">
            <v>158885-29-1</v>
          </cell>
          <cell r="E4514">
            <v>158885291</v>
          </cell>
          <cell r="F4514" t="str">
            <v>-</v>
          </cell>
          <cell r="G4514" t="str">
            <v>-</v>
          </cell>
          <cell r="H4514">
            <v>4492</v>
          </cell>
          <cell r="Q4514">
            <v>14</v>
          </cell>
        </row>
        <row r="4515">
          <cell r="D4515" t="str">
            <v>10377-81-8</v>
          </cell>
          <cell r="E4515">
            <v>10377818</v>
          </cell>
          <cell r="F4515" t="str">
            <v>-</v>
          </cell>
          <cell r="G4515" t="str">
            <v>-</v>
          </cell>
          <cell r="H4515">
            <v>4493</v>
          </cell>
          <cell r="Q4515">
            <v>14</v>
          </cell>
        </row>
        <row r="4516">
          <cell r="D4516" t="str">
            <v>61788-44-1</v>
          </cell>
          <cell r="E4516">
            <v>61788441</v>
          </cell>
          <cell r="F4516" t="str">
            <v>-</v>
          </cell>
          <cell r="G4516" t="str">
            <v>-</v>
          </cell>
          <cell r="H4516">
            <v>4494</v>
          </cell>
          <cell r="Q4516">
            <v>14</v>
          </cell>
        </row>
        <row r="4517">
          <cell r="D4517" t="str">
            <v>25155-25-3</v>
          </cell>
          <cell r="E4517">
            <v>25155253</v>
          </cell>
          <cell r="F4517" t="str">
            <v>-</v>
          </cell>
          <cell r="G4517" t="str">
            <v>-</v>
          </cell>
          <cell r="H4517">
            <v>4495</v>
          </cell>
          <cell r="Q4517">
            <v>14</v>
          </cell>
        </row>
        <row r="4518">
          <cell r="D4518" t="str">
            <v>91001-42-2</v>
          </cell>
          <cell r="E4518">
            <v>91001422</v>
          </cell>
          <cell r="F4518" t="str">
            <v>-</v>
          </cell>
          <cell r="G4518" t="str">
            <v>-</v>
          </cell>
          <cell r="H4518">
            <v>4496</v>
          </cell>
          <cell r="Q4518">
            <v>14</v>
          </cell>
        </row>
        <row r="4519">
          <cell r="D4519" t="str">
            <v>85566-29-6</v>
          </cell>
          <cell r="E4519">
            <v>85566296</v>
          </cell>
          <cell r="F4519" t="str">
            <v>-</v>
          </cell>
          <cell r="G4519" t="str">
            <v>-</v>
          </cell>
          <cell r="H4519">
            <v>4497</v>
          </cell>
          <cell r="Q4519">
            <v>14</v>
          </cell>
        </row>
        <row r="4520">
          <cell r="D4520" t="str">
            <v>40292-82-8</v>
          </cell>
          <cell r="E4520">
            <v>40292828</v>
          </cell>
          <cell r="F4520" t="str">
            <v>-</v>
          </cell>
          <cell r="G4520" t="str">
            <v>-</v>
          </cell>
          <cell r="H4520">
            <v>4498</v>
          </cell>
          <cell r="Q4520">
            <v>14</v>
          </cell>
        </row>
        <row r="4521">
          <cell r="D4521" t="str">
            <v>92908-36-6</v>
          </cell>
          <cell r="E4521">
            <v>92908366</v>
          </cell>
          <cell r="F4521" t="str">
            <v>-</v>
          </cell>
          <cell r="G4521" t="str">
            <v>-</v>
          </cell>
          <cell r="H4521">
            <v>4499</v>
          </cell>
          <cell r="Q4521">
            <v>14</v>
          </cell>
        </row>
        <row r="4522">
          <cell r="D4522" t="str">
            <v>1902-01-8</v>
          </cell>
          <cell r="E4522">
            <v>1902018</v>
          </cell>
          <cell r="F4522" t="str">
            <v>-</v>
          </cell>
          <cell r="G4522" t="str">
            <v>-</v>
          </cell>
          <cell r="H4522">
            <v>4500</v>
          </cell>
          <cell r="Q4522">
            <v>14</v>
          </cell>
        </row>
        <row r="4523">
          <cell r="D4523" t="str">
            <v>90990-10-6</v>
          </cell>
          <cell r="E4523">
            <v>90990106</v>
          </cell>
          <cell r="F4523" t="str">
            <v>-</v>
          </cell>
          <cell r="G4523" t="str">
            <v>-</v>
          </cell>
          <cell r="H4523">
            <v>4501</v>
          </cell>
          <cell r="Q4523">
            <v>14</v>
          </cell>
        </row>
        <row r="4524">
          <cell r="D4524" t="str">
            <v>103513-05-9</v>
          </cell>
          <cell r="E4524">
            <v>103513059</v>
          </cell>
          <cell r="F4524" t="str">
            <v>-</v>
          </cell>
          <cell r="G4524" t="str">
            <v>-</v>
          </cell>
          <cell r="H4524">
            <v>4502</v>
          </cell>
          <cell r="Q4524">
            <v>14</v>
          </cell>
        </row>
        <row r="4525">
          <cell r="D4525" t="str">
            <v>1224966-15-7</v>
          </cell>
          <cell r="E4525">
            <v>1224966157</v>
          </cell>
          <cell r="F4525" t="str">
            <v>-</v>
          </cell>
          <cell r="G4525" t="str">
            <v>-</v>
          </cell>
          <cell r="H4525">
            <v>4503</v>
          </cell>
          <cell r="Q4525">
            <v>14</v>
          </cell>
        </row>
        <row r="4526">
          <cell r="D4526" t="str">
            <v>68608-88-8</v>
          </cell>
          <cell r="E4526">
            <v>68608888</v>
          </cell>
          <cell r="F4526" t="str">
            <v>-</v>
          </cell>
          <cell r="G4526" t="str">
            <v>-</v>
          </cell>
          <cell r="H4526">
            <v>4504</v>
          </cell>
          <cell r="Q4526">
            <v>14</v>
          </cell>
        </row>
        <row r="4527">
          <cell r="D4527" t="str">
            <v>8013-75-0</v>
          </cell>
          <cell r="E4527">
            <v>8013750</v>
          </cell>
          <cell r="F4527" t="str">
            <v>-</v>
          </cell>
          <cell r="G4527" t="str">
            <v>-</v>
          </cell>
          <cell r="H4527">
            <v>4505</v>
          </cell>
          <cell r="Q4527">
            <v>14</v>
          </cell>
        </row>
        <row r="4528">
          <cell r="D4528" t="str">
            <v>174333-80-3</v>
          </cell>
          <cell r="E4528">
            <v>174333803</v>
          </cell>
          <cell r="F4528" t="str">
            <v>-</v>
          </cell>
          <cell r="G4528" t="str">
            <v>-</v>
          </cell>
          <cell r="H4528">
            <v>4506</v>
          </cell>
          <cell r="Q4528">
            <v>14</v>
          </cell>
        </row>
        <row r="4529">
          <cell r="D4529" t="str">
            <v>32492-61-8</v>
          </cell>
          <cell r="E4529">
            <v>32492618</v>
          </cell>
          <cell r="F4529" t="str">
            <v>-</v>
          </cell>
          <cell r="G4529" t="str">
            <v>-</v>
          </cell>
          <cell r="H4529">
            <v>4507</v>
          </cell>
          <cell r="Q4529">
            <v>14</v>
          </cell>
        </row>
        <row r="4530">
          <cell r="D4530" t="str">
            <v>66587-56-2</v>
          </cell>
          <cell r="E4530">
            <v>66587562</v>
          </cell>
          <cell r="F4530" t="str">
            <v>-</v>
          </cell>
          <cell r="G4530" t="str">
            <v>-</v>
          </cell>
          <cell r="H4530">
            <v>4508</v>
          </cell>
          <cell r="Q4530">
            <v>14</v>
          </cell>
        </row>
        <row r="4531">
          <cell r="D4531" t="str">
            <v>16883-83-3</v>
          </cell>
          <cell r="E4531">
            <v>16883833</v>
          </cell>
          <cell r="F4531" t="str">
            <v>-</v>
          </cell>
          <cell r="G4531" t="str">
            <v>-</v>
          </cell>
          <cell r="H4531">
            <v>4509</v>
          </cell>
          <cell r="Q4531">
            <v>14</v>
          </cell>
        </row>
        <row r="4532">
          <cell r="D4532" t="str">
            <v>66455-14-9</v>
          </cell>
          <cell r="E4532">
            <v>66455149</v>
          </cell>
          <cell r="F4532" t="str">
            <v>-</v>
          </cell>
          <cell r="G4532" t="str">
            <v>-</v>
          </cell>
          <cell r="H4532">
            <v>4510</v>
          </cell>
          <cell r="Q4532">
            <v>14</v>
          </cell>
        </row>
        <row r="4533">
          <cell r="D4533" t="str">
            <v>68783-41-5</v>
          </cell>
          <cell r="E4533">
            <v>68783415</v>
          </cell>
          <cell r="F4533" t="str">
            <v>-</v>
          </cell>
          <cell r="G4533" t="str">
            <v>-</v>
          </cell>
          <cell r="H4533">
            <v>4511</v>
          </cell>
          <cell r="Q4533">
            <v>14</v>
          </cell>
        </row>
        <row r="4534">
          <cell r="D4534" t="str">
            <v>93685-80-4</v>
          </cell>
          <cell r="E4534">
            <v>93685804</v>
          </cell>
          <cell r="F4534" t="str">
            <v>-</v>
          </cell>
          <cell r="G4534" t="str">
            <v>-</v>
          </cell>
          <cell r="H4534">
            <v>4512</v>
          </cell>
          <cell r="Q4534">
            <v>14</v>
          </cell>
        </row>
        <row r="4535">
          <cell r="D4535" t="str">
            <v>91001-61-5</v>
          </cell>
          <cell r="E4535">
            <v>91001615</v>
          </cell>
          <cell r="F4535" t="str">
            <v>-</v>
          </cell>
          <cell r="G4535" t="str">
            <v>-</v>
          </cell>
          <cell r="H4535">
            <v>4513</v>
          </cell>
          <cell r="Q4535">
            <v>14</v>
          </cell>
        </row>
        <row r="4536">
          <cell r="D4536" t="str">
            <v>84625-32-1</v>
          </cell>
          <cell r="E4536">
            <v>84625321</v>
          </cell>
          <cell r="F4536" t="str">
            <v>-</v>
          </cell>
          <cell r="G4536" t="str">
            <v>-</v>
          </cell>
          <cell r="H4536">
            <v>4514</v>
          </cell>
          <cell r="Q4536">
            <v>14</v>
          </cell>
        </row>
        <row r="4537">
          <cell r="D4537" t="str">
            <v>68391-04-8</v>
          </cell>
          <cell r="E4537">
            <v>68391048</v>
          </cell>
          <cell r="F4537" t="str">
            <v>-</v>
          </cell>
          <cell r="G4537" t="str">
            <v>-</v>
          </cell>
          <cell r="H4537">
            <v>4515</v>
          </cell>
          <cell r="Q4537">
            <v>14</v>
          </cell>
        </row>
        <row r="4538">
          <cell r="D4538" t="str">
            <v>36425-15-7</v>
          </cell>
          <cell r="E4538">
            <v>36425157</v>
          </cell>
          <cell r="F4538" t="str">
            <v>-</v>
          </cell>
          <cell r="G4538" t="str">
            <v>-</v>
          </cell>
          <cell r="H4538">
            <v>4516</v>
          </cell>
          <cell r="Q4538">
            <v>14</v>
          </cell>
        </row>
        <row r="4539">
          <cell r="D4539" t="str">
            <v>68937-90-6</v>
          </cell>
          <cell r="E4539">
            <v>68937906</v>
          </cell>
          <cell r="F4539" t="str">
            <v>-</v>
          </cell>
          <cell r="G4539" t="str">
            <v>-</v>
          </cell>
          <cell r="H4539">
            <v>4517</v>
          </cell>
          <cell r="Q4539">
            <v>14</v>
          </cell>
        </row>
        <row r="4540">
          <cell r="D4540" t="str">
            <v>94095-04-2</v>
          </cell>
          <cell r="E4540">
            <v>94095042</v>
          </cell>
          <cell r="F4540" t="str">
            <v>-</v>
          </cell>
          <cell r="G4540" t="str">
            <v>-</v>
          </cell>
          <cell r="H4540">
            <v>4518</v>
          </cell>
          <cell r="Q4540">
            <v>14</v>
          </cell>
        </row>
        <row r="4541">
          <cell r="D4541" t="str">
            <v>9003-13-8</v>
          </cell>
          <cell r="E4541">
            <v>9003138</v>
          </cell>
          <cell r="F4541" t="str">
            <v>-</v>
          </cell>
          <cell r="G4541" t="str">
            <v>-</v>
          </cell>
          <cell r="H4541">
            <v>4519</v>
          </cell>
          <cell r="Q4541">
            <v>14</v>
          </cell>
        </row>
        <row r="4542">
          <cell r="D4542" t="str">
            <v>8050-28-0</v>
          </cell>
          <cell r="E4542">
            <v>8050280</v>
          </cell>
          <cell r="F4542" t="str">
            <v>-</v>
          </cell>
          <cell r="G4542" t="str">
            <v>-</v>
          </cell>
          <cell r="H4542">
            <v>4520</v>
          </cell>
          <cell r="Q4542">
            <v>14</v>
          </cell>
        </row>
        <row r="4543">
          <cell r="D4543" t="str">
            <v>68953-27-5</v>
          </cell>
          <cell r="E4543">
            <v>68953275</v>
          </cell>
          <cell r="F4543" t="str">
            <v>-</v>
          </cell>
          <cell r="G4543" t="str">
            <v>-</v>
          </cell>
          <cell r="H4543">
            <v>4521</v>
          </cell>
          <cell r="Q4543">
            <v>14</v>
          </cell>
        </row>
        <row r="4544">
          <cell r="D4544" t="str">
            <v>28472-97-1</v>
          </cell>
          <cell r="E4544">
            <v>28472971</v>
          </cell>
          <cell r="F4544" t="str">
            <v>-</v>
          </cell>
          <cell r="G4544" t="str">
            <v>-</v>
          </cell>
          <cell r="H4544">
            <v>4522</v>
          </cell>
          <cell r="Q4544">
            <v>14</v>
          </cell>
        </row>
        <row r="4545">
          <cell r="D4545" t="str">
            <v>27178-16-1</v>
          </cell>
          <cell r="E4545">
            <v>27178161</v>
          </cell>
          <cell r="F4545" t="str">
            <v>-</v>
          </cell>
          <cell r="G4545" t="str">
            <v>-</v>
          </cell>
          <cell r="H4545">
            <v>4523</v>
          </cell>
          <cell r="Q4545">
            <v>14</v>
          </cell>
        </row>
        <row r="4546">
          <cell r="D4546" t="str">
            <v>38294-64-3</v>
          </cell>
          <cell r="E4546">
            <v>38294643</v>
          </cell>
          <cell r="F4546" t="str">
            <v>-</v>
          </cell>
          <cell r="G4546" t="str">
            <v>-</v>
          </cell>
          <cell r="H4546">
            <v>4524</v>
          </cell>
          <cell r="Q4546">
            <v>14</v>
          </cell>
        </row>
        <row r="4547">
          <cell r="D4547" t="str">
            <v>68412-54-4</v>
          </cell>
          <cell r="E4547">
            <v>68412544</v>
          </cell>
          <cell r="F4547" t="str">
            <v>-</v>
          </cell>
          <cell r="G4547" t="str">
            <v>-</v>
          </cell>
          <cell r="H4547">
            <v>4525</v>
          </cell>
          <cell r="Q4547">
            <v>14</v>
          </cell>
        </row>
        <row r="4548">
          <cell r="D4548" t="str">
            <v>68952-95-4</v>
          </cell>
          <cell r="E4548">
            <v>68952954</v>
          </cell>
          <cell r="F4548" t="str">
            <v>-</v>
          </cell>
          <cell r="G4548" t="str">
            <v>-</v>
          </cell>
          <cell r="H4548">
            <v>4526</v>
          </cell>
          <cell r="Q4548">
            <v>14</v>
          </cell>
        </row>
        <row r="4549">
          <cell r="D4549" t="str">
            <v>1335-46-2</v>
          </cell>
          <cell r="E4549">
            <v>1335462</v>
          </cell>
          <cell r="F4549" t="str">
            <v>-</v>
          </cell>
          <cell r="G4549" t="str">
            <v>-</v>
          </cell>
          <cell r="H4549">
            <v>4527</v>
          </cell>
          <cell r="Q4549">
            <v>14</v>
          </cell>
        </row>
        <row r="4550">
          <cell r="D4550" t="str">
            <v>68987-63-3</v>
          </cell>
          <cell r="E4550">
            <v>68987633</v>
          </cell>
          <cell r="F4550" t="str">
            <v>-</v>
          </cell>
          <cell r="G4550" t="str">
            <v>-</v>
          </cell>
          <cell r="H4550">
            <v>4528</v>
          </cell>
          <cell r="Q4550">
            <v>14</v>
          </cell>
        </row>
        <row r="4551">
          <cell r="D4551" t="str">
            <v>244235-47-0</v>
          </cell>
          <cell r="E4551">
            <v>244235470</v>
          </cell>
          <cell r="F4551" t="str">
            <v>-</v>
          </cell>
          <cell r="G4551" t="str">
            <v>-</v>
          </cell>
          <cell r="H4551">
            <v>4529</v>
          </cell>
          <cell r="Q4551">
            <v>14</v>
          </cell>
        </row>
        <row r="4552">
          <cell r="D4552" t="str">
            <v>68334-35-0</v>
          </cell>
          <cell r="E4552">
            <v>68334350</v>
          </cell>
          <cell r="F4552" t="str">
            <v>-</v>
          </cell>
          <cell r="G4552" t="str">
            <v>-</v>
          </cell>
          <cell r="H4552">
            <v>4530</v>
          </cell>
          <cell r="Q4552">
            <v>14</v>
          </cell>
        </row>
        <row r="4553">
          <cell r="D4553" t="str">
            <v>95465-85-3</v>
          </cell>
          <cell r="E4553">
            <v>95465853</v>
          </cell>
          <cell r="F4553" t="str">
            <v>-</v>
          </cell>
          <cell r="G4553" t="str">
            <v>-</v>
          </cell>
          <cell r="H4553">
            <v>4531</v>
          </cell>
          <cell r="Q4553">
            <v>14</v>
          </cell>
        </row>
        <row r="4554">
          <cell r="D4554" t="str">
            <v>90622-27-8</v>
          </cell>
          <cell r="E4554">
            <v>90622278</v>
          </cell>
          <cell r="F4554" t="str">
            <v>-</v>
          </cell>
          <cell r="G4554" t="str">
            <v>-</v>
          </cell>
          <cell r="H4554">
            <v>4532</v>
          </cell>
          <cell r="Q4554">
            <v>14</v>
          </cell>
        </row>
        <row r="4555">
          <cell r="D4555" t="str">
            <v>68909-77-3</v>
          </cell>
          <cell r="E4555">
            <v>68909773</v>
          </cell>
          <cell r="F4555" t="str">
            <v>-</v>
          </cell>
          <cell r="G4555" t="str">
            <v>-</v>
          </cell>
          <cell r="H4555">
            <v>4533</v>
          </cell>
          <cell r="Q4555">
            <v>14</v>
          </cell>
        </row>
        <row r="4556">
          <cell r="D4556" t="str">
            <v>68937-40-6</v>
          </cell>
          <cell r="E4556">
            <v>68937406</v>
          </cell>
          <cell r="F4556" t="str">
            <v>-</v>
          </cell>
          <cell r="G4556" t="str">
            <v>-</v>
          </cell>
          <cell r="H4556">
            <v>4534</v>
          </cell>
          <cell r="Q4556">
            <v>14</v>
          </cell>
        </row>
        <row r="4557">
          <cell r="D4557" t="str">
            <v>1330-78-5</v>
          </cell>
          <cell r="E4557">
            <v>1330785</v>
          </cell>
          <cell r="F4557" t="str">
            <v>-</v>
          </cell>
          <cell r="G4557" t="str">
            <v>-</v>
          </cell>
          <cell r="H4557">
            <v>4535</v>
          </cell>
          <cell r="Q4557">
            <v>14</v>
          </cell>
        </row>
        <row r="4558">
          <cell r="D4558" t="str">
            <v>68082-29-1</v>
          </cell>
          <cell r="E4558">
            <v>68082291</v>
          </cell>
          <cell r="F4558" t="str">
            <v>-</v>
          </cell>
          <cell r="G4558" t="str">
            <v>-</v>
          </cell>
          <cell r="H4558">
            <v>4536</v>
          </cell>
          <cell r="Q4558">
            <v>14</v>
          </cell>
        </row>
        <row r="4559">
          <cell r="D4559" t="str">
            <v>26896-48-0</v>
          </cell>
          <cell r="E4559">
            <v>26896480</v>
          </cell>
          <cell r="F4559" t="str">
            <v>-</v>
          </cell>
          <cell r="G4559" t="str">
            <v>-</v>
          </cell>
          <cell r="H4559">
            <v>4537</v>
          </cell>
          <cell r="Q4559">
            <v>14</v>
          </cell>
        </row>
        <row r="4560">
          <cell r="D4560" t="str">
            <v>68391-05-9</v>
          </cell>
          <cell r="E4560">
            <v>68391059</v>
          </cell>
          <cell r="F4560" t="str">
            <v>-</v>
          </cell>
          <cell r="G4560" t="str">
            <v>-</v>
          </cell>
          <cell r="H4560">
            <v>4538</v>
          </cell>
          <cell r="Q4560">
            <v>14</v>
          </cell>
        </row>
        <row r="4561">
          <cell r="D4561" t="str">
            <v>68002-88-0</v>
          </cell>
          <cell r="E4561">
            <v>68002880</v>
          </cell>
          <cell r="F4561" t="str">
            <v>-</v>
          </cell>
          <cell r="G4561" t="str">
            <v>-</v>
          </cell>
          <cell r="H4561">
            <v>4539</v>
          </cell>
          <cell r="Q4561">
            <v>14</v>
          </cell>
        </row>
        <row r="4562">
          <cell r="D4562" t="str">
            <v>94279-90-0</v>
          </cell>
          <cell r="E4562">
            <v>94279900</v>
          </cell>
          <cell r="F4562" t="str">
            <v>-</v>
          </cell>
          <cell r="G4562" t="str">
            <v>-</v>
          </cell>
          <cell r="H4562">
            <v>4540</v>
          </cell>
          <cell r="Q4562">
            <v>14</v>
          </cell>
        </row>
        <row r="4563">
          <cell r="D4563" t="str">
            <v>61790-19-0</v>
          </cell>
          <cell r="E4563">
            <v>61790190</v>
          </cell>
          <cell r="F4563" t="str">
            <v>-</v>
          </cell>
          <cell r="G4563" t="str">
            <v>-</v>
          </cell>
          <cell r="H4563">
            <v>4541</v>
          </cell>
          <cell r="Q4563">
            <v>14</v>
          </cell>
        </row>
        <row r="4564">
          <cell r="D4564" t="str">
            <v>68201-37-6</v>
          </cell>
          <cell r="E4564">
            <v>68201376</v>
          </cell>
          <cell r="F4564" t="str">
            <v>-</v>
          </cell>
          <cell r="G4564" t="str">
            <v>-</v>
          </cell>
          <cell r="H4564">
            <v>4542</v>
          </cell>
          <cell r="Q4564">
            <v>14</v>
          </cell>
        </row>
        <row r="4565">
          <cell r="D4565" t="str">
            <v>68441-66-7</v>
          </cell>
          <cell r="E4565">
            <v>68441667</v>
          </cell>
          <cell r="F4565" t="str">
            <v>-</v>
          </cell>
          <cell r="G4565" t="str">
            <v>-</v>
          </cell>
          <cell r="H4565">
            <v>4543</v>
          </cell>
          <cell r="Q4565">
            <v>14</v>
          </cell>
        </row>
        <row r="4566">
          <cell r="D4566" t="str">
            <v>67746-08-1</v>
          </cell>
          <cell r="E4566">
            <v>67746081</v>
          </cell>
          <cell r="F4566" t="str">
            <v>-</v>
          </cell>
          <cell r="G4566" t="str">
            <v>-</v>
          </cell>
          <cell r="H4566">
            <v>4544</v>
          </cell>
          <cell r="Q4566">
            <v>14</v>
          </cell>
        </row>
        <row r="4567">
          <cell r="D4567" t="str">
            <v>68002-70-0</v>
          </cell>
          <cell r="E4567">
            <v>68002700</v>
          </cell>
          <cell r="F4567" t="str">
            <v>-</v>
          </cell>
          <cell r="G4567" t="str">
            <v>-</v>
          </cell>
          <cell r="H4567">
            <v>4545</v>
          </cell>
          <cell r="Q4567">
            <v>14</v>
          </cell>
        </row>
        <row r="4568">
          <cell r="D4568" t="str">
            <v>1226892-45-0</v>
          </cell>
          <cell r="E4568">
            <v>1226892450</v>
          </cell>
          <cell r="F4568" t="str">
            <v>-</v>
          </cell>
          <cell r="G4568" t="str">
            <v>-</v>
          </cell>
          <cell r="H4568">
            <v>4546</v>
          </cell>
          <cell r="Q4568">
            <v>14</v>
          </cell>
        </row>
        <row r="4569">
          <cell r="D4569" t="str">
            <v>27970-79-2</v>
          </cell>
          <cell r="E4569">
            <v>27970792</v>
          </cell>
          <cell r="F4569" t="str">
            <v>-</v>
          </cell>
          <cell r="G4569" t="str">
            <v>-</v>
          </cell>
          <cell r="H4569">
            <v>4547</v>
          </cell>
          <cell r="Q4569">
            <v>14</v>
          </cell>
        </row>
        <row r="4570">
          <cell r="D4570" t="str">
            <v>163292-61-3</v>
          </cell>
          <cell r="E4570">
            <v>163292613</v>
          </cell>
          <cell r="F4570" t="str">
            <v>-</v>
          </cell>
          <cell r="G4570" t="str">
            <v>-</v>
          </cell>
          <cell r="H4570">
            <v>4548</v>
          </cell>
          <cell r="Q4570">
            <v>14</v>
          </cell>
        </row>
        <row r="4571">
          <cell r="D4571" t="str">
            <v>1160806-44-9</v>
          </cell>
          <cell r="E4571">
            <v>1160806449</v>
          </cell>
          <cell r="F4571" t="str">
            <v>-</v>
          </cell>
          <cell r="G4571" t="str">
            <v>-</v>
          </cell>
          <cell r="H4571">
            <v>4549</v>
          </cell>
          <cell r="Q4571">
            <v>14</v>
          </cell>
        </row>
        <row r="4572">
          <cell r="D4572" t="str">
            <v>68411-44-9</v>
          </cell>
          <cell r="E4572">
            <v>68411449</v>
          </cell>
          <cell r="F4572" t="str">
            <v>-</v>
          </cell>
          <cell r="G4572" t="str">
            <v>-</v>
          </cell>
          <cell r="H4572">
            <v>4550</v>
          </cell>
          <cell r="Q4572">
            <v>14</v>
          </cell>
        </row>
        <row r="4573">
          <cell r="D4573" t="str">
            <v>66319-07-1</v>
          </cell>
          <cell r="E4573">
            <v>66319071</v>
          </cell>
          <cell r="F4573" t="str">
            <v>-</v>
          </cell>
          <cell r="G4573" t="str">
            <v>-</v>
          </cell>
          <cell r="H4573">
            <v>4551</v>
          </cell>
          <cell r="Q4573">
            <v>14</v>
          </cell>
        </row>
        <row r="4574">
          <cell r="D4574" t="str">
            <v>68953-96-8</v>
          </cell>
          <cell r="E4574">
            <v>68953968</v>
          </cell>
          <cell r="F4574" t="str">
            <v>-</v>
          </cell>
          <cell r="G4574" t="str">
            <v>-</v>
          </cell>
          <cell r="H4574">
            <v>4552</v>
          </cell>
          <cell r="Q4574">
            <v>14</v>
          </cell>
        </row>
        <row r="4575">
          <cell r="D4575" t="str">
            <v>95912-87-1</v>
          </cell>
          <cell r="E4575">
            <v>95912871</v>
          </cell>
          <cell r="F4575" t="str">
            <v>-</v>
          </cell>
          <cell r="G4575" t="str">
            <v>-</v>
          </cell>
          <cell r="H4575">
            <v>4553</v>
          </cell>
          <cell r="Q4575">
            <v>14</v>
          </cell>
        </row>
        <row r="4576">
          <cell r="D4576" t="str">
            <v>95912-88-2</v>
          </cell>
          <cell r="E4576">
            <v>95912882</v>
          </cell>
          <cell r="F4576" t="str">
            <v>-</v>
          </cell>
          <cell r="G4576" t="str">
            <v>-</v>
          </cell>
          <cell r="H4576">
            <v>4554</v>
          </cell>
          <cell r="Q4576">
            <v>14</v>
          </cell>
        </row>
        <row r="4577">
          <cell r="D4577" t="str">
            <v>1228186-15-9</v>
          </cell>
          <cell r="E4577">
            <v>1228186159</v>
          </cell>
          <cell r="F4577" t="str">
            <v>-</v>
          </cell>
          <cell r="G4577" t="str">
            <v>-</v>
          </cell>
          <cell r="H4577">
            <v>4555</v>
          </cell>
          <cell r="Q4577">
            <v>14</v>
          </cell>
        </row>
        <row r="4578">
          <cell r="D4578" t="str">
            <v>84649-98-9</v>
          </cell>
          <cell r="E4578">
            <v>84649989</v>
          </cell>
          <cell r="F4578" t="str">
            <v>-</v>
          </cell>
          <cell r="G4578" t="str">
            <v>-</v>
          </cell>
          <cell r="H4578">
            <v>4556</v>
          </cell>
          <cell r="Q4578">
            <v>14</v>
          </cell>
        </row>
        <row r="4579">
          <cell r="D4579" t="str">
            <v>1245638-61-2</v>
          </cell>
          <cell r="E4579">
            <v>1245638612</v>
          </cell>
          <cell r="F4579" t="str">
            <v>-</v>
          </cell>
          <cell r="G4579" t="str">
            <v>-</v>
          </cell>
          <cell r="H4579">
            <v>4557</v>
          </cell>
          <cell r="Q4579">
            <v>14</v>
          </cell>
        </row>
        <row r="4580">
          <cell r="D4580" t="str">
            <v>1338-39-2</v>
          </cell>
          <cell r="E4580">
            <v>1338392</v>
          </cell>
          <cell r="F4580" t="str">
            <v>-</v>
          </cell>
          <cell r="G4580" t="str">
            <v>-</v>
          </cell>
          <cell r="H4580">
            <v>4558</v>
          </cell>
          <cell r="Q4580">
            <v>14</v>
          </cell>
        </row>
        <row r="4581">
          <cell r="D4581" t="str">
            <v>84989-06-0</v>
          </cell>
          <cell r="E4581">
            <v>84989060</v>
          </cell>
          <cell r="F4581" t="str">
            <v>-</v>
          </cell>
          <cell r="G4581" t="str">
            <v>-</v>
          </cell>
          <cell r="H4581">
            <v>4559</v>
          </cell>
          <cell r="Q4581">
            <v>14</v>
          </cell>
        </row>
        <row r="4582">
          <cell r="D4582" t="str">
            <v>77745-66-5</v>
          </cell>
          <cell r="E4582">
            <v>77745665</v>
          </cell>
          <cell r="F4582" t="str">
            <v>-</v>
          </cell>
          <cell r="G4582" t="str">
            <v>-</v>
          </cell>
          <cell r="H4582">
            <v>4560</v>
          </cell>
          <cell r="Q4582">
            <v>14</v>
          </cell>
        </row>
        <row r="4583">
          <cell r="D4583" t="str">
            <v>97925-95-6</v>
          </cell>
          <cell r="E4583">
            <v>97925956</v>
          </cell>
          <cell r="F4583" t="str">
            <v>-</v>
          </cell>
          <cell r="G4583" t="str">
            <v>-</v>
          </cell>
          <cell r="H4583">
            <v>4561</v>
          </cell>
          <cell r="Q4583">
            <v>14</v>
          </cell>
        </row>
        <row r="4584">
          <cell r="D4584" t="str">
            <v>27253-26-5</v>
          </cell>
          <cell r="E4584">
            <v>27253265</v>
          </cell>
          <cell r="F4584" t="str">
            <v>-</v>
          </cell>
          <cell r="G4584" t="str">
            <v>-</v>
          </cell>
          <cell r="H4584">
            <v>4562</v>
          </cell>
          <cell r="Q4584">
            <v>14</v>
          </cell>
        </row>
        <row r="4585">
          <cell r="D4585" t="str">
            <v>29385-43-1</v>
          </cell>
          <cell r="E4585">
            <v>29385431</v>
          </cell>
          <cell r="F4585" t="str">
            <v>-</v>
          </cell>
          <cell r="G4585" t="str">
            <v>-</v>
          </cell>
          <cell r="H4585">
            <v>4563</v>
          </cell>
          <cell r="Q4585">
            <v>14</v>
          </cell>
        </row>
        <row r="4586">
          <cell r="D4586" t="str">
            <v>25550-98-5</v>
          </cell>
          <cell r="E4586">
            <v>25550985</v>
          </cell>
          <cell r="F4586" t="str">
            <v>-</v>
          </cell>
          <cell r="G4586" t="str">
            <v>-</v>
          </cell>
          <cell r="H4586">
            <v>4564</v>
          </cell>
          <cell r="Q4586">
            <v>14</v>
          </cell>
        </row>
        <row r="4587">
          <cell r="D4587" t="str">
            <v>26544-38-7</v>
          </cell>
          <cell r="E4587">
            <v>26544387</v>
          </cell>
          <cell r="F4587" t="str">
            <v>-</v>
          </cell>
          <cell r="G4587" t="str">
            <v>-</v>
          </cell>
          <cell r="H4587">
            <v>4565</v>
          </cell>
          <cell r="Q4587">
            <v>14</v>
          </cell>
        </row>
        <row r="4588">
          <cell r="D4588" t="str">
            <v>126-86-3</v>
          </cell>
          <cell r="E4588">
            <v>126863</v>
          </cell>
          <cell r="F4588" t="str">
            <v>-</v>
          </cell>
          <cell r="G4588" t="str">
            <v>-</v>
          </cell>
          <cell r="H4588">
            <v>4566</v>
          </cell>
          <cell r="Q4588">
            <v>14</v>
          </cell>
        </row>
        <row r="4589">
          <cell r="D4589" t="str">
            <v>68187-76-8</v>
          </cell>
          <cell r="E4589">
            <v>68187768</v>
          </cell>
          <cell r="F4589" t="str">
            <v>-</v>
          </cell>
          <cell r="G4589" t="str">
            <v>-</v>
          </cell>
          <cell r="H4589">
            <v>4567</v>
          </cell>
          <cell r="Q4589">
            <v>14</v>
          </cell>
        </row>
        <row r="4590">
          <cell r="D4590" t="str">
            <v>1218787-32-6</v>
          </cell>
          <cell r="E4590">
            <v>1218787326</v>
          </cell>
          <cell r="F4590" t="str">
            <v>-</v>
          </cell>
          <cell r="G4590" t="str">
            <v>-</v>
          </cell>
          <cell r="H4590">
            <v>4568</v>
          </cell>
          <cell r="Q4590">
            <v>14</v>
          </cell>
        </row>
        <row r="4591">
          <cell r="D4591" t="str">
            <v>68457-79-4</v>
          </cell>
          <cell r="E4591">
            <v>68457794</v>
          </cell>
          <cell r="F4591" t="str">
            <v>-</v>
          </cell>
          <cell r="G4591" t="str">
            <v>-</v>
          </cell>
          <cell r="H4591">
            <v>4569</v>
          </cell>
          <cell r="Q4591">
            <v>14</v>
          </cell>
        </row>
        <row r="4592">
          <cell r="D4592" t="str">
            <v>32210-23-4</v>
          </cell>
          <cell r="E4592">
            <v>32210234</v>
          </cell>
          <cell r="F4592" t="str">
            <v>-</v>
          </cell>
          <cell r="G4592" t="str">
            <v>-</v>
          </cell>
          <cell r="H4592">
            <v>4570</v>
          </cell>
          <cell r="Q4592">
            <v>14</v>
          </cell>
        </row>
        <row r="4593">
          <cell r="D4593" t="str">
            <v>68608-66-2</v>
          </cell>
          <cell r="E4593">
            <v>68608662</v>
          </cell>
          <cell r="F4593" t="str">
            <v>-</v>
          </cell>
          <cell r="G4593" t="str">
            <v>-</v>
          </cell>
          <cell r="H4593">
            <v>4571</v>
          </cell>
          <cell r="Q4593">
            <v>14</v>
          </cell>
        </row>
        <row r="4594">
          <cell r="D4594" t="str">
            <v>25550-51-0</v>
          </cell>
          <cell r="E4594">
            <v>25550510</v>
          </cell>
          <cell r="F4594" t="str">
            <v>-</v>
          </cell>
          <cell r="G4594" t="str">
            <v>-</v>
          </cell>
          <cell r="H4594">
            <v>4572</v>
          </cell>
          <cell r="Q4594">
            <v>14</v>
          </cell>
        </row>
        <row r="4595">
          <cell r="D4595" t="str">
            <v>68610-97-9</v>
          </cell>
          <cell r="E4595">
            <v>68610979</v>
          </cell>
          <cell r="F4595" t="str">
            <v>-</v>
          </cell>
          <cell r="G4595" t="str">
            <v>-</v>
          </cell>
          <cell r="H4595">
            <v>4573</v>
          </cell>
          <cell r="Q4595">
            <v>14</v>
          </cell>
        </row>
        <row r="4596">
          <cell r="D4596" t="str">
            <v>68583-51-7</v>
          </cell>
          <cell r="E4596">
            <v>68583517</v>
          </cell>
          <cell r="F4596" t="str">
            <v>-</v>
          </cell>
          <cell r="G4596" t="str">
            <v>-</v>
          </cell>
          <cell r="H4596">
            <v>4574</v>
          </cell>
          <cell r="Q4596">
            <v>14</v>
          </cell>
        </row>
        <row r="4597">
          <cell r="D4597" t="str">
            <v>94279-37-5</v>
          </cell>
          <cell r="E4597">
            <v>94279375</v>
          </cell>
          <cell r="F4597" t="str">
            <v>-</v>
          </cell>
          <cell r="G4597" t="str">
            <v>-</v>
          </cell>
          <cell r="H4597">
            <v>4575</v>
          </cell>
          <cell r="Q4597">
            <v>14</v>
          </cell>
        </row>
        <row r="4598">
          <cell r="D4598" t="str">
            <v>1338-41-6</v>
          </cell>
          <cell r="E4598">
            <v>1338416</v>
          </cell>
          <cell r="F4598" t="str">
            <v>-</v>
          </cell>
          <cell r="G4598" t="str">
            <v>-</v>
          </cell>
          <cell r="H4598">
            <v>4576</v>
          </cell>
          <cell r="Q4598">
            <v>14</v>
          </cell>
        </row>
        <row r="4599">
          <cell r="D4599" t="str">
            <v>9032-08-0</v>
          </cell>
          <cell r="E4599">
            <v>9032080</v>
          </cell>
          <cell r="F4599" t="str">
            <v>-</v>
          </cell>
          <cell r="G4599" t="str">
            <v>-</v>
          </cell>
          <cell r="H4599">
            <v>4577</v>
          </cell>
          <cell r="Q4599">
            <v>14</v>
          </cell>
        </row>
        <row r="4600">
          <cell r="D4600" t="str">
            <v>1160164-88-4</v>
          </cell>
          <cell r="E4600">
            <v>1160164884</v>
          </cell>
          <cell r="F4600" t="str">
            <v>-</v>
          </cell>
          <cell r="G4600" t="str">
            <v>-</v>
          </cell>
          <cell r="H4600">
            <v>4578</v>
          </cell>
          <cell r="Q4600">
            <v>14</v>
          </cell>
        </row>
        <row r="4601">
          <cell r="D4601" t="str">
            <v>68439-75-8</v>
          </cell>
          <cell r="E4601">
            <v>68439758</v>
          </cell>
          <cell r="F4601" t="str">
            <v>-</v>
          </cell>
          <cell r="G4601" t="str">
            <v>-</v>
          </cell>
          <cell r="H4601">
            <v>4579</v>
          </cell>
          <cell r="Q4601">
            <v>14</v>
          </cell>
        </row>
        <row r="4602">
          <cell r="D4602" t="str">
            <v>68855-45-8</v>
          </cell>
          <cell r="E4602">
            <v>68855458</v>
          </cell>
          <cell r="F4602" t="str">
            <v>-</v>
          </cell>
          <cell r="G4602" t="str">
            <v>-</v>
          </cell>
          <cell r="H4602">
            <v>4580</v>
          </cell>
          <cell r="Q4602">
            <v>14</v>
          </cell>
        </row>
        <row r="4603">
          <cell r="D4603" t="str">
            <v>140362-65-8</v>
          </cell>
          <cell r="E4603">
            <v>140362658</v>
          </cell>
          <cell r="F4603" t="str">
            <v>-</v>
          </cell>
          <cell r="G4603" t="str">
            <v>-</v>
          </cell>
          <cell r="H4603">
            <v>4581</v>
          </cell>
          <cell r="Q4603">
            <v>14</v>
          </cell>
        </row>
        <row r="4604">
          <cell r="D4604" t="str">
            <v>9000-90-2</v>
          </cell>
          <cell r="E4604">
            <v>9000902</v>
          </cell>
          <cell r="F4604" t="str">
            <v>-</v>
          </cell>
          <cell r="G4604" t="str">
            <v>-</v>
          </cell>
          <cell r="H4604">
            <v>4582</v>
          </cell>
          <cell r="Q4604">
            <v>14</v>
          </cell>
        </row>
        <row r="4605">
          <cell r="D4605" t="str">
            <v>71786-60-2</v>
          </cell>
          <cell r="E4605">
            <v>71786602</v>
          </cell>
          <cell r="F4605" t="str">
            <v>-</v>
          </cell>
          <cell r="G4605" t="str">
            <v>-</v>
          </cell>
          <cell r="H4605">
            <v>4583</v>
          </cell>
          <cell r="Q4605">
            <v>14</v>
          </cell>
        </row>
        <row r="4606">
          <cell r="D4606" t="str">
            <v>67762-63-4</v>
          </cell>
          <cell r="E4606">
            <v>67762634</v>
          </cell>
          <cell r="F4606" t="str">
            <v>-</v>
          </cell>
          <cell r="G4606" t="str">
            <v>-</v>
          </cell>
          <cell r="H4606">
            <v>4584</v>
          </cell>
          <cell r="Q4606">
            <v>14</v>
          </cell>
        </row>
        <row r="4607">
          <cell r="D4607" t="str">
            <v>163206-31-3</v>
          </cell>
          <cell r="E4607">
            <v>163206313</v>
          </cell>
          <cell r="F4607" t="str">
            <v>-</v>
          </cell>
          <cell r="G4607" t="str">
            <v>-</v>
          </cell>
          <cell r="H4607">
            <v>4585</v>
          </cell>
          <cell r="Q4607">
            <v>14</v>
          </cell>
        </row>
        <row r="4608">
          <cell r="D4608" t="str">
            <v>68201-60-5</v>
          </cell>
          <cell r="E4608">
            <v>68201605</v>
          </cell>
          <cell r="F4608" t="str">
            <v>-</v>
          </cell>
          <cell r="G4608" t="str">
            <v>-</v>
          </cell>
          <cell r="H4608">
            <v>4586</v>
          </cell>
          <cell r="Q4608">
            <v>14</v>
          </cell>
        </row>
        <row r="4609">
          <cell r="D4609" t="str">
            <v>95371-11-2</v>
          </cell>
          <cell r="E4609">
            <v>95371112</v>
          </cell>
          <cell r="F4609" t="str">
            <v>-</v>
          </cell>
          <cell r="G4609" t="str">
            <v>-</v>
          </cell>
          <cell r="H4609">
            <v>4587</v>
          </cell>
          <cell r="Q4609">
            <v>14</v>
          </cell>
        </row>
        <row r="4610">
          <cell r="D4610" t="str">
            <v>68909-99-9</v>
          </cell>
          <cell r="E4610">
            <v>68909999</v>
          </cell>
          <cell r="F4610" t="str">
            <v>-</v>
          </cell>
          <cell r="G4610" t="str">
            <v>-</v>
          </cell>
          <cell r="H4610">
            <v>4588</v>
          </cell>
          <cell r="Q4610">
            <v>14</v>
          </cell>
        </row>
        <row r="4611">
          <cell r="D4611" t="str">
            <v>86089-17-0</v>
          </cell>
          <cell r="E4611">
            <v>86089170</v>
          </cell>
          <cell r="F4611" t="str">
            <v>-</v>
          </cell>
          <cell r="G4611" t="str">
            <v>-</v>
          </cell>
          <cell r="H4611">
            <v>4589</v>
          </cell>
          <cell r="Q4611">
            <v>14</v>
          </cell>
        </row>
        <row r="4612">
          <cell r="D4612" t="str">
            <v>159168-82-8</v>
          </cell>
          <cell r="E4612">
            <v>159168828</v>
          </cell>
          <cell r="F4612" t="str">
            <v>-</v>
          </cell>
          <cell r="G4612" t="str">
            <v>-</v>
          </cell>
          <cell r="H4612">
            <v>4590</v>
          </cell>
          <cell r="Q4612">
            <v>14</v>
          </cell>
        </row>
        <row r="4613">
          <cell r="D4613" t="str">
            <v>947522-81-8</v>
          </cell>
          <cell r="E4613">
            <v>947522818</v>
          </cell>
          <cell r="F4613" t="str">
            <v>-</v>
          </cell>
          <cell r="G4613" t="str">
            <v>-</v>
          </cell>
          <cell r="H4613">
            <v>4591</v>
          </cell>
          <cell r="Q4613">
            <v>14</v>
          </cell>
        </row>
        <row r="4614">
          <cell r="D4614" t="str">
            <v>68002-65-3</v>
          </cell>
          <cell r="E4614">
            <v>68002653</v>
          </cell>
          <cell r="F4614" t="str">
            <v>-</v>
          </cell>
          <cell r="G4614" t="str">
            <v>-</v>
          </cell>
          <cell r="H4614">
            <v>4592</v>
          </cell>
          <cell r="Q4614">
            <v>14</v>
          </cell>
        </row>
        <row r="4615">
          <cell r="D4615" t="str">
            <v>8016-11-3</v>
          </cell>
          <cell r="E4615">
            <v>8016113</v>
          </cell>
          <cell r="F4615" t="str">
            <v>-</v>
          </cell>
          <cell r="G4615" t="str">
            <v>-</v>
          </cell>
          <cell r="H4615">
            <v>4593</v>
          </cell>
          <cell r="Q4615">
            <v>14</v>
          </cell>
        </row>
        <row r="4616">
          <cell r="D4616" t="str">
            <v>65997-05-9</v>
          </cell>
          <cell r="E4616">
            <v>65997059</v>
          </cell>
          <cell r="F4616" t="str">
            <v>-</v>
          </cell>
          <cell r="G4616" t="str">
            <v>-</v>
          </cell>
          <cell r="H4616">
            <v>4594</v>
          </cell>
          <cell r="Q4616">
            <v>14</v>
          </cell>
        </row>
        <row r="4617">
          <cell r="D4617" t="str">
            <v>85535-84-8</v>
          </cell>
          <cell r="E4617">
            <v>85535848</v>
          </cell>
          <cell r="F4617" t="str">
            <v>-</v>
          </cell>
          <cell r="G4617" t="str">
            <v>-</v>
          </cell>
          <cell r="H4617">
            <v>4595</v>
          </cell>
          <cell r="Q4617">
            <v>14</v>
          </cell>
        </row>
        <row r="4618">
          <cell r="D4618" t="str">
            <v>20566-35-2</v>
          </cell>
          <cell r="E4618">
            <v>20566352</v>
          </cell>
          <cell r="F4618" t="str">
            <v>-</v>
          </cell>
          <cell r="G4618" t="str">
            <v>-</v>
          </cell>
          <cell r="H4618">
            <v>4596</v>
          </cell>
          <cell r="Q4618">
            <v>14</v>
          </cell>
        </row>
        <row r="4619">
          <cell r="D4619" t="str">
            <v>68081-77-6</v>
          </cell>
          <cell r="E4619">
            <v>68081776</v>
          </cell>
          <cell r="F4619" t="str">
            <v>-</v>
          </cell>
          <cell r="G4619" t="str">
            <v>-</v>
          </cell>
          <cell r="H4619">
            <v>4597</v>
          </cell>
          <cell r="Q4619">
            <v>14</v>
          </cell>
        </row>
        <row r="4620">
          <cell r="D4620" t="str">
            <v>130169-56-1</v>
          </cell>
          <cell r="E4620">
            <v>130169561</v>
          </cell>
          <cell r="F4620" t="str">
            <v>-</v>
          </cell>
          <cell r="G4620" t="str">
            <v>-</v>
          </cell>
          <cell r="H4620">
            <v>4598</v>
          </cell>
          <cell r="Q4620">
            <v>14</v>
          </cell>
        </row>
        <row r="4621">
          <cell r="D4621" t="str">
            <v>68424-37-3</v>
          </cell>
          <cell r="E4621">
            <v>68424373</v>
          </cell>
          <cell r="F4621" t="str">
            <v>-</v>
          </cell>
          <cell r="G4621" t="str">
            <v>-</v>
          </cell>
          <cell r="H4621">
            <v>4599</v>
          </cell>
          <cell r="Q4621">
            <v>14</v>
          </cell>
        </row>
        <row r="4622">
          <cell r="D4622" t="str">
            <v>91052-13-0</v>
          </cell>
          <cell r="E4622">
            <v>91052130</v>
          </cell>
          <cell r="F4622" t="str">
            <v>-</v>
          </cell>
          <cell r="G4622" t="str">
            <v>-</v>
          </cell>
          <cell r="H4622">
            <v>4600</v>
          </cell>
          <cell r="Q4622">
            <v>14</v>
          </cell>
        </row>
        <row r="4623">
          <cell r="D4623" t="str">
            <v>9005-00-9</v>
          </cell>
          <cell r="E4623">
            <v>9005009</v>
          </cell>
          <cell r="F4623" t="str">
            <v>-</v>
          </cell>
          <cell r="G4623" t="str">
            <v>-</v>
          </cell>
          <cell r="H4623">
            <v>4601</v>
          </cell>
          <cell r="Q4623">
            <v>14</v>
          </cell>
        </row>
        <row r="4624">
          <cell r="D4624" t="str">
            <v>85186-86-3</v>
          </cell>
          <cell r="E4624">
            <v>85186863</v>
          </cell>
          <cell r="F4624" t="str">
            <v>-</v>
          </cell>
          <cell r="G4624" t="str">
            <v>-</v>
          </cell>
          <cell r="H4624">
            <v>4602</v>
          </cell>
          <cell r="Q4624">
            <v>14</v>
          </cell>
        </row>
        <row r="4625">
          <cell r="D4625" t="str">
            <v>84238-17-5</v>
          </cell>
          <cell r="E4625">
            <v>84238175</v>
          </cell>
          <cell r="F4625" t="str">
            <v>-</v>
          </cell>
          <cell r="G4625" t="str">
            <v>-</v>
          </cell>
          <cell r="H4625">
            <v>4603</v>
          </cell>
          <cell r="Q4625">
            <v>14</v>
          </cell>
        </row>
        <row r="4626">
          <cell r="D4626" t="str">
            <v>68155-37-3</v>
          </cell>
          <cell r="E4626">
            <v>68155373</v>
          </cell>
          <cell r="F4626" t="str">
            <v>-</v>
          </cell>
          <cell r="G4626" t="str">
            <v>-</v>
          </cell>
          <cell r="H4626">
            <v>4604</v>
          </cell>
          <cell r="Q4626">
            <v>14</v>
          </cell>
        </row>
        <row r="4627">
          <cell r="D4627" t="str">
            <v>91722-33-7</v>
          </cell>
          <cell r="E4627">
            <v>91722337</v>
          </cell>
          <cell r="F4627" t="str">
            <v>-</v>
          </cell>
          <cell r="G4627" t="str">
            <v>-</v>
          </cell>
          <cell r="H4627">
            <v>4605</v>
          </cell>
          <cell r="Q4627">
            <v>14</v>
          </cell>
        </row>
        <row r="4628">
          <cell r="D4628" t="str">
            <v>111-57-9</v>
          </cell>
          <cell r="E4628">
            <v>111579</v>
          </cell>
          <cell r="F4628" t="str">
            <v>-</v>
          </cell>
          <cell r="G4628" t="str">
            <v>-</v>
          </cell>
          <cell r="H4628">
            <v>4606</v>
          </cell>
          <cell r="Q4628">
            <v>14</v>
          </cell>
        </row>
        <row r="4629">
          <cell r="D4629" t="str">
            <v>135108-88-2</v>
          </cell>
          <cell r="E4629">
            <v>135108882</v>
          </cell>
          <cell r="F4629" t="str">
            <v>-</v>
          </cell>
          <cell r="G4629" t="str">
            <v>-</v>
          </cell>
          <cell r="H4629">
            <v>4607</v>
          </cell>
          <cell r="Q4629">
            <v>14</v>
          </cell>
        </row>
        <row r="4630">
          <cell r="D4630" t="str">
            <v>68610-84-4</v>
          </cell>
          <cell r="E4630">
            <v>68610844</v>
          </cell>
          <cell r="F4630" t="str">
            <v>-</v>
          </cell>
          <cell r="G4630" t="str">
            <v>-</v>
          </cell>
          <cell r="H4630">
            <v>4608</v>
          </cell>
          <cell r="Q4630">
            <v>14</v>
          </cell>
        </row>
        <row r="4631">
          <cell r="D4631" t="str">
            <v>25155-23-1</v>
          </cell>
          <cell r="E4631">
            <v>25155231</v>
          </cell>
          <cell r="F4631" t="str">
            <v>-</v>
          </cell>
          <cell r="G4631" t="str">
            <v>-</v>
          </cell>
          <cell r="H4631">
            <v>4609</v>
          </cell>
          <cell r="Q4631">
            <v>14</v>
          </cell>
        </row>
        <row r="4632">
          <cell r="D4632" t="str">
            <v>92731-41-4</v>
          </cell>
          <cell r="E4632">
            <v>92731414</v>
          </cell>
          <cell r="F4632" t="str">
            <v>-</v>
          </cell>
          <cell r="G4632" t="str">
            <v>-</v>
          </cell>
          <cell r="H4632">
            <v>4610</v>
          </cell>
          <cell r="Q4632">
            <v>14</v>
          </cell>
        </row>
        <row r="4633">
          <cell r="D4633" t="str">
            <v>90622-29-0</v>
          </cell>
          <cell r="E4633">
            <v>90622290</v>
          </cell>
          <cell r="F4633" t="str">
            <v>-</v>
          </cell>
          <cell r="G4633" t="str">
            <v>-</v>
          </cell>
          <cell r="H4633">
            <v>4611</v>
          </cell>
          <cell r="Q4633">
            <v>14</v>
          </cell>
        </row>
        <row r="4634">
          <cell r="D4634" t="str">
            <v>90411-68-0</v>
          </cell>
          <cell r="E4634">
            <v>90411680</v>
          </cell>
          <cell r="F4634" t="str">
            <v>-</v>
          </cell>
          <cell r="G4634" t="str">
            <v>-</v>
          </cell>
          <cell r="H4634">
            <v>4612</v>
          </cell>
          <cell r="Q4634">
            <v>14</v>
          </cell>
        </row>
        <row r="4635">
          <cell r="D4635" t="str">
            <v>68477-42-9</v>
          </cell>
          <cell r="E4635">
            <v>68477429</v>
          </cell>
          <cell r="F4635" t="str">
            <v>-</v>
          </cell>
          <cell r="G4635" t="str">
            <v>-</v>
          </cell>
          <cell r="H4635">
            <v>4613</v>
          </cell>
          <cell r="Q4635">
            <v>14</v>
          </cell>
        </row>
        <row r="4636">
          <cell r="D4636" t="str">
            <v>51728-26-8</v>
          </cell>
          <cell r="E4636">
            <v>51728268</v>
          </cell>
          <cell r="F4636" t="str">
            <v>-</v>
          </cell>
          <cell r="G4636" t="str">
            <v>-</v>
          </cell>
          <cell r="H4636">
            <v>4614</v>
          </cell>
          <cell r="Q4636">
            <v>14</v>
          </cell>
        </row>
        <row r="4637">
          <cell r="D4637" t="str">
            <v>103170-26-9</v>
          </cell>
          <cell r="E4637">
            <v>103170269</v>
          </cell>
          <cell r="F4637" t="str">
            <v>-</v>
          </cell>
          <cell r="G4637" t="str">
            <v>-</v>
          </cell>
          <cell r="H4637">
            <v>4615</v>
          </cell>
          <cell r="Q4637">
            <v>14</v>
          </cell>
        </row>
        <row r="4638">
          <cell r="D4638" t="str">
            <v>36078-10-1</v>
          </cell>
          <cell r="E4638">
            <v>36078101</v>
          </cell>
          <cell r="F4638" t="str">
            <v>-</v>
          </cell>
          <cell r="G4638" t="str">
            <v>-</v>
          </cell>
          <cell r="H4638">
            <v>4616</v>
          </cell>
          <cell r="Q4638">
            <v>14</v>
          </cell>
        </row>
        <row r="4639">
          <cell r="D4639" t="str">
            <v>110839-12-8</v>
          </cell>
          <cell r="E4639">
            <v>110839128</v>
          </cell>
          <cell r="F4639" t="str">
            <v>-</v>
          </cell>
          <cell r="G4639" t="str">
            <v>-</v>
          </cell>
          <cell r="H4639">
            <v>4617</v>
          </cell>
          <cell r="Q4639">
            <v>14</v>
          </cell>
        </row>
        <row r="4640">
          <cell r="D4640" t="str">
            <v>135800-37-2</v>
          </cell>
          <cell r="E4640">
            <v>135800372</v>
          </cell>
          <cell r="F4640" t="str">
            <v>-</v>
          </cell>
          <cell r="G4640" t="str">
            <v>-</v>
          </cell>
          <cell r="H4640">
            <v>4618</v>
          </cell>
          <cell r="Q4640">
            <v>14</v>
          </cell>
        </row>
        <row r="4641">
          <cell r="D4641" t="str">
            <v>68187-89-3</v>
          </cell>
          <cell r="E4641">
            <v>68187893</v>
          </cell>
          <cell r="F4641" t="str">
            <v>-</v>
          </cell>
          <cell r="G4641" t="str">
            <v>-</v>
          </cell>
          <cell r="H4641">
            <v>4619</v>
          </cell>
          <cell r="Q4641">
            <v>14</v>
          </cell>
        </row>
        <row r="4642">
          <cell r="D4642" t="str">
            <v>161907-80-8</v>
          </cell>
          <cell r="E4642">
            <v>161907808</v>
          </cell>
          <cell r="F4642" t="str">
            <v>-</v>
          </cell>
          <cell r="G4642" t="str">
            <v>-</v>
          </cell>
          <cell r="H4642">
            <v>4620</v>
          </cell>
          <cell r="Q4642">
            <v>14</v>
          </cell>
        </row>
        <row r="4643">
          <cell r="D4643" t="str">
            <v>84539-54-8</v>
          </cell>
          <cell r="E4643">
            <v>84539548</v>
          </cell>
          <cell r="F4643" t="str">
            <v>-</v>
          </cell>
          <cell r="G4643" t="str">
            <v>-</v>
          </cell>
          <cell r="H4643">
            <v>4621</v>
          </cell>
          <cell r="Q4643">
            <v>14</v>
          </cell>
        </row>
        <row r="4644">
          <cell r="D4644" t="str">
            <v>68604-44-4</v>
          </cell>
          <cell r="E4644">
            <v>68604444</v>
          </cell>
          <cell r="F4644" t="str">
            <v>-</v>
          </cell>
          <cell r="G4644" t="str">
            <v>-</v>
          </cell>
          <cell r="H4644">
            <v>4622</v>
          </cell>
          <cell r="Q4644">
            <v>14</v>
          </cell>
        </row>
        <row r="4645">
          <cell r="D4645" t="str">
            <v>92908-35-5</v>
          </cell>
          <cell r="E4645">
            <v>92908355</v>
          </cell>
          <cell r="F4645" t="str">
            <v>-</v>
          </cell>
          <cell r="G4645" t="str">
            <v>-</v>
          </cell>
          <cell r="H4645">
            <v>4623</v>
          </cell>
          <cell r="Q4645">
            <v>14</v>
          </cell>
        </row>
        <row r="4646">
          <cell r="D4646" t="str">
            <v>2215-35-2</v>
          </cell>
          <cell r="E4646">
            <v>2215352</v>
          </cell>
          <cell r="F4646" t="str">
            <v>-</v>
          </cell>
          <cell r="G4646" t="str">
            <v>-</v>
          </cell>
          <cell r="H4646">
            <v>4624</v>
          </cell>
          <cell r="Q4646">
            <v>14</v>
          </cell>
        </row>
        <row r="4647">
          <cell r="D4647" t="str">
            <v>39423-51-3</v>
          </cell>
          <cell r="E4647">
            <v>39423513</v>
          </cell>
          <cell r="F4647" t="str">
            <v>-</v>
          </cell>
          <cell r="G4647" t="str">
            <v>-</v>
          </cell>
          <cell r="H4647">
            <v>4625</v>
          </cell>
          <cell r="Q4647">
            <v>14</v>
          </cell>
        </row>
        <row r="4648">
          <cell r="D4648" t="str">
            <v>1345668-41-8</v>
          </cell>
          <cell r="E4648">
            <v>1345668418</v>
          </cell>
          <cell r="F4648" t="str">
            <v>-</v>
          </cell>
          <cell r="G4648" t="str">
            <v>-</v>
          </cell>
          <cell r="H4648">
            <v>4626</v>
          </cell>
          <cell r="Q4648">
            <v>14</v>
          </cell>
        </row>
        <row r="4649">
          <cell r="D4649" t="str">
            <v>1218787-30-4</v>
          </cell>
          <cell r="E4649">
            <v>1218787304</v>
          </cell>
          <cell r="F4649" t="str">
            <v>-</v>
          </cell>
          <cell r="G4649" t="str">
            <v>-</v>
          </cell>
          <cell r="H4649">
            <v>4627</v>
          </cell>
          <cell r="Q4649">
            <v>14</v>
          </cell>
        </row>
        <row r="4650">
          <cell r="D4650" t="str">
            <v>93572-32-8</v>
          </cell>
          <cell r="E4650">
            <v>93572328</v>
          </cell>
          <cell r="F4650" t="str">
            <v>-</v>
          </cell>
          <cell r="G4650" t="str">
            <v>-</v>
          </cell>
          <cell r="H4650">
            <v>4628</v>
          </cell>
          <cell r="Q4650">
            <v>14</v>
          </cell>
        </row>
        <row r="4651">
          <cell r="D4651" t="str">
            <v>111497-86-0</v>
          </cell>
          <cell r="E4651">
            <v>111497860</v>
          </cell>
          <cell r="F4651" t="str">
            <v>-</v>
          </cell>
          <cell r="G4651" t="str">
            <v>-</v>
          </cell>
          <cell r="H4651">
            <v>4629</v>
          </cell>
          <cell r="Q4651">
            <v>14</v>
          </cell>
        </row>
        <row r="4652">
          <cell r="D4652" t="str">
            <v>27104-30-9</v>
          </cell>
          <cell r="E4652">
            <v>27104309</v>
          </cell>
          <cell r="F4652" t="str">
            <v>-</v>
          </cell>
          <cell r="G4652" t="str">
            <v>-</v>
          </cell>
          <cell r="H4652">
            <v>4630</v>
          </cell>
          <cell r="Q4652">
            <v>14</v>
          </cell>
        </row>
        <row r="4653">
          <cell r="D4653" t="str">
            <v>70983-72-1</v>
          </cell>
          <cell r="E4653">
            <v>70983721</v>
          </cell>
          <cell r="F4653" t="str">
            <v>-</v>
          </cell>
          <cell r="G4653" t="str">
            <v>-</v>
          </cell>
          <cell r="H4653">
            <v>4631</v>
          </cell>
          <cell r="Q4653">
            <v>14</v>
          </cell>
        </row>
        <row r="4654">
          <cell r="D4654" t="str">
            <v>84649-99-0</v>
          </cell>
          <cell r="E4654">
            <v>84649990</v>
          </cell>
          <cell r="F4654" t="str">
            <v>-</v>
          </cell>
          <cell r="G4654" t="str">
            <v>-</v>
          </cell>
          <cell r="H4654">
            <v>4632</v>
          </cell>
          <cell r="Q4654">
            <v>14</v>
          </cell>
        </row>
        <row r="4655">
          <cell r="D4655" t="str">
            <v>68912-13-0</v>
          </cell>
          <cell r="E4655">
            <v>68912130</v>
          </cell>
          <cell r="F4655" t="str">
            <v>-</v>
          </cell>
          <cell r="G4655" t="str">
            <v>-</v>
          </cell>
          <cell r="H4655">
            <v>4633</v>
          </cell>
          <cell r="Q4655">
            <v>14</v>
          </cell>
        </row>
        <row r="4656">
          <cell r="D4656" t="str">
            <v>54549-24-5</v>
          </cell>
          <cell r="E4656">
            <v>54549245</v>
          </cell>
          <cell r="F4656" t="str">
            <v>-</v>
          </cell>
          <cell r="G4656" t="str">
            <v>-</v>
          </cell>
          <cell r="H4656">
            <v>4634</v>
          </cell>
          <cell r="Q4656">
            <v>14</v>
          </cell>
        </row>
        <row r="4657">
          <cell r="D4657" t="str">
            <v>1395383-69-3</v>
          </cell>
          <cell r="E4657">
            <v>1395383693</v>
          </cell>
          <cell r="F4657" t="str">
            <v>-</v>
          </cell>
          <cell r="G4657" t="str">
            <v>-</v>
          </cell>
          <cell r="H4657">
            <v>4635</v>
          </cell>
          <cell r="Q4657">
            <v>14</v>
          </cell>
        </row>
        <row r="4658">
          <cell r="D4658" t="str">
            <v>61789-32-0</v>
          </cell>
          <cell r="E4658">
            <v>61789320</v>
          </cell>
          <cell r="F4658" t="str">
            <v>-</v>
          </cell>
          <cell r="G4658" t="str">
            <v>-</v>
          </cell>
          <cell r="H4658">
            <v>4636</v>
          </cell>
          <cell r="Q4658">
            <v>14</v>
          </cell>
        </row>
        <row r="4659">
          <cell r="D4659" t="str">
            <v>85186-89-6</v>
          </cell>
          <cell r="E4659">
            <v>85186896</v>
          </cell>
          <cell r="F4659" t="str">
            <v>-</v>
          </cell>
          <cell r="G4659" t="str">
            <v>-</v>
          </cell>
          <cell r="H4659">
            <v>4637</v>
          </cell>
          <cell r="Q4659">
            <v>14</v>
          </cell>
        </row>
        <row r="4660">
          <cell r="D4660" t="str">
            <v>28629-66-5</v>
          </cell>
          <cell r="E4660">
            <v>28629665</v>
          </cell>
          <cell r="F4660" t="str">
            <v>-</v>
          </cell>
          <cell r="G4660" t="str">
            <v>-</v>
          </cell>
          <cell r="H4660">
            <v>4638</v>
          </cell>
          <cell r="Q4660">
            <v>14</v>
          </cell>
        </row>
        <row r="4661">
          <cell r="D4661" t="str">
            <v>1330-86-5</v>
          </cell>
          <cell r="E4661">
            <v>1330865</v>
          </cell>
          <cell r="F4661" t="str">
            <v>-</v>
          </cell>
          <cell r="G4661" t="str">
            <v>-</v>
          </cell>
          <cell r="H4661">
            <v>4639</v>
          </cell>
          <cell r="Q4661">
            <v>14</v>
          </cell>
        </row>
        <row r="4662">
          <cell r="D4662" t="str">
            <v>31694-55-0</v>
          </cell>
          <cell r="E4662">
            <v>31694550</v>
          </cell>
          <cell r="F4662" t="str">
            <v>-</v>
          </cell>
          <cell r="G4662" t="str">
            <v>-</v>
          </cell>
          <cell r="H4662">
            <v>4640</v>
          </cell>
          <cell r="Q4662">
            <v>14</v>
          </cell>
        </row>
        <row r="4663">
          <cell r="D4663" t="str">
            <v>101357-15-7</v>
          </cell>
          <cell r="E4663">
            <v>101357157</v>
          </cell>
          <cell r="F4663" t="str">
            <v>-</v>
          </cell>
          <cell r="G4663" t="str">
            <v>-</v>
          </cell>
          <cell r="H4663">
            <v>4641</v>
          </cell>
          <cell r="Q4663">
            <v>14</v>
          </cell>
        </row>
        <row r="4664">
          <cell r="D4664" t="str">
            <v>1325-54-8</v>
          </cell>
          <cell r="E4664">
            <v>1325548</v>
          </cell>
          <cell r="F4664" t="str">
            <v>-</v>
          </cell>
          <cell r="G4664" t="str">
            <v>-</v>
          </cell>
          <cell r="H4664">
            <v>4642</v>
          </cell>
          <cell r="Q4664">
            <v>14</v>
          </cell>
        </row>
        <row r="4665">
          <cell r="D4665" t="str">
            <v>1379524-06-7</v>
          </cell>
          <cell r="E4665">
            <v>1379524067</v>
          </cell>
          <cell r="F4665" t="str">
            <v>-</v>
          </cell>
          <cell r="G4665" t="str">
            <v>-</v>
          </cell>
          <cell r="H4665">
            <v>4643</v>
          </cell>
          <cell r="Q4665">
            <v>14</v>
          </cell>
        </row>
        <row r="4666">
          <cell r="D4666" t="str">
            <v>125301-84-0</v>
          </cell>
          <cell r="E4666">
            <v>125301840</v>
          </cell>
          <cell r="F4666" t="str">
            <v>-</v>
          </cell>
          <cell r="G4666" t="str">
            <v>-</v>
          </cell>
          <cell r="H4666">
            <v>4644</v>
          </cell>
          <cell r="Q4666">
            <v>14</v>
          </cell>
        </row>
        <row r="4667">
          <cell r="D4667" t="str">
            <v>68130-53-0</v>
          </cell>
          <cell r="E4667">
            <v>68130530</v>
          </cell>
          <cell r="F4667" t="str">
            <v>-</v>
          </cell>
          <cell r="G4667" t="str">
            <v>-</v>
          </cell>
          <cell r="H4667">
            <v>4645</v>
          </cell>
          <cell r="Q4667">
            <v>14</v>
          </cell>
        </row>
        <row r="4668">
          <cell r="D4668" t="str">
            <v>144086-03-3</v>
          </cell>
          <cell r="E4668">
            <v>144086033</v>
          </cell>
          <cell r="F4668" t="str">
            <v>-</v>
          </cell>
          <cell r="G4668" t="str">
            <v>-</v>
          </cell>
          <cell r="H4668">
            <v>4646</v>
          </cell>
          <cell r="Q4668">
            <v>14</v>
          </cell>
        </row>
        <row r="4669">
          <cell r="D4669" t="str">
            <v>68784-70-3</v>
          </cell>
          <cell r="E4669">
            <v>68784703</v>
          </cell>
          <cell r="F4669" t="str">
            <v>-</v>
          </cell>
          <cell r="G4669" t="str">
            <v>-</v>
          </cell>
          <cell r="H4669">
            <v>4647</v>
          </cell>
          <cell r="Q4669">
            <v>14</v>
          </cell>
        </row>
        <row r="4670">
          <cell r="D4670" t="str">
            <v>26266-57-9</v>
          </cell>
          <cell r="E4670">
            <v>26266579</v>
          </cell>
          <cell r="F4670" t="str">
            <v>-</v>
          </cell>
          <cell r="G4670" t="str">
            <v>-</v>
          </cell>
          <cell r="H4670">
            <v>4648</v>
          </cell>
          <cell r="Q4670">
            <v>14</v>
          </cell>
        </row>
        <row r="4671">
          <cell r="D4671" t="str">
            <v>37625-56-2</v>
          </cell>
          <cell r="E4671">
            <v>37625562</v>
          </cell>
          <cell r="F4671" t="str">
            <v>-</v>
          </cell>
          <cell r="G4671" t="str">
            <v>-</v>
          </cell>
          <cell r="H4671">
            <v>4649</v>
          </cell>
          <cell r="Q4671">
            <v>14</v>
          </cell>
        </row>
        <row r="4672">
          <cell r="D4672" t="str">
            <v>15520-11-3</v>
          </cell>
          <cell r="E4672">
            <v>15520113</v>
          </cell>
          <cell r="F4672" t="str">
            <v>-</v>
          </cell>
          <cell r="G4672" t="str">
            <v>-</v>
          </cell>
          <cell r="H4672">
            <v>4650</v>
          </cell>
          <cell r="Q4672">
            <v>14</v>
          </cell>
        </row>
        <row r="4673">
          <cell r="D4673" t="str">
            <v>68127-59-3</v>
          </cell>
          <cell r="E4673">
            <v>68127593</v>
          </cell>
          <cell r="F4673" t="str">
            <v>-</v>
          </cell>
          <cell r="G4673" t="str">
            <v>-</v>
          </cell>
          <cell r="H4673">
            <v>4651</v>
          </cell>
          <cell r="Q4673">
            <v>14</v>
          </cell>
        </row>
        <row r="4674">
          <cell r="D4674" t="str">
            <v>30583-72-3</v>
          </cell>
          <cell r="E4674">
            <v>30583723</v>
          </cell>
          <cell r="F4674" t="str">
            <v>-</v>
          </cell>
          <cell r="G4674" t="str">
            <v>-</v>
          </cell>
          <cell r="H4674">
            <v>4652</v>
          </cell>
          <cell r="Q4674">
            <v>14</v>
          </cell>
        </row>
        <row r="4675">
          <cell r="D4675" t="str">
            <v>64365-17-9</v>
          </cell>
          <cell r="E4675">
            <v>64365179</v>
          </cell>
          <cell r="F4675" t="str">
            <v>-</v>
          </cell>
          <cell r="G4675" t="str">
            <v>-</v>
          </cell>
          <cell r="H4675">
            <v>4653</v>
          </cell>
          <cell r="Q4675">
            <v>14</v>
          </cell>
        </row>
        <row r="4676">
          <cell r="D4676" t="str">
            <v>1264747-45-6</v>
          </cell>
          <cell r="E4676">
            <v>1264747456</v>
          </cell>
          <cell r="F4676" t="str">
            <v>-</v>
          </cell>
          <cell r="G4676" t="str">
            <v>-</v>
          </cell>
          <cell r="H4676">
            <v>4654</v>
          </cell>
          <cell r="Q4676">
            <v>14</v>
          </cell>
        </row>
        <row r="4677">
          <cell r="D4677" t="str">
            <v>120498-03-5</v>
          </cell>
          <cell r="E4677">
            <v>120498035</v>
          </cell>
          <cell r="F4677" t="str">
            <v>-</v>
          </cell>
          <cell r="G4677" t="str">
            <v>-</v>
          </cell>
          <cell r="H4677">
            <v>4655</v>
          </cell>
          <cell r="Q4677">
            <v>14</v>
          </cell>
        </row>
        <row r="4678">
          <cell r="D4678" t="str">
            <v>84961-74-0</v>
          </cell>
          <cell r="E4678">
            <v>84961740</v>
          </cell>
          <cell r="F4678" t="str">
            <v>-</v>
          </cell>
          <cell r="G4678" t="str">
            <v>-</v>
          </cell>
          <cell r="H4678">
            <v>4656</v>
          </cell>
          <cell r="Q4678">
            <v>14</v>
          </cell>
        </row>
        <row r="4679">
          <cell r="D4679" t="str">
            <v>68955-20-4</v>
          </cell>
          <cell r="E4679">
            <v>68955204</v>
          </cell>
          <cell r="F4679" t="str">
            <v>-</v>
          </cell>
          <cell r="G4679" t="str">
            <v>-</v>
          </cell>
          <cell r="H4679">
            <v>4657</v>
          </cell>
          <cell r="Q4679">
            <v>14</v>
          </cell>
        </row>
        <row r="4680">
          <cell r="D4680" t="str">
            <v>1224966-13-5</v>
          </cell>
          <cell r="E4680">
            <v>1224966135</v>
          </cell>
          <cell r="F4680" t="str">
            <v>-</v>
          </cell>
          <cell r="G4680" t="str">
            <v>-</v>
          </cell>
          <cell r="H4680">
            <v>4658</v>
          </cell>
          <cell r="Q4680">
            <v>14</v>
          </cell>
        </row>
        <row r="4681">
          <cell r="D4681" t="str">
            <v>1428547-35-6</v>
          </cell>
          <cell r="E4681">
            <v>1428547356</v>
          </cell>
          <cell r="F4681" t="str">
            <v>-</v>
          </cell>
          <cell r="G4681" t="str">
            <v>-</v>
          </cell>
          <cell r="H4681">
            <v>4659</v>
          </cell>
          <cell r="Q4681">
            <v>14</v>
          </cell>
        </row>
        <row r="4682">
          <cell r="D4682" t="str">
            <v>94279-53-5</v>
          </cell>
          <cell r="E4682">
            <v>94279535</v>
          </cell>
          <cell r="F4682" t="str">
            <v>-</v>
          </cell>
          <cell r="G4682" t="str">
            <v>-</v>
          </cell>
          <cell r="H4682">
            <v>4660</v>
          </cell>
          <cell r="Q4682">
            <v>14</v>
          </cell>
        </row>
        <row r="4683">
          <cell r="D4683" t="str">
            <v>69011-36-5</v>
          </cell>
          <cell r="E4683">
            <v>69011365</v>
          </cell>
          <cell r="F4683" t="str">
            <v>-</v>
          </cell>
          <cell r="G4683" t="str">
            <v>-</v>
          </cell>
          <cell r="H4683">
            <v>4661</v>
          </cell>
          <cell r="Q4683">
            <v>14</v>
          </cell>
        </row>
        <row r="4684">
          <cell r="D4684" t="str">
            <v>42131-25-9</v>
          </cell>
          <cell r="E4684">
            <v>42131259</v>
          </cell>
          <cell r="F4684" t="str">
            <v>-</v>
          </cell>
          <cell r="G4684" t="str">
            <v>-</v>
          </cell>
          <cell r="H4684">
            <v>4662</v>
          </cell>
          <cell r="Q4684">
            <v>14</v>
          </cell>
        </row>
        <row r="4685">
          <cell r="D4685" t="str">
            <v>26266-58-0</v>
          </cell>
          <cell r="E4685">
            <v>26266580</v>
          </cell>
          <cell r="F4685" t="str">
            <v>-</v>
          </cell>
          <cell r="G4685" t="str">
            <v>-</v>
          </cell>
          <cell r="H4685">
            <v>4663</v>
          </cell>
          <cell r="Q4685">
            <v>14</v>
          </cell>
        </row>
        <row r="4686">
          <cell r="D4686" t="str">
            <v>61791-00-2</v>
          </cell>
          <cell r="E4686">
            <v>61791002</v>
          </cell>
          <cell r="F4686" t="str">
            <v>-</v>
          </cell>
          <cell r="G4686" t="str">
            <v>-</v>
          </cell>
          <cell r="H4686">
            <v>4664</v>
          </cell>
          <cell r="Q4686">
            <v>14</v>
          </cell>
        </row>
        <row r="4687">
          <cell r="D4687" t="str">
            <v>6298-96-0</v>
          </cell>
          <cell r="E4687">
            <v>6298960</v>
          </cell>
          <cell r="F4687" t="str">
            <v>-</v>
          </cell>
          <cell r="G4687" t="str">
            <v>-</v>
          </cell>
          <cell r="H4687">
            <v>4665</v>
          </cell>
          <cell r="Q4687">
            <v>14</v>
          </cell>
        </row>
        <row r="4688">
          <cell r="D4688" t="str">
            <v>10257-32-6</v>
          </cell>
          <cell r="E4688">
            <v>10257326</v>
          </cell>
          <cell r="F4688" t="str">
            <v>-</v>
          </cell>
          <cell r="G4688" t="str">
            <v>-</v>
          </cell>
          <cell r="H4688">
            <v>4666</v>
          </cell>
          <cell r="Q4688">
            <v>14</v>
          </cell>
        </row>
        <row r="4689">
          <cell r="D4689" t="str">
            <v>62409-13-6</v>
          </cell>
          <cell r="E4689">
            <v>62409136</v>
          </cell>
          <cell r="F4689" t="str">
            <v>-</v>
          </cell>
          <cell r="G4689" t="str">
            <v>-</v>
          </cell>
          <cell r="H4689">
            <v>4667</v>
          </cell>
          <cell r="Q4689">
            <v>14</v>
          </cell>
        </row>
        <row r="4690">
          <cell r="D4690" t="str">
            <v>68608-15-1</v>
          </cell>
          <cell r="E4690">
            <v>68608151</v>
          </cell>
          <cell r="F4690" t="str">
            <v>-</v>
          </cell>
          <cell r="G4690" t="str">
            <v>-</v>
          </cell>
          <cell r="H4690">
            <v>4668</v>
          </cell>
          <cell r="Q4690">
            <v>14</v>
          </cell>
        </row>
        <row r="4691">
          <cell r="D4691" t="str">
            <v>26116-12-1</v>
          </cell>
          <cell r="E4691">
            <v>26116121</v>
          </cell>
          <cell r="F4691" t="str">
            <v>-</v>
          </cell>
          <cell r="G4691" t="str">
            <v>-</v>
          </cell>
          <cell r="H4691">
            <v>4669</v>
          </cell>
          <cell r="Q4691">
            <v>14</v>
          </cell>
        </row>
        <row r="4692">
          <cell r="D4692" t="str">
            <v>55900-27-1</v>
          </cell>
          <cell r="E4692">
            <v>55900271</v>
          </cell>
          <cell r="F4692" t="str">
            <v>-</v>
          </cell>
          <cell r="G4692" t="str">
            <v>-</v>
          </cell>
          <cell r="H4692">
            <v>4670</v>
          </cell>
          <cell r="Q4692">
            <v>14</v>
          </cell>
        </row>
        <row r="4693">
          <cell r="D4693" t="str">
            <v>57368-07-7</v>
          </cell>
          <cell r="E4693">
            <v>57368077</v>
          </cell>
          <cell r="F4693" t="str">
            <v>-</v>
          </cell>
          <cell r="G4693" t="str">
            <v>-</v>
          </cell>
          <cell r="H4693">
            <v>4671</v>
          </cell>
          <cell r="Q4693">
            <v>14</v>
          </cell>
        </row>
        <row r="4694">
          <cell r="D4694" t="str">
            <v>12698-87-2</v>
          </cell>
          <cell r="E4694">
            <v>12698872</v>
          </cell>
          <cell r="F4694" t="str">
            <v>-</v>
          </cell>
          <cell r="G4694" t="str">
            <v>-</v>
          </cell>
          <cell r="H4694">
            <v>4672</v>
          </cell>
          <cell r="Q4694">
            <v>14</v>
          </cell>
        </row>
        <row r="4695">
          <cell r="D4695" t="str">
            <v>851976-50-6</v>
          </cell>
          <cell r="E4695">
            <v>851976506</v>
          </cell>
          <cell r="F4695" t="str">
            <v>-</v>
          </cell>
          <cell r="G4695" t="str">
            <v>-</v>
          </cell>
          <cell r="H4695">
            <v>4673</v>
          </cell>
          <cell r="Q4695">
            <v>14</v>
          </cell>
        </row>
        <row r="4696">
          <cell r="D4696" t="str">
            <v>500011-91-6</v>
          </cell>
          <cell r="E4696">
            <v>500011916</v>
          </cell>
          <cell r="F4696" t="str">
            <v>-</v>
          </cell>
          <cell r="G4696" t="str">
            <v>-</v>
          </cell>
          <cell r="H4696">
            <v>4674</v>
          </cell>
          <cell r="Q4696">
            <v>14</v>
          </cell>
        </row>
        <row r="4697">
          <cell r="D4697" t="str">
            <v>6485-45-6</v>
          </cell>
          <cell r="E4697">
            <v>6485456</v>
          </cell>
          <cell r="F4697" t="str">
            <v>-</v>
          </cell>
          <cell r="G4697" t="str">
            <v>-</v>
          </cell>
          <cell r="H4697">
            <v>4675</v>
          </cell>
          <cell r="Q4697">
            <v>14</v>
          </cell>
        </row>
        <row r="4698">
          <cell r="D4698" t="str">
            <v>93925-37-2</v>
          </cell>
          <cell r="E4698">
            <v>93925372</v>
          </cell>
          <cell r="F4698" t="str">
            <v>-</v>
          </cell>
          <cell r="G4698" t="str">
            <v>-</v>
          </cell>
          <cell r="H4698">
            <v>4676</v>
          </cell>
          <cell r="Q4698">
            <v>14</v>
          </cell>
        </row>
        <row r="4699">
          <cell r="D4699" t="str">
            <v>583-59-5</v>
          </cell>
          <cell r="E4699">
            <v>583595</v>
          </cell>
          <cell r="F4699" t="str">
            <v>-</v>
          </cell>
          <cell r="G4699" t="str">
            <v>-</v>
          </cell>
          <cell r="H4699">
            <v>4677</v>
          </cell>
          <cell r="Q4699">
            <v>14</v>
          </cell>
        </row>
        <row r="4700">
          <cell r="D4700" t="str">
            <v>176969-33-8</v>
          </cell>
          <cell r="E4700">
            <v>176969338</v>
          </cell>
          <cell r="F4700" t="str">
            <v>-</v>
          </cell>
          <cell r="G4700" t="str">
            <v>-</v>
          </cell>
          <cell r="H4700">
            <v>4678</v>
          </cell>
          <cell r="Q4700">
            <v>14</v>
          </cell>
        </row>
        <row r="4701">
          <cell r="D4701" t="str">
            <v>2217-40-5</v>
          </cell>
          <cell r="E4701">
            <v>2217405</v>
          </cell>
          <cell r="F4701" t="str">
            <v>-</v>
          </cell>
          <cell r="G4701" t="str">
            <v>-</v>
          </cell>
          <cell r="H4701">
            <v>4679</v>
          </cell>
          <cell r="Q4701">
            <v>14</v>
          </cell>
        </row>
        <row r="4702">
          <cell r="D4702" t="str">
            <v>157707-88-5</v>
          </cell>
          <cell r="E4702">
            <v>157707885</v>
          </cell>
          <cell r="F4702" t="str">
            <v>-</v>
          </cell>
          <cell r="G4702" t="str">
            <v>-</v>
          </cell>
          <cell r="H4702">
            <v>4680</v>
          </cell>
          <cell r="Q4702">
            <v>14</v>
          </cell>
        </row>
        <row r="4703">
          <cell r="D4703" t="str">
            <v>37143-54-7</v>
          </cell>
          <cell r="E4703">
            <v>37143547</v>
          </cell>
          <cell r="F4703" t="str">
            <v>-</v>
          </cell>
          <cell r="G4703" t="str">
            <v>-</v>
          </cell>
          <cell r="H4703">
            <v>4681</v>
          </cell>
          <cell r="Q4703">
            <v>14</v>
          </cell>
        </row>
        <row r="4704">
          <cell r="D4704" t="str">
            <v>65996-84-1</v>
          </cell>
          <cell r="E4704">
            <v>65996841</v>
          </cell>
          <cell r="F4704" t="str">
            <v>-</v>
          </cell>
          <cell r="G4704" t="str">
            <v>-</v>
          </cell>
          <cell r="H4704">
            <v>4682</v>
          </cell>
          <cell r="Q4704">
            <v>14</v>
          </cell>
        </row>
        <row r="4705">
          <cell r="D4705" t="str">
            <v>43133-95-5</v>
          </cell>
          <cell r="E4705">
            <v>43133955</v>
          </cell>
          <cell r="F4705" t="str">
            <v>-</v>
          </cell>
          <cell r="G4705" t="str">
            <v>-</v>
          </cell>
          <cell r="H4705">
            <v>4683</v>
          </cell>
          <cell r="Q4705">
            <v>14</v>
          </cell>
        </row>
        <row r="4706">
          <cell r="D4706" t="str">
            <v>1484-84-0</v>
          </cell>
          <cell r="E4706">
            <v>1484840</v>
          </cell>
          <cell r="F4706" t="str">
            <v>-</v>
          </cell>
          <cell r="G4706" t="str">
            <v>-</v>
          </cell>
          <cell r="H4706">
            <v>4684</v>
          </cell>
          <cell r="Q4706">
            <v>14</v>
          </cell>
        </row>
        <row r="4707">
          <cell r="D4707" t="str">
            <v>92128-22-8</v>
          </cell>
          <cell r="E4707">
            <v>92128228</v>
          </cell>
          <cell r="F4707" t="str">
            <v>-</v>
          </cell>
          <cell r="G4707" t="str">
            <v>-</v>
          </cell>
          <cell r="H4707">
            <v>4685</v>
          </cell>
          <cell r="Q4707">
            <v>14</v>
          </cell>
        </row>
        <row r="4708">
          <cell r="D4708" t="str">
            <v>68909-93-3</v>
          </cell>
          <cell r="E4708">
            <v>68909933</v>
          </cell>
          <cell r="F4708" t="str">
            <v>-</v>
          </cell>
          <cell r="G4708" t="str">
            <v>-</v>
          </cell>
          <cell r="H4708">
            <v>4686</v>
          </cell>
          <cell r="Q4708">
            <v>14</v>
          </cell>
        </row>
        <row r="4709">
          <cell r="D4709" t="str">
            <v>101012-97-9</v>
          </cell>
          <cell r="E4709">
            <v>101012979</v>
          </cell>
          <cell r="F4709" t="str">
            <v>-</v>
          </cell>
          <cell r="G4709" t="str">
            <v>-</v>
          </cell>
          <cell r="H4709">
            <v>4687</v>
          </cell>
          <cell r="Q4709">
            <v>14</v>
          </cell>
        </row>
        <row r="4710">
          <cell r="D4710" t="str">
            <v>91648-65-6</v>
          </cell>
          <cell r="E4710">
            <v>91648656</v>
          </cell>
          <cell r="F4710" t="str">
            <v>-</v>
          </cell>
          <cell r="G4710" t="str">
            <v>-</v>
          </cell>
          <cell r="H4710">
            <v>4688</v>
          </cell>
          <cell r="Q4710">
            <v>14</v>
          </cell>
        </row>
        <row r="4711">
          <cell r="D4711" t="str">
            <v>68131-13-5</v>
          </cell>
          <cell r="E4711">
            <v>68131135</v>
          </cell>
          <cell r="F4711" t="str">
            <v>-</v>
          </cell>
          <cell r="G4711" t="str">
            <v>-</v>
          </cell>
          <cell r="H4711">
            <v>4689</v>
          </cell>
          <cell r="Q4711">
            <v>14</v>
          </cell>
        </row>
        <row r="4712">
          <cell r="D4712" t="str">
            <v>25321-09-9</v>
          </cell>
          <cell r="E4712">
            <v>25321099</v>
          </cell>
          <cell r="F4712" t="str">
            <v>-</v>
          </cell>
          <cell r="G4712" t="str">
            <v>-</v>
          </cell>
          <cell r="H4712">
            <v>4690</v>
          </cell>
          <cell r="Q4712">
            <v>14</v>
          </cell>
        </row>
        <row r="4713">
          <cell r="D4713" t="str">
            <v>147853-32-5</v>
          </cell>
          <cell r="E4713">
            <v>147853325</v>
          </cell>
          <cell r="F4713" t="str">
            <v>-</v>
          </cell>
          <cell r="G4713" t="str">
            <v>-</v>
          </cell>
          <cell r="H4713">
            <v>4691</v>
          </cell>
          <cell r="Q4713">
            <v>14</v>
          </cell>
        </row>
        <row r="4714">
          <cell r="D4714" t="str">
            <v>10339-55-6</v>
          </cell>
          <cell r="E4714">
            <v>10339556</v>
          </cell>
          <cell r="F4714" t="str">
            <v>-</v>
          </cell>
          <cell r="G4714" t="str">
            <v>-</v>
          </cell>
          <cell r="H4714">
            <v>4692</v>
          </cell>
          <cell r="Q4714">
            <v>14</v>
          </cell>
        </row>
        <row r="4715">
          <cell r="D4715" t="str">
            <v>1268344-02-0</v>
          </cell>
          <cell r="E4715">
            <v>1268344020</v>
          </cell>
          <cell r="F4715" t="str">
            <v>-</v>
          </cell>
          <cell r="G4715" t="str">
            <v>-</v>
          </cell>
          <cell r="H4715">
            <v>4693</v>
          </cell>
          <cell r="Q4715">
            <v>14</v>
          </cell>
        </row>
        <row r="4716">
          <cell r="D4716" t="str">
            <v>195008-76-5</v>
          </cell>
          <cell r="E4716">
            <v>195008765</v>
          </cell>
          <cell r="F4716" t="str">
            <v>-</v>
          </cell>
          <cell r="G4716" t="str">
            <v>-</v>
          </cell>
          <cell r="H4716">
            <v>4694</v>
          </cell>
          <cell r="Q4716">
            <v>14</v>
          </cell>
        </row>
        <row r="4717">
          <cell r="D4717" t="str">
            <v>126-13-6</v>
          </cell>
          <cell r="E4717">
            <v>126136</v>
          </cell>
          <cell r="F4717" t="str">
            <v>-</v>
          </cell>
          <cell r="G4717" t="str">
            <v>-</v>
          </cell>
          <cell r="H4717">
            <v>4695</v>
          </cell>
          <cell r="Q4717">
            <v>14</v>
          </cell>
        </row>
        <row r="4718">
          <cell r="D4718" t="str">
            <v>160901-27-9</v>
          </cell>
          <cell r="E4718">
            <v>160901279</v>
          </cell>
          <cell r="F4718" t="str">
            <v>-</v>
          </cell>
          <cell r="G4718" t="str">
            <v>-</v>
          </cell>
          <cell r="H4718">
            <v>4696</v>
          </cell>
          <cell r="Q4718">
            <v>14</v>
          </cell>
        </row>
        <row r="4719">
          <cell r="D4719" t="str">
            <v>1226892-44-9</v>
          </cell>
          <cell r="E4719">
            <v>1226892449</v>
          </cell>
          <cell r="F4719" t="str">
            <v>-</v>
          </cell>
          <cell r="G4719" t="str">
            <v>-</v>
          </cell>
          <cell r="H4719">
            <v>4697</v>
          </cell>
          <cell r="Q4719">
            <v>14</v>
          </cell>
        </row>
        <row r="4720">
          <cell r="D4720" t="str">
            <v>95912-86-0</v>
          </cell>
          <cell r="E4720">
            <v>95912860</v>
          </cell>
          <cell r="F4720" t="str">
            <v>-</v>
          </cell>
          <cell r="G4720" t="str">
            <v>-</v>
          </cell>
          <cell r="H4720">
            <v>4698</v>
          </cell>
          <cell r="Q4720">
            <v>14</v>
          </cell>
        </row>
        <row r="4721">
          <cell r="D4721" t="str">
            <v>9012-54-8</v>
          </cell>
          <cell r="E4721">
            <v>9012548</v>
          </cell>
          <cell r="F4721" t="str">
            <v>-</v>
          </cell>
          <cell r="G4721" t="str">
            <v>-</v>
          </cell>
          <cell r="H4721">
            <v>4699</v>
          </cell>
          <cell r="Q4721">
            <v>14</v>
          </cell>
        </row>
        <row r="4722">
          <cell r="D4722" t="str">
            <v>149021-58-9</v>
          </cell>
          <cell r="E4722">
            <v>149021589</v>
          </cell>
          <cell r="F4722" t="str">
            <v>-</v>
          </cell>
          <cell r="G4722" t="str">
            <v>-</v>
          </cell>
          <cell r="H4722">
            <v>4700</v>
          </cell>
          <cell r="Q4722">
            <v>14</v>
          </cell>
        </row>
        <row r="4723">
          <cell r="D4723" t="str">
            <v>68607-87-4</v>
          </cell>
          <cell r="E4723">
            <v>68607874</v>
          </cell>
          <cell r="F4723" t="str">
            <v>-</v>
          </cell>
          <cell r="G4723" t="str">
            <v>-</v>
          </cell>
          <cell r="H4723">
            <v>4701</v>
          </cell>
          <cell r="Q4723">
            <v>14</v>
          </cell>
        </row>
        <row r="4724">
          <cell r="D4724" t="str">
            <v>36621-20-2</v>
          </cell>
          <cell r="E4724">
            <v>36621202</v>
          </cell>
          <cell r="F4724" t="str">
            <v>-</v>
          </cell>
          <cell r="G4724" t="str">
            <v>-</v>
          </cell>
          <cell r="H4724">
            <v>4702</v>
          </cell>
          <cell r="Q4724">
            <v>14</v>
          </cell>
        </row>
        <row r="4725">
          <cell r="D4725" t="str">
            <v>95009-65-7</v>
          </cell>
          <cell r="E4725">
            <v>95009657</v>
          </cell>
          <cell r="F4725" t="str">
            <v>-</v>
          </cell>
          <cell r="G4725" t="str">
            <v>-</v>
          </cell>
          <cell r="H4725">
            <v>4703</v>
          </cell>
          <cell r="Q4725">
            <v>14</v>
          </cell>
        </row>
        <row r="4726">
          <cell r="D4726" t="str">
            <v>68910-55-4</v>
          </cell>
          <cell r="E4726">
            <v>68910554</v>
          </cell>
          <cell r="F4726" t="str">
            <v>-</v>
          </cell>
          <cell r="G4726" t="str">
            <v>-</v>
          </cell>
          <cell r="H4726">
            <v>4704</v>
          </cell>
          <cell r="Q4726">
            <v>14</v>
          </cell>
        </row>
        <row r="4727">
          <cell r="D4727" t="str">
            <v>5892-47-7</v>
          </cell>
          <cell r="E4727">
            <v>5892477</v>
          </cell>
          <cell r="F4727" t="str">
            <v>-</v>
          </cell>
          <cell r="G4727" t="str">
            <v>-</v>
          </cell>
          <cell r="H4727">
            <v>4705</v>
          </cell>
          <cell r="Q4727">
            <v>14</v>
          </cell>
        </row>
        <row r="4728">
          <cell r="D4728" t="str">
            <v>68131-04-4</v>
          </cell>
          <cell r="E4728">
            <v>68131044</v>
          </cell>
          <cell r="F4728" t="str">
            <v>-</v>
          </cell>
          <cell r="G4728" t="str">
            <v>-</v>
          </cell>
          <cell r="H4728">
            <v>4706</v>
          </cell>
          <cell r="Q4728">
            <v>14</v>
          </cell>
        </row>
        <row r="4729">
          <cell r="D4729" t="str">
            <v>12645-31-7</v>
          </cell>
          <cell r="E4729">
            <v>12645317</v>
          </cell>
          <cell r="F4729" t="str">
            <v>-</v>
          </cell>
          <cell r="G4729" t="str">
            <v>-</v>
          </cell>
          <cell r="H4729">
            <v>4707</v>
          </cell>
          <cell r="Q4729">
            <v>14</v>
          </cell>
        </row>
        <row r="4730">
          <cell r="D4730" t="str">
            <v>30599-15-6</v>
          </cell>
          <cell r="E4730">
            <v>30599156</v>
          </cell>
          <cell r="F4730" t="str">
            <v>-</v>
          </cell>
          <cell r="G4730" t="str">
            <v>-</v>
          </cell>
          <cell r="H4730">
            <v>4708</v>
          </cell>
          <cell r="Q4730">
            <v>14</v>
          </cell>
        </row>
        <row r="4731">
          <cell r="D4731" t="str">
            <v>68921-45-9</v>
          </cell>
          <cell r="E4731">
            <v>68921459</v>
          </cell>
          <cell r="F4731" t="str">
            <v>-</v>
          </cell>
          <cell r="G4731" t="str">
            <v>-</v>
          </cell>
          <cell r="H4731">
            <v>4709</v>
          </cell>
          <cell r="Q4731">
            <v>14</v>
          </cell>
        </row>
        <row r="4732">
          <cell r="D4732" t="str">
            <v>90063-97-1</v>
          </cell>
          <cell r="E4732">
            <v>90063971</v>
          </cell>
          <cell r="F4732" t="str">
            <v>-</v>
          </cell>
          <cell r="G4732" t="str">
            <v>-</v>
          </cell>
          <cell r="H4732">
            <v>4710</v>
          </cell>
          <cell r="Q4732">
            <v>14</v>
          </cell>
        </row>
        <row r="4733">
          <cell r="D4733" t="str">
            <v>68987-29-1</v>
          </cell>
          <cell r="E4733">
            <v>68987291</v>
          </cell>
          <cell r="F4733" t="str">
            <v>-</v>
          </cell>
          <cell r="G4733" t="str">
            <v>-</v>
          </cell>
          <cell r="H4733">
            <v>4711</v>
          </cell>
          <cell r="Q4733">
            <v>14</v>
          </cell>
        </row>
        <row r="4734">
          <cell r="D4734" t="str">
            <v>85586-24-9</v>
          </cell>
          <cell r="E4734">
            <v>85586249</v>
          </cell>
          <cell r="F4734" t="str">
            <v>-</v>
          </cell>
          <cell r="G4734" t="str">
            <v>-</v>
          </cell>
          <cell r="H4734">
            <v>4712</v>
          </cell>
          <cell r="Q4734">
            <v>14</v>
          </cell>
        </row>
        <row r="4735">
          <cell r="D4735" t="str">
            <v>84929-31-7</v>
          </cell>
          <cell r="E4735">
            <v>84929317</v>
          </cell>
          <cell r="F4735" t="str">
            <v>-</v>
          </cell>
          <cell r="G4735" t="str">
            <v>-</v>
          </cell>
          <cell r="H4735">
            <v>4713</v>
          </cell>
          <cell r="Q4735">
            <v>14</v>
          </cell>
        </row>
        <row r="4736">
          <cell r="D4736" t="str">
            <v>85408-76-0</v>
          </cell>
          <cell r="E4736">
            <v>85408760</v>
          </cell>
          <cell r="F4736" t="str">
            <v>-</v>
          </cell>
          <cell r="G4736" t="str">
            <v>-</v>
          </cell>
          <cell r="H4736">
            <v>4714</v>
          </cell>
          <cell r="Q4736">
            <v>14</v>
          </cell>
        </row>
        <row r="4737">
          <cell r="D4737" t="str">
            <v>37187-22-7</v>
          </cell>
          <cell r="E4737">
            <v>37187227</v>
          </cell>
          <cell r="F4737" t="str">
            <v>-</v>
          </cell>
          <cell r="G4737" t="str">
            <v>-</v>
          </cell>
          <cell r="H4737">
            <v>4715</v>
          </cell>
          <cell r="Q4737">
            <v>14</v>
          </cell>
        </row>
        <row r="4738">
          <cell r="D4738" t="str">
            <v>61788-64-5</v>
          </cell>
          <cell r="E4738">
            <v>61788645</v>
          </cell>
          <cell r="F4738" t="str">
            <v>-</v>
          </cell>
          <cell r="G4738" t="str">
            <v>-</v>
          </cell>
          <cell r="H4738">
            <v>4716</v>
          </cell>
          <cell r="Q4738">
            <v>14</v>
          </cell>
        </row>
        <row r="4739">
          <cell r="D4739" t="str">
            <v>68002-78-8</v>
          </cell>
          <cell r="E4739">
            <v>68002788</v>
          </cell>
          <cell r="F4739" t="str">
            <v>-</v>
          </cell>
          <cell r="G4739" t="str">
            <v>-</v>
          </cell>
          <cell r="H4739">
            <v>4717</v>
          </cell>
          <cell r="Q4739">
            <v>14</v>
          </cell>
        </row>
        <row r="4740">
          <cell r="D4740" t="str">
            <v>68783-88-0</v>
          </cell>
          <cell r="E4740">
            <v>68783880</v>
          </cell>
          <cell r="F4740" t="str">
            <v>-</v>
          </cell>
          <cell r="G4740" t="str">
            <v>-</v>
          </cell>
          <cell r="H4740">
            <v>4718</v>
          </cell>
          <cell r="Q4740">
            <v>14</v>
          </cell>
        </row>
        <row r="4741">
          <cell r="D4741" t="str">
            <v>27138-01-8</v>
          </cell>
          <cell r="E4741">
            <v>27138018</v>
          </cell>
          <cell r="F4741" t="str">
            <v>-</v>
          </cell>
          <cell r="G4741" t="str">
            <v>-</v>
          </cell>
          <cell r="H4741">
            <v>4719</v>
          </cell>
          <cell r="Q4741">
            <v>14</v>
          </cell>
        </row>
        <row r="4742">
          <cell r="D4742" t="str">
            <v>68603-75-8</v>
          </cell>
          <cell r="E4742">
            <v>68603758</v>
          </cell>
          <cell r="F4742" t="str">
            <v>-</v>
          </cell>
          <cell r="G4742" t="str">
            <v>-</v>
          </cell>
          <cell r="H4742">
            <v>4720</v>
          </cell>
          <cell r="Q4742">
            <v>14</v>
          </cell>
        </row>
        <row r="4743">
          <cell r="D4743" t="str">
            <v>91050-88-3</v>
          </cell>
          <cell r="E4743">
            <v>91050883</v>
          </cell>
          <cell r="F4743" t="str">
            <v>-</v>
          </cell>
          <cell r="G4743" t="str">
            <v>-</v>
          </cell>
          <cell r="H4743">
            <v>4721</v>
          </cell>
          <cell r="Q4743">
            <v>14</v>
          </cell>
        </row>
        <row r="4744">
          <cell r="D4744" t="str">
            <v>64147-40-6</v>
          </cell>
          <cell r="E4744">
            <v>64147406</v>
          </cell>
          <cell r="F4744" t="str">
            <v>-</v>
          </cell>
          <cell r="G4744" t="str">
            <v>-</v>
          </cell>
          <cell r="H4744">
            <v>4722</v>
          </cell>
          <cell r="Q4744">
            <v>14</v>
          </cell>
        </row>
        <row r="4745">
          <cell r="D4745" t="str">
            <v>1273322-45-4</v>
          </cell>
          <cell r="E4745">
            <v>1273322454</v>
          </cell>
          <cell r="F4745" t="str">
            <v>-</v>
          </cell>
          <cell r="G4745" t="str">
            <v>-</v>
          </cell>
          <cell r="H4745">
            <v>4723</v>
          </cell>
          <cell r="Q4745">
            <v>14</v>
          </cell>
        </row>
        <row r="4746">
          <cell r="D4746" t="str">
            <v>73037-34-0</v>
          </cell>
          <cell r="E4746">
            <v>73037340</v>
          </cell>
          <cell r="F4746" t="str">
            <v>-</v>
          </cell>
          <cell r="G4746" t="str">
            <v>-</v>
          </cell>
          <cell r="H4746">
            <v>4724</v>
          </cell>
          <cell r="Q4746">
            <v>14</v>
          </cell>
        </row>
        <row r="4747">
          <cell r="D4747" t="str">
            <v>80939-62-4</v>
          </cell>
          <cell r="E4747">
            <v>80939624</v>
          </cell>
          <cell r="F4747" t="str">
            <v>-</v>
          </cell>
          <cell r="G4747" t="str">
            <v>-</v>
          </cell>
          <cell r="H4747">
            <v>4725</v>
          </cell>
          <cell r="Q4747">
            <v>14</v>
          </cell>
        </row>
        <row r="4748">
          <cell r="D4748" t="str">
            <v>158318-67-3</v>
          </cell>
          <cell r="E4748">
            <v>158318673</v>
          </cell>
          <cell r="F4748" t="str">
            <v>-</v>
          </cell>
          <cell r="G4748" t="str">
            <v>-</v>
          </cell>
          <cell r="H4748">
            <v>4726</v>
          </cell>
          <cell r="Q4748">
            <v>14</v>
          </cell>
        </row>
        <row r="4749">
          <cell r="D4749" t="str">
            <v>118800-30-9</v>
          </cell>
          <cell r="E4749">
            <v>118800309</v>
          </cell>
          <cell r="F4749" t="str">
            <v>-</v>
          </cell>
          <cell r="G4749" t="str">
            <v>-</v>
          </cell>
          <cell r="H4749">
            <v>4727</v>
          </cell>
          <cell r="Q4749">
            <v>14</v>
          </cell>
        </row>
        <row r="4750">
          <cell r="D4750" t="str">
            <v>90989-41-6</v>
          </cell>
          <cell r="E4750">
            <v>90989416</v>
          </cell>
          <cell r="F4750" t="str">
            <v>-</v>
          </cell>
          <cell r="G4750" t="str">
            <v>-</v>
          </cell>
          <cell r="H4750">
            <v>4728</v>
          </cell>
          <cell r="Q4750">
            <v>14</v>
          </cell>
        </row>
        <row r="4751">
          <cell r="D4751" t="str">
            <v>85049-33-8</v>
          </cell>
          <cell r="E4751">
            <v>85049338</v>
          </cell>
          <cell r="F4751" t="str">
            <v>-</v>
          </cell>
          <cell r="G4751" t="str">
            <v>-</v>
          </cell>
          <cell r="H4751">
            <v>4729</v>
          </cell>
          <cell r="Q4751">
            <v>14</v>
          </cell>
        </row>
        <row r="4752">
          <cell r="D4752" t="str">
            <v>160901-09-7</v>
          </cell>
          <cell r="E4752">
            <v>160901097</v>
          </cell>
          <cell r="F4752" t="str">
            <v>-</v>
          </cell>
          <cell r="G4752" t="str">
            <v>-</v>
          </cell>
          <cell r="H4752">
            <v>4730</v>
          </cell>
          <cell r="Q4752">
            <v>14</v>
          </cell>
        </row>
        <row r="4753">
          <cell r="D4753" t="str">
            <v>67989-52-0</v>
          </cell>
          <cell r="E4753">
            <v>67989520</v>
          </cell>
          <cell r="F4753" t="str">
            <v>-</v>
          </cell>
          <cell r="G4753" t="str">
            <v>-</v>
          </cell>
          <cell r="H4753">
            <v>4731</v>
          </cell>
          <cell r="Q4753">
            <v>14</v>
          </cell>
        </row>
        <row r="4754">
          <cell r="D4754" t="str">
            <v>1384855-91-7</v>
          </cell>
          <cell r="E4754">
            <v>1384855917</v>
          </cell>
          <cell r="F4754" t="str">
            <v>-</v>
          </cell>
          <cell r="G4754" t="str">
            <v>-</v>
          </cell>
          <cell r="H4754">
            <v>4732</v>
          </cell>
          <cell r="Q4754">
            <v>14</v>
          </cell>
        </row>
        <row r="4755">
          <cell r="D4755" t="str">
            <v>91722-14-4</v>
          </cell>
          <cell r="E4755">
            <v>91722144</v>
          </cell>
          <cell r="F4755" t="str">
            <v>-</v>
          </cell>
          <cell r="G4755" t="str">
            <v>-</v>
          </cell>
          <cell r="H4755">
            <v>4733</v>
          </cell>
          <cell r="Q4755">
            <v>14</v>
          </cell>
        </row>
        <row r="4756">
          <cell r="D4756" t="str">
            <v>26316-40-5</v>
          </cell>
          <cell r="E4756">
            <v>26316405</v>
          </cell>
          <cell r="F4756" t="str">
            <v>-</v>
          </cell>
          <cell r="G4756" t="str">
            <v>-</v>
          </cell>
          <cell r="H4756">
            <v>4734</v>
          </cell>
          <cell r="Q4756">
            <v>14</v>
          </cell>
        </row>
        <row r="4757">
          <cell r="D4757" t="str">
            <v>25339-53-1</v>
          </cell>
          <cell r="E4757">
            <v>25339531</v>
          </cell>
          <cell r="F4757" t="str">
            <v>-</v>
          </cell>
          <cell r="G4757" t="str">
            <v>-</v>
          </cell>
          <cell r="H4757">
            <v>4735</v>
          </cell>
          <cell r="Q4757">
            <v>14</v>
          </cell>
        </row>
        <row r="4758">
          <cell r="D4758" t="str">
            <v>31831-53-5</v>
          </cell>
          <cell r="E4758">
            <v>31831535</v>
          </cell>
          <cell r="F4758" t="str">
            <v>-</v>
          </cell>
          <cell r="G4758" t="str">
            <v>-</v>
          </cell>
          <cell r="H4758">
            <v>4736</v>
          </cell>
          <cell r="Q4758">
            <v>14</v>
          </cell>
        </row>
        <row r="4759">
          <cell r="D4759" t="str">
            <v>68391-08-2</v>
          </cell>
          <cell r="E4759">
            <v>68391082</v>
          </cell>
          <cell r="F4759" t="str">
            <v>-</v>
          </cell>
          <cell r="G4759" t="str">
            <v>-</v>
          </cell>
          <cell r="H4759">
            <v>4737</v>
          </cell>
          <cell r="Q4759">
            <v>14</v>
          </cell>
        </row>
        <row r="4760">
          <cell r="D4760" t="str">
            <v>25448-25-3</v>
          </cell>
          <cell r="E4760">
            <v>25448253</v>
          </cell>
          <cell r="F4760" t="str">
            <v>-</v>
          </cell>
          <cell r="G4760" t="str">
            <v>-</v>
          </cell>
          <cell r="H4760">
            <v>4738</v>
          </cell>
          <cell r="Q4760">
            <v>14</v>
          </cell>
        </row>
        <row r="4761">
          <cell r="D4761" t="str">
            <v>61789-45-5</v>
          </cell>
          <cell r="E4761">
            <v>61789455</v>
          </cell>
          <cell r="F4761" t="str">
            <v>-</v>
          </cell>
          <cell r="G4761" t="str">
            <v>-</v>
          </cell>
          <cell r="H4761">
            <v>4739</v>
          </cell>
          <cell r="Q4761">
            <v>14</v>
          </cell>
        </row>
        <row r="4762">
          <cell r="D4762" t="str">
            <v>63310-16-7</v>
          </cell>
          <cell r="E4762">
            <v>63310167</v>
          </cell>
          <cell r="F4762" t="str">
            <v>-</v>
          </cell>
          <cell r="G4762" t="str">
            <v>-</v>
          </cell>
          <cell r="H4762">
            <v>4740</v>
          </cell>
          <cell r="Q4762">
            <v>14</v>
          </cell>
        </row>
        <row r="4763">
          <cell r="D4763" t="str">
            <v>41637-38-1</v>
          </cell>
          <cell r="E4763">
            <v>41637381</v>
          </cell>
          <cell r="F4763" t="str">
            <v>-</v>
          </cell>
          <cell r="G4763" t="str">
            <v>-</v>
          </cell>
          <cell r="H4763">
            <v>4741</v>
          </cell>
          <cell r="Q4763">
            <v>14</v>
          </cell>
        </row>
        <row r="4764">
          <cell r="D4764" t="str">
            <v>68425-34-3</v>
          </cell>
          <cell r="E4764">
            <v>68425343</v>
          </cell>
          <cell r="F4764" t="str">
            <v>-</v>
          </cell>
          <cell r="G4764" t="str">
            <v>-</v>
          </cell>
          <cell r="H4764">
            <v>4742</v>
          </cell>
          <cell r="Q4764">
            <v>14</v>
          </cell>
        </row>
        <row r="4765">
          <cell r="D4765" t="str">
            <v>68956-56-9</v>
          </cell>
          <cell r="E4765">
            <v>68956569</v>
          </cell>
          <cell r="F4765" t="str">
            <v>-</v>
          </cell>
          <cell r="G4765" t="str">
            <v>-</v>
          </cell>
          <cell r="H4765">
            <v>4743</v>
          </cell>
          <cell r="Q4765">
            <v>14</v>
          </cell>
        </row>
        <row r="4766">
          <cell r="D4766" t="str">
            <v>68122-64-5</v>
          </cell>
          <cell r="E4766">
            <v>68122645</v>
          </cell>
          <cell r="F4766" t="str">
            <v>-</v>
          </cell>
          <cell r="G4766" t="str">
            <v>-</v>
          </cell>
          <cell r="H4766">
            <v>4744</v>
          </cell>
          <cell r="Q4766">
            <v>14</v>
          </cell>
        </row>
        <row r="4767">
          <cell r="D4767" t="str">
            <v>94667-33-1</v>
          </cell>
          <cell r="E4767">
            <v>94667331</v>
          </cell>
          <cell r="F4767" t="str">
            <v>-</v>
          </cell>
          <cell r="G4767" t="str">
            <v>-</v>
          </cell>
          <cell r="H4767">
            <v>4745</v>
          </cell>
          <cell r="Q4767">
            <v>14</v>
          </cell>
        </row>
        <row r="4768">
          <cell r="D4768" t="str">
            <v>67762-53-2</v>
          </cell>
          <cell r="E4768">
            <v>67762532</v>
          </cell>
          <cell r="F4768" t="str">
            <v>-</v>
          </cell>
          <cell r="G4768" t="str">
            <v>-</v>
          </cell>
          <cell r="H4768">
            <v>4746</v>
          </cell>
          <cell r="Q4768">
            <v>14</v>
          </cell>
        </row>
        <row r="4769">
          <cell r="D4769" t="str">
            <v>71662-46-9</v>
          </cell>
          <cell r="E4769">
            <v>71662469</v>
          </cell>
          <cell r="F4769" t="str">
            <v>-</v>
          </cell>
          <cell r="G4769" t="str">
            <v>-</v>
          </cell>
          <cell r="H4769">
            <v>4747</v>
          </cell>
          <cell r="Q4769">
            <v>14</v>
          </cell>
        </row>
        <row r="4770">
          <cell r="D4770" t="str">
            <v>75782-87-5</v>
          </cell>
          <cell r="E4770">
            <v>75782875</v>
          </cell>
          <cell r="F4770" t="str">
            <v>-</v>
          </cell>
          <cell r="G4770" t="str">
            <v>-</v>
          </cell>
          <cell r="H4770">
            <v>4748</v>
          </cell>
          <cell r="Q4770">
            <v>14</v>
          </cell>
        </row>
        <row r="4771">
          <cell r="D4771" t="str">
            <v>65996-87-4</v>
          </cell>
          <cell r="E4771">
            <v>65996874</v>
          </cell>
          <cell r="F4771" t="str">
            <v>-</v>
          </cell>
          <cell r="G4771" t="str">
            <v>-</v>
          </cell>
          <cell r="H4771">
            <v>4749</v>
          </cell>
          <cell r="Q4771">
            <v>14</v>
          </cell>
        </row>
        <row r="4772">
          <cell r="D4772" t="str">
            <v>3010-96-6</v>
          </cell>
          <cell r="E4772">
            <v>3010966</v>
          </cell>
          <cell r="F4772" t="str">
            <v>-</v>
          </cell>
          <cell r="G4772" t="str">
            <v>-</v>
          </cell>
          <cell r="H4772">
            <v>4750</v>
          </cell>
          <cell r="Q4772">
            <v>14</v>
          </cell>
        </row>
        <row r="4773">
          <cell r="D4773" t="str">
            <v>96152-43-1</v>
          </cell>
          <cell r="E4773">
            <v>96152431</v>
          </cell>
          <cell r="F4773" t="str">
            <v>-</v>
          </cell>
          <cell r="G4773" t="str">
            <v>-</v>
          </cell>
          <cell r="H4773">
            <v>4751</v>
          </cell>
          <cell r="Q4773">
            <v>14</v>
          </cell>
        </row>
        <row r="4774">
          <cell r="D4774" t="str">
            <v>122-32-7</v>
          </cell>
          <cell r="E4774">
            <v>122327</v>
          </cell>
          <cell r="F4774" t="str">
            <v>-</v>
          </cell>
          <cell r="G4774" t="str">
            <v>-</v>
          </cell>
          <cell r="H4774">
            <v>4752</v>
          </cell>
          <cell r="Q4774">
            <v>14</v>
          </cell>
        </row>
        <row r="4775">
          <cell r="D4775" t="str">
            <v>92129-53-8</v>
          </cell>
          <cell r="E4775">
            <v>92129538</v>
          </cell>
          <cell r="F4775" t="str">
            <v>-</v>
          </cell>
          <cell r="G4775" t="str">
            <v>-</v>
          </cell>
          <cell r="H4775">
            <v>4753</v>
          </cell>
          <cell r="Q4775">
            <v>14</v>
          </cell>
        </row>
        <row r="4776">
          <cell r="D4776" t="str">
            <v>61791-12-6</v>
          </cell>
          <cell r="E4776">
            <v>61791126</v>
          </cell>
          <cell r="F4776" t="str">
            <v>-</v>
          </cell>
          <cell r="G4776" t="str">
            <v>-</v>
          </cell>
          <cell r="H4776">
            <v>4754</v>
          </cell>
          <cell r="Q4776">
            <v>14</v>
          </cell>
        </row>
        <row r="4777">
          <cell r="D4777" t="str">
            <v>85586-34-1</v>
          </cell>
          <cell r="E4777">
            <v>85586341</v>
          </cell>
          <cell r="F4777" t="str">
            <v>-</v>
          </cell>
          <cell r="G4777" t="str">
            <v>-</v>
          </cell>
          <cell r="H4777">
            <v>4755</v>
          </cell>
          <cell r="Q4777">
            <v>14</v>
          </cell>
        </row>
        <row r="4778">
          <cell r="D4778" t="str">
            <v>106276-80-6</v>
          </cell>
          <cell r="E4778">
            <v>106276806</v>
          </cell>
          <cell r="F4778" t="str">
            <v>-</v>
          </cell>
          <cell r="G4778" t="str">
            <v>-</v>
          </cell>
          <cell r="H4778">
            <v>4756</v>
          </cell>
          <cell r="Q4778">
            <v>14</v>
          </cell>
        </row>
        <row r="4779">
          <cell r="D4779" t="str">
            <v>85029-52-3</v>
          </cell>
          <cell r="E4779">
            <v>85029523</v>
          </cell>
          <cell r="F4779" t="str">
            <v>-</v>
          </cell>
          <cell r="G4779" t="str">
            <v>-</v>
          </cell>
          <cell r="H4779">
            <v>4757</v>
          </cell>
          <cell r="Q4779">
            <v>14</v>
          </cell>
        </row>
        <row r="4780">
          <cell r="D4780" t="str">
            <v>85186-92-1</v>
          </cell>
          <cell r="E4780">
            <v>85186921</v>
          </cell>
          <cell r="F4780" t="str">
            <v>-</v>
          </cell>
          <cell r="G4780" t="str">
            <v>-</v>
          </cell>
          <cell r="H4780">
            <v>4758</v>
          </cell>
          <cell r="Q4780">
            <v>14</v>
          </cell>
        </row>
        <row r="4781">
          <cell r="D4781" t="str">
            <v>90506-45-9</v>
          </cell>
          <cell r="E4781">
            <v>90506459</v>
          </cell>
          <cell r="F4781" t="str">
            <v>-</v>
          </cell>
          <cell r="G4781" t="str">
            <v>-</v>
          </cell>
          <cell r="H4781">
            <v>4759</v>
          </cell>
          <cell r="Q4781">
            <v>14</v>
          </cell>
        </row>
        <row r="4782">
          <cell r="D4782" t="str">
            <v>94108-97-1</v>
          </cell>
          <cell r="E4782">
            <v>94108971</v>
          </cell>
          <cell r="F4782" t="str">
            <v>-</v>
          </cell>
          <cell r="G4782" t="str">
            <v>-</v>
          </cell>
          <cell r="H4782">
            <v>4760</v>
          </cell>
          <cell r="Q4782">
            <v>14</v>
          </cell>
        </row>
        <row r="4783">
          <cell r="D4783" t="str">
            <v>1226892-49-4</v>
          </cell>
          <cell r="E4783">
            <v>1226892494</v>
          </cell>
          <cell r="F4783" t="str">
            <v>-</v>
          </cell>
          <cell r="G4783" t="str">
            <v>-</v>
          </cell>
          <cell r="H4783">
            <v>4761</v>
          </cell>
          <cell r="Q4783">
            <v>14</v>
          </cell>
        </row>
        <row r="4784">
          <cell r="D4784" t="str">
            <v>67762-52-1</v>
          </cell>
          <cell r="E4784">
            <v>67762521</v>
          </cell>
          <cell r="F4784" t="str">
            <v>-</v>
          </cell>
          <cell r="G4784" t="str">
            <v>-</v>
          </cell>
          <cell r="H4784">
            <v>4762</v>
          </cell>
          <cell r="Q4784">
            <v>14</v>
          </cell>
        </row>
        <row r="4785">
          <cell r="D4785" t="str">
            <v>85711-46-2</v>
          </cell>
          <cell r="E4785">
            <v>85711462</v>
          </cell>
          <cell r="F4785" t="str">
            <v>-</v>
          </cell>
          <cell r="G4785" t="str">
            <v>-</v>
          </cell>
          <cell r="H4785">
            <v>4763</v>
          </cell>
          <cell r="Q4785">
            <v>14</v>
          </cell>
        </row>
        <row r="4786">
          <cell r="D4786" t="str">
            <v>68131-40-8</v>
          </cell>
          <cell r="E4786">
            <v>68131408</v>
          </cell>
          <cell r="F4786" t="str">
            <v>-</v>
          </cell>
          <cell r="G4786" t="str">
            <v>-</v>
          </cell>
          <cell r="H4786">
            <v>4764</v>
          </cell>
          <cell r="Q4786">
            <v>14</v>
          </cell>
        </row>
        <row r="4787">
          <cell r="D4787" t="str">
            <v>68131-72-6</v>
          </cell>
          <cell r="E4787">
            <v>68131726</v>
          </cell>
          <cell r="F4787" t="str">
            <v>-</v>
          </cell>
          <cell r="G4787" t="str">
            <v>-</v>
          </cell>
          <cell r="H4787">
            <v>4765</v>
          </cell>
          <cell r="Q4787">
            <v>14</v>
          </cell>
        </row>
        <row r="4788">
          <cell r="D4788" t="str">
            <v>68187-84-8</v>
          </cell>
          <cell r="E4788">
            <v>68187848</v>
          </cell>
          <cell r="F4788" t="str">
            <v>-</v>
          </cell>
          <cell r="G4788" t="str">
            <v>-</v>
          </cell>
          <cell r="H4788">
            <v>4766</v>
          </cell>
          <cell r="Q4788">
            <v>14</v>
          </cell>
        </row>
        <row r="4789">
          <cell r="D4789" t="str">
            <v>144086-02-2</v>
          </cell>
          <cell r="E4789">
            <v>144086022</v>
          </cell>
          <cell r="F4789" t="str">
            <v>-</v>
          </cell>
          <cell r="G4789" t="str">
            <v>-</v>
          </cell>
          <cell r="H4789">
            <v>4767</v>
          </cell>
          <cell r="Q4789">
            <v>14</v>
          </cell>
        </row>
        <row r="4790">
          <cell r="D4790" t="str">
            <v>68002-42-6</v>
          </cell>
          <cell r="E4790">
            <v>68002426</v>
          </cell>
          <cell r="F4790" t="str">
            <v>-</v>
          </cell>
          <cell r="G4790" t="str">
            <v>-</v>
          </cell>
          <cell r="H4790">
            <v>4768</v>
          </cell>
          <cell r="Q4790">
            <v>14</v>
          </cell>
        </row>
        <row r="4791">
          <cell r="D4791" t="str">
            <v>83897-91-0</v>
          </cell>
          <cell r="E4791">
            <v>83897910</v>
          </cell>
          <cell r="F4791" t="str">
            <v>-</v>
          </cell>
          <cell r="G4791" t="str">
            <v>-</v>
          </cell>
          <cell r="H4791">
            <v>4769</v>
          </cell>
          <cell r="Q4791">
            <v>14</v>
          </cell>
        </row>
        <row r="4792">
          <cell r="D4792" t="str">
            <v>25618-55-7</v>
          </cell>
          <cell r="E4792">
            <v>25618557</v>
          </cell>
          <cell r="F4792" t="str">
            <v>-</v>
          </cell>
          <cell r="G4792" t="str">
            <v>-</v>
          </cell>
          <cell r="H4792">
            <v>4770</v>
          </cell>
          <cell r="Q4792">
            <v>14</v>
          </cell>
        </row>
        <row r="4793">
          <cell r="D4793" t="str">
            <v>68515-51-5</v>
          </cell>
          <cell r="E4793">
            <v>68515515</v>
          </cell>
          <cell r="F4793" t="str">
            <v>-</v>
          </cell>
          <cell r="G4793" t="str">
            <v>-</v>
          </cell>
          <cell r="H4793">
            <v>4771</v>
          </cell>
          <cell r="Q4793">
            <v>14</v>
          </cell>
        </row>
        <row r="4794">
          <cell r="D4794" t="str">
            <v>97592-79-5</v>
          </cell>
          <cell r="E4794">
            <v>97592795</v>
          </cell>
          <cell r="F4794" t="str">
            <v>-</v>
          </cell>
          <cell r="G4794" t="str">
            <v>-</v>
          </cell>
          <cell r="H4794">
            <v>4772</v>
          </cell>
          <cell r="Q4794">
            <v>14</v>
          </cell>
        </row>
        <row r="4795">
          <cell r="D4795" t="str">
            <v>39322-78-6</v>
          </cell>
          <cell r="E4795">
            <v>39322786</v>
          </cell>
          <cell r="F4795" t="str">
            <v>-</v>
          </cell>
          <cell r="G4795" t="str">
            <v>-</v>
          </cell>
          <cell r="H4795">
            <v>4773</v>
          </cell>
          <cell r="Q4795">
            <v>14</v>
          </cell>
        </row>
        <row r="4796">
          <cell r="D4796" t="str">
            <v>91031-45-7</v>
          </cell>
          <cell r="E4796">
            <v>91031457</v>
          </cell>
          <cell r="F4796" t="str">
            <v>-</v>
          </cell>
          <cell r="G4796" t="str">
            <v>-</v>
          </cell>
          <cell r="H4796">
            <v>4774</v>
          </cell>
          <cell r="Q4796">
            <v>14</v>
          </cell>
        </row>
        <row r="4797">
          <cell r="D4797" t="str">
            <v>90640-43-0</v>
          </cell>
          <cell r="E4797">
            <v>90640430</v>
          </cell>
          <cell r="F4797" t="str">
            <v>-</v>
          </cell>
          <cell r="G4797" t="str">
            <v>-</v>
          </cell>
          <cell r="H4797">
            <v>4775</v>
          </cell>
          <cell r="Q4797">
            <v>14</v>
          </cell>
        </row>
        <row r="4798">
          <cell r="D4798" t="str">
            <v>100209-45-8</v>
          </cell>
          <cell r="E4798">
            <v>100209458</v>
          </cell>
          <cell r="F4798" t="str">
            <v>-</v>
          </cell>
          <cell r="G4798" t="str">
            <v>-</v>
          </cell>
          <cell r="H4798">
            <v>4776</v>
          </cell>
          <cell r="Q4798">
            <v>14</v>
          </cell>
        </row>
        <row r="4799">
          <cell r="D4799" t="str">
            <v>85631-54-5</v>
          </cell>
          <cell r="E4799">
            <v>85631545</v>
          </cell>
          <cell r="F4799" t="str">
            <v>-</v>
          </cell>
          <cell r="G4799" t="str">
            <v>-</v>
          </cell>
          <cell r="H4799">
            <v>4777</v>
          </cell>
          <cell r="Q4799">
            <v>14</v>
          </cell>
        </row>
        <row r="4800">
          <cell r="D4800" t="str">
            <v>68153-95-7</v>
          </cell>
          <cell r="E4800">
            <v>68153957</v>
          </cell>
          <cell r="F4800" t="str">
            <v>-</v>
          </cell>
          <cell r="G4800" t="str">
            <v>-</v>
          </cell>
          <cell r="H4800">
            <v>4778</v>
          </cell>
          <cell r="Q4800">
            <v>14</v>
          </cell>
        </row>
        <row r="4801">
          <cell r="D4801" t="str">
            <v>7212-44-4</v>
          </cell>
          <cell r="E4801">
            <v>7212444</v>
          </cell>
          <cell r="F4801" t="str">
            <v>-</v>
          </cell>
          <cell r="G4801" t="str">
            <v>-</v>
          </cell>
          <cell r="H4801">
            <v>4779</v>
          </cell>
          <cell r="Q4801">
            <v>14</v>
          </cell>
        </row>
        <row r="4802">
          <cell r="D4802" t="str">
            <v>70225-05-7</v>
          </cell>
          <cell r="E4802">
            <v>70225057</v>
          </cell>
          <cell r="F4802" t="str">
            <v>-</v>
          </cell>
          <cell r="G4802" t="str">
            <v>-</v>
          </cell>
          <cell r="H4802">
            <v>4780</v>
          </cell>
          <cell r="Q4802">
            <v>14</v>
          </cell>
        </row>
        <row r="4803">
          <cell r="D4803" t="str">
            <v>53988-10-6</v>
          </cell>
          <cell r="E4803">
            <v>53988106</v>
          </cell>
          <cell r="F4803" t="str">
            <v>-</v>
          </cell>
          <cell r="G4803" t="str">
            <v>-</v>
          </cell>
          <cell r="H4803">
            <v>4781</v>
          </cell>
          <cell r="Q4803">
            <v>14</v>
          </cell>
        </row>
        <row r="4804">
          <cell r="D4804" t="str">
            <v>22393-85-7</v>
          </cell>
          <cell r="E4804">
            <v>22393857</v>
          </cell>
          <cell r="F4804" t="str">
            <v>-</v>
          </cell>
          <cell r="G4804" t="str">
            <v>-</v>
          </cell>
          <cell r="H4804">
            <v>4782</v>
          </cell>
          <cell r="Q4804">
            <v>14</v>
          </cell>
        </row>
        <row r="4805">
          <cell r="D4805" t="str">
            <v>84539-53-7</v>
          </cell>
          <cell r="E4805">
            <v>84539537</v>
          </cell>
          <cell r="F4805" t="str">
            <v>-</v>
          </cell>
          <cell r="G4805" t="str">
            <v>-</v>
          </cell>
          <cell r="H4805">
            <v>4783</v>
          </cell>
          <cell r="Q4805">
            <v>14</v>
          </cell>
        </row>
        <row r="4806">
          <cell r="D4806" t="str">
            <v>68424-19-1</v>
          </cell>
          <cell r="E4806">
            <v>68424191</v>
          </cell>
          <cell r="F4806" t="str">
            <v>-</v>
          </cell>
          <cell r="G4806" t="str">
            <v>-</v>
          </cell>
          <cell r="H4806">
            <v>4784</v>
          </cell>
          <cell r="Q4806">
            <v>14</v>
          </cell>
        </row>
        <row r="4807">
          <cell r="D4807" t="str">
            <v>77538-19-3</v>
          </cell>
          <cell r="E4807">
            <v>77538193</v>
          </cell>
          <cell r="F4807" t="str">
            <v>-</v>
          </cell>
          <cell r="G4807" t="str">
            <v>-</v>
          </cell>
          <cell r="H4807">
            <v>4785</v>
          </cell>
          <cell r="Q4807">
            <v>14</v>
          </cell>
        </row>
        <row r="4808">
          <cell r="D4808" t="str">
            <v>68442-22-8</v>
          </cell>
          <cell r="E4808">
            <v>68442228</v>
          </cell>
          <cell r="F4808" t="str">
            <v>-</v>
          </cell>
          <cell r="G4808" t="str">
            <v>-</v>
          </cell>
          <cell r="H4808">
            <v>4786</v>
          </cell>
          <cell r="Q4808">
            <v>14</v>
          </cell>
        </row>
        <row r="4809">
          <cell r="D4809" t="str">
            <v>26762-93-6</v>
          </cell>
          <cell r="E4809">
            <v>26762936</v>
          </cell>
          <cell r="F4809" t="str">
            <v>-</v>
          </cell>
          <cell r="G4809" t="str">
            <v>-</v>
          </cell>
          <cell r="H4809">
            <v>4787</v>
          </cell>
          <cell r="Q4809">
            <v>14</v>
          </cell>
        </row>
        <row r="4810">
          <cell r="D4810" t="str">
            <v>97489-11-7</v>
          </cell>
          <cell r="E4810">
            <v>97489117</v>
          </cell>
          <cell r="F4810" t="str">
            <v>-</v>
          </cell>
          <cell r="G4810" t="str">
            <v>-</v>
          </cell>
          <cell r="H4810">
            <v>4788</v>
          </cell>
          <cell r="Q4810">
            <v>14</v>
          </cell>
        </row>
        <row r="4811">
          <cell r="D4811" t="str">
            <v>94441-92-6</v>
          </cell>
          <cell r="E4811">
            <v>94441926</v>
          </cell>
          <cell r="F4811" t="str">
            <v>-</v>
          </cell>
          <cell r="G4811" t="str">
            <v>-</v>
          </cell>
          <cell r="H4811">
            <v>4789</v>
          </cell>
          <cell r="Q4811">
            <v>14</v>
          </cell>
        </row>
        <row r="4812">
          <cell r="D4812" t="str">
            <v>68603-38-3</v>
          </cell>
          <cell r="E4812">
            <v>68603383</v>
          </cell>
          <cell r="F4812" t="str">
            <v>-</v>
          </cell>
          <cell r="G4812" t="str">
            <v>-</v>
          </cell>
          <cell r="H4812">
            <v>4790</v>
          </cell>
          <cell r="Q4812">
            <v>14</v>
          </cell>
        </row>
        <row r="4813">
          <cell r="D4813" t="str">
            <v>28390-91-2</v>
          </cell>
          <cell r="E4813">
            <v>28390912</v>
          </cell>
          <cell r="F4813" t="str">
            <v>-</v>
          </cell>
          <cell r="G4813" t="str">
            <v>-</v>
          </cell>
          <cell r="H4813">
            <v>4791</v>
          </cell>
          <cell r="Q4813">
            <v>14</v>
          </cell>
        </row>
        <row r="4814">
          <cell r="D4814" t="str">
            <v>91050-82-7</v>
          </cell>
          <cell r="E4814">
            <v>91050827</v>
          </cell>
          <cell r="F4814" t="str">
            <v>-</v>
          </cell>
          <cell r="G4814" t="str">
            <v>-</v>
          </cell>
          <cell r="H4814">
            <v>4792</v>
          </cell>
          <cell r="Q4814">
            <v>14</v>
          </cell>
        </row>
        <row r="4815">
          <cell r="D4815" t="str">
            <v>1365095-43-7</v>
          </cell>
          <cell r="E4815">
            <v>1365095437</v>
          </cell>
          <cell r="F4815" t="str">
            <v>-</v>
          </cell>
          <cell r="G4815" t="str">
            <v>-</v>
          </cell>
          <cell r="H4815">
            <v>4793</v>
          </cell>
          <cell r="Q4815">
            <v>14</v>
          </cell>
        </row>
        <row r="4816">
          <cell r="D4816" t="str">
            <v>68475-37-6</v>
          </cell>
          <cell r="E4816">
            <v>68475376</v>
          </cell>
          <cell r="F4816" t="str">
            <v>-</v>
          </cell>
          <cell r="G4816" t="str">
            <v>-</v>
          </cell>
          <cell r="H4816">
            <v>4794</v>
          </cell>
          <cell r="Q4816">
            <v>14</v>
          </cell>
        </row>
        <row r="4817">
          <cell r="D4817" t="str">
            <v>26748-41-4</v>
          </cell>
          <cell r="E4817">
            <v>26748414</v>
          </cell>
          <cell r="F4817" t="str">
            <v>-</v>
          </cell>
          <cell r="G4817" t="str">
            <v>-</v>
          </cell>
          <cell r="H4817">
            <v>4795</v>
          </cell>
          <cell r="Q4817">
            <v>14</v>
          </cell>
        </row>
        <row r="4818">
          <cell r="D4818" t="str">
            <v>96690-55-0</v>
          </cell>
          <cell r="E4818">
            <v>96690550</v>
          </cell>
          <cell r="F4818" t="str">
            <v>-</v>
          </cell>
          <cell r="G4818" t="str">
            <v>-</v>
          </cell>
          <cell r="H4818">
            <v>4796</v>
          </cell>
          <cell r="Q4818">
            <v>14</v>
          </cell>
        </row>
        <row r="4819">
          <cell r="D4819" t="str">
            <v>68390-97-6</v>
          </cell>
          <cell r="E4819">
            <v>68390976</v>
          </cell>
          <cell r="F4819" t="str">
            <v>-</v>
          </cell>
          <cell r="G4819" t="str">
            <v>-</v>
          </cell>
          <cell r="H4819">
            <v>4797</v>
          </cell>
          <cell r="Q4819">
            <v>14</v>
          </cell>
        </row>
        <row r="4820">
          <cell r="D4820" t="str">
            <v>85186-95-4</v>
          </cell>
          <cell r="E4820">
            <v>85186954</v>
          </cell>
          <cell r="F4820" t="str">
            <v>-</v>
          </cell>
          <cell r="G4820" t="str">
            <v>-</v>
          </cell>
          <cell r="H4820">
            <v>4798</v>
          </cell>
          <cell r="Q4820">
            <v>14</v>
          </cell>
        </row>
        <row r="4821">
          <cell r="D4821" t="str">
            <v>91078-64-7</v>
          </cell>
          <cell r="E4821">
            <v>91078647</v>
          </cell>
          <cell r="F4821" t="str">
            <v>-</v>
          </cell>
          <cell r="G4821" t="str">
            <v>-</v>
          </cell>
          <cell r="H4821">
            <v>4799</v>
          </cell>
          <cell r="Q4821">
            <v>14</v>
          </cell>
        </row>
        <row r="4822">
          <cell r="D4822" t="str">
            <v>102242-48-8</v>
          </cell>
          <cell r="E4822">
            <v>102242488</v>
          </cell>
          <cell r="F4822" t="str">
            <v>-</v>
          </cell>
          <cell r="G4822" t="str">
            <v>-</v>
          </cell>
          <cell r="H4822">
            <v>4800</v>
          </cell>
          <cell r="Q4822">
            <v>14</v>
          </cell>
        </row>
        <row r="4823">
          <cell r="D4823" t="str">
            <v>17671-27-1</v>
          </cell>
          <cell r="E4823">
            <v>17671271</v>
          </cell>
          <cell r="F4823" t="str">
            <v>-</v>
          </cell>
          <cell r="G4823" t="str">
            <v>-</v>
          </cell>
          <cell r="H4823">
            <v>4801</v>
          </cell>
          <cell r="Q4823">
            <v>14</v>
          </cell>
        </row>
        <row r="4824">
          <cell r="D4824" t="str">
            <v>91744-38-6</v>
          </cell>
          <cell r="E4824">
            <v>91744386</v>
          </cell>
          <cell r="F4824" t="str">
            <v>-</v>
          </cell>
          <cell r="G4824" t="str">
            <v>-</v>
          </cell>
          <cell r="H4824">
            <v>4802</v>
          </cell>
          <cell r="Q4824">
            <v>14</v>
          </cell>
        </row>
        <row r="4825">
          <cell r="D4825" t="str">
            <v>186321-96-0</v>
          </cell>
          <cell r="E4825">
            <v>186321960</v>
          </cell>
          <cell r="F4825" t="str">
            <v>-</v>
          </cell>
          <cell r="G4825" t="str">
            <v>-</v>
          </cell>
          <cell r="H4825">
            <v>4803</v>
          </cell>
          <cell r="Q4825">
            <v>14</v>
          </cell>
        </row>
        <row r="4826">
          <cell r="D4826" t="str">
            <v>1258274-08-6</v>
          </cell>
          <cell r="E4826">
            <v>1258274086</v>
          </cell>
          <cell r="F4826" t="str">
            <v>-</v>
          </cell>
          <cell r="G4826" t="str">
            <v>-</v>
          </cell>
          <cell r="H4826">
            <v>4804</v>
          </cell>
          <cell r="Q4826">
            <v>14</v>
          </cell>
        </row>
        <row r="4827">
          <cell r="D4827" t="str">
            <v>68424-50-0</v>
          </cell>
          <cell r="E4827">
            <v>68424500</v>
          </cell>
          <cell r="F4827" t="str">
            <v>-</v>
          </cell>
          <cell r="G4827" t="str">
            <v>-</v>
          </cell>
          <cell r="H4827">
            <v>4805</v>
          </cell>
          <cell r="Q4827">
            <v>14</v>
          </cell>
        </row>
        <row r="4828">
          <cell r="D4828" t="str">
            <v>68440-34-6</v>
          </cell>
          <cell r="E4828">
            <v>68440346</v>
          </cell>
          <cell r="F4828" t="str">
            <v>-</v>
          </cell>
          <cell r="G4828" t="str">
            <v>-</v>
          </cell>
          <cell r="H4828">
            <v>4806</v>
          </cell>
          <cell r="Q4828">
            <v>14</v>
          </cell>
        </row>
        <row r="4829">
          <cell r="D4829" t="str">
            <v>100402-60-6</v>
          </cell>
          <cell r="E4829">
            <v>100402606</v>
          </cell>
          <cell r="F4829" t="str">
            <v>-</v>
          </cell>
          <cell r="G4829" t="str">
            <v>-</v>
          </cell>
          <cell r="H4829">
            <v>4807</v>
          </cell>
          <cell r="Q4829">
            <v>14</v>
          </cell>
        </row>
        <row r="4830">
          <cell r="D4830" t="str">
            <v>52624-57-4</v>
          </cell>
          <cell r="E4830">
            <v>52624574</v>
          </cell>
          <cell r="F4830" t="str">
            <v>-</v>
          </cell>
          <cell r="G4830" t="str">
            <v>-</v>
          </cell>
          <cell r="H4830">
            <v>4808</v>
          </cell>
          <cell r="Q4830">
            <v>14</v>
          </cell>
        </row>
        <row r="4831">
          <cell r="D4831" t="str">
            <v>62125-22-8</v>
          </cell>
          <cell r="E4831">
            <v>62125228</v>
          </cell>
          <cell r="F4831" t="str">
            <v>-</v>
          </cell>
          <cell r="G4831" t="str">
            <v>-</v>
          </cell>
          <cell r="H4831">
            <v>4809</v>
          </cell>
          <cell r="Q4831">
            <v>14</v>
          </cell>
        </row>
        <row r="4832">
          <cell r="D4832" t="str">
            <v>160901-28-0</v>
          </cell>
          <cell r="E4832">
            <v>160901280</v>
          </cell>
          <cell r="F4832" t="str">
            <v>-</v>
          </cell>
          <cell r="G4832" t="str">
            <v>-</v>
          </cell>
          <cell r="H4832">
            <v>4810</v>
          </cell>
          <cell r="Q4832">
            <v>14</v>
          </cell>
        </row>
        <row r="4833">
          <cell r="D4833" t="str">
            <v>32162-27-9</v>
          </cell>
          <cell r="E4833">
            <v>32162279</v>
          </cell>
          <cell r="F4833" t="str">
            <v>-</v>
          </cell>
          <cell r="G4833" t="str">
            <v>-</v>
          </cell>
          <cell r="H4833">
            <v>4811</v>
          </cell>
          <cell r="Q4833">
            <v>14</v>
          </cell>
        </row>
        <row r="4834">
          <cell r="D4834" t="str">
            <v>1393571-43-1</v>
          </cell>
          <cell r="E4834">
            <v>1393571431</v>
          </cell>
          <cell r="F4834" t="str">
            <v>-</v>
          </cell>
          <cell r="G4834" t="str">
            <v>-</v>
          </cell>
          <cell r="H4834">
            <v>4812</v>
          </cell>
          <cell r="Q4834">
            <v>14</v>
          </cell>
        </row>
        <row r="4835">
          <cell r="D4835" t="str">
            <v>1190409-68-7</v>
          </cell>
          <cell r="E4835">
            <v>1190409687</v>
          </cell>
          <cell r="F4835" t="str">
            <v>-</v>
          </cell>
          <cell r="G4835" t="str">
            <v>-</v>
          </cell>
          <cell r="H4835">
            <v>4813</v>
          </cell>
          <cell r="Q4835">
            <v>14</v>
          </cell>
        </row>
        <row r="4836">
          <cell r="D4836" t="str">
            <v>1211950-04-7</v>
          </cell>
          <cell r="E4836">
            <v>1211950047</v>
          </cell>
          <cell r="F4836" t="str">
            <v>-</v>
          </cell>
          <cell r="G4836" t="str">
            <v>-</v>
          </cell>
          <cell r="H4836">
            <v>4814</v>
          </cell>
          <cell r="Q4836">
            <v>14</v>
          </cell>
        </row>
        <row r="4837">
          <cell r="D4837" t="str">
            <v>28473-19-0</v>
          </cell>
          <cell r="E4837">
            <v>28473190</v>
          </cell>
          <cell r="F4837" t="str">
            <v>-</v>
          </cell>
          <cell r="G4837" t="str">
            <v>-</v>
          </cell>
          <cell r="H4837">
            <v>4815</v>
          </cell>
          <cell r="Q4837">
            <v>14</v>
          </cell>
        </row>
        <row r="4838">
          <cell r="D4838" t="str">
            <v>398141-87-2</v>
          </cell>
          <cell r="E4838">
            <v>398141872</v>
          </cell>
          <cell r="F4838" t="str">
            <v>-</v>
          </cell>
          <cell r="G4838" t="str">
            <v>-</v>
          </cell>
          <cell r="H4838">
            <v>4816</v>
          </cell>
          <cell r="Q4838">
            <v>14</v>
          </cell>
        </row>
        <row r="4839">
          <cell r="D4839" t="str">
            <v>90268-36-3</v>
          </cell>
          <cell r="E4839">
            <v>90268363</v>
          </cell>
          <cell r="F4839" t="str">
            <v>-</v>
          </cell>
          <cell r="G4839" t="str">
            <v>-</v>
          </cell>
          <cell r="H4839">
            <v>4817</v>
          </cell>
          <cell r="Q4839">
            <v>14</v>
          </cell>
        </row>
        <row r="4840">
          <cell r="D4840" t="str">
            <v>101316-49-8</v>
          </cell>
          <cell r="E4840">
            <v>101316498</v>
          </cell>
          <cell r="F4840" t="str">
            <v>-</v>
          </cell>
          <cell r="G4840" t="str">
            <v>-</v>
          </cell>
          <cell r="H4840">
            <v>4818</v>
          </cell>
          <cell r="Q4840">
            <v>14</v>
          </cell>
        </row>
        <row r="4841">
          <cell r="D4841" t="str">
            <v>68911-83-1</v>
          </cell>
          <cell r="E4841">
            <v>68911831</v>
          </cell>
          <cell r="F4841" t="str">
            <v>-</v>
          </cell>
          <cell r="G4841" t="str">
            <v>-</v>
          </cell>
          <cell r="H4841">
            <v>4819</v>
          </cell>
          <cell r="Q4841">
            <v>14</v>
          </cell>
        </row>
        <row r="4842">
          <cell r="D4842" t="str">
            <v>188831-96-1</v>
          </cell>
          <cell r="E4842">
            <v>188831961</v>
          </cell>
          <cell r="F4842" t="str">
            <v>-</v>
          </cell>
          <cell r="G4842" t="str">
            <v>-</v>
          </cell>
          <cell r="H4842">
            <v>4820</v>
          </cell>
          <cell r="Q4842">
            <v>14</v>
          </cell>
        </row>
        <row r="4843">
          <cell r="D4843" t="str">
            <v>68139-94-6</v>
          </cell>
          <cell r="E4843">
            <v>68139946</v>
          </cell>
          <cell r="F4843" t="str">
            <v>-</v>
          </cell>
          <cell r="G4843" t="str">
            <v>-</v>
          </cell>
          <cell r="H4843">
            <v>4821</v>
          </cell>
          <cell r="Q4843">
            <v>14</v>
          </cell>
        </row>
        <row r="4844">
          <cell r="D4844" t="str">
            <v>39471-52-8</v>
          </cell>
          <cell r="E4844">
            <v>39471528</v>
          </cell>
          <cell r="F4844" t="str">
            <v>-</v>
          </cell>
          <cell r="G4844" t="str">
            <v>-</v>
          </cell>
          <cell r="H4844">
            <v>4822</v>
          </cell>
          <cell r="Q4844">
            <v>14</v>
          </cell>
        </row>
        <row r="4845">
          <cell r="D4845" t="str">
            <v>91079-40-2</v>
          </cell>
          <cell r="E4845">
            <v>91079402</v>
          </cell>
          <cell r="F4845" t="str">
            <v>-</v>
          </cell>
          <cell r="G4845" t="str">
            <v>-</v>
          </cell>
          <cell r="H4845">
            <v>4823</v>
          </cell>
          <cell r="Q4845">
            <v>14</v>
          </cell>
        </row>
        <row r="4846">
          <cell r="D4846" t="str">
            <v>11059-65-7</v>
          </cell>
          <cell r="E4846">
            <v>11059657</v>
          </cell>
          <cell r="F4846" t="str">
            <v>-</v>
          </cell>
          <cell r="G4846" t="str">
            <v>-</v>
          </cell>
          <cell r="H4846">
            <v>4824</v>
          </cell>
          <cell r="Q4846">
            <v>14</v>
          </cell>
        </row>
        <row r="4847">
          <cell r="D4847" t="str">
            <v>1076-97-7</v>
          </cell>
          <cell r="E4847">
            <v>1076977</v>
          </cell>
          <cell r="F4847" t="str">
            <v>-</v>
          </cell>
          <cell r="G4847" t="str">
            <v>-</v>
          </cell>
          <cell r="H4847">
            <v>4825</v>
          </cell>
          <cell r="Q4847">
            <v>14</v>
          </cell>
        </row>
        <row r="4848">
          <cell r="D4848" t="str">
            <v>161308-15-2</v>
          </cell>
          <cell r="E4848">
            <v>161308152</v>
          </cell>
          <cell r="F4848" t="str">
            <v>-</v>
          </cell>
          <cell r="G4848" t="str">
            <v>-</v>
          </cell>
          <cell r="H4848">
            <v>4826</v>
          </cell>
          <cell r="Q4848">
            <v>14</v>
          </cell>
        </row>
        <row r="4849">
          <cell r="D4849" t="str">
            <v>151006-58-5</v>
          </cell>
          <cell r="E4849">
            <v>151006585</v>
          </cell>
          <cell r="F4849" t="str">
            <v>-</v>
          </cell>
          <cell r="G4849" t="str">
            <v>-</v>
          </cell>
          <cell r="H4849">
            <v>4827</v>
          </cell>
          <cell r="Q4849">
            <v>14</v>
          </cell>
        </row>
        <row r="4850">
          <cell r="D4850" t="str">
            <v>90170-43-7</v>
          </cell>
          <cell r="E4850">
            <v>90170437</v>
          </cell>
          <cell r="F4850" t="str">
            <v>-</v>
          </cell>
          <cell r="G4850" t="str">
            <v>-</v>
          </cell>
          <cell r="H4850">
            <v>4828</v>
          </cell>
          <cell r="Q4850">
            <v>14</v>
          </cell>
        </row>
        <row r="4851">
          <cell r="D4851" t="str">
            <v>64366-79-6</v>
          </cell>
          <cell r="E4851">
            <v>64366796</v>
          </cell>
          <cell r="F4851" t="str">
            <v>-</v>
          </cell>
          <cell r="G4851" t="str">
            <v>-</v>
          </cell>
          <cell r="H4851">
            <v>4829</v>
          </cell>
          <cell r="Q4851">
            <v>14</v>
          </cell>
        </row>
        <row r="4852">
          <cell r="D4852" t="str">
            <v>85049-36-1</v>
          </cell>
          <cell r="E4852">
            <v>85049361</v>
          </cell>
          <cell r="F4852" t="str">
            <v>-</v>
          </cell>
          <cell r="G4852" t="str">
            <v>-</v>
          </cell>
          <cell r="H4852">
            <v>4830</v>
          </cell>
          <cell r="Q4852">
            <v>14</v>
          </cell>
        </row>
        <row r="4853">
          <cell r="D4853" t="str">
            <v>68153-38-8</v>
          </cell>
          <cell r="E4853">
            <v>68153388</v>
          </cell>
          <cell r="F4853" t="str">
            <v>-</v>
          </cell>
          <cell r="G4853" t="str">
            <v>-</v>
          </cell>
          <cell r="H4853">
            <v>4831</v>
          </cell>
          <cell r="Q4853">
            <v>14</v>
          </cell>
        </row>
        <row r="4854">
          <cell r="D4854" t="str">
            <v>42222-50-4</v>
          </cell>
          <cell r="E4854">
            <v>42222504</v>
          </cell>
          <cell r="F4854" t="str">
            <v>-</v>
          </cell>
          <cell r="G4854" t="str">
            <v>-</v>
          </cell>
          <cell r="H4854">
            <v>4832</v>
          </cell>
          <cell r="Q4854">
            <v>14</v>
          </cell>
        </row>
        <row r="4855">
          <cell r="D4855" t="str">
            <v>84989-07-1</v>
          </cell>
          <cell r="E4855">
            <v>84989071</v>
          </cell>
          <cell r="F4855" t="str">
            <v>-</v>
          </cell>
          <cell r="G4855" t="str">
            <v>-</v>
          </cell>
          <cell r="H4855">
            <v>4833</v>
          </cell>
          <cell r="Q4855">
            <v>14</v>
          </cell>
        </row>
        <row r="4856">
          <cell r="D4856" t="str">
            <v>1219458-11-3</v>
          </cell>
          <cell r="E4856">
            <v>1219458113</v>
          </cell>
          <cell r="F4856" t="str">
            <v>-</v>
          </cell>
          <cell r="G4856" t="str">
            <v>-</v>
          </cell>
          <cell r="H4856">
            <v>4834</v>
          </cell>
          <cell r="Q4856">
            <v>14</v>
          </cell>
        </row>
        <row r="4857">
          <cell r="D4857" t="str">
            <v>90342-32-8</v>
          </cell>
          <cell r="E4857">
            <v>90342328</v>
          </cell>
          <cell r="F4857" t="str">
            <v>-</v>
          </cell>
          <cell r="G4857" t="str">
            <v>-</v>
          </cell>
          <cell r="H4857">
            <v>4835</v>
          </cell>
          <cell r="Q4857">
            <v>14</v>
          </cell>
        </row>
        <row r="4858">
          <cell r="D4858" t="str">
            <v>72162-23-3</v>
          </cell>
          <cell r="E4858">
            <v>72162233</v>
          </cell>
          <cell r="F4858" t="str">
            <v>-</v>
          </cell>
          <cell r="G4858" t="str">
            <v>-</v>
          </cell>
          <cell r="H4858">
            <v>4836</v>
          </cell>
          <cell r="Q4858">
            <v>14</v>
          </cell>
        </row>
        <row r="4859">
          <cell r="D4859" t="str">
            <v>39083-38-0</v>
          </cell>
          <cell r="E4859">
            <v>39083380</v>
          </cell>
          <cell r="F4859" t="str">
            <v>-</v>
          </cell>
          <cell r="G4859" t="str">
            <v>-</v>
          </cell>
          <cell r="H4859">
            <v>4837</v>
          </cell>
          <cell r="Q4859">
            <v>14</v>
          </cell>
        </row>
        <row r="4860">
          <cell r="D4860" t="str">
            <v>68082-79-1</v>
          </cell>
          <cell r="E4860">
            <v>68082791</v>
          </cell>
          <cell r="F4860" t="str">
            <v>-</v>
          </cell>
          <cell r="G4860" t="str">
            <v>-</v>
          </cell>
          <cell r="H4860">
            <v>4838</v>
          </cell>
          <cell r="Q4860">
            <v>14</v>
          </cell>
        </row>
        <row r="4861">
          <cell r="D4861" t="str">
            <v>52408-42-1</v>
          </cell>
          <cell r="E4861">
            <v>52408421</v>
          </cell>
          <cell r="F4861" t="str">
            <v>-</v>
          </cell>
          <cell r="G4861" t="str">
            <v>-</v>
          </cell>
          <cell r="H4861">
            <v>4839</v>
          </cell>
          <cell r="Q4861">
            <v>14</v>
          </cell>
        </row>
        <row r="4862">
          <cell r="D4862" t="str">
            <v>91744-28-4</v>
          </cell>
          <cell r="E4862">
            <v>91744284</v>
          </cell>
          <cell r="F4862" t="str">
            <v>-</v>
          </cell>
          <cell r="G4862" t="str">
            <v>-</v>
          </cell>
          <cell r="H4862">
            <v>4840</v>
          </cell>
          <cell r="Q4862">
            <v>14</v>
          </cell>
        </row>
        <row r="4863">
          <cell r="D4863" t="str">
            <v>94581-17-6</v>
          </cell>
          <cell r="E4863">
            <v>94581176</v>
          </cell>
          <cell r="F4863" t="str">
            <v>-</v>
          </cell>
          <cell r="G4863" t="str">
            <v>-</v>
          </cell>
          <cell r="H4863">
            <v>4841</v>
          </cell>
          <cell r="Q4863">
            <v>14</v>
          </cell>
        </row>
        <row r="4864">
          <cell r="D4864" t="str">
            <v>162568-25-4</v>
          </cell>
          <cell r="E4864">
            <v>162568254</v>
          </cell>
          <cell r="F4864" t="str">
            <v>-</v>
          </cell>
          <cell r="G4864" t="str">
            <v>-</v>
          </cell>
          <cell r="H4864">
            <v>4842</v>
          </cell>
          <cell r="Q4864">
            <v>14</v>
          </cell>
        </row>
        <row r="4865">
          <cell r="D4865" t="str">
            <v>2356-53-8</v>
          </cell>
          <cell r="E4865">
            <v>2356538</v>
          </cell>
          <cell r="F4865" t="str">
            <v>-</v>
          </cell>
          <cell r="G4865" t="str">
            <v>-</v>
          </cell>
          <cell r="H4865">
            <v>4843</v>
          </cell>
          <cell r="Q4865">
            <v>14</v>
          </cell>
        </row>
        <row r="4866">
          <cell r="D4866" t="str">
            <v>94279-36-4</v>
          </cell>
          <cell r="E4866">
            <v>94279364</v>
          </cell>
          <cell r="F4866" t="str">
            <v>-</v>
          </cell>
          <cell r="G4866" t="str">
            <v>-</v>
          </cell>
          <cell r="H4866">
            <v>4844</v>
          </cell>
          <cell r="Q4866">
            <v>14</v>
          </cell>
        </row>
        <row r="4867">
          <cell r="D4867" t="str">
            <v>68783-37-9</v>
          </cell>
          <cell r="E4867">
            <v>68783379</v>
          </cell>
          <cell r="F4867" t="str">
            <v>-</v>
          </cell>
          <cell r="G4867" t="str">
            <v>-</v>
          </cell>
          <cell r="H4867">
            <v>4845</v>
          </cell>
          <cell r="Q4867">
            <v>14</v>
          </cell>
        </row>
        <row r="4868">
          <cell r="D4868" t="str">
            <v>85116-81-0</v>
          </cell>
          <cell r="E4868">
            <v>85116810</v>
          </cell>
          <cell r="F4868" t="str">
            <v>-</v>
          </cell>
          <cell r="G4868" t="str">
            <v>-</v>
          </cell>
          <cell r="H4868">
            <v>4846</v>
          </cell>
          <cell r="Q4868">
            <v>14</v>
          </cell>
        </row>
        <row r="4869">
          <cell r="D4869" t="str">
            <v>90170-42-6</v>
          </cell>
          <cell r="E4869">
            <v>90170426</v>
          </cell>
          <cell r="F4869" t="str">
            <v>-</v>
          </cell>
          <cell r="G4869" t="str">
            <v>-</v>
          </cell>
          <cell r="H4869">
            <v>4847</v>
          </cell>
          <cell r="Q4869">
            <v>14</v>
          </cell>
        </row>
        <row r="4870">
          <cell r="D4870" t="str">
            <v>68958-77-0</v>
          </cell>
          <cell r="E4870">
            <v>68958770</v>
          </cell>
          <cell r="F4870" t="str">
            <v>-</v>
          </cell>
          <cell r="G4870" t="str">
            <v>-</v>
          </cell>
          <cell r="H4870">
            <v>4848</v>
          </cell>
          <cell r="Q4870">
            <v>14</v>
          </cell>
        </row>
        <row r="4871">
          <cell r="D4871" t="str">
            <v>61788-67-8</v>
          </cell>
          <cell r="E4871">
            <v>61788678</v>
          </cell>
          <cell r="F4871" t="str">
            <v>-</v>
          </cell>
          <cell r="G4871" t="str">
            <v>-</v>
          </cell>
          <cell r="H4871">
            <v>4849</v>
          </cell>
          <cell r="Q4871">
            <v>14</v>
          </cell>
        </row>
        <row r="4872">
          <cell r="D4872" t="str">
            <v>6990-43-8</v>
          </cell>
          <cell r="E4872">
            <v>6990438</v>
          </cell>
          <cell r="F4872" t="str">
            <v>-</v>
          </cell>
          <cell r="G4872" t="str">
            <v>-</v>
          </cell>
          <cell r="H4872">
            <v>4850</v>
          </cell>
          <cell r="Q4872">
            <v>14</v>
          </cell>
        </row>
        <row r="4873">
          <cell r="D4873" t="str">
            <v>68815-51-0</v>
          </cell>
          <cell r="E4873">
            <v>68815510</v>
          </cell>
          <cell r="F4873" t="str">
            <v>-</v>
          </cell>
          <cell r="G4873" t="str">
            <v>-</v>
          </cell>
          <cell r="H4873">
            <v>4851</v>
          </cell>
          <cell r="Q4873">
            <v>14</v>
          </cell>
        </row>
        <row r="4874">
          <cell r="D4874" t="str">
            <v>30374-35-7</v>
          </cell>
          <cell r="E4874">
            <v>30374357</v>
          </cell>
          <cell r="F4874" t="str">
            <v>-</v>
          </cell>
          <cell r="G4874" t="str">
            <v>-</v>
          </cell>
          <cell r="H4874">
            <v>4852</v>
          </cell>
          <cell r="Q4874">
            <v>14</v>
          </cell>
        </row>
        <row r="4875">
          <cell r="D4875" t="str">
            <v>63393-96-4</v>
          </cell>
          <cell r="E4875">
            <v>63393964</v>
          </cell>
          <cell r="F4875" t="str">
            <v>-</v>
          </cell>
          <cell r="G4875" t="str">
            <v>-</v>
          </cell>
          <cell r="H4875">
            <v>4853</v>
          </cell>
          <cell r="Q4875">
            <v>14</v>
          </cell>
        </row>
        <row r="4876">
          <cell r="D4876" t="str">
            <v>68608-82-2</v>
          </cell>
          <cell r="E4876">
            <v>68608822</v>
          </cell>
          <cell r="F4876" t="str">
            <v>-</v>
          </cell>
          <cell r="G4876" t="str">
            <v>-</v>
          </cell>
          <cell r="H4876">
            <v>4854</v>
          </cell>
          <cell r="Q4876">
            <v>14</v>
          </cell>
        </row>
        <row r="4877">
          <cell r="D4877" t="str">
            <v>68037-92-3</v>
          </cell>
          <cell r="E4877">
            <v>68037923</v>
          </cell>
          <cell r="F4877" t="str">
            <v>-</v>
          </cell>
          <cell r="G4877" t="str">
            <v>-</v>
          </cell>
          <cell r="H4877">
            <v>4855</v>
          </cell>
          <cell r="Q4877">
            <v>14</v>
          </cell>
        </row>
        <row r="4878">
          <cell r="D4878" t="str">
            <v>85586-18-1</v>
          </cell>
          <cell r="E4878">
            <v>85586181</v>
          </cell>
          <cell r="F4878" t="str">
            <v>-</v>
          </cell>
          <cell r="G4878" t="str">
            <v>-</v>
          </cell>
          <cell r="H4878">
            <v>4856</v>
          </cell>
          <cell r="Q4878">
            <v>14</v>
          </cell>
        </row>
        <row r="4879">
          <cell r="D4879" t="str">
            <v>16958-92-2</v>
          </cell>
          <cell r="E4879">
            <v>16958922</v>
          </cell>
          <cell r="F4879" t="str">
            <v>-</v>
          </cell>
          <cell r="G4879" t="str">
            <v>-</v>
          </cell>
          <cell r="H4879">
            <v>4857</v>
          </cell>
          <cell r="Q4879">
            <v>14</v>
          </cell>
        </row>
        <row r="4880">
          <cell r="D4880" t="str">
            <v>68784-25-8</v>
          </cell>
          <cell r="E4880">
            <v>68784258</v>
          </cell>
          <cell r="F4880" t="str">
            <v>-</v>
          </cell>
          <cell r="G4880" t="str">
            <v>-</v>
          </cell>
          <cell r="H4880">
            <v>4858</v>
          </cell>
          <cell r="Q4880">
            <v>14</v>
          </cell>
        </row>
        <row r="4881">
          <cell r="D4881" t="str">
            <v>3624-77-9</v>
          </cell>
          <cell r="E4881">
            <v>3624779</v>
          </cell>
          <cell r="F4881" t="str">
            <v>-</v>
          </cell>
          <cell r="G4881" t="str">
            <v>-</v>
          </cell>
          <cell r="H4881">
            <v>4859</v>
          </cell>
          <cell r="Q4881">
            <v>14</v>
          </cell>
        </row>
        <row r="4882">
          <cell r="D4882" t="str">
            <v>84988-75-0</v>
          </cell>
          <cell r="E4882">
            <v>84988750</v>
          </cell>
          <cell r="F4882" t="str">
            <v>-</v>
          </cell>
          <cell r="G4882" t="str">
            <v>-</v>
          </cell>
          <cell r="H4882">
            <v>4860</v>
          </cell>
          <cell r="Q4882">
            <v>14</v>
          </cell>
        </row>
        <row r="4883">
          <cell r="D4883" t="str">
            <v>1228186-18-2</v>
          </cell>
          <cell r="E4883">
            <v>1228186182</v>
          </cell>
          <cell r="F4883" t="str">
            <v>-</v>
          </cell>
          <cell r="G4883" t="str">
            <v>-</v>
          </cell>
          <cell r="H4883">
            <v>4861</v>
          </cell>
          <cell r="Q4883">
            <v>14</v>
          </cell>
        </row>
        <row r="4884">
          <cell r="D4884" t="str">
            <v>231297-75-9</v>
          </cell>
          <cell r="E4884">
            <v>231297759</v>
          </cell>
          <cell r="F4884" t="str">
            <v>-</v>
          </cell>
          <cell r="G4884" t="str">
            <v>-</v>
          </cell>
          <cell r="H4884">
            <v>4862</v>
          </cell>
          <cell r="Q4884">
            <v>14</v>
          </cell>
        </row>
        <row r="4885">
          <cell r="D4885" t="str">
            <v>68037-96-7</v>
          </cell>
          <cell r="E4885">
            <v>68037967</v>
          </cell>
          <cell r="F4885" t="str">
            <v>-</v>
          </cell>
          <cell r="G4885" t="str">
            <v>-</v>
          </cell>
          <cell r="H4885">
            <v>4863</v>
          </cell>
          <cell r="Q4885">
            <v>14</v>
          </cell>
        </row>
        <row r="4886">
          <cell r="D4886" t="str">
            <v>68649-48-9</v>
          </cell>
          <cell r="E4886">
            <v>68649489</v>
          </cell>
          <cell r="F4886" t="str">
            <v>-</v>
          </cell>
          <cell r="G4886" t="str">
            <v>-</v>
          </cell>
          <cell r="H4886">
            <v>4864</v>
          </cell>
          <cell r="Q4886">
            <v>14</v>
          </cell>
        </row>
        <row r="4887">
          <cell r="D4887" t="str">
            <v>68604-84-2</v>
          </cell>
          <cell r="E4887">
            <v>68604842</v>
          </cell>
          <cell r="F4887" t="str">
            <v>-</v>
          </cell>
          <cell r="G4887" t="str">
            <v>-</v>
          </cell>
          <cell r="H4887">
            <v>4865</v>
          </cell>
          <cell r="Q4887">
            <v>14</v>
          </cell>
        </row>
        <row r="4888">
          <cell r="D4888" t="str">
            <v>91032-08-5</v>
          </cell>
          <cell r="E4888">
            <v>91032085</v>
          </cell>
          <cell r="F4888" t="str">
            <v>-</v>
          </cell>
          <cell r="G4888" t="str">
            <v>-</v>
          </cell>
          <cell r="H4888">
            <v>4866</v>
          </cell>
          <cell r="Q4888">
            <v>14</v>
          </cell>
        </row>
        <row r="4889">
          <cell r="D4889" t="str">
            <v>9005-64-5</v>
          </cell>
          <cell r="E4889">
            <v>9005645</v>
          </cell>
          <cell r="F4889" t="str">
            <v>-</v>
          </cell>
          <cell r="G4889" t="str">
            <v>-</v>
          </cell>
          <cell r="H4889">
            <v>4867</v>
          </cell>
          <cell r="Q4889">
            <v>14</v>
          </cell>
        </row>
        <row r="4890">
          <cell r="D4890" t="str">
            <v>53037-34-6</v>
          </cell>
          <cell r="E4890">
            <v>53037346</v>
          </cell>
          <cell r="F4890" t="str">
            <v>-</v>
          </cell>
          <cell r="G4890" t="str">
            <v>-</v>
          </cell>
          <cell r="H4890">
            <v>4868</v>
          </cell>
          <cell r="Q4890">
            <v>14</v>
          </cell>
        </row>
        <row r="4891">
          <cell r="D4891" t="str">
            <v>68440-09-5</v>
          </cell>
          <cell r="E4891">
            <v>68440095</v>
          </cell>
          <cell r="F4891" t="str">
            <v>-</v>
          </cell>
          <cell r="G4891" t="str">
            <v>-</v>
          </cell>
          <cell r="H4891">
            <v>4869</v>
          </cell>
          <cell r="Q4891">
            <v>14</v>
          </cell>
        </row>
        <row r="4892">
          <cell r="D4892" t="str">
            <v>110-31-6</v>
          </cell>
          <cell r="E4892">
            <v>110316</v>
          </cell>
          <cell r="F4892" t="str">
            <v>-</v>
          </cell>
          <cell r="G4892" t="str">
            <v>-</v>
          </cell>
          <cell r="H4892">
            <v>4870</v>
          </cell>
          <cell r="Q4892">
            <v>14</v>
          </cell>
        </row>
        <row r="4893">
          <cell r="D4893" t="str">
            <v>710292-85-6</v>
          </cell>
          <cell r="E4893">
            <v>710292856</v>
          </cell>
          <cell r="F4893" t="str">
            <v>-</v>
          </cell>
          <cell r="G4893" t="str">
            <v>-</v>
          </cell>
          <cell r="H4893">
            <v>4871</v>
          </cell>
          <cell r="Q4893">
            <v>14</v>
          </cell>
        </row>
        <row r="4894">
          <cell r="D4894" t="str">
            <v>68955-53-3</v>
          </cell>
          <cell r="E4894">
            <v>68955533</v>
          </cell>
          <cell r="F4894" t="str">
            <v>-</v>
          </cell>
          <cell r="G4894" t="str">
            <v>-</v>
          </cell>
          <cell r="H4894">
            <v>4872</v>
          </cell>
          <cell r="Q4894">
            <v>14</v>
          </cell>
        </row>
        <row r="4895">
          <cell r="D4895" t="str">
            <v>64665-57-2</v>
          </cell>
          <cell r="E4895">
            <v>64665572</v>
          </cell>
          <cell r="F4895" t="str">
            <v>-</v>
          </cell>
          <cell r="G4895" t="str">
            <v>-</v>
          </cell>
          <cell r="H4895">
            <v>4873</v>
          </cell>
          <cell r="Q4895">
            <v>14</v>
          </cell>
        </row>
        <row r="4896">
          <cell r="D4896" t="str">
            <v>25103-09-7</v>
          </cell>
          <cell r="E4896">
            <v>25103097</v>
          </cell>
          <cell r="F4896" t="str">
            <v>-</v>
          </cell>
          <cell r="G4896" t="str">
            <v>-</v>
          </cell>
          <cell r="H4896">
            <v>4874</v>
          </cell>
          <cell r="Q4896">
            <v>14</v>
          </cell>
        </row>
        <row r="4897">
          <cell r="D4897" t="str">
            <v>67952-33-4</v>
          </cell>
          <cell r="E4897">
            <v>67952334</v>
          </cell>
          <cell r="F4897" t="str">
            <v>-</v>
          </cell>
          <cell r="G4897" t="str">
            <v>-</v>
          </cell>
          <cell r="H4897">
            <v>4875</v>
          </cell>
          <cell r="Q4897">
            <v>14</v>
          </cell>
        </row>
        <row r="4898">
          <cell r="D4898" t="str">
            <v>13419-15-3</v>
          </cell>
          <cell r="E4898">
            <v>13419153</v>
          </cell>
          <cell r="F4898" t="str">
            <v>-</v>
          </cell>
          <cell r="G4898" t="str">
            <v>-</v>
          </cell>
          <cell r="H4898">
            <v>4876</v>
          </cell>
          <cell r="Q4898">
            <v>14</v>
          </cell>
        </row>
        <row r="4899">
          <cell r="D4899" t="str">
            <v>26680-54-6</v>
          </cell>
          <cell r="E4899">
            <v>26680546</v>
          </cell>
          <cell r="F4899" t="str">
            <v>-</v>
          </cell>
          <cell r="G4899" t="str">
            <v>-</v>
          </cell>
          <cell r="H4899">
            <v>4877</v>
          </cell>
          <cell r="Q4899">
            <v>14</v>
          </cell>
        </row>
        <row r="4900">
          <cell r="D4900" t="str">
            <v>68439-70-3</v>
          </cell>
          <cell r="E4900">
            <v>68439703</v>
          </cell>
          <cell r="F4900" t="str">
            <v>-</v>
          </cell>
          <cell r="G4900" t="str">
            <v>-</v>
          </cell>
          <cell r="H4900">
            <v>4878</v>
          </cell>
          <cell r="Q4900">
            <v>14</v>
          </cell>
        </row>
        <row r="4901">
          <cell r="D4901" t="str">
            <v>97952-85-7</v>
          </cell>
          <cell r="E4901">
            <v>97952857</v>
          </cell>
          <cell r="F4901" t="str">
            <v>-</v>
          </cell>
          <cell r="G4901" t="str">
            <v>-</v>
          </cell>
          <cell r="H4901">
            <v>4879</v>
          </cell>
          <cell r="Q4901">
            <v>14</v>
          </cell>
        </row>
        <row r="4902">
          <cell r="D4902" t="str">
            <v>68608-89-9</v>
          </cell>
          <cell r="E4902">
            <v>68608899</v>
          </cell>
          <cell r="F4902" t="str">
            <v>-</v>
          </cell>
          <cell r="G4902" t="str">
            <v>-</v>
          </cell>
          <cell r="H4902">
            <v>4880</v>
          </cell>
          <cell r="Q4902">
            <v>14</v>
          </cell>
        </row>
        <row r="4903">
          <cell r="D4903" t="str">
            <v>96690-38-9</v>
          </cell>
          <cell r="E4903">
            <v>96690389</v>
          </cell>
          <cell r="F4903" t="str">
            <v>-</v>
          </cell>
          <cell r="G4903" t="str">
            <v>-</v>
          </cell>
          <cell r="H4903">
            <v>4881</v>
          </cell>
          <cell r="Q4903">
            <v>14</v>
          </cell>
        </row>
        <row r="4904">
          <cell r="D4904" t="str">
            <v>91081-22-0</v>
          </cell>
          <cell r="E4904">
            <v>91081220</v>
          </cell>
          <cell r="F4904" t="str">
            <v>-</v>
          </cell>
          <cell r="G4904" t="str">
            <v>-</v>
          </cell>
          <cell r="H4904">
            <v>4882</v>
          </cell>
          <cell r="Q4904">
            <v>14</v>
          </cell>
        </row>
        <row r="4905">
          <cell r="D4905" t="str">
            <v>13276-08-9</v>
          </cell>
          <cell r="E4905">
            <v>13276089</v>
          </cell>
          <cell r="F4905" t="str">
            <v>-</v>
          </cell>
          <cell r="G4905" t="str">
            <v>-</v>
          </cell>
          <cell r="H4905">
            <v>4883</v>
          </cell>
          <cell r="Q4905">
            <v>14</v>
          </cell>
        </row>
        <row r="4906">
          <cell r="D4906" t="str">
            <v>68391-11-7</v>
          </cell>
          <cell r="E4906">
            <v>68391117</v>
          </cell>
          <cell r="F4906" t="str">
            <v>-</v>
          </cell>
          <cell r="G4906" t="str">
            <v>-</v>
          </cell>
          <cell r="H4906">
            <v>4884</v>
          </cell>
          <cell r="Q4906">
            <v>14</v>
          </cell>
        </row>
        <row r="4907">
          <cell r="D4907" t="str">
            <v>68413-24-1</v>
          </cell>
          <cell r="E4907">
            <v>68413241</v>
          </cell>
          <cell r="F4907" t="str">
            <v>-</v>
          </cell>
          <cell r="G4907" t="str">
            <v>-</v>
          </cell>
          <cell r="H4907">
            <v>4885</v>
          </cell>
          <cell r="Q4907">
            <v>14</v>
          </cell>
        </row>
        <row r="4908">
          <cell r="D4908" t="str">
            <v>84082-28-0</v>
          </cell>
          <cell r="E4908">
            <v>84082280</v>
          </cell>
          <cell r="F4908" t="str">
            <v>-</v>
          </cell>
          <cell r="G4908" t="str">
            <v>-</v>
          </cell>
          <cell r="H4908">
            <v>4886</v>
          </cell>
          <cell r="Q4908">
            <v>14</v>
          </cell>
        </row>
        <row r="4909">
          <cell r="D4909" t="str">
            <v>91052-54-9</v>
          </cell>
          <cell r="E4909">
            <v>91052549</v>
          </cell>
          <cell r="F4909" t="str">
            <v>-</v>
          </cell>
          <cell r="G4909" t="str">
            <v>-</v>
          </cell>
          <cell r="H4909">
            <v>4887</v>
          </cell>
          <cell r="Q4909">
            <v>14</v>
          </cell>
        </row>
        <row r="4910">
          <cell r="D4910" t="str">
            <v>52479-58-0</v>
          </cell>
          <cell r="E4910">
            <v>52479580</v>
          </cell>
          <cell r="F4910" t="str">
            <v>-</v>
          </cell>
          <cell r="G4910" t="str">
            <v>-</v>
          </cell>
          <cell r="H4910">
            <v>4888</v>
          </cell>
          <cell r="Q4910">
            <v>14</v>
          </cell>
        </row>
        <row r="4911">
          <cell r="D4911" t="str">
            <v>1373883-45-4</v>
          </cell>
          <cell r="E4911">
            <v>1373883454</v>
          </cell>
          <cell r="F4911" t="str">
            <v>-</v>
          </cell>
          <cell r="G4911" t="str">
            <v>-</v>
          </cell>
          <cell r="H4911">
            <v>4889</v>
          </cell>
          <cell r="Q4911">
            <v>14</v>
          </cell>
        </row>
        <row r="4912">
          <cell r="D4912" t="str">
            <v>27458-93-1</v>
          </cell>
          <cell r="E4912">
            <v>27458931</v>
          </cell>
          <cell r="F4912" t="str">
            <v>-</v>
          </cell>
          <cell r="G4912" t="str">
            <v>-</v>
          </cell>
          <cell r="H4912">
            <v>4890</v>
          </cell>
          <cell r="Q4912">
            <v>14</v>
          </cell>
        </row>
        <row r="4913">
          <cell r="D4913" t="str">
            <v>91031-58-2</v>
          </cell>
          <cell r="E4913">
            <v>91031582</v>
          </cell>
          <cell r="F4913" t="str">
            <v>-</v>
          </cell>
          <cell r="G4913" t="str">
            <v>-</v>
          </cell>
          <cell r="H4913">
            <v>4891</v>
          </cell>
          <cell r="Q4913">
            <v>14</v>
          </cell>
        </row>
        <row r="4914">
          <cell r="D4914" t="str">
            <v>59231-34-4</v>
          </cell>
          <cell r="E4914">
            <v>59231344</v>
          </cell>
          <cell r="F4914" t="str">
            <v>-</v>
          </cell>
          <cell r="G4914" t="str">
            <v>-</v>
          </cell>
          <cell r="H4914">
            <v>4892</v>
          </cell>
          <cell r="Q4914">
            <v>14</v>
          </cell>
        </row>
        <row r="4915">
          <cell r="D4915" t="str">
            <v>127184-53-6</v>
          </cell>
          <cell r="E4915">
            <v>127184536</v>
          </cell>
          <cell r="F4915" t="str">
            <v>-</v>
          </cell>
          <cell r="G4915" t="str">
            <v>-</v>
          </cell>
          <cell r="H4915">
            <v>4893</v>
          </cell>
          <cell r="Q4915">
            <v>14</v>
          </cell>
        </row>
        <row r="4916">
          <cell r="D4916" t="str">
            <v>68604-38-6</v>
          </cell>
          <cell r="E4916">
            <v>68604386</v>
          </cell>
          <cell r="F4916" t="str">
            <v>-</v>
          </cell>
          <cell r="G4916" t="str">
            <v>-</v>
          </cell>
          <cell r="H4916">
            <v>4894</v>
          </cell>
          <cell r="Q4916">
            <v>14</v>
          </cell>
        </row>
        <row r="4917">
          <cell r="D4917" t="str">
            <v>68606-18-8</v>
          </cell>
          <cell r="E4917">
            <v>68606188</v>
          </cell>
          <cell r="F4917" t="str">
            <v>-</v>
          </cell>
          <cell r="G4917" t="str">
            <v>-</v>
          </cell>
          <cell r="H4917">
            <v>4895</v>
          </cell>
          <cell r="Q4917">
            <v>14</v>
          </cell>
        </row>
        <row r="4918">
          <cell r="D4918" t="str">
            <v>68890-85-7</v>
          </cell>
          <cell r="E4918">
            <v>68890857</v>
          </cell>
          <cell r="F4918" t="str">
            <v>-</v>
          </cell>
          <cell r="G4918" t="str">
            <v>-</v>
          </cell>
          <cell r="H4918">
            <v>4896</v>
          </cell>
          <cell r="Q4918">
            <v>14</v>
          </cell>
        </row>
        <row r="4919">
          <cell r="D4919" t="str">
            <v>26776-30-7</v>
          </cell>
          <cell r="E4919">
            <v>26776307</v>
          </cell>
          <cell r="F4919" t="str">
            <v>-</v>
          </cell>
          <cell r="G4919" t="str">
            <v>-</v>
          </cell>
          <cell r="H4919">
            <v>4897</v>
          </cell>
          <cell r="Q4919">
            <v>14</v>
          </cell>
        </row>
        <row r="4920">
          <cell r="D4920" t="str">
            <v>113930-69-1</v>
          </cell>
          <cell r="E4920">
            <v>113930691</v>
          </cell>
          <cell r="F4920" t="str">
            <v>-</v>
          </cell>
          <cell r="G4920" t="str">
            <v>-</v>
          </cell>
          <cell r="H4920">
            <v>4898</v>
          </cell>
          <cell r="Q4920">
            <v>14</v>
          </cell>
        </row>
        <row r="4921">
          <cell r="D4921" t="str">
            <v>90366-78-2</v>
          </cell>
          <cell r="E4921">
            <v>90366782</v>
          </cell>
          <cell r="F4921" t="str">
            <v>-</v>
          </cell>
          <cell r="G4921" t="str">
            <v>-</v>
          </cell>
          <cell r="H4921">
            <v>4899</v>
          </cell>
          <cell r="Q4921">
            <v>14</v>
          </cell>
        </row>
        <row r="4922">
          <cell r="D4922" t="str">
            <v>67762-55-4</v>
          </cell>
          <cell r="E4922">
            <v>67762554</v>
          </cell>
          <cell r="F4922" t="str">
            <v>-</v>
          </cell>
          <cell r="G4922" t="str">
            <v>-</v>
          </cell>
          <cell r="H4922">
            <v>4900</v>
          </cell>
          <cell r="Q4922">
            <v>14</v>
          </cell>
        </row>
        <row r="4923">
          <cell r="D4923" t="str">
            <v>26301-10-0</v>
          </cell>
          <cell r="E4923">
            <v>26301100</v>
          </cell>
          <cell r="F4923" t="str">
            <v>-</v>
          </cell>
          <cell r="G4923" t="str">
            <v>-</v>
          </cell>
          <cell r="H4923">
            <v>4901</v>
          </cell>
          <cell r="Q4923">
            <v>14</v>
          </cell>
        </row>
        <row r="4924">
          <cell r="D4924" t="str">
            <v>29253-36-9</v>
          </cell>
          <cell r="E4924">
            <v>29253369</v>
          </cell>
          <cell r="F4924" t="str">
            <v>-</v>
          </cell>
          <cell r="G4924" t="str">
            <v>-</v>
          </cell>
          <cell r="H4924">
            <v>4902</v>
          </cell>
          <cell r="Q4924">
            <v>14</v>
          </cell>
        </row>
        <row r="4925">
          <cell r="D4925" t="str">
            <v>84082-70-2</v>
          </cell>
          <cell r="E4925">
            <v>84082702</v>
          </cell>
          <cell r="F4925" t="str">
            <v>-</v>
          </cell>
          <cell r="G4925" t="str">
            <v>-</v>
          </cell>
          <cell r="H4925">
            <v>4903</v>
          </cell>
          <cell r="Q4925">
            <v>14</v>
          </cell>
        </row>
        <row r="4926">
          <cell r="D4926" t="str">
            <v>92128-40-0</v>
          </cell>
          <cell r="E4926">
            <v>92128400</v>
          </cell>
          <cell r="F4926" t="str">
            <v>-</v>
          </cell>
          <cell r="G4926" t="str">
            <v>-</v>
          </cell>
          <cell r="H4926">
            <v>4904</v>
          </cell>
          <cell r="Q4926">
            <v>14</v>
          </cell>
        </row>
        <row r="4927">
          <cell r="D4927" t="str">
            <v>68921-51-7</v>
          </cell>
          <cell r="E4927">
            <v>68921517</v>
          </cell>
          <cell r="F4927" t="str">
            <v>-</v>
          </cell>
          <cell r="G4927" t="str">
            <v>-</v>
          </cell>
          <cell r="H4927">
            <v>4905</v>
          </cell>
          <cell r="Q4927">
            <v>14</v>
          </cell>
        </row>
        <row r="4928">
          <cell r="D4928" t="str">
            <v>84418-71-3</v>
          </cell>
          <cell r="E4928">
            <v>84418713</v>
          </cell>
          <cell r="F4928" t="str">
            <v>-</v>
          </cell>
          <cell r="G4928" t="str">
            <v>-</v>
          </cell>
          <cell r="H4928">
            <v>4906</v>
          </cell>
          <cell r="Q4928">
            <v>14</v>
          </cell>
        </row>
        <row r="4929">
          <cell r="D4929" t="str">
            <v>68183-39-1</v>
          </cell>
          <cell r="E4929">
            <v>68183391</v>
          </cell>
          <cell r="F4929" t="str">
            <v>-</v>
          </cell>
          <cell r="G4929" t="str">
            <v>-</v>
          </cell>
          <cell r="H4929">
            <v>4907</v>
          </cell>
          <cell r="Q4929">
            <v>14</v>
          </cell>
        </row>
        <row r="4930">
          <cell r="D4930" t="str">
            <v>68440-25-5</v>
          </cell>
          <cell r="E4930">
            <v>68440255</v>
          </cell>
          <cell r="F4930" t="str">
            <v>-</v>
          </cell>
          <cell r="G4930" t="str">
            <v>-</v>
          </cell>
          <cell r="H4930">
            <v>4908</v>
          </cell>
          <cell r="Q4930">
            <v>14</v>
          </cell>
        </row>
        <row r="4931">
          <cell r="D4931" t="str">
            <v>68517-10-2</v>
          </cell>
          <cell r="E4931">
            <v>68517102</v>
          </cell>
          <cell r="F4931" t="str">
            <v>-</v>
          </cell>
          <cell r="G4931" t="str">
            <v>-</v>
          </cell>
          <cell r="H4931">
            <v>4909</v>
          </cell>
          <cell r="Q4931">
            <v>14</v>
          </cell>
        </row>
        <row r="4932">
          <cell r="D4932" t="str">
            <v>160901-12-2</v>
          </cell>
          <cell r="E4932">
            <v>160901122</v>
          </cell>
          <cell r="F4932" t="str">
            <v>-</v>
          </cell>
          <cell r="G4932" t="str">
            <v>-</v>
          </cell>
          <cell r="H4932">
            <v>4910</v>
          </cell>
          <cell r="Q4932">
            <v>14</v>
          </cell>
        </row>
        <row r="4933">
          <cell r="D4933" t="str">
            <v>81457-65-0</v>
          </cell>
          <cell r="E4933">
            <v>81457650</v>
          </cell>
          <cell r="F4933" t="str">
            <v>-</v>
          </cell>
          <cell r="G4933" t="str">
            <v>-</v>
          </cell>
          <cell r="H4933">
            <v>4911</v>
          </cell>
          <cell r="Q4933">
            <v>14</v>
          </cell>
        </row>
        <row r="4934">
          <cell r="D4934" t="str">
            <v>101896-27-9</v>
          </cell>
          <cell r="E4934">
            <v>101896279</v>
          </cell>
          <cell r="F4934" t="str">
            <v>-</v>
          </cell>
          <cell r="G4934" t="str">
            <v>-</v>
          </cell>
          <cell r="H4934">
            <v>4912</v>
          </cell>
          <cell r="Q4934">
            <v>14</v>
          </cell>
        </row>
        <row r="4935">
          <cell r="D4935" t="str">
            <v>163149-28-8</v>
          </cell>
          <cell r="E4935">
            <v>163149288</v>
          </cell>
          <cell r="F4935" t="str">
            <v>-</v>
          </cell>
          <cell r="G4935" t="str">
            <v>-</v>
          </cell>
          <cell r="H4935">
            <v>4913</v>
          </cell>
          <cell r="Q4935">
            <v>14</v>
          </cell>
        </row>
        <row r="4936">
          <cell r="D4936" t="str">
            <v>1229648-98-9</v>
          </cell>
          <cell r="E4936">
            <v>1229648989</v>
          </cell>
          <cell r="F4936" t="str">
            <v>-</v>
          </cell>
          <cell r="G4936" t="str">
            <v>-</v>
          </cell>
          <cell r="H4936">
            <v>4914</v>
          </cell>
          <cell r="Q4936">
            <v>14</v>
          </cell>
        </row>
        <row r="4937">
          <cell r="D4937" t="str">
            <v>25360-10-5</v>
          </cell>
          <cell r="E4937">
            <v>25360105</v>
          </cell>
          <cell r="F4937" t="str">
            <v>-</v>
          </cell>
          <cell r="G4937" t="str">
            <v>-</v>
          </cell>
          <cell r="H4937">
            <v>4915</v>
          </cell>
          <cell r="Q4937">
            <v>14</v>
          </cell>
        </row>
        <row r="4938">
          <cell r="D4938" t="str">
            <v>85114-00-7</v>
          </cell>
          <cell r="E4938">
            <v>85114007</v>
          </cell>
          <cell r="F4938" t="str">
            <v>-</v>
          </cell>
          <cell r="G4938" t="str">
            <v>-</v>
          </cell>
          <cell r="H4938">
            <v>4916</v>
          </cell>
          <cell r="Q4938">
            <v>14</v>
          </cell>
        </row>
        <row r="4939">
          <cell r="D4939" t="str">
            <v>68411-04-1</v>
          </cell>
          <cell r="E4939">
            <v>68411041</v>
          </cell>
          <cell r="F4939" t="str">
            <v>-</v>
          </cell>
          <cell r="G4939" t="str">
            <v>-</v>
          </cell>
          <cell r="H4939">
            <v>4917</v>
          </cell>
          <cell r="Q4939">
            <v>14</v>
          </cell>
        </row>
        <row r="4940">
          <cell r="D4940" t="str">
            <v>91002-07-2</v>
          </cell>
          <cell r="E4940">
            <v>91002072</v>
          </cell>
          <cell r="F4940" t="str">
            <v>-</v>
          </cell>
          <cell r="G4940" t="str">
            <v>-</v>
          </cell>
          <cell r="H4940">
            <v>4918</v>
          </cell>
          <cell r="Q4940">
            <v>14</v>
          </cell>
        </row>
        <row r="4941">
          <cell r="D4941" t="str">
            <v>25640-78-2</v>
          </cell>
          <cell r="E4941">
            <v>25640782</v>
          </cell>
          <cell r="F4941" t="str">
            <v>-</v>
          </cell>
          <cell r="G4941" t="str">
            <v>-</v>
          </cell>
          <cell r="H4941">
            <v>4919</v>
          </cell>
          <cell r="Q4941">
            <v>14</v>
          </cell>
        </row>
        <row r="4942">
          <cell r="D4942" t="str">
            <v>68213-23-0</v>
          </cell>
          <cell r="E4942">
            <v>68213230</v>
          </cell>
          <cell r="F4942" t="str">
            <v>-</v>
          </cell>
          <cell r="G4942" t="str">
            <v>-</v>
          </cell>
          <cell r="H4942">
            <v>4920</v>
          </cell>
          <cell r="Q4942">
            <v>14</v>
          </cell>
        </row>
        <row r="4943">
          <cell r="D4943" t="str">
            <v>1419212-76-2</v>
          </cell>
          <cell r="E4943">
            <v>1419212762</v>
          </cell>
          <cell r="F4943" t="str">
            <v>-</v>
          </cell>
          <cell r="G4943" t="str">
            <v>-</v>
          </cell>
          <cell r="H4943">
            <v>4921</v>
          </cell>
          <cell r="Q4943">
            <v>14</v>
          </cell>
        </row>
        <row r="4944">
          <cell r="D4944" t="str">
            <v>61791-39-7</v>
          </cell>
          <cell r="E4944">
            <v>61791397</v>
          </cell>
          <cell r="F4944" t="str">
            <v>-</v>
          </cell>
          <cell r="G4944" t="str">
            <v>-</v>
          </cell>
          <cell r="H4944">
            <v>4922</v>
          </cell>
          <cell r="Q4944">
            <v>14</v>
          </cell>
        </row>
        <row r="4945">
          <cell r="D4945" t="str">
            <v>63705-03-3</v>
          </cell>
          <cell r="E4945">
            <v>63705033</v>
          </cell>
          <cell r="F4945" t="str">
            <v>-</v>
          </cell>
          <cell r="G4945" t="str">
            <v>-</v>
          </cell>
          <cell r="H4945">
            <v>4923</v>
          </cell>
          <cell r="Q4945">
            <v>14</v>
          </cell>
        </row>
        <row r="4946">
          <cell r="D4946" t="str">
            <v>85536-06-7</v>
          </cell>
          <cell r="E4946">
            <v>85536067</v>
          </cell>
          <cell r="F4946" t="str">
            <v>-</v>
          </cell>
          <cell r="G4946" t="str">
            <v>-</v>
          </cell>
          <cell r="H4946">
            <v>4924</v>
          </cell>
          <cell r="Q4946">
            <v>14</v>
          </cell>
        </row>
        <row r="4947">
          <cell r="D4947" t="str">
            <v>68002-61-9</v>
          </cell>
          <cell r="E4947">
            <v>68002619</v>
          </cell>
          <cell r="F4947" t="str">
            <v>-</v>
          </cell>
          <cell r="G4947" t="str">
            <v>-</v>
          </cell>
          <cell r="H4947">
            <v>4925</v>
          </cell>
          <cell r="Q4947">
            <v>14</v>
          </cell>
        </row>
        <row r="4948">
          <cell r="D4948" t="str">
            <v>8007-43-0</v>
          </cell>
          <cell r="E4948">
            <v>8007430</v>
          </cell>
          <cell r="F4948" t="str">
            <v>-</v>
          </cell>
          <cell r="G4948" t="str">
            <v>-</v>
          </cell>
          <cell r="H4948">
            <v>4926</v>
          </cell>
          <cell r="Q4948">
            <v>14</v>
          </cell>
        </row>
        <row r="4949">
          <cell r="D4949" t="str">
            <v>147900-93-4</v>
          </cell>
          <cell r="E4949">
            <v>147900934</v>
          </cell>
          <cell r="F4949" t="str">
            <v>-</v>
          </cell>
          <cell r="G4949" t="str">
            <v>-</v>
          </cell>
          <cell r="H4949">
            <v>4927</v>
          </cell>
          <cell r="Q4949">
            <v>14</v>
          </cell>
        </row>
        <row r="4950">
          <cell r="D4950" t="str">
            <v>68187-30-4</v>
          </cell>
          <cell r="E4950">
            <v>68187304</v>
          </cell>
          <cell r="F4950" t="str">
            <v>-</v>
          </cell>
          <cell r="G4950" t="str">
            <v>-</v>
          </cell>
          <cell r="H4950">
            <v>4928</v>
          </cell>
          <cell r="Q4950">
            <v>14</v>
          </cell>
        </row>
        <row r="4951">
          <cell r="D4951" t="str">
            <v>91744-39-7</v>
          </cell>
          <cell r="E4951">
            <v>91744397</v>
          </cell>
          <cell r="F4951" t="str">
            <v>-</v>
          </cell>
          <cell r="G4951" t="str">
            <v>-</v>
          </cell>
          <cell r="H4951">
            <v>4929</v>
          </cell>
          <cell r="Q4951">
            <v>14</v>
          </cell>
        </row>
        <row r="4952">
          <cell r="D4952" t="str">
            <v>36425-16-8</v>
          </cell>
          <cell r="E4952">
            <v>36425168</v>
          </cell>
          <cell r="F4952" t="str">
            <v>-</v>
          </cell>
          <cell r="G4952" t="str">
            <v>-</v>
          </cell>
          <cell r="H4952">
            <v>4930</v>
          </cell>
          <cell r="Q4952">
            <v>14</v>
          </cell>
        </row>
        <row r="4953">
          <cell r="D4953" t="str">
            <v>67784-87-6</v>
          </cell>
          <cell r="E4953">
            <v>67784876</v>
          </cell>
          <cell r="F4953" t="str">
            <v>-</v>
          </cell>
          <cell r="G4953" t="str">
            <v>-</v>
          </cell>
          <cell r="H4953">
            <v>4931</v>
          </cell>
          <cell r="Q4953">
            <v>14</v>
          </cell>
        </row>
        <row r="4954">
          <cell r="D4954" t="str">
            <v>85865-69-6</v>
          </cell>
          <cell r="E4954">
            <v>85865696</v>
          </cell>
          <cell r="F4954" t="str">
            <v>-</v>
          </cell>
          <cell r="G4954" t="str">
            <v>-</v>
          </cell>
          <cell r="H4954">
            <v>4932</v>
          </cell>
          <cell r="Q4954">
            <v>14</v>
          </cell>
        </row>
        <row r="4955">
          <cell r="D4955" t="str">
            <v>85940-40-5</v>
          </cell>
          <cell r="E4955">
            <v>85940405</v>
          </cell>
          <cell r="F4955" t="str">
            <v>-</v>
          </cell>
          <cell r="G4955" t="str">
            <v>-</v>
          </cell>
          <cell r="H4955">
            <v>4933</v>
          </cell>
          <cell r="Q4955">
            <v>14</v>
          </cell>
        </row>
        <row r="4956">
          <cell r="D4956" t="str">
            <v>85186-80-7</v>
          </cell>
          <cell r="E4956">
            <v>85186807</v>
          </cell>
          <cell r="F4956" t="str">
            <v>-</v>
          </cell>
          <cell r="G4956" t="str">
            <v>-</v>
          </cell>
          <cell r="H4956">
            <v>4934</v>
          </cell>
          <cell r="Q4956">
            <v>14</v>
          </cell>
        </row>
        <row r="4957">
          <cell r="D4957" t="str">
            <v>61617-00-3</v>
          </cell>
          <cell r="E4957">
            <v>61617003</v>
          </cell>
          <cell r="F4957" t="str">
            <v>-</v>
          </cell>
          <cell r="G4957" t="str">
            <v>-</v>
          </cell>
          <cell r="H4957">
            <v>4935</v>
          </cell>
          <cell r="Q4957">
            <v>14</v>
          </cell>
        </row>
        <row r="4958">
          <cell r="D4958" t="str">
            <v>68909-18-2</v>
          </cell>
          <cell r="E4958">
            <v>68909182</v>
          </cell>
          <cell r="F4958" t="str">
            <v>-</v>
          </cell>
          <cell r="G4958" t="str">
            <v>-</v>
          </cell>
          <cell r="H4958">
            <v>4936</v>
          </cell>
          <cell r="Q4958">
            <v>14</v>
          </cell>
        </row>
        <row r="4959">
          <cell r="D4959" t="str">
            <v>85711-45-1</v>
          </cell>
          <cell r="E4959">
            <v>85711451</v>
          </cell>
          <cell r="F4959" t="str">
            <v>-</v>
          </cell>
          <cell r="G4959" t="str">
            <v>-</v>
          </cell>
          <cell r="H4959">
            <v>4937</v>
          </cell>
          <cell r="Q4959">
            <v>14</v>
          </cell>
        </row>
        <row r="4960">
          <cell r="D4960" t="str">
            <v>1219458-14-6</v>
          </cell>
          <cell r="E4960">
            <v>1219458146</v>
          </cell>
          <cell r="F4960" t="str">
            <v>-</v>
          </cell>
          <cell r="G4960" t="str">
            <v>-</v>
          </cell>
          <cell r="H4960">
            <v>4938</v>
          </cell>
          <cell r="Q4960">
            <v>14</v>
          </cell>
        </row>
        <row r="4961">
          <cell r="D4961" t="str">
            <v>2579-20-6</v>
          </cell>
          <cell r="E4961">
            <v>2579206</v>
          </cell>
          <cell r="F4961" t="str">
            <v>-</v>
          </cell>
          <cell r="G4961" t="str">
            <v>-</v>
          </cell>
          <cell r="H4961">
            <v>4939</v>
          </cell>
          <cell r="Q4961">
            <v>14</v>
          </cell>
        </row>
        <row r="4962">
          <cell r="D4962" t="str">
            <v>68153-02-6</v>
          </cell>
          <cell r="E4962">
            <v>68153026</v>
          </cell>
          <cell r="F4962" t="str">
            <v>-</v>
          </cell>
          <cell r="G4962" t="str">
            <v>-</v>
          </cell>
          <cell r="H4962">
            <v>4940</v>
          </cell>
          <cell r="Q4962">
            <v>14</v>
          </cell>
        </row>
        <row r="4963">
          <cell r="D4963" t="str">
            <v>218451-68-4</v>
          </cell>
          <cell r="E4963">
            <v>218451684</v>
          </cell>
          <cell r="F4963" t="str">
            <v>-</v>
          </cell>
          <cell r="G4963" t="str">
            <v>-</v>
          </cell>
          <cell r="H4963">
            <v>4941</v>
          </cell>
          <cell r="Q4963">
            <v>14</v>
          </cell>
        </row>
        <row r="4964">
          <cell r="D4964" t="str">
            <v>68308-74-7</v>
          </cell>
          <cell r="E4964">
            <v>68308747</v>
          </cell>
          <cell r="F4964" t="str">
            <v>-</v>
          </cell>
          <cell r="G4964" t="str">
            <v>-</v>
          </cell>
          <cell r="H4964">
            <v>4942</v>
          </cell>
          <cell r="Q4964">
            <v>14</v>
          </cell>
        </row>
        <row r="4965">
          <cell r="D4965" t="str">
            <v>68081-91-4</v>
          </cell>
          <cell r="E4965">
            <v>68081914</v>
          </cell>
          <cell r="F4965" t="str">
            <v>-</v>
          </cell>
          <cell r="G4965" t="str">
            <v>-</v>
          </cell>
          <cell r="H4965">
            <v>4943</v>
          </cell>
          <cell r="Q4965">
            <v>14</v>
          </cell>
        </row>
        <row r="4966">
          <cell r="D4966" t="str">
            <v>61791-42-2</v>
          </cell>
          <cell r="E4966">
            <v>61791422</v>
          </cell>
          <cell r="F4966" t="str">
            <v>-</v>
          </cell>
          <cell r="G4966" t="str">
            <v>-</v>
          </cell>
          <cell r="H4966">
            <v>4944</v>
          </cell>
          <cell r="Q4966">
            <v>14</v>
          </cell>
        </row>
        <row r="4967">
          <cell r="D4967" t="str">
            <v>1226892-50-7</v>
          </cell>
          <cell r="E4967">
            <v>1226892507</v>
          </cell>
          <cell r="F4967" t="str">
            <v>-</v>
          </cell>
          <cell r="G4967" t="str">
            <v>-</v>
          </cell>
          <cell r="H4967">
            <v>4945</v>
          </cell>
          <cell r="Q4967">
            <v>14</v>
          </cell>
        </row>
        <row r="4968">
          <cell r="D4968" t="str">
            <v>157707-73-8</v>
          </cell>
          <cell r="E4968">
            <v>157707738</v>
          </cell>
          <cell r="F4968" t="str">
            <v>-</v>
          </cell>
          <cell r="G4968" t="str">
            <v>-</v>
          </cell>
          <cell r="H4968">
            <v>4946</v>
          </cell>
          <cell r="Q4968">
            <v>14</v>
          </cell>
        </row>
        <row r="4969">
          <cell r="D4969" t="str">
            <v>61791-19-3</v>
          </cell>
          <cell r="E4969">
            <v>61791193</v>
          </cell>
          <cell r="F4969" t="str">
            <v>-</v>
          </cell>
          <cell r="G4969" t="str">
            <v>-</v>
          </cell>
          <cell r="H4969">
            <v>4947</v>
          </cell>
          <cell r="Q4969">
            <v>14</v>
          </cell>
        </row>
        <row r="4970">
          <cell r="D4970" t="str">
            <v>93925-25-8</v>
          </cell>
          <cell r="E4970">
            <v>93925258</v>
          </cell>
          <cell r="F4970" t="str">
            <v>-</v>
          </cell>
          <cell r="G4970" t="str">
            <v>-</v>
          </cell>
          <cell r="H4970">
            <v>4948</v>
          </cell>
          <cell r="Q4970">
            <v>14</v>
          </cell>
        </row>
        <row r="4971">
          <cell r="D4971" t="str">
            <v>39236-46-9</v>
          </cell>
          <cell r="E4971">
            <v>39236469</v>
          </cell>
          <cell r="F4971" t="str">
            <v>-</v>
          </cell>
          <cell r="G4971" t="str">
            <v>-</v>
          </cell>
          <cell r="H4971">
            <v>4949</v>
          </cell>
          <cell r="Q4971">
            <v>14</v>
          </cell>
        </row>
        <row r="4972">
          <cell r="D4972" t="str">
            <v>15647-08-2</v>
          </cell>
          <cell r="E4972">
            <v>15647082</v>
          </cell>
          <cell r="F4972" t="str">
            <v>-</v>
          </cell>
          <cell r="G4972" t="str">
            <v>-</v>
          </cell>
          <cell r="H4972">
            <v>4950</v>
          </cell>
          <cell r="Q4972">
            <v>14</v>
          </cell>
        </row>
        <row r="4973">
          <cell r="D4973" t="str">
            <v>68988-45-4</v>
          </cell>
          <cell r="E4973">
            <v>68988454</v>
          </cell>
          <cell r="F4973" t="str">
            <v>-</v>
          </cell>
          <cell r="G4973" t="str">
            <v>-</v>
          </cell>
          <cell r="H4973">
            <v>4951</v>
          </cell>
          <cell r="Q4973">
            <v>14</v>
          </cell>
        </row>
        <row r="4974">
          <cell r="D4974" t="str">
            <v>27614-71-7</v>
          </cell>
          <cell r="E4974">
            <v>27614717</v>
          </cell>
          <cell r="F4974" t="str">
            <v>-</v>
          </cell>
          <cell r="G4974" t="str">
            <v>-</v>
          </cell>
          <cell r="H4974">
            <v>4952</v>
          </cell>
          <cell r="Q4974">
            <v>14</v>
          </cell>
        </row>
        <row r="4975">
          <cell r="D4975" t="str">
            <v>68512-13-0</v>
          </cell>
          <cell r="E4975">
            <v>68512130</v>
          </cell>
          <cell r="F4975" t="str">
            <v>-</v>
          </cell>
          <cell r="G4975" t="str">
            <v>-</v>
          </cell>
          <cell r="H4975">
            <v>4953</v>
          </cell>
          <cell r="Q4975">
            <v>14</v>
          </cell>
        </row>
        <row r="4976">
          <cell r="D4976" t="str">
            <v>1426148-68-6</v>
          </cell>
          <cell r="E4976">
            <v>1426148686</v>
          </cell>
          <cell r="F4976" t="str">
            <v>-</v>
          </cell>
          <cell r="G4976" t="str">
            <v>-</v>
          </cell>
          <cell r="H4976">
            <v>4954</v>
          </cell>
          <cell r="Q4976">
            <v>14</v>
          </cell>
        </row>
        <row r="4977">
          <cell r="D4977" t="str">
            <v>60209-82-7</v>
          </cell>
          <cell r="E4977">
            <v>60209827</v>
          </cell>
          <cell r="F4977" t="str">
            <v>-</v>
          </cell>
          <cell r="G4977" t="str">
            <v>-</v>
          </cell>
          <cell r="H4977">
            <v>4955</v>
          </cell>
          <cell r="Q4977">
            <v>14</v>
          </cell>
        </row>
        <row r="4978">
          <cell r="D4978" t="str">
            <v>38172-91-7</v>
          </cell>
          <cell r="E4978">
            <v>38172917</v>
          </cell>
          <cell r="F4978" t="str">
            <v>-</v>
          </cell>
          <cell r="G4978" t="str">
            <v>-</v>
          </cell>
          <cell r="H4978">
            <v>4956</v>
          </cell>
          <cell r="Q4978">
            <v>14</v>
          </cell>
        </row>
        <row r="4979">
          <cell r="D4979" t="str">
            <v>1219826-66-0</v>
          </cell>
          <cell r="E4979">
            <v>1219826660</v>
          </cell>
          <cell r="F4979" t="str">
            <v>-</v>
          </cell>
          <cell r="G4979" t="str">
            <v>-</v>
          </cell>
          <cell r="H4979">
            <v>4957</v>
          </cell>
          <cell r="Q4979">
            <v>14</v>
          </cell>
        </row>
        <row r="4980">
          <cell r="D4980" t="str">
            <v>897381-19-0</v>
          </cell>
          <cell r="E4980">
            <v>897381190</v>
          </cell>
          <cell r="F4980" t="str">
            <v>-</v>
          </cell>
          <cell r="G4980" t="str">
            <v>-</v>
          </cell>
          <cell r="H4980">
            <v>4958</v>
          </cell>
          <cell r="Q4980">
            <v>14</v>
          </cell>
        </row>
        <row r="4981">
          <cell r="D4981" t="str">
            <v>94166-87-7</v>
          </cell>
          <cell r="E4981">
            <v>94166877</v>
          </cell>
          <cell r="F4981" t="str">
            <v>-</v>
          </cell>
          <cell r="G4981" t="str">
            <v>-</v>
          </cell>
          <cell r="H4981">
            <v>4959</v>
          </cell>
          <cell r="Q4981">
            <v>14</v>
          </cell>
        </row>
        <row r="4982">
          <cell r="D4982" t="str">
            <v>71808-53-2</v>
          </cell>
          <cell r="E4982">
            <v>71808532</v>
          </cell>
          <cell r="F4982" t="str">
            <v>-</v>
          </cell>
          <cell r="G4982" t="str">
            <v>-</v>
          </cell>
          <cell r="H4982">
            <v>4960</v>
          </cell>
          <cell r="Q4982">
            <v>14</v>
          </cell>
        </row>
        <row r="4983">
          <cell r="D4983" t="str">
            <v>70750-57-1</v>
          </cell>
          <cell r="E4983">
            <v>70750571</v>
          </cell>
          <cell r="F4983" t="str">
            <v>-</v>
          </cell>
          <cell r="G4983" t="str">
            <v>-</v>
          </cell>
          <cell r="H4983">
            <v>4961</v>
          </cell>
          <cell r="Q4983">
            <v>14</v>
          </cell>
        </row>
        <row r="4984">
          <cell r="D4984" t="str">
            <v>61792-09-4</v>
          </cell>
          <cell r="E4984">
            <v>61792094</v>
          </cell>
          <cell r="F4984" t="str">
            <v>-</v>
          </cell>
          <cell r="G4984" t="str">
            <v>-</v>
          </cell>
          <cell r="H4984">
            <v>4962</v>
          </cell>
          <cell r="Q4984">
            <v>14</v>
          </cell>
        </row>
        <row r="4985">
          <cell r="D4985" t="str">
            <v>68784-17-8</v>
          </cell>
          <cell r="E4985">
            <v>68784178</v>
          </cell>
          <cell r="F4985" t="str">
            <v>-</v>
          </cell>
          <cell r="G4985" t="str">
            <v>-</v>
          </cell>
          <cell r="H4985">
            <v>4963</v>
          </cell>
          <cell r="Q4985">
            <v>14</v>
          </cell>
        </row>
        <row r="4986">
          <cell r="D4986" t="str">
            <v>9001-62-1</v>
          </cell>
          <cell r="E4986">
            <v>9001621</v>
          </cell>
          <cell r="F4986" t="str">
            <v>-</v>
          </cell>
          <cell r="G4986" t="str">
            <v>-</v>
          </cell>
          <cell r="H4986">
            <v>4964</v>
          </cell>
          <cell r="Q4986">
            <v>14</v>
          </cell>
        </row>
        <row r="4987">
          <cell r="D4987" t="str">
            <v>68424-85-1</v>
          </cell>
          <cell r="E4987">
            <v>68424851</v>
          </cell>
          <cell r="F4987" t="str">
            <v>-</v>
          </cell>
          <cell r="G4987" t="str">
            <v>-</v>
          </cell>
          <cell r="H4987">
            <v>4965</v>
          </cell>
          <cell r="Q4987">
            <v>14</v>
          </cell>
        </row>
        <row r="4988">
          <cell r="D4988" t="str">
            <v>84988-79-4</v>
          </cell>
          <cell r="E4988">
            <v>84988794</v>
          </cell>
          <cell r="F4988" t="str">
            <v>-</v>
          </cell>
          <cell r="G4988" t="str">
            <v>-</v>
          </cell>
          <cell r="H4988">
            <v>4966</v>
          </cell>
          <cell r="Q4988">
            <v>14</v>
          </cell>
        </row>
        <row r="4989">
          <cell r="D4989" t="str">
            <v>162303-51-7</v>
          </cell>
          <cell r="E4989">
            <v>162303517</v>
          </cell>
          <cell r="F4989" t="str">
            <v>-</v>
          </cell>
          <cell r="G4989" t="str">
            <v>-</v>
          </cell>
          <cell r="H4989">
            <v>4967</v>
          </cell>
          <cell r="Q4989">
            <v>14</v>
          </cell>
        </row>
        <row r="4990">
          <cell r="D4990" t="str">
            <v>1275611-65-8</v>
          </cell>
          <cell r="E4990">
            <v>1275611658</v>
          </cell>
          <cell r="F4990" t="str">
            <v>-</v>
          </cell>
          <cell r="G4990" t="str">
            <v>-</v>
          </cell>
          <cell r="H4990">
            <v>4968</v>
          </cell>
          <cell r="Q4990">
            <v>14</v>
          </cell>
        </row>
        <row r="4991">
          <cell r="D4991" t="str">
            <v>95009-22-6</v>
          </cell>
          <cell r="E4991">
            <v>95009226</v>
          </cell>
          <cell r="F4991" t="str">
            <v>-</v>
          </cell>
          <cell r="G4991" t="str">
            <v>-</v>
          </cell>
          <cell r="H4991">
            <v>4969</v>
          </cell>
          <cell r="Q4991">
            <v>14</v>
          </cell>
        </row>
        <row r="4992">
          <cell r="D4992" t="str">
            <v>101227-09-2</v>
          </cell>
          <cell r="E4992">
            <v>101227092</v>
          </cell>
          <cell r="F4992" t="str">
            <v>-</v>
          </cell>
          <cell r="G4992" t="str">
            <v>-</v>
          </cell>
          <cell r="H4992">
            <v>4970</v>
          </cell>
          <cell r="Q4992">
            <v>14</v>
          </cell>
        </row>
        <row r="4993">
          <cell r="D4993" t="str">
            <v>91031-27-5</v>
          </cell>
          <cell r="E4993">
            <v>91031275</v>
          </cell>
          <cell r="F4993" t="str">
            <v>-</v>
          </cell>
          <cell r="G4993" t="str">
            <v>-</v>
          </cell>
          <cell r="H4993">
            <v>4971</v>
          </cell>
          <cell r="Q4993">
            <v>14</v>
          </cell>
        </row>
        <row r="4994">
          <cell r="D4994" t="str">
            <v>133779-11-0</v>
          </cell>
          <cell r="E4994">
            <v>133779110</v>
          </cell>
          <cell r="F4994" t="str">
            <v>-</v>
          </cell>
          <cell r="G4994" t="str">
            <v>-</v>
          </cell>
          <cell r="H4994">
            <v>4972</v>
          </cell>
          <cell r="Q4994">
            <v>14</v>
          </cell>
        </row>
        <row r="4995">
          <cell r="D4995" t="str">
            <v>1000817-22-0</v>
          </cell>
          <cell r="E4995">
            <v>1000817220</v>
          </cell>
          <cell r="F4995" t="str">
            <v>-</v>
          </cell>
          <cell r="G4995" t="str">
            <v>-</v>
          </cell>
          <cell r="H4995">
            <v>4973</v>
          </cell>
          <cell r="Q4995">
            <v>14</v>
          </cell>
        </row>
        <row r="4996">
          <cell r="D4996" t="str">
            <v>68171-33-5</v>
          </cell>
          <cell r="E4996">
            <v>68171335</v>
          </cell>
          <cell r="F4996" t="str">
            <v>-</v>
          </cell>
          <cell r="G4996" t="str">
            <v>-</v>
          </cell>
          <cell r="H4996">
            <v>4974</v>
          </cell>
          <cell r="Q4996">
            <v>14</v>
          </cell>
        </row>
        <row r="4997">
          <cell r="D4997" t="str">
            <v>19321-40-5</v>
          </cell>
          <cell r="E4997">
            <v>19321405</v>
          </cell>
          <cell r="F4997" t="str">
            <v>-</v>
          </cell>
          <cell r="G4997" t="str">
            <v>-</v>
          </cell>
          <cell r="H4997">
            <v>4975</v>
          </cell>
          <cell r="Q4997">
            <v>14</v>
          </cell>
        </row>
        <row r="4998">
          <cell r="D4998" t="str">
            <v>75627-31-5</v>
          </cell>
          <cell r="E4998">
            <v>75627315</v>
          </cell>
          <cell r="F4998" t="str">
            <v>-</v>
          </cell>
          <cell r="G4998" t="str">
            <v>-</v>
          </cell>
          <cell r="H4998">
            <v>4976</v>
          </cell>
          <cell r="Q4998">
            <v>14</v>
          </cell>
        </row>
        <row r="4999">
          <cell r="D4999" t="str">
            <v>67701-33-1</v>
          </cell>
          <cell r="E4999">
            <v>67701331</v>
          </cell>
          <cell r="F4999" t="str">
            <v>-</v>
          </cell>
          <cell r="G4999" t="str">
            <v>-</v>
          </cell>
          <cell r="H4999">
            <v>4977</v>
          </cell>
          <cell r="Q4999">
            <v>14</v>
          </cell>
        </row>
        <row r="5000">
          <cell r="D5000" t="str">
            <v>68784-48-5</v>
          </cell>
          <cell r="E5000">
            <v>68784485</v>
          </cell>
          <cell r="F5000" t="str">
            <v>-</v>
          </cell>
          <cell r="G5000" t="str">
            <v>-</v>
          </cell>
          <cell r="H5000">
            <v>4978</v>
          </cell>
          <cell r="Q5000">
            <v>14</v>
          </cell>
        </row>
        <row r="5001">
          <cell r="D5001" t="str">
            <v>18016-43-8</v>
          </cell>
          <cell r="E5001">
            <v>18016438</v>
          </cell>
          <cell r="F5001" t="str">
            <v>-</v>
          </cell>
          <cell r="G5001" t="str">
            <v>-</v>
          </cell>
          <cell r="H5001">
            <v>4979</v>
          </cell>
          <cell r="Q5001">
            <v>14</v>
          </cell>
        </row>
        <row r="5002">
          <cell r="D5002" t="str">
            <v>2451-62-9</v>
          </cell>
          <cell r="E5002">
            <v>2451629</v>
          </cell>
          <cell r="F5002" t="str">
            <v>-</v>
          </cell>
          <cell r="G5002" t="str">
            <v>-</v>
          </cell>
          <cell r="H5002">
            <v>4980</v>
          </cell>
          <cell r="Q5002">
            <v>14</v>
          </cell>
        </row>
        <row r="5003">
          <cell r="D5003" t="str">
            <v>6284-43-1</v>
          </cell>
          <cell r="E5003">
            <v>6284431</v>
          </cell>
          <cell r="F5003" t="str">
            <v>-</v>
          </cell>
          <cell r="G5003" t="str">
            <v>-</v>
          </cell>
          <cell r="H5003">
            <v>4981</v>
          </cell>
          <cell r="Q5003">
            <v>14</v>
          </cell>
        </row>
        <row r="5004">
          <cell r="D5004" t="str">
            <v>100545-48-0</v>
          </cell>
          <cell r="E5004">
            <v>100545480</v>
          </cell>
          <cell r="F5004" t="str">
            <v>-</v>
          </cell>
          <cell r="G5004" t="str">
            <v>-</v>
          </cell>
          <cell r="H5004">
            <v>4982</v>
          </cell>
          <cell r="Q5004">
            <v>14</v>
          </cell>
        </row>
        <row r="5005">
          <cell r="D5005" t="str">
            <v>649747-80-8</v>
          </cell>
          <cell r="E5005">
            <v>649747808</v>
          </cell>
          <cell r="F5005" t="str">
            <v>-</v>
          </cell>
          <cell r="G5005" t="str">
            <v>-</v>
          </cell>
          <cell r="H5005">
            <v>4983</v>
          </cell>
          <cell r="Q5005">
            <v>14</v>
          </cell>
        </row>
        <row r="5006">
          <cell r="D5006" t="str">
            <v>82324-60-5</v>
          </cell>
          <cell r="E5006">
            <v>82324605</v>
          </cell>
          <cell r="F5006" t="str">
            <v>-</v>
          </cell>
          <cell r="G5006" t="str">
            <v>-</v>
          </cell>
          <cell r="H5006">
            <v>4984</v>
          </cell>
          <cell r="Q5006">
            <v>14</v>
          </cell>
        </row>
        <row r="5007">
          <cell r="D5007" t="str">
            <v>1334537-35-7</v>
          </cell>
          <cell r="E5007">
            <v>1334537357</v>
          </cell>
          <cell r="F5007" t="str">
            <v>-</v>
          </cell>
          <cell r="G5007" t="str">
            <v>-</v>
          </cell>
          <cell r="H5007">
            <v>4985</v>
          </cell>
          <cell r="Q5007">
            <v>14</v>
          </cell>
        </row>
        <row r="5008">
          <cell r="D5008" t="str">
            <v>68551-92-8</v>
          </cell>
          <cell r="E5008">
            <v>68551928</v>
          </cell>
          <cell r="F5008" t="str">
            <v>-</v>
          </cell>
          <cell r="G5008" t="str">
            <v>-</v>
          </cell>
          <cell r="H5008">
            <v>4986</v>
          </cell>
          <cell r="Q5008">
            <v>14</v>
          </cell>
        </row>
        <row r="5009">
          <cell r="D5009" t="str">
            <v>109331-54-6</v>
          </cell>
          <cell r="E5009">
            <v>109331546</v>
          </cell>
          <cell r="F5009" t="str">
            <v>-</v>
          </cell>
          <cell r="G5009" t="str">
            <v>-</v>
          </cell>
          <cell r="H5009">
            <v>4987</v>
          </cell>
          <cell r="Q5009">
            <v>14</v>
          </cell>
        </row>
        <row r="5010">
          <cell r="D5010" t="str">
            <v>37288-54-3</v>
          </cell>
          <cell r="E5010">
            <v>37288543</v>
          </cell>
          <cell r="F5010" t="str">
            <v>-</v>
          </cell>
          <cell r="G5010" t="str">
            <v>-</v>
          </cell>
          <cell r="H5010">
            <v>4988</v>
          </cell>
          <cell r="Q5010">
            <v>14</v>
          </cell>
        </row>
        <row r="5011">
          <cell r="D5011" t="str">
            <v>85586-35-2</v>
          </cell>
          <cell r="E5011">
            <v>85586352</v>
          </cell>
          <cell r="F5011" t="str">
            <v>-</v>
          </cell>
          <cell r="G5011" t="str">
            <v>-</v>
          </cell>
          <cell r="H5011">
            <v>4989</v>
          </cell>
          <cell r="Q5011">
            <v>14</v>
          </cell>
        </row>
        <row r="5012">
          <cell r="D5012" t="str">
            <v>64755-01-7</v>
          </cell>
          <cell r="E5012">
            <v>64755017</v>
          </cell>
          <cell r="F5012" t="str">
            <v>-</v>
          </cell>
          <cell r="G5012" t="str">
            <v>-</v>
          </cell>
          <cell r="H5012">
            <v>4990</v>
          </cell>
          <cell r="Q5012">
            <v>14</v>
          </cell>
        </row>
        <row r="5013">
          <cell r="D5013" t="str">
            <v>31138-65-5</v>
          </cell>
          <cell r="E5013">
            <v>31138655</v>
          </cell>
          <cell r="F5013" t="str">
            <v>-</v>
          </cell>
          <cell r="G5013" t="str">
            <v>-</v>
          </cell>
          <cell r="H5013">
            <v>4991</v>
          </cell>
          <cell r="Q5013">
            <v>14</v>
          </cell>
        </row>
        <row r="5014">
          <cell r="D5014" t="str">
            <v>12788-93-1</v>
          </cell>
          <cell r="E5014">
            <v>12788931</v>
          </cell>
          <cell r="F5014" t="str">
            <v>-</v>
          </cell>
          <cell r="G5014" t="str">
            <v>-</v>
          </cell>
          <cell r="H5014">
            <v>4992</v>
          </cell>
          <cell r="Q5014">
            <v>14</v>
          </cell>
        </row>
        <row r="5015">
          <cell r="D5015" t="str">
            <v>32472-85-8</v>
          </cell>
          <cell r="E5015">
            <v>32472858</v>
          </cell>
          <cell r="F5015" t="str">
            <v>-</v>
          </cell>
          <cell r="G5015" t="str">
            <v>-</v>
          </cell>
          <cell r="H5015">
            <v>4993</v>
          </cell>
          <cell r="Q5015">
            <v>14</v>
          </cell>
        </row>
        <row r="5016">
          <cell r="D5016" t="str">
            <v>91744-56-8</v>
          </cell>
          <cell r="E5016">
            <v>91744568</v>
          </cell>
          <cell r="F5016" t="str">
            <v>-</v>
          </cell>
          <cell r="G5016" t="str">
            <v>-</v>
          </cell>
          <cell r="H5016">
            <v>4994</v>
          </cell>
          <cell r="Q5016">
            <v>14</v>
          </cell>
        </row>
        <row r="5017">
          <cell r="D5017" t="str">
            <v>68154-62-1</v>
          </cell>
          <cell r="E5017">
            <v>68154621</v>
          </cell>
          <cell r="F5017" t="str">
            <v>-</v>
          </cell>
          <cell r="G5017" t="str">
            <v>-</v>
          </cell>
          <cell r="H5017">
            <v>4995</v>
          </cell>
          <cell r="Q5017">
            <v>14</v>
          </cell>
        </row>
        <row r="5018">
          <cell r="D5018" t="str">
            <v>85005-25-0</v>
          </cell>
          <cell r="E5018">
            <v>85005250</v>
          </cell>
          <cell r="F5018" t="str">
            <v>-</v>
          </cell>
          <cell r="G5018" t="str">
            <v>-</v>
          </cell>
          <cell r="H5018">
            <v>4996</v>
          </cell>
          <cell r="Q5018">
            <v>14</v>
          </cell>
        </row>
        <row r="5019">
          <cell r="D5019" t="str">
            <v>68647-71-2</v>
          </cell>
          <cell r="E5019">
            <v>68647712</v>
          </cell>
          <cell r="F5019" t="str">
            <v>-</v>
          </cell>
          <cell r="G5019" t="str">
            <v>-</v>
          </cell>
          <cell r="H5019">
            <v>4997</v>
          </cell>
          <cell r="Q5019">
            <v>14</v>
          </cell>
        </row>
        <row r="5020">
          <cell r="D5020" t="str">
            <v>68512-65-2</v>
          </cell>
          <cell r="E5020">
            <v>68512652</v>
          </cell>
          <cell r="F5020" t="str">
            <v>-</v>
          </cell>
          <cell r="G5020" t="str">
            <v>-</v>
          </cell>
          <cell r="H5020">
            <v>4998</v>
          </cell>
          <cell r="Q5020">
            <v>14</v>
          </cell>
        </row>
        <row r="5021">
          <cell r="D5021" t="str">
            <v>71902-01-7</v>
          </cell>
          <cell r="E5021">
            <v>71902017</v>
          </cell>
          <cell r="F5021" t="str">
            <v>-</v>
          </cell>
          <cell r="G5021" t="str">
            <v>-</v>
          </cell>
          <cell r="H5021">
            <v>4999</v>
          </cell>
          <cell r="Q5021">
            <v>14</v>
          </cell>
        </row>
        <row r="5022">
          <cell r="D5022" t="str">
            <v>50658-23-6</v>
          </cell>
          <cell r="E5022">
            <v>50658236</v>
          </cell>
          <cell r="F5022" t="str">
            <v>-</v>
          </cell>
          <cell r="G5022" t="str">
            <v>-</v>
          </cell>
          <cell r="H5022">
            <v>5000</v>
          </cell>
          <cell r="Q5022">
            <v>14</v>
          </cell>
        </row>
        <row r="5023">
          <cell r="D5023" t="str">
            <v>68511-03-5</v>
          </cell>
          <cell r="E5023">
            <v>68511035</v>
          </cell>
          <cell r="F5023" t="str">
            <v>-</v>
          </cell>
          <cell r="G5023" t="str">
            <v>-</v>
          </cell>
          <cell r="H5023">
            <v>5001</v>
          </cell>
          <cell r="Q5023">
            <v>14</v>
          </cell>
        </row>
        <row r="5024">
          <cell r="D5024" t="str">
            <v>2272-11-9</v>
          </cell>
          <cell r="E5024">
            <v>2272119</v>
          </cell>
          <cell r="F5024" t="str">
            <v>-</v>
          </cell>
          <cell r="G5024" t="str">
            <v>-</v>
          </cell>
          <cell r="H5024">
            <v>5002</v>
          </cell>
          <cell r="Q5024">
            <v>14</v>
          </cell>
        </row>
        <row r="5025">
          <cell r="D5025" t="str">
            <v>67762-64-5</v>
          </cell>
          <cell r="E5025">
            <v>67762645</v>
          </cell>
          <cell r="F5025" t="str">
            <v>-</v>
          </cell>
          <cell r="G5025" t="str">
            <v>-</v>
          </cell>
          <cell r="H5025">
            <v>5003</v>
          </cell>
          <cell r="Q5025">
            <v>14</v>
          </cell>
        </row>
        <row r="5026">
          <cell r="D5026" t="str">
            <v>1290049-56-7</v>
          </cell>
          <cell r="E5026">
            <v>1290049567</v>
          </cell>
          <cell r="F5026" t="str">
            <v>-</v>
          </cell>
          <cell r="G5026" t="str">
            <v>-</v>
          </cell>
          <cell r="H5026">
            <v>5004</v>
          </cell>
          <cell r="Q5026">
            <v>14</v>
          </cell>
        </row>
        <row r="5027">
          <cell r="D5027" t="str">
            <v>68955-56-6</v>
          </cell>
          <cell r="E5027">
            <v>68955566</v>
          </cell>
          <cell r="F5027" t="str">
            <v>-</v>
          </cell>
          <cell r="G5027" t="str">
            <v>-</v>
          </cell>
          <cell r="H5027">
            <v>5005</v>
          </cell>
          <cell r="Q5027">
            <v>14</v>
          </cell>
        </row>
        <row r="5028">
          <cell r="D5028" t="str">
            <v>90529-77-4</v>
          </cell>
          <cell r="E5028">
            <v>90529774</v>
          </cell>
          <cell r="F5028" t="str">
            <v>-</v>
          </cell>
          <cell r="G5028" t="str">
            <v>-</v>
          </cell>
          <cell r="H5028">
            <v>5006</v>
          </cell>
          <cell r="Q5028">
            <v>14</v>
          </cell>
        </row>
        <row r="5029">
          <cell r="D5029" t="str">
            <v>61789-80-8</v>
          </cell>
          <cell r="E5029">
            <v>61789808</v>
          </cell>
          <cell r="F5029" t="str">
            <v>-</v>
          </cell>
          <cell r="G5029" t="str">
            <v>-</v>
          </cell>
          <cell r="H5029">
            <v>5007</v>
          </cell>
          <cell r="Q5029">
            <v>14</v>
          </cell>
        </row>
        <row r="5030">
          <cell r="D5030" t="str">
            <v>19780-11-1</v>
          </cell>
          <cell r="E5030">
            <v>19780111</v>
          </cell>
          <cell r="F5030" t="str">
            <v>-</v>
          </cell>
          <cell r="G5030" t="str">
            <v>-</v>
          </cell>
          <cell r="H5030">
            <v>5008</v>
          </cell>
          <cell r="Q5030">
            <v>14</v>
          </cell>
        </row>
        <row r="5031">
          <cell r="D5031" t="str">
            <v>91844-53-0</v>
          </cell>
          <cell r="E5031">
            <v>91844530</v>
          </cell>
          <cell r="F5031" t="str">
            <v>-</v>
          </cell>
          <cell r="G5031" t="str">
            <v>-</v>
          </cell>
          <cell r="H5031">
            <v>5009</v>
          </cell>
          <cell r="Q5031">
            <v>14</v>
          </cell>
        </row>
        <row r="5032">
          <cell r="D5032" t="str">
            <v>211450-54-3</v>
          </cell>
          <cell r="E5032">
            <v>211450543</v>
          </cell>
          <cell r="F5032" t="str">
            <v>-</v>
          </cell>
          <cell r="G5032" t="str">
            <v>-</v>
          </cell>
          <cell r="H5032">
            <v>5010</v>
          </cell>
          <cell r="Q5032">
            <v>14</v>
          </cell>
        </row>
        <row r="5033">
          <cell r="D5033" t="str">
            <v>68479-04-9</v>
          </cell>
          <cell r="E5033">
            <v>68479049</v>
          </cell>
          <cell r="F5033" t="str">
            <v>-</v>
          </cell>
          <cell r="G5033" t="str">
            <v>-</v>
          </cell>
          <cell r="H5033">
            <v>5011</v>
          </cell>
          <cell r="Q5033">
            <v>14</v>
          </cell>
        </row>
        <row r="5034">
          <cell r="D5034" t="str">
            <v>27014-42-2</v>
          </cell>
          <cell r="E5034">
            <v>27014422</v>
          </cell>
          <cell r="F5034" t="str">
            <v>-</v>
          </cell>
          <cell r="G5034" t="str">
            <v>-</v>
          </cell>
          <cell r="H5034">
            <v>5012</v>
          </cell>
          <cell r="Q5034">
            <v>14</v>
          </cell>
        </row>
        <row r="5035">
          <cell r="D5035" t="str">
            <v>91051-00-2</v>
          </cell>
          <cell r="E5035">
            <v>91051002</v>
          </cell>
          <cell r="F5035" t="str">
            <v>-</v>
          </cell>
          <cell r="G5035" t="str">
            <v>-</v>
          </cell>
          <cell r="H5035">
            <v>5013</v>
          </cell>
          <cell r="Q5035">
            <v>14</v>
          </cell>
        </row>
        <row r="5036">
          <cell r="D5036" t="str">
            <v>1410795-90-2</v>
          </cell>
          <cell r="E5036">
            <v>1410795902</v>
          </cell>
          <cell r="F5036" t="str">
            <v>-</v>
          </cell>
          <cell r="G5036" t="str">
            <v>-</v>
          </cell>
          <cell r="H5036">
            <v>5014</v>
          </cell>
          <cell r="Q5036">
            <v>14</v>
          </cell>
        </row>
        <row r="5037">
          <cell r="D5037" t="str">
            <v>8050-15-5</v>
          </cell>
          <cell r="E5037">
            <v>8050155</v>
          </cell>
          <cell r="F5037" t="str">
            <v>-</v>
          </cell>
          <cell r="G5037" t="str">
            <v>-</v>
          </cell>
          <cell r="H5037">
            <v>5015</v>
          </cell>
          <cell r="Q5037">
            <v>14</v>
          </cell>
        </row>
        <row r="5038">
          <cell r="D5038" t="str">
            <v>78491-02-8</v>
          </cell>
          <cell r="E5038">
            <v>78491028</v>
          </cell>
          <cell r="F5038" t="str">
            <v>-</v>
          </cell>
          <cell r="G5038" t="str">
            <v>-</v>
          </cell>
          <cell r="H5038">
            <v>5016</v>
          </cell>
          <cell r="Q5038">
            <v>14</v>
          </cell>
        </row>
        <row r="5039">
          <cell r="D5039" t="str">
            <v>1419212-77-3</v>
          </cell>
          <cell r="E5039">
            <v>1419212773</v>
          </cell>
          <cell r="F5039" t="str">
            <v>-</v>
          </cell>
          <cell r="G5039" t="str">
            <v>-</v>
          </cell>
          <cell r="H5039">
            <v>5017</v>
          </cell>
          <cell r="Q5039">
            <v>14</v>
          </cell>
        </row>
        <row r="5040">
          <cell r="D5040" t="str">
            <v>1119-97-7</v>
          </cell>
          <cell r="E5040">
            <v>1119977</v>
          </cell>
          <cell r="F5040" t="str">
            <v>-</v>
          </cell>
          <cell r="G5040" t="str">
            <v>-</v>
          </cell>
          <cell r="H5040">
            <v>5018</v>
          </cell>
          <cell r="Q5040">
            <v>14</v>
          </cell>
        </row>
        <row r="5041">
          <cell r="D5041" t="str">
            <v>383178-66-3</v>
          </cell>
          <cell r="E5041">
            <v>383178663</v>
          </cell>
          <cell r="F5041" t="str">
            <v>-</v>
          </cell>
          <cell r="G5041" t="str">
            <v>-</v>
          </cell>
          <cell r="H5041">
            <v>5019</v>
          </cell>
          <cell r="Q5041">
            <v>14</v>
          </cell>
        </row>
        <row r="5042">
          <cell r="D5042" t="str">
            <v>92062-33-4</v>
          </cell>
          <cell r="E5042">
            <v>92062334</v>
          </cell>
          <cell r="F5042" t="str">
            <v>-</v>
          </cell>
          <cell r="G5042" t="str">
            <v>-</v>
          </cell>
          <cell r="H5042">
            <v>5020</v>
          </cell>
          <cell r="Q5042">
            <v>14</v>
          </cell>
        </row>
        <row r="5043">
          <cell r="D5043" t="str">
            <v>68139-89-9</v>
          </cell>
          <cell r="E5043">
            <v>68139899</v>
          </cell>
          <cell r="F5043" t="str">
            <v>-</v>
          </cell>
          <cell r="G5043" t="str">
            <v>-</v>
          </cell>
          <cell r="H5043">
            <v>5021</v>
          </cell>
          <cell r="Q5043">
            <v>14</v>
          </cell>
        </row>
        <row r="5044">
          <cell r="D5044" t="str">
            <v>72624-02-3</v>
          </cell>
          <cell r="E5044">
            <v>72624023</v>
          </cell>
          <cell r="F5044" t="str">
            <v>-</v>
          </cell>
          <cell r="G5044" t="str">
            <v>-</v>
          </cell>
          <cell r="H5044">
            <v>5022</v>
          </cell>
          <cell r="Q5044">
            <v>14</v>
          </cell>
        </row>
        <row r="5045">
          <cell r="D5045" t="str">
            <v>68610-90-2</v>
          </cell>
          <cell r="E5045">
            <v>68610902</v>
          </cell>
          <cell r="F5045" t="str">
            <v>-</v>
          </cell>
          <cell r="G5045" t="str">
            <v>-</v>
          </cell>
          <cell r="H5045">
            <v>5023</v>
          </cell>
          <cell r="Q5045">
            <v>14</v>
          </cell>
        </row>
        <row r="5046">
          <cell r="D5046" t="str">
            <v>68649-66-1</v>
          </cell>
          <cell r="E5046">
            <v>68649661</v>
          </cell>
          <cell r="F5046" t="str">
            <v>-</v>
          </cell>
          <cell r="G5046" t="str">
            <v>-</v>
          </cell>
          <cell r="H5046">
            <v>5024</v>
          </cell>
          <cell r="Q5046">
            <v>14</v>
          </cell>
        </row>
        <row r="5047">
          <cell r="D5047" t="str">
            <v>84066-92-2</v>
          </cell>
          <cell r="E5047">
            <v>84066922</v>
          </cell>
          <cell r="F5047" t="str">
            <v>-</v>
          </cell>
          <cell r="G5047" t="str">
            <v>-</v>
          </cell>
          <cell r="H5047">
            <v>5025</v>
          </cell>
          <cell r="Q5047">
            <v>14</v>
          </cell>
        </row>
        <row r="5048">
          <cell r="D5048" t="str">
            <v>91050-80-5</v>
          </cell>
          <cell r="E5048">
            <v>91050805</v>
          </cell>
          <cell r="F5048" t="str">
            <v>-</v>
          </cell>
          <cell r="G5048" t="str">
            <v>-</v>
          </cell>
          <cell r="H5048">
            <v>5026</v>
          </cell>
          <cell r="Q5048">
            <v>14</v>
          </cell>
        </row>
        <row r="5049">
          <cell r="D5049" t="str">
            <v>61788-81-6</v>
          </cell>
          <cell r="E5049">
            <v>61788816</v>
          </cell>
          <cell r="F5049" t="str">
            <v>-</v>
          </cell>
          <cell r="G5049" t="str">
            <v>-</v>
          </cell>
          <cell r="H5049">
            <v>5027</v>
          </cell>
          <cell r="Q5049">
            <v>14</v>
          </cell>
        </row>
        <row r="5050">
          <cell r="D5050" t="str">
            <v>36609-29-7</v>
          </cell>
          <cell r="E5050">
            <v>36609297</v>
          </cell>
          <cell r="F5050" t="str">
            <v>-</v>
          </cell>
          <cell r="G5050" t="str">
            <v>-</v>
          </cell>
          <cell r="H5050">
            <v>5028</v>
          </cell>
          <cell r="Q5050">
            <v>14</v>
          </cell>
        </row>
        <row r="5051">
          <cell r="D5051" t="str">
            <v>97358-80-0</v>
          </cell>
          <cell r="E5051">
            <v>97358800</v>
          </cell>
          <cell r="F5051" t="str">
            <v>-</v>
          </cell>
          <cell r="G5051" t="str">
            <v>-</v>
          </cell>
          <cell r="H5051">
            <v>5029</v>
          </cell>
          <cell r="Q5051">
            <v>14</v>
          </cell>
        </row>
        <row r="5052">
          <cell r="D5052" t="str">
            <v>57903-73-8</v>
          </cell>
          <cell r="E5052">
            <v>57903738</v>
          </cell>
          <cell r="F5052" t="str">
            <v>-</v>
          </cell>
          <cell r="G5052" t="str">
            <v>-</v>
          </cell>
          <cell r="H5052">
            <v>5030</v>
          </cell>
          <cell r="Q5052">
            <v>14</v>
          </cell>
        </row>
        <row r="5053">
          <cell r="D5053" t="str">
            <v>1024700-50-2</v>
          </cell>
          <cell r="E5053">
            <v>1024700502</v>
          </cell>
          <cell r="F5053" t="str">
            <v>-</v>
          </cell>
          <cell r="G5053" t="str">
            <v>-</v>
          </cell>
          <cell r="H5053">
            <v>5031</v>
          </cell>
          <cell r="Q5053">
            <v>14</v>
          </cell>
        </row>
        <row r="5054">
          <cell r="D5054" t="str">
            <v>95912-89-3</v>
          </cell>
          <cell r="E5054">
            <v>95912893</v>
          </cell>
          <cell r="F5054" t="str">
            <v>-</v>
          </cell>
          <cell r="G5054" t="str">
            <v>-</v>
          </cell>
          <cell r="H5054">
            <v>5032</v>
          </cell>
          <cell r="Q5054">
            <v>14</v>
          </cell>
        </row>
        <row r="5055">
          <cell r="D5055" t="str">
            <v>70693-32-2</v>
          </cell>
          <cell r="E5055">
            <v>70693322</v>
          </cell>
          <cell r="F5055" t="str">
            <v>-</v>
          </cell>
          <cell r="G5055" t="str">
            <v>-</v>
          </cell>
          <cell r="H5055">
            <v>5033</v>
          </cell>
          <cell r="Q5055">
            <v>14</v>
          </cell>
        </row>
        <row r="5056">
          <cell r="D5056" t="str">
            <v>54553-90-1</v>
          </cell>
          <cell r="E5056">
            <v>54553901</v>
          </cell>
          <cell r="F5056" t="str">
            <v>-</v>
          </cell>
          <cell r="G5056" t="str">
            <v>-</v>
          </cell>
          <cell r="H5056">
            <v>5034</v>
          </cell>
          <cell r="Q5056">
            <v>14</v>
          </cell>
        </row>
        <row r="5057">
          <cell r="D5057" t="str">
            <v>68412-52-2</v>
          </cell>
          <cell r="E5057">
            <v>68412522</v>
          </cell>
          <cell r="F5057" t="str">
            <v>-</v>
          </cell>
          <cell r="G5057" t="str">
            <v>-</v>
          </cell>
          <cell r="H5057">
            <v>5035</v>
          </cell>
          <cell r="Q5057">
            <v>14</v>
          </cell>
        </row>
        <row r="5058">
          <cell r="D5058" t="str">
            <v>67124-09-8</v>
          </cell>
          <cell r="E5058">
            <v>67124098</v>
          </cell>
          <cell r="F5058" t="str">
            <v>-</v>
          </cell>
          <cell r="G5058" t="str">
            <v>-</v>
          </cell>
          <cell r="H5058">
            <v>5036</v>
          </cell>
          <cell r="Q5058">
            <v>14</v>
          </cell>
        </row>
        <row r="5059">
          <cell r="D5059" t="str">
            <v>65997-12-8</v>
          </cell>
          <cell r="E5059">
            <v>65997128</v>
          </cell>
          <cell r="F5059" t="str">
            <v>-</v>
          </cell>
          <cell r="G5059" t="str">
            <v>-</v>
          </cell>
          <cell r="H5059">
            <v>5037</v>
          </cell>
          <cell r="Q5059">
            <v>14</v>
          </cell>
        </row>
        <row r="5060">
          <cell r="D5060" t="str">
            <v>93803-87-3</v>
          </cell>
          <cell r="E5060">
            <v>93803873</v>
          </cell>
          <cell r="F5060" t="str">
            <v>-</v>
          </cell>
          <cell r="G5060" t="str">
            <v>-</v>
          </cell>
          <cell r="H5060">
            <v>5038</v>
          </cell>
          <cell r="Q5060">
            <v>14</v>
          </cell>
        </row>
        <row r="5061">
          <cell r="D5061" t="str">
            <v>68891-29-2</v>
          </cell>
          <cell r="E5061">
            <v>68891292</v>
          </cell>
          <cell r="F5061" t="str">
            <v>-</v>
          </cell>
          <cell r="G5061" t="str">
            <v>-</v>
          </cell>
          <cell r="H5061">
            <v>5039</v>
          </cell>
          <cell r="Q5061">
            <v>14</v>
          </cell>
        </row>
        <row r="5062">
          <cell r="D5062" t="str">
            <v>85536-07-8</v>
          </cell>
          <cell r="E5062">
            <v>85536078</v>
          </cell>
          <cell r="F5062" t="str">
            <v>-</v>
          </cell>
          <cell r="G5062" t="str">
            <v>-</v>
          </cell>
          <cell r="H5062">
            <v>5040</v>
          </cell>
          <cell r="Q5062">
            <v>14</v>
          </cell>
        </row>
        <row r="5063">
          <cell r="D5063" t="str">
            <v>52609-19-5</v>
          </cell>
          <cell r="E5063">
            <v>52609195</v>
          </cell>
          <cell r="F5063" t="str">
            <v>-</v>
          </cell>
          <cell r="G5063" t="str">
            <v>-</v>
          </cell>
          <cell r="H5063">
            <v>5041</v>
          </cell>
          <cell r="Q5063">
            <v>14</v>
          </cell>
        </row>
        <row r="5064">
          <cell r="D5064" t="str">
            <v>64401-02-1</v>
          </cell>
          <cell r="E5064">
            <v>64401021</v>
          </cell>
          <cell r="F5064" t="str">
            <v>-</v>
          </cell>
          <cell r="G5064" t="str">
            <v>-</v>
          </cell>
          <cell r="H5064">
            <v>5042</v>
          </cell>
          <cell r="Q5064">
            <v>14</v>
          </cell>
        </row>
        <row r="5065">
          <cell r="D5065" t="str">
            <v>9014-85-1</v>
          </cell>
          <cell r="E5065">
            <v>9014851</v>
          </cell>
          <cell r="F5065" t="str">
            <v>-</v>
          </cell>
          <cell r="G5065" t="str">
            <v>-</v>
          </cell>
          <cell r="H5065">
            <v>5043</v>
          </cell>
          <cell r="Q5065">
            <v>14</v>
          </cell>
        </row>
        <row r="5066">
          <cell r="D5066" t="str">
            <v>68187-80-4</v>
          </cell>
          <cell r="E5066">
            <v>68187804</v>
          </cell>
          <cell r="F5066" t="str">
            <v>-</v>
          </cell>
          <cell r="G5066" t="str">
            <v>-</v>
          </cell>
          <cell r="H5066">
            <v>5044</v>
          </cell>
          <cell r="Q5066">
            <v>14</v>
          </cell>
        </row>
        <row r="5067">
          <cell r="D5067" t="str">
            <v>1228186-17-1</v>
          </cell>
          <cell r="E5067">
            <v>1228186171</v>
          </cell>
          <cell r="F5067" t="str">
            <v>-</v>
          </cell>
          <cell r="G5067" t="str">
            <v>-</v>
          </cell>
          <cell r="H5067">
            <v>5045</v>
          </cell>
          <cell r="Q5067">
            <v>14</v>
          </cell>
        </row>
        <row r="5068">
          <cell r="D5068" t="str">
            <v>149968-48-9</v>
          </cell>
          <cell r="E5068">
            <v>149968489</v>
          </cell>
          <cell r="F5068" t="str">
            <v>-</v>
          </cell>
          <cell r="G5068" t="str">
            <v>-</v>
          </cell>
          <cell r="H5068">
            <v>5046</v>
          </cell>
          <cell r="Q5068">
            <v>14</v>
          </cell>
        </row>
        <row r="5069">
          <cell r="D5069" t="str">
            <v>49553-76-6</v>
          </cell>
          <cell r="E5069">
            <v>49553766</v>
          </cell>
          <cell r="F5069" t="str">
            <v>-</v>
          </cell>
          <cell r="G5069" t="str">
            <v>-</v>
          </cell>
          <cell r="H5069">
            <v>5047</v>
          </cell>
          <cell r="Q5069">
            <v>14</v>
          </cell>
        </row>
        <row r="5070">
          <cell r="D5070" t="str">
            <v>26566-95-0</v>
          </cell>
          <cell r="E5070">
            <v>26566950</v>
          </cell>
          <cell r="F5070" t="str">
            <v>-</v>
          </cell>
          <cell r="G5070" t="str">
            <v>-</v>
          </cell>
          <cell r="H5070">
            <v>5048</v>
          </cell>
          <cell r="Q5070">
            <v>14</v>
          </cell>
        </row>
        <row r="5071">
          <cell r="D5071" t="str">
            <v>103758-98-1</v>
          </cell>
          <cell r="E5071">
            <v>103758981</v>
          </cell>
          <cell r="F5071" t="str">
            <v>-</v>
          </cell>
          <cell r="G5071" t="str">
            <v>-</v>
          </cell>
          <cell r="H5071">
            <v>5049</v>
          </cell>
          <cell r="Q5071">
            <v>14</v>
          </cell>
        </row>
        <row r="5072">
          <cell r="D5072" t="str">
            <v>147993-66-6</v>
          </cell>
          <cell r="E5072">
            <v>147993666</v>
          </cell>
          <cell r="F5072" t="str">
            <v>-</v>
          </cell>
          <cell r="G5072" t="str">
            <v>-</v>
          </cell>
          <cell r="H5072">
            <v>5050</v>
          </cell>
          <cell r="Q5072">
            <v>14</v>
          </cell>
        </row>
        <row r="5073">
          <cell r="D5073" t="str">
            <v>65113-95-3</v>
          </cell>
          <cell r="E5073">
            <v>65113953</v>
          </cell>
          <cell r="F5073" t="str">
            <v>-</v>
          </cell>
          <cell r="G5073" t="str">
            <v>-</v>
          </cell>
          <cell r="H5073">
            <v>5051</v>
          </cell>
          <cell r="Q5073">
            <v>14</v>
          </cell>
        </row>
        <row r="5074">
          <cell r="D5074" t="str">
            <v>78683-74-6</v>
          </cell>
          <cell r="E5074">
            <v>78683746</v>
          </cell>
          <cell r="F5074" t="str">
            <v>-</v>
          </cell>
          <cell r="G5074" t="str">
            <v>-</v>
          </cell>
          <cell r="H5074">
            <v>5052</v>
          </cell>
          <cell r="Q5074">
            <v>14</v>
          </cell>
        </row>
        <row r="5075">
          <cell r="D5075" t="str">
            <v>68911-05-7</v>
          </cell>
          <cell r="E5075">
            <v>68911057</v>
          </cell>
          <cell r="F5075" t="str">
            <v>-</v>
          </cell>
          <cell r="G5075" t="str">
            <v>-</v>
          </cell>
          <cell r="H5075">
            <v>5053</v>
          </cell>
          <cell r="Q5075">
            <v>14</v>
          </cell>
        </row>
        <row r="5076">
          <cell r="D5076" t="str">
            <v>25322-68-3</v>
          </cell>
          <cell r="E5076">
            <v>25322683</v>
          </cell>
          <cell r="F5076" t="str">
            <v>-</v>
          </cell>
          <cell r="G5076" t="str">
            <v>-</v>
          </cell>
          <cell r="H5076">
            <v>5054</v>
          </cell>
          <cell r="Q5076">
            <v>14</v>
          </cell>
        </row>
        <row r="5077">
          <cell r="D5077" t="str">
            <v>3648-18-8</v>
          </cell>
          <cell r="E5077">
            <v>3648188</v>
          </cell>
          <cell r="F5077" t="str">
            <v>-</v>
          </cell>
          <cell r="G5077" t="str">
            <v>-</v>
          </cell>
          <cell r="H5077">
            <v>5055</v>
          </cell>
          <cell r="Q5077">
            <v>14</v>
          </cell>
        </row>
        <row r="5078">
          <cell r="D5078" t="str">
            <v>70-53-1</v>
          </cell>
          <cell r="E5078">
            <v>70531</v>
          </cell>
          <cell r="F5078" t="str">
            <v>-</v>
          </cell>
          <cell r="G5078" t="str">
            <v>-</v>
          </cell>
          <cell r="H5078">
            <v>5056</v>
          </cell>
          <cell r="Q5078">
            <v>14</v>
          </cell>
        </row>
        <row r="5079">
          <cell r="D5079" t="str">
            <v>90622-40-5</v>
          </cell>
          <cell r="E5079">
            <v>90622405</v>
          </cell>
          <cell r="F5079" t="str">
            <v>-</v>
          </cell>
          <cell r="G5079" t="str">
            <v>-</v>
          </cell>
          <cell r="H5079">
            <v>5057</v>
          </cell>
          <cell r="Q5079">
            <v>14</v>
          </cell>
        </row>
        <row r="5080">
          <cell r="D5080" t="str">
            <v>1393571-42-0</v>
          </cell>
          <cell r="E5080">
            <v>1393571420</v>
          </cell>
          <cell r="F5080" t="str">
            <v>-</v>
          </cell>
          <cell r="G5080" t="str">
            <v>-</v>
          </cell>
          <cell r="H5080">
            <v>5058</v>
          </cell>
          <cell r="Q5080">
            <v>14</v>
          </cell>
        </row>
        <row r="5081">
          <cell r="D5081" t="str">
            <v>68425-16-1</v>
          </cell>
          <cell r="E5081">
            <v>68425161</v>
          </cell>
          <cell r="F5081" t="str">
            <v>-</v>
          </cell>
          <cell r="G5081" t="str">
            <v>-</v>
          </cell>
          <cell r="H5081">
            <v>5059</v>
          </cell>
          <cell r="Q5081">
            <v>14</v>
          </cell>
        </row>
        <row r="5082">
          <cell r="D5082" t="str">
            <v>84962-20-9</v>
          </cell>
          <cell r="E5082">
            <v>84962209</v>
          </cell>
          <cell r="F5082" t="str">
            <v>-</v>
          </cell>
          <cell r="G5082" t="str">
            <v>-</v>
          </cell>
          <cell r="H5082">
            <v>5060</v>
          </cell>
          <cell r="Q5082">
            <v>14</v>
          </cell>
        </row>
        <row r="5083">
          <cell r="D5083" t="str">
            <v>98362-33-5</v>
          </cell>
          <cell r="E5083">
            <v>98362335</v>
          </cell>
          <cell r="F5083" t="str">
            <v>-</v>
          </cell>
          <cell r="G5083" t="str">
            <v>-</v>
          </cell>
          <cell r="H5083">
            <v>5061</v>
          </cell>
          <cell r="Q5083">
            <v>14</v>
          </cell>
        </row>
        <row r="5084">
          <cell r="D5084" t="str">
            <v>91052-28-7</v>
          </cell>
          <cell r="E5084">
            <v>91052287</v>
          </cell>
          <cell r="F5084" t="str">
            <v>-</v>
          </cell>
          <cell r="G5084" t="str">
            <v>-</v>
          </cell>
          <cell r="H5084">
            <v>5062</v>
          </cell>
          <cell r="Q5084">
            <v>14</v>
          </cell>
        </row>
        <row r="5085">
          <cell r="D5085" t="str">
            <v>101357-16-8</v>
          </cell>
          <cell r="E5085">
            <v>101357168</v>
          </cell>
          <cell r="F5085" t="str">
            <v>-</v>
          </cell>
          <cell r="G5085" t="str">
            <v>-</v>
          </cell>
          <cell r="H5085">
            <v>5063</v>
          </cell>
          <cell r="Q5085">
            <v>14</v>
          </cell>
        </row>
        <row r="5086">
          <cell r="D5086" t="str">
            <v>161308-12-9</v>
          </cell>
          <cell r="E5086">
            <v>161308129</v>
          </cell>
          <cell r="F5086" t="str">
            <v>-</v>
          </cell>
          <cell r="G5086" t="str">
            <v>-</v>
          </cell>
          <cell r="H5086">
            <v>5064</v>
          </cell>
          <cell r="Q5086">
            <v>14</v>
          </cell>
        </row>
        <row r="5087">
          <cell r="D5087" t="str">
            <v>1001254-87-0</v>
          </cell>
          <cell r="E5087">
            <v>1001254870</v>
          </cell>
          <cell r="F5087" t="str">
            <v>-</v>
          </cell>
          <cell r="G5087" t="str">
            <v>-</v>
          </cell>
          <cell r="H5087">
            <v>5065</v>
          </cell>
          <cell r="Q5087">
            <v>14</v>
          </cell>
        </row>
        <row r="5088">
          <cell r="D5088" t="str">
            <v>63393-93-1</v>
          </cell>
          <cell r="E5088">
            <v>63393931</v>
          </cell>
          <cell r="F5088" t="str">
            <v>-</v>
          </cell>
          <cell r="G5088" t="str">
            <v>-</v>
          </cell>
          <cell r="H5088">
            <v>5066</v>
          </cell>
          <cell r="Q5088">
            <v>14</v>
          </cell>
        </row>
        <row r="5089">
          <cell r="D5089" t="str">
            <v>26658-19-5</v>
          </cell>
          <cell r="E5089">
            <v>26658195</v>
          </cell>
          <cell r="F5089" t="str">
            <v>-</v>
          </cell>
          <cell r="G5089" t="str">
            <v>-</v>
          </cell>
          <cell r="H5089">
            <v>5067</v>
          </cell>
          <cell r="Q5089">
            <v>14</v>
          </cell>
        </row>
        <row r="5090">
          <cell r="D5090" t="str">
            <v>70892-34-1</v>
          </cell>
          <cell r="E5090">
            <v>70892341</v>
          </cell>
          <cell r="F5090" t="str">
            <v>-</v>
          </cell>
          <cell r="G5090" t="str">
            <v>-</v>
          </cell>
          <cell r="H5090">
            <v>5068</v>
          </cell>
          <cell r="Q5090">
            <v>14</v>
          </cell>
        </row>
        <row r="5091">
          <cell r="D5091" t="str">
            <v>91722-01-9</v>
          </cell>
          <cell r="E5091">
            <v>91722019</v>
          </cell>
          <cell r="F5091" t="str">
            <v>-</v>
          </cell>
          <cell r="G5091" t="str">
            <v>-</v>
          </cell>
          <cell r="H5091">
            <v>5069</v>
          </cell>
          <cell r="Q5091">
            <v>14</v>
          </cell>
        </row>
        <row r="5092">
          <cell r="D5092" t="str">
            <v>61788-78-1</v>
          </cell>
          <cell r="E5092">
            <v>61788781</v>
          </cell>
          <cell r="F5092" t="str">
            <v>-</v>
          </cell>
          <cell r="G5092" t="str">
            <v>-</v>
          </cell>
          <cell r="H5092">
            <v>5070</v>
          </cell>
          <cell r="Q5092">
            <v>14</v>
          </cell>
        </row>
        <row r="5093">
          <cell r="D5093" t="str">
            <v>90268-43-2</v>
          </cell>
          <cell r="E5093">
            <v>90268432</v>
          </cell>
          <cell r="F5093" t="str">
            <v>-</v>
          </cell>
          <cell r="G5093" t="str">
            <v>-</v>
          </cell>
          <cell r="H5093">
            <v>5071</v>
          </cell>
          <cell r="Q5093">
            <v>14</v>
          </cell>
        </row>
        <row r="5094">
          <cell r="D5094" t="str">
            <v>97862-28-7</v>
          </cell>
          <cell r="E5094">
            <v>97862287</v>
          </cell>
          <cell r="F5094" t="str">
            <v>-</v>
          </cell>
          <cell r="G5094" t="str">
            <v>-</v>
          </cell>
          <cell r="H5094">
            <v>5072</v>
          </cell>
          <cell r="Q5094">
            <v>14</v>
          </cell>
        </row>
        <row r="5095">
          <cell r="D5095" t="str">
            <v>92113-48-9</v>
          </cell>
          <cell r="E5095">
            <v>92113489</v>
          </cell>
          <cell r="F5095" t="str">
            <v>-</v>
          </cell>
          <cell r="G5095" t="str">
            <v>-</v>
          </cell>
          <cell r="H5095">
            <v>5073</v>
          </cell>
          <cell r="Q5095">
            <v>14</v>
          </cell>
        </row>
        <row r="5096">
          <cell r="D5096" t="str">
            <v>1402434-48-3</v>
          </cell>
          <cell r="E5096">
            <v>1402434483</v>
          </cell>
          <cell r="F5096" t="str">
            <v>-</v>
          </cell>
          <cell r="G5096" t="str">
            <v>-</v>
          </cell>
          <cell r="H5096">
            <v>5074</v>
          </cell>
          <cell r="Q5096">
            <v>14</v>
          </cell>
        </row>
        <row r="5097">
          <cell r="D5097" t="str">
            <v>97808-97-4</v>
          </cell>
          <cell r="E5097">
            <v>97808974</v>
          </cell>
          <cell r="F5097" t="str">
            <v>-</v>
          </cell>
          <cell r="G5097" t="str">
            <v>-</v>
          </cell>
          <cell r="H5097">
            <v>5075</v>
          </cell>
          <cell r="Q5097">
            <v>14</v>
          </cell>
        </row>
        <row r="5098">
          <cell r="D5098" t="str">
            <v>1307863-78-0</v>
          </cell>
          <cell r="E5098">
            <v>1307863780</v>
          </cell>
          <cell r="F5098" t="str">
            <v>-</v>
          </cell>
          <cell r="G5098" t="str">
            <v>-</v>
          </cell>
          <cell r="H5098">
            <v>5076</v>
          </cell>
          <cell r="Q5098">
            <v>14</v>
          </cell>
        </row>
        <row r="5099">
          <cell r="D5099" t="str">
            <v>96152-40-8</v>
          </cell>
          <cell r="E5099">
            <v>96152408</v>
          </cell>
          <cell r="F5099" t="str">
            <v>-</v>
          </cell>
          <cell r="G5099" t="str">
            <v>-</v>
          </cell>
          <cell r="H5099">
            <v>5077</v>
          </cell>
          <cell r="Q5099">
            <v>14</v>
          </cell>
        </row>
        <row r="5100">
          <cell r="D5100" t="str">
            <v>67701-23-9</v>
          </cell>
          <cell r="E5100">
            <v>67701239</v>
          </cell>
          <cell r="F5100" t="str">
            <v>-</v>
          </cell>
          <cell r="G5100" t="str">
            <v>-</v>
          </cell>
          <cell r="H5100">
            <v>5078</v>
          </cell>
          <cell r="Q5100">
            <v>14</v>
          </cell>
        </row>
        <row r="5101">
          <cell r="D5101" t="str">
            <v>52628-03-2</v>
          </cell>
          <cell r="E5101">
            <v>52628032</v>
          </cell>
          <cell r="F5101" t="str">
            <v>-</v>
          </cell>
          <cell r="G5101" t="str">
            <v>-</v>
          </cell>
          <cell r="H5101">
            <v>5079</v>
          </cell>
          <cell r="Q5101">
            <v>14</v>
          </cell>
        </row>
        <row r="5102">
          <cell r="D5102" t="str">
            <v>68921-52-8</v>
          </cell>
          <cell r="E5102">
            <v>68921528</v>
          </cell>
          <cell r="F5102" t="str">
            <v>-</v>
          </cell>
          <cell r="G5102" t="str">
            <v>-</v>
          </cell>
          <cell r="H5102">
            <v>5080</v>
          </cell>
          <cell r="Q5102">
            <v>14</v>
          </cell>
        </row>
        <row r="5103">
          <cell r="D5103" t="str">
            <v>67801-20-1</v>
          </cell>
          <cell r="E5103">
            <v>67801201</v>
          </cell>
          <cell r="F5103" t="str">
            <v>-</v>
          </cell>
          <cell r="G5103" t="str">
            <v>-</v>
          </cell>
          <cell r="H5103">
            <v>5081</v>
          </cell>
          <cell r="Q5103">
            <v>14</v>
          </cell>
        </row>
        <row r="5104">
          <cell r="D5104" t="str">
            <v>91079-38-8</v>
          </cell>
          <cell r="E5104">
            <v>91079388</v>
          </cell>
          <cell r="F5104" t="str">
            <v>-</v>
          </cell>
          <cell r="G5104" t="str">
            <v>-</v>
          </cell>
          <cell r="H5104">
            <v>5082</v>
          </cell>
          <cell r="Q5104">
            <v>14</v>
          </cell>
        </row>
        <row r="5105">
          <cell r="D5105" t="str">
            <v>26762-92-5</v>
          </cell>
          <cell r="E5105">
            <v>26762925</v>
          </cell>
          <cell r="F5105" t="str">
            <v>-</v>
          </cell>
          <cell r="G5105" t="str">
            <v>-</v>
          </cell>
          <cell r="H5105">
            <v>5083</v>
          </cell>
          <cell r="Q5105">
            <v>14</v>
          </cell>
        </row>
        <row r="5106">
          <cell r="D5106" t="str">
            <v>1424148-94-6</v>
          </cell>
          <cell r="E5106">
            <v>1424148946</v>
          </cell>
          <cell r="F5106" t="str">
            <v>-</v>
          </cell>
          <cell r="G5106" t="str">
            <v>-</v>
          </cell>
          <cell r="H5106">
            <v>5084</v>
          </cell>
          <cell r="Q5106">
            <v>14</v>
          </cell>
        </row>
        <row r="5107">
          <cell r="D5107" t="str">
            <v>92077-08-2</v>
          </cell>
          <cell r="E5107">
            <v>92077082</v>
          </cell>
          <cell r="F5107" t="str">
            <v>-</v>
          </cell>
          <cell r="G5107" t="str">
            <v>-</v>
          </cell>
          <cell r="H5107">
            <v>5085</v>
          </cell>
          <cell r="Q5107">
            <v>14</v>
          </cell>
        </row>
        <row r="5108">
          <cell r="D5108" t="str">
            <v>1178870-70-6</v>
          </cell>
          <cell r="E5108">
            <v>1178870706</v>
          </cell>
          <cell r="F5108" t="str">
            <v>-</v>
          </cell>
          <cell r="G5108" t="str">
            <v>-</v>
          </cell>
          <cell r="H5108">
            <v>5086</v>
          </cell>
          <cell r="Q5108">
            <v>14</v>
          </cell>
        </row>
        <row r="5109">
          <cell r="D5109" t="str">
            <v>78169-20-7</v>
          </cell>
          <cell r="E5109">
            <v>78169207</v>
          </cell>
          <cell r="F5109" t="str">
            <v>-</v>
          </cell>
          <cell r="G5109" t="str">
            <v>-</v>
          </cell>
          <cell r="H5109">
            <v>5087</v>
          </cell>
          <cell r="Q5109">
            <v>14</v>
          </cell>
        </row>
        <row r="5110">
          <cell r="D5110" t="str">
            <v>54261-67-5</v>
          </cell>
          <cell r="E5110">
            <v>54261675</v>
          </cell>
          <cell r="F5110" t="str">
            <v>-</v>
          </cell>
          <cell r="G5110" t="str">
            <v>-</v>
          </cell>
          <cell r="H5110">
            <v>5088</v>
          </cell>
          <cell r="Q5110">
            <v>14</v>
          </cell>
        </row>
        <row r="5111">
          <cell r="D5111" t="str">
            <v>97553-05-4</v>
          </cell>
          <cell r="E5111">
            <v>97553054</v>
          </cell>
          <cell r="F5111" t="str">
            <v>-</v>
          </cell>
          <cell r="G5111" t="str">
            <v>-</v>
          </cell>
          <cell r="H5111">
            <v>5089</v>
          </cell>
          <cell r="Q5111">
            <v>14</v>
          </cell>
        </row>
        <row r="5112">
          <cell r="D5112" t="str">
            <v>161075-00-9</v>
          </cell>
          <cell r="E5112">
            <v>161075009</v>
          </cell>
          <cell r="F5112" t="str">
            <v>-</v>
          </cell>
          <cell r="G5112" t="str">
            <v>-</v>
          </cell>
          <cell r="H5112">
            <v>5090</v>
          </cell>
          <cell r="Q5112">
            <v>14</v>
          </cell>
        </row>
        <row r="5113">
          <cell r="D5113" t="str">
            <v>173011-06-8</v>
          </cell>
          <cell r="E5113">
            <v>173011068</v>
          </cell>
          <cell r="F5113" t="str">
            <v>-</v>
          </cell>
          <cell r="G5113" t="str">
            <v>-</v>
          </cell>
          <cell r="H5113">
            <v>5091</v>
          </cell>
          <cell r="Q5113">
            <v>14</v>
          </cell>
        </row>
        <row r="5114">
          <cell r="D5114" t="str">
            <v>55066-48-3</v>
          </cell>
          <cell r="E5114">
            <v>55066483</v>
          </cell>
          <cell r="F5114" t="str">
            <v>-</v>
          </cell>
          <cell r="G5114" t="str">
            <v>-</v>
          </cell>
          <cell r="H5114">
            <v>5092</v>
          </cell>
          <cell r="Q5114">
            <v>14</v>
          </cell>
        </row>
        <row r="5115">
          <cell r="D5115" t="str">
            <v>1330-61-6</v>
          </cell>
          <cell r="E5115">
            <v>1330616</v>
          </cell>
          <cell r="F5115" t="str">
            <v>-</v>
          </cell>
          <cell r="G5115" t="str">
            <v>-</v>
          </cell>
          <cell r="H5115">
            <v>5093</v>
          </cell>
          <cell r="Q5115">
            <v>14</v>
          </cell>
        </row>
        <row r="5116">
          <cell r="D5116" t="str">
            <v>141773-73-1</v>
          </cell>
          <cell r="E5116">
            <v>141773731</v>
          </cell>
          <cell r="F5116" t="str">
            <v>-</v>
          </cell>
          <cell r="G5116" t="str">
            <v>-</v>
          </cell>
          <cell r="H5116">
            <v>5094</v>
          </cell>
          <cell r="Q5116">
            <v>14</v>
          </cell>
        </row>
        <row r="5117">
          <cell r="D5117" t="str">
            <v>42594-17-2</v>
          </cell>
          <cell r="E5117">
            <v>42594172</v>
          </cell>
          <cell r="F5117" t="str">
            <v>-</v>
          </cell>
          <cell r="G5117" t="str">
            <v>-</v>
          </cell>
          <cell r="H5117">
            <v>5095</v>
          </cell>
          <cell r="Q5117">
            <v>14</v>
          </cell>
        </row>
        <row r="5118">
          <cell r="D5118" t="str">
            <v>84082-30-4</v>
          </cell>
          <cell r="E5118">
            <v>84082304</v>
          </cell>
          <cell r="F5118" t="str">
            <v>-</v>
          </cell>
          <cell r="G5118" t="str">
            <v>-</v>
          </cell>
          <cell r="H5118">
            <v>5096</v>
          </cell>
          <cell r="Q5118">
            <v>14</v>
          </cell>
        </row>
        <row r="5119">
          <cell r="D5119" t="str">
            <v>90640-45-2</v>
          </cell>
          <cell r="E5119">
            <v>90640452</v>
          </cell>
          <cell r="F5119" t="str">
            <v>-</v>
          </cell>
          <cell r="G5119" t="str">
            <v>-</v>
          </cell>
          <cell r="H5119">
            <v>5097</v>
          </cell>
          <cell r="Q5119">
            <v>14</v>
          </cell>
        </row>
        <row r="5120">
          <cell r="D5120" t="str">
            <v>9002-92-0</v>
          </cell>
          <cell r="E5120">
            <v>9002920</v>
          </cell>
          <cell r="F5120" t="str">
            <v>-</v>
          </cell>
          <cell r="G5120" t="str">
            <v>-</v>
          </cell>
          <cell r="H5120">
            <v>5098</v>
          </cell>
          <cell r="Q5120">
            <v>14</v>
          </cell>
        </row>
        <row r="5121">
          <cell r="D5121" t="str">
            <v>28654-73-1</v>
          </cell>
          <cell r="E5121">
            <v>28654731</v>
          </cell>
          <cell r="F5121" t="str">
            <v>-</v>
          </cell>
          <cell r="G5121" t="str">
            <v>-</v>
          </cell>
          <cell r="H5121">
            <v>5099</v>
          </cell>
          <cell r="Q5121">
            <v>14</v>
          </cell>
        </row>
        <row r="5122">
          <cell r="D5122" t="str">
            <v>5831-80-1</v>
          </cell>
          <cell r="E5122">
            <v>5831801</v>
          </cell>
          <cell r="F5122" t="str">
            <v>-</v>
          </cell>
          <cell r="G5122" t="str">
            <v>-</v>
          </cell>
          <cell r="H5122">
            <v>5100</v>
          </cell>
          <cell r="Q5122">
            <v>14</v>
          </cell>
        </row>
        <row r="5123">
          <cell r="D5123" t="str">
            <v>68439-46-3</v>
          </cell>
          <cell r="E5123">
            <v>68439463</v>
          </cell>
          <cell r="F5123" t="str">
            <v>-</v>
          </cell>
          <cell r="G5123" t="str">
            <v>-</v>
          </cell>
          <cell r="H5123">
            <v>5101</v>
          </cell>
          <cell r="Q5123">
            <v>14</v>
          </cell>
        </row>
        <row r="5124">
          <cell r="D5124" t="str">
            <v>1313206-64-2</v>
          </cell>
          <cell r="E5124">
            <v>1313206642</v>
          </cell>
          <cell r="F5124" t="str">
            <v>-</v>
          </cell>
          <cell r="G5124" t="str">
            <v>-</v>
          </cell>
          <cell r="H5124">
            <v>5102</v>
          </cell>
          <cell r="Q5124">
            <v>14</v>
          </cell>
        </row>
        <row r="5125">
          <cell r="D5125" t="str">
            <v>1024699-81-7</v>
          </cell>
          <cell r="E5125">
            <v>1024699817</v>
          </cell>
          <cell r="F5125" t="str">
            <v>-</v>
          </cell>
          <cell r="G5125" t="str">
            <v>-</v>
          </cell>
          <cell r="H5125">
            <v>5103</v>
          </cell>
          <cell r="Q5125">
            <v>14</v>
          </cell>
        </row>
        <row r="5126">
          <cell r="D5126" t="str">
            <v>646505-36-4</v>
          </cell>
          <cell r="E5126">
            <v>646505364</v>
          </cell>
          <cell r="F5126" t="str">
            <v>-</v>
          </cell>
          <cell r="G5126" t="str">
            <v>-</v>
          </cell>
          <cell r="H5126">
            <v>5104</v>
          </cell>
          <cell r="Q5126">
            <v>14</v>
          </cell>
        </row>
        <row r="5127">
          <cell r="D5127" t="str">
            <v>135458-18-3</v>
          </cell>
          <cell r="E5127">
            <v>135458183</v>
          </cell>
          <cell r="F5127" t="str">
            <v>-</v>
          </cell>
          <cell r="G5127" t="str">
            <v>-</v>
          </cell>
          <cell r="H5127">
            <v>5105</v>
          </cell>
          <cell r="Q5127">
            <v>14</v>
          </cell>
        </row>
        <row r="5128">
          <cell r="D5128" t="str">
            <v>70024-64-5</v>
          </cell>
          <cell r="E5128">
            <v>70024645</v>
          </cell>
          <cell r="F5128" t="str">
            <v>-</v>
          </cell>
          <cell r="G5128" t="str">
            <v>-</v>
          </cell>
          <cell r="H5128">
            <v>5106</v>
          </cell>
          <cell r="Q5128">
            <v>14</v>
          </cell>
        </row>
        <row r="5129">
          <cell r="D5129" t="str">
            <v>67938-21-0</v>
          </cell>
          <cell r="E5129">
            <v>67938210</v>
          </cell>
          <cell r="F5129" t="str">
            <v>-</v>
          </cell>
          <cell r="G5129" t="str">
            <v>-</v>
          </cell>
          <cell r="H5129">
            <v>5107</v>
          </cell>
          <cell r="Q5129">
            <v>14</v>
          </cell>
        </row>
        <row r="5130">
          <cell r="D5130" t="str">
            <v>1219826-47-7</v>
          </cell>
          <cell r="E5130">
            <v>1219826477</v>
          </cell>
          <cell r="F5130" t="str">
            <v>-</v>
          </cell>
          <cell r="G5130" t="str">
            <v>-</v>
          </cell>
          <cell r="H5130">
            <v>5108</v>
          </cell>
          <cell r="Q5130">
            <v>14</v>
          </cell>
        </row>
        <row r="5131">
          <cell r="D5131" t="str">
            <v>30374-01-7</v>
          </cell>
          <cell r="E5131">
            <v>30374017</v>
          </cell>
          <cell r="F5131" t="str">
            <v>-</v>
          </cell>
          <cell r="G5131" t="str">
            <v>-</v>
          </cell>
          <cell r="H5131">
            <v>5109</v>
          </cell>
          <cell r="Q5131">
            <v>14</v>
          </cell>
        </row>
        <row r="5132">
          <cell r="D5132" t="str">
            <v>51240-95-0</v>
          </cell>
          <cell r="E5132">
            <v>51240950</v>
          </cell>
          <cell r="F5132" t="str">
            <v>-</v>
          </cell>
          <cell r="G5132" t="str">
            <v>-</v>
          </cell>
          <cell r="H5132">
            <v>5110</v>
          </cell>
          <cell r="Q5132">
            <v>14</v>
          </cell>
        </row>
        <row r="5133">
          <cell r="D5133" t="str">
            <v>25151-96-6</v>
          </cell>
          <cell r="E5133">
            <v>25151966</v>
          </cell>
          <cell r="F5133" t="str">
            <v>-</v>
          </cell>
          <cell r="G5133" t="str">
            <v>-</v>
          </cell>
          <cell r="H5133">
            <v>5111</v>
          </cell>
          <cell r="Q5133">
            <v>14</v>
          </cell>
        </row>
        <row r="5134">
          <cell r="D5134" t="str">
            <v>105839-18-7</v>
          </cell>
          <cell r="E5134">
            <v>105839187</v>
          </cell>
          <cell r="F5134" t="str">
            <v>-</v>
          </cell>
          <cell r="G5134" t="str">
            <v>-</v>
          </cell>
          <cell r="H5134">
            <v>5112</v>
          </cell>
          <cell r="Q5134">
            <v>14</v>
          </cell>
        </row>
        <row r="5135">
          <cell r="D5135" t="str">
            <v>1424149-03-0</v>
          </cell>
          <cell r="E5135">
            <v>1424149030</v>
          </cell>
          <cell r="F5135" t="str">
            <v>-</v>
          </cell>
          <cell r="G5135" t="str">
            <v>-</v>
          </cell>
          <cell r="H5135">
            <v>5113</v>
          </cell>
          <cell r="Q5135">
            <v>14</v>
          </cell>
        </row>
        <row r="5136">
          <cell r="D5136" t="str">
            <v>68411-20-1</v>
          </cell>
          <cell r="E5136">
            <v>68411201</v>
          </cell>
          <cell r="F5136" t="str">
            <v>-</v>
          </cell>
          <cell r="G5136" t="str">
            <v>-</v>
          </cell>
          <cell r="H5136">
            <v>5114</v>
          </cell>
          <cell r="Q5136">
            <v>14</v>
          </cell>
        </row>
        <row r="5137">
          <cell r="D5137" t="str">
            <v>68611-64-3</v>
          </cell>
          <cell r="E5137">
            <v>68611643</v>
          </cell>
          <cell r="F5137" t="str">
            <v>-</v>
          </cell>
          <cell r="G5137" t="str">
            <v>-</v>
          </cell>
          <cell r="H5137">
            <v>5115</v>
          </cell>
          <cell r="Q5137">
            <v>14</v>
          </cell>
        </row>
        <row r="5138">
          <cell r="D5138" t="str">
            <v>1225478-65-8</v>
          </cell>
          <cell r="E5138">
            <v>1225478658</v>
          </cell>
          <cell r="F5138" t="str">
            <v>-</v>
          </cell>
          <cell r="G5138" t="str">
            <v>-</v>
          </cell>
          <cell r="H5138">
            <v>5116</v>
          </cell>
          <cell r="Q5138">
            <v>14</v>
          </cell>
        </row>
        <row r="5139">
          <cell r="D5139" t="str">
            <v>201872-72-2</v>
          </cell>
          <cell r="E5139">
            <v>201872722</v>
          </cell>
          <cell r="F5139" t="str">
            <v>-</v>
          </cell>
          <cell r="G5139" t="str">
            <v>-</v>
          </cell>
          <cell r="H5139">
            <v>5117</v>
          </cell>
          <cell r="Q5139">
            <v>14</v>
          </cell>
        </row>
        <row r="5140">
          <cell r="D5140" t="str">
            <v>85632-63-9</v>
          </cell>
          <cell r="E5140">
            <v>85632639</v>
          </cell>
          <cell r="F5140" t="str">
            <v>-</v>
          </cell>
          <cell r="G5140" t="str">
            <v>-</v>
          </cell>
          <cell r="H5140">
            <v>5118</v>
          </cell>
          <cell r="Q5140">
            <v>14</v>
          </cell>
        </row>
        <row r="5141">
          <cell r="D5141" t="str">
            <v>90622-71-2</v>
          </cell>
          <cell r="E5141">
            <v>90622712</v>
          </cell>
          <cell r="F5141" t="str">
            <v>-</v>
          </cell>
          <cell r="G5141" t="str">
            <v>-</v>
          </cell>
          <cell r="H5141">
            <v>5119</v>
          </cell>
          <cell r="Q5141">
            <v>14</v>
          </cell>
        </row>
        <row r="5142">
          <cell r="D5142" t="str">
            <v>1079258-99-3</v>
          </cell>
          <cell r="E5142">
            <v>1079258993</v>
          </cell>
          <cell r="F5142" t="str">
            <v>-</v>
          </cell>
          <cell r="G5142" t="str">
            <v>-</v>
          </cell>
          <cell r="H5142">
            <v>5120</v>
          </cell>
          <cell r="Q5142">
            <v>14</v>
          </cell>
        </row>
        <row r="5143">
          <cell r="D5143" t="str">
            <v>68784-40-7</v>
          </cell>
          <cell r="E5143">
            <v>68784407</v>
          </cell>
          <cell r="F5143" t="str">
            <v>-</v>
          </cell>
          <cell r="G5143" t="str">
            <v>-</v>
          </cell>
          <cell r="H5143">
            <v>5121</v>
          </cell>
          <cell r="Q5143">
            <v>14</v>
          </cell>
        </row>
        <row r="5144">
          <cell r="D5144" t="str">
            <v>689-67-8</v>
          </cell>
          <cell r="E5144">
            <v>689678</v>
          </cell>
          <cell r="F5144" t="str">
            <v>-</v>
          </cell>
          <cell r="G5144" t="str">
            <v>-</v>
          </cell>
          <cell r="H5144">
            <v>5122</v>
          </cell>
          <cell r="Q5144">
            <v>14</v>
          </cell>
        </row>
        <row r="5145">
          <cell r="D5145" t="str">
            <v>61792-11-8</v>
          </cell>
          <cell r="E5145">
            <v>61792118</v>
          </cell>
          <cell r="F5145" t="str">
            <v>-</v>
          </cell>
          <cell r="G5145" t="str">
            <v>-</v>
          </cell>
          <cell r="H5145">
            <v>5123</v>
          </cell>
          <cell r="Q5145">
            <v>14</v>
          </cell>
        </row>
        <row r="5146">
          <cell r="D5146" t="str">
            <v>90990-11-7</v>
          </cell>
          <cell r="E5146">
            <v>90990117</v>
          </cell>
          <cell r="F5146" t="str">
            <v>-</v>
          </cell>
          <cell r="G5146" t="str">
            <v>-</v>
          </cell>
          <cell r="H5146">
            <v>5124</v>
          </cell>
          <cell r="Q5146">
            <v>14</v>
          </cell>
        </row>
        <row r="5147">
          <cell r="D5147" t="str">
            <v>41524-32-7</v>
          </cell>
          <cell r="E5147">
            <v>41524327</v>
          </cell>
          <cell r="F5147" t="str">
            <v>-</v>
          </cell>
          <cell r="G5147" t="str">
            <v>-</v>
          </cell>
          <cell r="H5147">
            <v>5125</v>
          </cell>
          <cell r="Q5147">
            <v>14</v>
          </cell>
        </row>
        <row r="5148">
          <cell r="D5148" t="str">
            <v>225375-65-5</v>
          </cell>
          <cell r="E5148">
            <v>225375655</v>
          </cell>
          <cell r="F5148" t="str">
            <v>-</v>
          </cell>
          <cell r="G5148" t="str">
            <v>-</v>
          </cell>
          <cell r="H5148">
            <v>5126</v>
          </cell>
          <cell r="Q5148">
            <v>14</v>
          </cell>
        </row>
        <row r="5149">
          <cell r="D5149" t="str">
            <v>84989-11-7</v>
          </cell>
          <cell r="E5149">
            <v>84989117</v>
          </cell>
          <cell r="F5149" t="str">
            <v>-</v>
          </cell>
          <cell r="G5149" t="str">
            <v>-</v>
          </cell>
          <cell r="H5149">
            <v>5127</v>
          </cell>
          <cell r="Q5149">
            <v>14</v>
          </cell>
        </row>
        <row r="5150">
          <cell r="D5150" t="str">
            <v>85909-49-5</v>
          </cell>
          <cell r="E5150">
            <v>85909495</v>
          </cell>
          <cell r="F5150" t="str">
            <v>-</v>
          </cell>
          <cell r="G5150" t="str">
            <v>-</v>
          </cell>
          <cell r="H5150">
            <v>5128</v>
          </cell>
          <cell r="Q5150">
            <v>14</v>
          </cell>
        </row>
        <row r="5151">
          <cell r="D5151" t="str">
            <v>1362924-06-8</v>
          </cell>
          <cell r="E5151">
            <v>1362924068</v>
          </cell>
          <cell r="F5151" t="str">
            <v>-</v>
          </cell>
          <cell r="G5151" t="str">
            <v>-</v>
          </cell>
          <cell r="H5151">
            <v>5129</v>
          </cell>
          <cell r="Q5151">
            <v>14</v>
          </cell>
        </row>
        <row r="5152">
          <cell r="D5152" t="str">
            <v>1424148-97-9</v>
          </cell>
          <cell r="E5152">
            <v>1424148979</v>
          </cell>
          <cell r="F5152" t="str">
            <v>-</v>
          </cell>
          <cell r="G5152" t="str">
            <v>-</v>
          </cell>
          <cell r="H5152">
            <v>5130</v>
          </cell>
          <cell r="Q5152">
            <v>14</v>
          </cell>
        </row>
        <row r="5153">
          <cell r="D5153" t="str">
            <v>65996-86-3</v>
          </cell>
          <cell r="E5153">
            <v>65996863</v>
          </cell>
          <cell r="F5153" t="str">
            <v>-</v>
          </cell>
          <cell r="G5153" t="str">
            <v>-</v>
          </cell>
          <cell r="H5153">
            <v>5131</v>
          </cell>
          <cell r="Q5153">
            <v>14</v>
          </cell>
        </row>
        <row r="5154">
          <cell r="D5154" t="str">
            <v>68477-64-5</v>
          </cell>
          <cell r="E5154">
            <v>68477645</v>
          </cell>
          <cell r="F5154" t="str">
            <v>-</v>
          </cell>
          <cell r="G5154" t="str">
            <v>-</v>
          </cell>
          <cell r="H5154">
            <v>5132</v>
          </cell>
          <cell r="Q5154">
            <v>14</v>
          </cell>
        </row>
        <row r="5155">
          <cell r="D5155" t="str">
            <v>84836-98-6</v>
          </cell>
          <cell r="E5155">
            <v>84836986</v>
          </cell>
          <cell r="F5155" t="str">
            <v>-</v>
          </cell>
          <cell r="G5155" t="str">
            <v>-</v>
          </cell>
          <cell r="H5155">
            <v>5133</v>
          </cell>
          <cell r="Q5155">
            <v>14</v>
          </cell>
        </row>
        <row r="5156">
          <cell r="D5156" t="str">
            <v>27157-94-4</v>
          </cell>
          <cell r="E5156">
            <v>27157944</v>
          </cell>
          <cell r="F5156" t="str">
            <v>-</v>
          </cell>
          <cell r="G5156" t="str">
            <v>-</v>
          </cell>
          <cell r="H5156">
            <v>5134</v>
          </cell>
          <cell r="Q5156">
            <v>14</v>
          </cell>
        </row>
        <row r="5157">
          <cell r="D5157" t="str">
            <v>27215-95-8</v>
          </cell>
          <cell r="E5157">
            <v>27215958</v>
          </cell>
          <cell r="F5157" t="str">
            <v>-</v>
          </cell>
          <cell r="G5157" t="str">
            <v>-</v>
          </cell>
          <cell r="H5157">
            <v>5135</v>
          </cell>
          <cell r="Q5157">
            <v>14</v>
          </cell>
        </row>
        <row r="5158">
          <cell r="D5158" t="str">
            <v>3738-00-9</v>
          </cell>
          <cell r="E5158">
            <v>3738009</v>
          </cell>
          <cell r="F5158" t="str">
            <v>-</v>
          </cell>
          <cell r="G5158" t="str">
            <v>-</v>
          </cell>
          <cell r="H5158">
            <v>5136</v>
          </cell>
          <cell r="Q5158">
            <v>14</v>
          </cell>
        </row>
        <row r="5159">
          <cell r="D5159" t="str">
            <v>91031-91-3</v>
          </cell>
          <cell r="E5159">
            <v>91031913</v>
          </cell>
          <cell r="F5159" t="str">
            <v>-</v>
          </cell>
          <cell r="G5159" t="str">
            <v>-</v>
          </cell>
          <cell r="H5159">
            <v>5137</v>
          </cell>
          <cell r="Q5159">
            <v>14</v>
          </cell>
        </row>
        <row r="5160">
          <cell r="D5160" t="str">
            <v>236391-76-7</v>
          </cell>
          <cell r="E5160">
            <v>236391767</v>
          </cell>
          <cell r="F5160" t="str">
            <v>-</v>
          </cell>
          <cell r="G5160" t="str">
            <v>-</v>
          </cell>
          <cell r="H5160">
            <v>5138</v>
          </cell>
          <cell r="Q5160">
            <v>14</v>
          </cell>
        </row>
        <row r="5161">
          <cell r="D5161" t="str">
            <v>65870-94-2</v>
          </cell>
          <cell r="E5161">
            <v>65870942</v>
          </cell>
          <cell r="F5161" t="str">
            <v>-</v>
          </cell>
          <cell r="G5161" t="str">
            <v>-</v>
          </cell>
          <cell r="H5161">
            <v>5139</v>
          </cell>
          <cell r="Q5161">
            <v>14</v>
          </cell>
        </row>
        <row r="5162">
          <cell r="D5162" t="str">
            <v>91052-49-2</v>
          </cell>
          <cell r="E5162">
            <v>91052492</v>
          </cell>
          <cell r="F5162" t="str">
            <v>-</v>
          </cell>
          <cell r="G5162" t="str">
            <v>-</v>
          </cell>
          <cell r="H5162">
            <v>5140</v>
          </cell>
          <cell r="Q5162">
            <v>14</v>
          </cell>
        </row>
        <row r="5163">
          <cell r="D5163" t="str">
            <v>68071-07-8</v>
          </cell>
          <cell r="E5163">
            <v>68071078</v>
          </cell>
          <cell r="F5163" t="str">
            <v>-</v>
          </cell>
          <cell r="G5163" t="str">
            <v>-</v>
          </cell>
          <cell r="H5163">
            <v>5141</v>
          </cell>
          <cell r="Q5163">
            <v>14</v>
          </cell>
        </row>
        <row r="5164">
          <cell r="D5164" t="str">
            <v>1309955-79-0</v>
          </cell>
          <cell r="E5164">
            <v>1309955790</v>
          </cell>
          <cell r="F5164" t="str">
            <v>-</v>
          </cell>
          <cell r="G5164" t="str">
            <v>-</v>
          </cell>
          <cell r="H5164">
            <v>5142</v>
          </cell>
          <cell r="Q5164">
            <v>14</v>
          </cell>
        </row>
        <row r="5165">
          <cell r="D5165" t="str">
            <v>68410-23-1</v>
          </cell>
          <cell r="E5165">
            <v>68410231</v>
          </cell>
          <cell r="F5165" t="str">
            <v>-</v>
          </cell>
          <cell r="G5165" t="str">
            <v>-</v>
          </cell>
          <cell r="H5165">
            <v>5143</v>
          </cell>
          <cell r="Q5165">
            <v>14</v>
          </cell>
        </row>
        <row r="5166">
          <cell r="D5166" t="str">
            <v>85116-88-7</v>
          </cell>
          <cell r="E5166">
            <v>85116887</v>
          </cell>
          <cell r="F5166" t="str">
            <v>-</v>
          </cell>
          <cell r="G5166" t="str">
            <v>-</v>
          </cell>
          <cell r="H5166">
            <v>5144</v>
          </cell>
          <cell r="Q5166">
            <v>14</v>
          </cell>
        </row>
        <row r="5167">
          <cell r="D5167" t="str">
            <v>93924-11-9</v>
          </cell>
          <cell r="E5167">
            <v>93924119</v>
          </cell>
          <cell r="F5167" t="str">
            <v>-</v>
          </cell>
          <cell r="G5167" t="str">
            <v>-</v>
          </cell>
          <cell r="H5167">
            <v>5145</v>
          </cell>
          <cell r="Q5167">
            <v>14</v>
          </cell>
        </row>
        <row r="5168">
          <cell r="D5168" t="str">
            <v>12650-88-3</v>
          </cell>
          <cell r="E5168">
            <v>12650883</v>
          </cell>
          <cell r="F5168" t="str">
            <v>-</v>
          </cell>
          <cell r="G5168" t="str">
            <v>-</v>
          </cell>
          <cell r="H5168">
            <v>5146</v>
          </cell>
          <cell r="Q5168">
            <v>14</v>
          </cell>
        </row>
        <row r="5169">
          <cell r="D5169" t="str">
            <v>106233-09-4</v>
          </cell>
          <cell r="E5169">
            <v>106233094</v>
          </cell>
          <cell r="F5169" t="str">
            <v>-</v>
          </cell>
          <cell r="G5169" t="str">
            <v>-</v>
          </cell>
          <cell r="H5169">
            <v>5147</v>
          </cell>
          <cell r="Q5169">
            <v>14</v>
          </cell>
        </row>
        <row r="5170">
          <cell r="D5170" t="str">
            <v>68921-53-9</v>
          </cell>
          <cell r="E5170">
            <v>68921539</v>
          </cell>
          <cell r="F5170" t="str">
            <v>-</v>
          </cell>
          <cell r="G5170" t="str">
            <v>-</v>
          </cell>
          <cell r="H5170">
            <v>5148</v>
          </cell>
          <cell r="Q5170">
            <v>14</v>
          </cell>
        </row>
        <row r="5171">
          <cell r="D5171" t="str">
            <v>91770-03-5</v>
          </cell>
          <cell r="E5171">
            <v>91770035</v>
          </cell>
          <cell r="F5171" t="str">
            <v>-</v>
          </cell>
          <cell r="G5171" t="str">
            <v>-</v>
          </cell>
          <cell r="H5171">
            <v>5149</v>
          </cell>
          <cell r="Q5171">
            <v>14</v>
          </cell>
        </row>
        <row r="5172">
          <cell r="D5172" t="str">
            <v>91050-89-4</v>
          </cell>
          <cell r="E5172">
            <v>91050894</v>
          </cell>
          <cell r="F5172" t="str">
            <v>-</v>
          </cell>
          <cell r="G5172" t="str">
            <v>-</v>
          </cell>
          <cell r="H5172">
            <v>5150</v>
          </cell>
          <cell r="Q5172">
            <v>14</v>
          </cell>
        </row>
        <row r="5173">
          <cell r="D5173" t="str">
            <v>68814-95-9</v>
          </cell>
          <cell r="E5173">
            <v>68814959</v>
          </cell>
          <cell r="F5173" t="str">
            <v>-</v>
          </cell>
          <cell r="G5173" t="str">
            <v>-</v>
          </cell>
          <cell r="H5173">
            <v>5151</v>
          </cell>
          <cell r="Q5173">
            <v>14</v>
          </cell>
        </row>
        <row r="5174">
          <cell r="D5174" t="str">
            <v>84988-61-4</v>
          </cell>
          <cell r="E5174">
            <v>84988614</v>
          </cell>
          <cell r="F5174" t="str">
            <v>-</v>
          </cell>
          <cell r="G5174" t="str">
            <v>-</v>
          </cell>
          <cell r="H5174">
            <v>5152</v>
          </cell>
          <cell r="Q5174">
            <v>14</v>
          </cell>
        </row>
        <row r="5175">
          <cell r="D5175" t="str">
            <v>1233873-37-4</v>
          </cell>
          <cell r="E5175">
            <v>1233873374</v>
          </cell>
          <cell r="F5175" t="str">
            <v>-</v>
          </cell>
          <cell r="G5175" t="str">
            <v>-</v>
          </cell>
          <cell r="H5175">
            <v>5153</v>
          </cell>
          <cell r="Q5175">
            <v>14</v>
          </cell>
        </row>
        <row r="5176">
          <cell r="D5176" t="str">
            <v>90411-76-0</v>
          </cell>
          <cell r="E5176">
            <v>90411760</v>
          </cell>
          <cell r="F5176" t="str">
            <v>-</v>
          </cell>
          <cell r="G5176" t="str">
            <v>-</v>
          </cell>
          <cell r="H5176">
            <v>5154</v>
          </cell>
          <cell r="Q5176">
            <v>14</v>
          </cell>
        </row>
        <row r="5177">
          <cell r="D5177" t="str">
            <v>71010-76-9</v>
          </cell>
          <cell r="E5177">
            <v>71010769</v>
          </cell>
          <cell r="F5177" t="str">
            <v>-</v>
          </cell>
          <cell r="G5177" t="str">
            <v>-</v>
          </cell>
          <cell r="H5177">
            <v>5155</v>
          </cell>
          <cell r="Q5177">
            <v>14</v>
          </cell>
        </row>
        <row r="5178">
          <cell r="D5178" t="str">
            <v>32167-31-0</v>
          </cell>
          <cell r="E5178">
            <v>32167310</v>
          </cell>
          <cell r="F5178" t="str">
            <v>-</v>
          </cell>
          <cell r="G5178" t="str">
            <v>-</v>
          </cell>
          <cell r="H5178">
            <v>5156</v>
          </cell>
          <cell r="Q5178">
            <v>14</v>
          </cell>
        </row>
        <row r="5179">
          <cell r="D5179" t="str">
            <v>68002-54-0</v>
          </cell>
          <cell r="E5179">
            <v>68002540</v>
          </cell>
          <cell r="F5179" t="str">
            <v>-</v>
          </cell>
          <cell r="G5179" t="str">
            <v>-</v>
          </cell>
          <cell r="H5179">
            <v>5157</v>
          </cell>
          <cell r="Q5179">
            <v>14</v>
          </cell>
        </row>
        <row r="5180">
          <cell r="D5180" t="str">
            <v>159034-91-0</v>
          </cell>
          <cell r="E5180">
            <v>159034910</v>
          </cell>
          <cell r="F5180" t="str">
            <v>-</v>
          </cell>
          <cell r="G5180" t="str">
            <v>-</v>
          </cell>
          <cell r="H5180">
            <v>5158</v>
          </cell>
          <cell r="Q5180">
            <v>14</v>
          </cell>
        </row>
        <row r="5181">
          <cell r="D5181" t="str">
            <v>68515-81-1</v>
          </cell>
          <cell r="E5181">
            <v>68515811</v>
          </cell>
          <cell r="F5181" t="str">
            <v>-</v>
          </cell>
          <cell r="G5181" t="str">
            <v>-</v>
          </cell>
          <cell r="H5181">
            <v>5159</v>
          </cell>
          <cell r="Q5181">
            <v>14</v>
          </cell>
        </row>
        <row r="5182">
          <cell r="D5182" t="str">
            <v>68092-28-4</v>
          </cell>
          <cell r="E5182">
            <v>68092284</v>
          </cell>
          <cell r="F5182" t="str">
            <v>-</v>
          </cell>
          <cell r="G5182" t="str">
            <v>-</v>
          </cell>
          <cell r="H5182">
            <v>5160</v>
          </cell>
          <cell r="Q5182">
            <v>14</v>
          </cell>
        </row>
        <row r="5183">
          <cell r="D5183" t="str">
            <v>66072-08-0</v>
          </cell>
          <cell r="E5183">
            <v>66072080</v>
          </cell>
          <cell r="F5183" t="str">
            <v>-</v>
          </cell>
          <cell r="G5183" t="str">
            <v>-</v>
          </cell>
          <cell r="H5183">
            <v>5161</v>
          </cell>
          <cell r="Q5183">
            <v>14</v>
          </cell>
        </row>
        <row r="5184">
          <cell r="D5184" t="str">
            <v>68131-39-5</v>
          </cell>
          <cell r="E5184">
            <v>68131395</v>
          </cell>
          <cell r="F5184" t="str">
            <v>-</v>
          </cell>
          <cell r="G5184" t="str">
            <v>-</v>
          </cell>
          <cell r="H5184">
            <v>5162</v>
          </cell>
          <cell r="Q5184">
            <v>14</v>
          </cell>
        </row>
        <row r="5185">
          <cell r="D5185" t="str">
            <v>75247-18-6</v>
          </cell>
          <cell r="E5185">
            <v>75247186</v>
          </cell>
          <cell r="F5185" t="str">
            <v>-</v>
          </cell>
          <cell r="G5185" t="str">
            <v>-</v>
          </cell>
          <cell r="H5185">
            <v>5163</v>
          </cell>
          <cell r="Q5185">
            <v>14</v>
          </cell>
        </row>
        <row r="5186">
          <cell r="D5186" t="str">
            <v>1225197-81-8</v>
          </cell>
          <cell r="E5186">
            <v>1225197818</v>
          </cell>
          <cell r="F5186" t="str">
            <v>-</v>
          </cell>
          <cell r="G5186" t="str">
            <v>-</v>
          </cell>
          <cell r="H5186">
            <v>5164</v>
          </cell>
          <cell r="Q5186">
            <v>14</v>
          </cell>
        </row>
        <row r="5187">
          <cell r="D5187" t="str">
            <v>68411-76-7</v>
          </cell>
          <cell r="E5187">
            <v>68411767</v>
          </cell>
          <cell r="F5187" t="str">
            <v>-</v>
          </cell>
          <cell r="G5187" t="str">
            <v>-</v>
          </cell>
          <cell r="H5187">
            <v>5165</v>
          </cell>
          <cell r="Q5187">
            <v>14</v>
          </cell>
        </row>
        <row r="5188">
          <cell r="D5188" t="str">
            <v>1499182-59-0</v>
          </cell>
          <cell r="E5188">
            <v>1499182590</v>
          </cell>
          <cell r="F5188" t="str">
            <v>-</v>
          </cell>
          <cell r="G5188" t="str">
            <v>-</v>
          </cell>
          <cell r="H5188">
            <v>5166</v>
          </cell>
          <cell r="Q5188">
            <v>14</v>
          </cell>
        </row>
        <row r="5189">
          <cell r="D5189" t="str">
            <v>68201-32-1</v>
          </cell>
          <cell r="E5189">
            <v>68201321</v>
          </cell>
          <cell r="F5189" t="str">
            <v>-</v>
          </cell>
          <cell r="G5189" t="str">
            <v>-</v>
          </cell>
          <cell r="H5189">
            <v>5167</v>
          </cell>
          <cell r="Q5189">
            <v>14</v>
          </cell>
        </row>
        <row r="5190">
          <cell r="D5190" t="str">
            <v>9005-67-8</v>
          </cell>
          <cell r="E5190">
            <v>9005678</v>
          </cell>
          <cell r="F5190" t="str">
            <v>-</v>
          </cell>
          <cell r="G5190" t="str">
            <v>-</v>
          </cell>
          <cell r="H5190">
            <v>5168</v>
          </cell>
          <cell r="Q5190">
            <v>14</v>
          </cell>
        </row>
        <row r="5191">
          <cell r="D5191" t="str">
            <v>1072957-71-1</v>
          </cell>
          <cell r="E5191">
            <v>1072957711</v>
          </cell>
          <cell r="F5191" t="str">
            <v>-</v>
          </cell>
          <cell r="G5191" t="str">
            <v>-</v>
          </cell>
          <cell r="H5191">
            <v>5169</v>
          </cell>
          <cell r="Q5191">
            <v>14</v>
          </cell>
        </row>
        <row r="5192">
          <cell r="D5192" t="str">
            <v>71500-39-5</v>
          </cell>
          <cell r="E5192">
            <v>71500395</v>
          </cell>
          <cell r="F5192" t="str">
            <v>-</v>
          </cell>
          <cell r="G5192" t="str">
            <v>-</v>
          </cell>
          <cell r="H5192">
            <v>5170</v>
          </cell>
          <cell r="Q5192">
            <v>14</v>
          </cell>
        </row>
        <row r="5193">
          <cell r="D5193" t="str">
            <v>84082-68-8</v>
          </cell>
          <cell r="E5193">
            <v>84082688</v>
          </cell>
          <cell r="F5193" t="str">
            <v>-</v>
          </cell>
          <cell r="G5193" t="str">
            <v>-</v>
          </cell>
          <cell r="H5193">
            <v>5171</v>
          </cell>
          <cell r="Q5193">
            <v>14</v>
          </cell>
        </row>
        <row r="5194">
          <cell r="D5194" t="str">
            <v>83846-43-9</v>
          </cell>
          <cell r="E5194">
            <v>83846439</v>
          </cell>
          <cell r="F5194" t="str">
            <v>-</v>
          </cell>
          <cell r="G5194" t="str">
            <v>-</v>
          </cell>
          <cell r="H5194">
            <v>5172</v>
          </cell>
          <cell r="Q5194">
            <v>14</v>
          </cell>
        </row>
        <row r="5195">
          <cell r="D5195" t="str">
            <v>68443-84-5</v>
          </cell>
          <cell r="E5195">
            <v>68443845</v>
          </cell>
          <cell r="F5195" t="str">
            <v>-</v>
          </cell>
          <cell r="G5195" t="str">
            <v>-</v>
          </cell>
          <cell r="H5195">
            <v>5173</v>
          </cell>
          <cell r="Q5195">
            <v>14</v>
          </cell>
        </row>
        <row r="5196">
          <cell r="D5196" t="str">
            <v>939402-02-5</v>
          </cell>
          <cell r="E5196">
            <v>939402025</v>
          </cell>
          <cell r="F5196" t="str">
            <v>-</v>
          </cell>
          <cell r="G5196" t="str">
            <v>-</v>
          </cell>
          <cell r="H5196">
            <v>5174</v>
          </cell>
          <cell r="Q5196">
            <v>14</v>
          </cell>
        </row>
        <row r="5197">
          <cell r="D5197" t="str">
            <v>68307-94-8</v>
          </cell>
          <cell r="E5197">
            <v>68307948</v>
          </cell>
          <cell r="F5197" t="str">
            <v>-</v>
          </cell>
          <cell r="G5197" t="str">
            <v>-</v>
          </cell>
          <cell r="H5197">
            <v>5175</v>
          </cell>
          <cell r="Q5197">
            <v>14</v>
          </cell>
        </row>
        <row r="5198">
          <cell r="D5198" t="str">
            <v>30618-84-9</v>
          </cell>
          <cell r="E5198">
            <v>30618849</v>
          </cell>
          <cell r="F5198" t="str">
            <v>-</v>
          </cell>
          <cell r="G5198" t="str">
            <v>-</v>
          </cell>
          <cell r="H5198">
            <v>5176</v>
          </cell>
          <cell r="Q5198">
            <v>14</v>
          </cell>
        </row>
        <row r="5199">
          <cell r="D5199" t="str">
            <v>1424148-99-1</v>
          </cell>
          <cell r="E5199">
            <v>1424148991</v>
          </cell>
          <cell r="F5199" t="str">
            <v>-</v>
          </cell>
          <cell r="G5199" t="str">
            <v>-</v>
          </cell>
          <cell r="H5199">
            <v>5177</v>
          </cell>
          <cell r="Q5199">
            <v>14</v>
          </cell>
        </row>
        <row r="5200">
          <cell r="D5200" t="str">
            <v>234446-82-3</v>
          </cell>
          <cell r="E5200">
            <v>234446823</v>
          </cell>
          <cell r="F5200" t="str">
            <v>-</v>
          </cell>
          <cell r="G5200" t="str">
            <v>-</v>
          </cell>
          <cell r="H5200">
            <v>5178</v>
          </cell>
          <cell r="Q5200">
            <v>14</v>
          </cell>
        </row>
        <row r="5201">
          <cell r="D5201" t="str">
            <v>68648-53-3</v>
          </cell>
          <cell r="E5201">
            <v>68648533</v>
          </cell>
          <cell r="F5201" t="str">
            <v>-</v>
          </cell>
          <cell r="G5201" t="str">
            <v>-</v>
          </cell>
          <cell r="H5201">
            <v>5179</v>
          </cell>
          <cell r="Q5201">
            <v>14</v>
          </cell>
        </row>
        <row r="5202">
          <cell r="D5202" t="str">
            <v>173832-46-7</v>
          </cell>
          <cell r="E5202">
            <v>173832467</v>
          </cell>
          <cell r="F5202" t="str">
            <v>-</v>
          </cell>
          <cell r="G5202" t="str">
            <v>-</v>
          </cell>
          <cell r="H5202">
            <v>5180</v>
          </cell>
          <cell r="Q5202">
            <v>14</v>
          </cell>
        </row>
        <row r="5203">
          <cell r="D5203" t="str">
            <v>1190931-27-1</v>
          </cell>
          <cell r="E5203">
            <v>1190931271</v>
          </cell>
          <cell r="F5203" t="str">
            <v>-</v>
          </cell>
          <cell r="G5203" t="str">
            <v>-</v>
          </cell>
          <cell r="H5203">
            <v>5181</v>
          </cell>
          <cell r="Q5203">
            <v>14</v>
          </cell>
        </row>
        <row r="5204">
          <cell r="D5204" t="str">
            <v>58190-62-8</v>
          </cell>
          <cell r="E5204">
            <v>58190628</v>
          </cell>
          <cell r="F5204" t="str">
            <v>-</v>
          </cell>
          <cell r="G5204" t="str">
            <v>-</v>
          </cell>
          <cell r="H5204">
            <v>5182</v>
          </cell>
          <cell r="Q5204">
            <v>14</v>
          </cell>
        </row>
        <row r="5205">
          <cell r="D5205" t="str">
            <v>84962-05-0</v>
          </cell>
          <cell r="E5205">
            <v>84962050</v>
          </cell>
          <cell r="F5205" t="str">
            <v>-</v>
          </cell>
          <cell r="G5205" t="str">
            <v>-</v>
          </cell>
          <cell r="H5205">
            <v>5183</v>
          </cell>
          <cell r="Q5205">
            <v>14</v>
          </cell>
        </row>
        <row r="5206">
          <cell r="D5206" t="str">
            <v>7786-67-6</v>
          </cell>
          <cell r="E5206">
            <v>7786676</v>
          </cell>
          <cell r="F5206" t="str">
            <v>-</v>
          </cell>
          <cell r="G5206" t="str">
            <v>-</v>
          </cell>
          <cell r="H5206">
            <v>5184</v>
          </cell>
          <cell r="Q5206">
            <v>14</v>
          </cell>
        </row>
        <row r="5207">
          <cell r="D5207" t="str">
            <v>94279-39-7</v>
          </cell>
          <cell r="E5207">
            <v>94279397</v>
          </cell>
          <cell r="F5207" t="str">
            <v>-</v>
          </cell>
          <cell r="G5207" t="str">
            <v>-</v>
          </cell>
          <cell r="H5207">
            <v>5185</v>
          </cell>
          <cell r="Q5207">
            <v>14</v>
          </cell>
        </row>
        <row r="5208">
          <cell r="D5208" t="str">
            <v>84896-44-6</v>
          </cell>
          <cell r="E5208">
            <v>84896446</v>
          </cell>
          <cell r="F5208" t="str">
            <v>-</v>
          </cell>
          <cell r="G5208" t="str">
            <v>-</v>
          </cell>
          <cell r="H5208">
            <v>5186</v>
          </cell>
          <cell r="Q5208">
            <v>14</v>
          </cell>
        </row>
        <row r="5209">
          <cell r="D5209" t="str">
            <v>90388-00-4</v>
          </cell>
          <cell r="E5209">
            <v>90388004</v>
          </cell>
          <cell r="F5209" t="str">
            <v>-</v>
          </cell>
          <cell r="G5209" t="str">
            <v>-</v>
          </cell>
          <cell r="H5209">
            <v>5187</v>
          </cell>
          <cell r="Q5209">
            <v>14</v>
          </cell>
        </row>
        <row r="5210">
          <cell r="D5210" t="str">
            <v>94279-55-7</v>
          </cell>
          <cell r="E5210">
            <v>94279557</v>
          </cell>
          <cell r="F5210" t="str">
            <v>-</v>
          </cell>
          <cell r="G5210" t="str">
            <v>-</v>
          </cell>
          <cell r="H5210">
            <v>5188</v>
          </cell>
          <cell r="Q5210">
            <v>14</v>
          </cell>
        </row>
        <row r="5211">
          <cell r="D5211" t="str">
            <v>16935-34-5</v>
          </cell>
          <cell r="E5211">
            <v>16935345</v>
          </cell>
          <cell r="F5211" t="str">
            <v>-</v>
          </cell>
          <cell r="G5211" t="str">
            <v>-</v>
          </cell>
          <cell r="H5211">
            <v>5189</v>
          </cell>
          <cell r="Q5211">
            <v>14</v>
          </cell>
        </row>
        <row r="5212">
          <cell r="D5212" t="str">
            <v>68541-50-4</v>
          </cell>
          <cell r="E5212">
            <v>68541504</v>
          </cell>
          <cell r="F5212" t="str">
            <v>-</v>
          </cell>
          <cell r="G5212" t="str">
            <v>-</v>
          </cell>
          <cell r="H5212">
            <v>5190</v>
          </cell>
          <cell r="Q5212">
            <v>14</v>
          </cell>
        </row>
        <row r="5213">
          <cell r="D5213" t="str">
            <v>68910-13-4</v>
          </cell>
          <cell r="E5213">
            <v>68910134</v>
          </cell>
          <cell r="F5213" t="str">
            <v>-</v>
          </cell>
          <cell r="G5213" t="str">
            <v>-</v>
          </cell>
          <cell r="H5213">
            <v>5191</v>
          </cell>
          <cell r="Q5213">
            <v>14</v>
          </cell>
        </row>
        <row r="5214">
          <cell r="D5214" t="str">
            <v>91082-52-9</v>
          </cell>
          <cell r="E5214">
            <v>91082529</v>
          </cell>
          <cell r="F5214" t="str">
            <v>-</v>
          </cell>
          <cell r="G5214" t="str">
            <v>-</v>
          </cell>
          <cell r="H5214">
            <v>5192</v>
          </cell>
          <cell r="Q5214">
            <v>14</v>
          </cell>
        </row>
        <row r="5215">
          <cell r="D5215" t="str">
            <v>1163775-81-2</v>
          </cell>
          <cell r="E5215">
            <v>1163775812</v>
          </cell>
          <cell r="F5215" t="str">
            <v>-</v>
          </cell>
          <cell r="G5215" t="str">
            <v>-</v>
          </cell>
          <cell r="H5215">
            <v>5193</v>
          </cell>
          <cell r="Q5215">
            <v>14</v>
          </cell>
        </row>
        <row r="5216">
          <cell r="D5216" t="str">
            <v>87189-25-1</v>
          </cell>
          <cell r="E5216">
            <v>87189251</v>
          </cell>
          <cell r="F5216" t="str">
            <v>-</v>
          </cell>
          <cell r="G5216" t="str">
            <v>-</v>
          </cell>
          <cell r="H5216">
            <v>5194</v>
          </cell>
          <cell r="Q5216">
            <v>14</v>
          </cell>
        </row>
        <row r="5217">
          <cell r="D5217" t="str">
            <v>38720-66-0</v>
          </cell>
          <cell r="E5217">
            <v>38720660</v>
          </cell>
          <cell r="F5217" t="str">
            <v>-</v>
          </cell>
          <cell r="G5217" t="str">
            <v>-</v>
          </cell>
          <cell r="H5217">
            <v>5195</v>
          </cell>
          <cell r="Q5217">
            <v>14</v>
          </cell>
        </row>
        <row r="5218">
          <cell r="D5218" t="str">
            <v>1059667-42-3</v>
          </cell>
          <cell r="E5218">
            <v>1059667423</v>
          </cell>
          <cell r="F5218" t="str">
            <v>-</v>
          </cell>
          <cell r="G5218" t="str">
            <v>-</v>
          </cell>
          <cell r="H5218">
            <v>5196</v>
          </cell>
          <cell r="Q5218">
            <v>14</v>
          </cell>
        </row>
        <row r="5219">
          <cell r="D5219" t="str">
            <v>1198102-85-0</v>
          </cell>
          <cell r="E5219">
            <v>1198102850</v>
          </cell>
          <cell r="F5219" t="str">
            <v>-</v>
          </cell>
          <cell r="G5219" t="str">
            <v>-</v>
          </cell>
          <cell r="H5219">
            <v>5197</v>
          </cell>
          <cell r="Q5219">
            <v>14</v>
          </cell>
        </row>
        <row r="5220">
          <cell r="D5220" t="str">
            <v>1364681-45-7</v>
          </cell>
          <cell r="E5220">
            <v>1364681457</v>
          </cell>
          <cell r="F5220" t="str">
            <v>-</v>
          </cell>
          <cell r="G5220" t="str">
            <v>-</v>
          </cell>
          <cell r="H5220">
            <v>5198</v>
          </cell>
          <cell r="Q5220">
            <v>14</v>
          </cell>
        </row>
        <row r="5221">
          <cell r="D5221" t="str">
            <v>100453-11-0</v>
          </cell>
          <cell r="E5221">
            <v>100453110</v>
          </cell>
          <cell r="F5221" t="str">
            <v>-</v>
          </cell>
          <cell r="G5221" t="str">
            <v>-</v>
          </cell>
          <cell r="H5221">
            <v>5199</v>
          </cell>
          <cell r="Q5221">
            <v>14</v>
          </cell>
        </row>
        <row r="5222">
          <cell r="D5222" t="str">
            <v>157707-87-4</v>
          </cell>
          <cell r="E5222">
            <v>157707874</v>
          </cell>
          <cell r="F5222" t="str">
            <v>-</v>
          </cell>
          <cell r="G5222" t="str">
            <v>-</v>
          </cell>
          <cell r="H5222">
            <v>5200</v>
          </cell>
          <cell r="Q5222">
            <v>14</v>
          </cell>
        </row>
        <row r="5223">
          <cell r="D5223" t="str">
            <v>68186-14-1</v>
          </cell>
          <cell r="E5223">
            <v>68186141</v>
          </cell>
          <cell r="F5223" t="str">
            <v>-</v>
          </cell>
          <cell r="G5223" t="str">
            <v>-</v>
          </cell>
          <cell r="H5223">
            <v>5201</v>
          </cell>
          <cell r="Q5223">
            <v>14</v>
          </cell>
        </row>
        <row r="5224">
          <cell r="D5224" t="str">
            <v>152261-43-3</v>
          </cell>
          <cell r="E5224">
            <v>152261433</v>
          </cell>
          <cell r="F5224" t="str">
            <v>-</v>
          </cell>
          <cell r="G5224" t="str">
            <v>-</v>
          </cell>
          <cell r="H5224">
            <v>5202</v>
          </cell>
          <cell r="Q5224">
            <v>14</v>
          </cell>
        </row>
        <row r="5225">
          <cell r="D5225" t="str">
            <v>1190931-39-5</v>
          </cell>
          <cell r="E5225">
            <v>1190931395</v>
          </cell>
          <cell r="F5225" t="str">
            <v>-</v>
          </cell>
          <cell r="G5225" t="str">
            <v>-</v>
          </cell>
          <cell r="H5225">
            <v>5203</v>
          </cell>
          <cell r="Q5225">
            <v>14</v>
          </cell>
        </row>
        <row r="5226">
          <cell r="D5226" t="str">
            <v>72869-86-4</v>
          </cell>
          <cell r="E5226">
            <v>72869864</v>
          </cell>
          <cell r="F5226" t="str">
            <v>-</v>
          </cell>
          <cell r="G5226" t="str">
            <v>-</v>
          </cell>
          <cell r="H5226">
            <v>5204</v>
          </cell>
          <cell r="Q5226">
            <v>14</v>
          </cell>
        </row>
        <row r="5227">
          <cell r="D5227" t="str">
            <v>2781-10-4</v>
          </cell>
          <cell r="E5227">
            <v>2781104</v>
          </cell>
          <cell r="F5227" t="str">
            <v>-</v>
          </cell>
          <cell r="G5227" t="str">
            <v>-</v>
          </cell>
          <cell r="H5227">
            <v>5205</v>
          </cell>
          <cell r="Q5227">
            <v>14</v>
          </cell>
        </row>
        <row r="5228">
          <cell r="D5228" t="str">
            <v>958872-41-8</v>
          </cell>
          <cell r="E5228">
            <v>958872418</v>
          </cell>
          <cell r="F5228" t="str">
            <v>-</v>
          </cell>
          <cell r="G5228" t="str">
            <v>-</v>
          </cell>
          <cell r="H5228">
            <v>5206</v>
          </cell>
          <cell r="Q5228">
            <v>14</v>
          </cell>
        </row>
        <row r="5229">
          <cell r="D5229" t="str">
            <v>1190931-41-9</v>
          </cell>
          <cell r="E5229">
            <v>1190931419</v>
          </cell>
          <cell r="F5229" t="str">
            <v>-</v>
          </cell>
          <cell r="G5229" t="str">
            <v>-</v>
          </cell>
          <cell r="H5229">
            <v>5207</v>
          </cell>
          <cell r="Q5229">
            <v>14</v>
          </cell>
        </row>
        <row r="5230">
          <cell r="D5230" t="str">
            <v>93925-42-9</v>
          </cell>
          <cell r="E5230">
            <v>93925429</v>
          </cell>
          <cell r="F5230" t="str">
            <v>-</v>
          </cell>
          <cell r="G5230" t="str">
            <v>-</v>
          </cell>
          <cell r="H5230">
            <v>5208</v>
          </cell>
          <cell r="Q5230">
            <v>14</v>
          </cell>
        </row>
        <row r="5231">
          <cell r="D5231" t="str">
            <v>742087-49-6</v>
          </cell>
          <cell r="E5231">
            <v>742087496</v>
          </cell>
          <cell r="F5231" t="str">
            <v>-</v>
          </cell>
          <cell r="G5231" t="str">
            <v>-</v>
          </cell>
          <cell r="H5231">
            <v>5209</v>
          </cell>
          <cell r="Q5231">
            <v>14</v>
          </cell>
        </row>
        <row r="5232">
          <cell r="D5232" t="str">
            <v>201305-16-0</v>
          </cell>
          <cell r="E5232">
            <v>201305160</v>
          </cell>
          <cell r="F5232" t="str">
            <v>-</v>
          </cell>
          <cell r="G5232" t="str">
            <v>-</v>
          </cell>
          <cell r="H5232">
            <v>5210</v>
          </cell>
          <cell r="Q5232">
            <v>14</v>
          </cell>
        </row>
        <row r="5233">
          <cell r="D5233" t="str">
            <v>27306-79-2</v>
          </cell>
          <cell r="E5233">
            <v>27306792</v>
          </cell>
          <cell r="F5233" t="str">
            <v>-</v>
          </cell>
          <cell r="G5233" t="str">
            <v>-</v>
          </cell>
          <cell r="H5233">
            <v>5211</v>
          </cell>
          <cell r="Q5233">
            <v>14</v>
          </cell>
        </row>
        <row r="5234">
          <cell r="D5234" t="str">
            <v>848301-65-5</v>
          </cell>
          <cell r="E5234">
            <v>848301655</v>
          </cell>
          <cell r="F5234" t="str">
            <v>-</v>
          </cell>
          <cell r="G5234" t="str">
            <v>-</v>
          </cell>
          <cell r="H5234">
            <v>5212</v>
          </cell>
          <cell r="Q5234">
            <v>14</v>
          </cell>
        </row>
        <row r="5235">
          <cell r="D5235" t="str">
            <v>848301-66-6</v>
          </cell>
          <cell r="E5235">
            <v>848301666</v>
          </cell>
          <cell r="F5235" t="str">
            <v>-</v>
          </cell>
          <cell r="G5235" t="str">
            <v>-</v>
          </cell>
          <cell r="H5235">
            <v>5213</v>
          </cell>
          <cell r="Q5235">
            <v>14</v>
          </cell>
        </row>
        <row r="5236">
          <cell r="D5236" t="str">
            <v>1149346-12-2</v>
          </cell>
          <cell r="E5236">
            <v>1149346122</v>
          </cell>
          <cell r="F5236" t="str">
            <v>-</v>
          </cell>
          <cell r="G5236" t="str">
            <v>-</v>
          </cell>
          <cell r="H5236">
            <v>5214</v>
          </cell>
          <cell r="Q5236">
            <v>14</v>
          </cell>
        </row>
        <row r="5237">
          <cell r="D5237" t="str">
            <v>740817-98-5</v>
          </cell>
          <cell r="E5237">
            <v>740817985</v>
          </cell>
          <cell r="F5237" t="str">
            <v>-</v>
          </cell>
          <cell r="G5237" t="str">
            <v>-</v>
          </cell>
          <cell r="H5237">
            <v>5215</v>
          </cell>
          <cell r="Q5237">
            <v>14</v>
          </cell>
        </row>
        <row r="5238">
          <cell r="D5238" t="str">
            <v>188416-20-8</v>
          </cell>
          <cell r="E5238">
            <v>188416208</v>
          </cell>
          <cell r="F5238" t="str">
            <v>-</v>
          </cell>
          <cell r="G5238" t="str">
            <v>-</v>
          </cell>
          <cell r="H5238">
            <v>5216</v>
          </cell>
          <cell r="Q5238">
            <v>14</v>
          </cell>
        </row>
        <row r="5239">
          <cell r="D5239" t="str">
            <v>934985-96-3</v>
          </cell>
          <cell r="E5239">
            <v>934985963</v>
          </cell>
          <cell r="F5239" t="str">
            <v>-</v>
          </cell>
          <cell r="G5239" t="str">
            <v>-</v>
          </cell>
          <cell r="H5239">
            <v>5217</v>
          </cell>
          <cell r="Q5239">
            <v>14</v>
          </cell>
        </row>
        <row r="5240">
          <cell r="D5240" t="str">
            <v>848301-67-7</v>
          </cell>
          <cell r="E5240">
            <v>848301677</v>
          </cell>
          <cell r="F5240" t="str">
            <v>-</v>
          </cell>
          <cell r="G5240" t="str">
            <v>-</v>
          </cell>
          <cell r="H5240">
            <v>5218</v>
          </cell>
          <cell r="Q5240">
            <v>14</v>
          </cell>
        </row>
        <row r="5241">
          <cell r="D5241" t="str">
            <v>943862-64-4</v>
          </cell>
          <cell r="E5241">
            <v>943862644</v>
          </cell>
          <cell r="F5241" t="str">
            <v>-</v>
          </cell>
          <cell r="G5241" t="str">
            <v>-</v>
          </cell>
          <cell r="H5241">
            <v>5219</v>
          </cell>
          <cell r="Q5241">
            <v>14</v>
          </cell>
        </row>
        <row r="5242">
          <cell r="D5242" t="str">
            <v>935442-45-8</v>
          </cell>
          <cell r="E5242">
            <v>935442458</v>
          </cell>
          <cell r="F5242" t="str">
            <v>-</v>
          </cell>
          <cell r="G5242" t="str">
            <v>-</v>
          </cell>
          <cell r="H5242">
            <v>5220</v>
          </cell>
          <cell r="Q5242">
            <v>14</v>
          </cell>
        </row>
        <row r="5243">
          <cell r="D5243" t="str">
            <v>350600-52-1</v>
          </cell>
          <cell r="E5243">
            <v>350600521</v>
          </cell>
          <cell r="F5243" t="str">
            <v>-</v>
          </cell>
          <cell r="G5243" t="str">
            <v>-</v>
          </cell>
          <cell r="H5243">
            <v>5221</v>
          </cell>
          <cell r="Q5243">
            <v>14</v>
          </cell>
        </row>
        <row r="5244">
          <cell r="D5244" t="str">
            <v>1292815-90-7</v>
          </cell>
          <cell r="E5244">
            <v>1292815907</v>
          </cell>
          <cell r="F5244" t="str">
            <v>-</v>
          </cell>
          <cell r="G5244" t="str">
            <v>-</v>
          </cell>
          <cell r="H5244">
            <v>5222</v>
          </cell>
          <cell r="Q5244">
            <v>14</v>
          </cell>
        </row>
        <row r="5245">
          <cell r="D5245" t="str">
            <v>902272-78-0</v>
          </cell>
          <cell r="E5245">
            <v>902272780</v>
          </cell>
          <cell r="F5245" t="str">
            <v>-</v>
          </cell>
          <cell r="G5245" t="str">
            <v>-</v>
          </cell>
          <cell r="H5245">
            <v>5223</v>
          </cell>
          <cell r="Q5245">
            <v>14</v>
          </cell>
        </row>
        <row r="5246">
          <cell r="D5246" t="str">
            <v>5413-49-0</v>
          </cell>
          <cell r="E5246">
            <v>5413490</v>
          </cell>
          <cell r="F5246" t="str">
            <v>-</v>
          </cell>
          <cell r="G5246" t="str">
            <v>-</v>
          </cell>
          <cell r="H5246">
            <v>5224</v>
          </cell>
          <cell r="Q5246">
            <v>14</v>
          </cell>
        </row>
        <row r="5247">
          <cell r="D5247" t="str">
            <v>1374859-51-4</v>
          </cell>
          <cell r="E5247">
            <v>1374859514</v>
          </cell>
          <cell r="F5247" t="str">
            <v>-</v>
          </cell>
          <cell r="G5247" t="str">
            <v>-</v>
          </cell>
          <cell r="H5247">
            <v>5225</v>
          </cell>
          <cell r="Q5247">
            <v>14</v>
          </cell>
        </row>
        <row r="5248">
          <cell r="D5248" t="str">
            <v>1025071-45-7</v>
          </cell>
          <cell r="E5248">
            <v>1025071457</v>
          </cell>
          <cell r="F5248" t="str">
            <v>-</v>
          </cell>
          <cell r="G5248" t="str">
            <v>-</v>
          </cell>
          <cell r="H5248">
            <v>5226</v>
          </cell>
          <cell r="Q5248">
            <v>14</v>
          </cell>
        </row>
        <row r="5249">
          <cell r="D5249" t="str">
            <v>68308-61-2</v>
          </cell>
          <cell r="E5249">
            <v>68308612</v>
          </cell>
          <cell r="F5249" t="str">
            <v>-</v>
          </cell>
          <cell r="G5249" t="str">
            <v>-</v>
          </cell>
          <cell r="H5249">
            <v>5227</v>
          </cell>
          <cell r="Q5249">
            <v>14</v>
          </cell>
        </row>
        <row r="5250">
          <cell r="D5250" t="str">
            <v>1190961-28-4</v>
          </cell>
          <cell r="E5250">
            <v>1190961284</v>
          </cell>
          <cell r="F5250" t="str">
            <v>-</v>
          </cell>
          <cell r="G5250" t="str">
            <v>-</v>
          </cell>
          <cell r="H5250">
            <v>5228</v>
          </cell>
          <cell r="Q5250">
            <v>14</v>
          </cell>
        </row>
        <row r="5251">
          <cell r="D5251" t="str">
            <v>1092834-40-6</v>
          </cell>
          <cell r="E5251">
            <v>1092834406</v>
          </cell>
          <cell r="F5251" t="str">
            <v>-</v>
          </cell>
          <cell r="G5251" t="str">
            <v>-</v>
          </cell>
          <cell r="H5251">
            <v>5229</v>
          </cell>
          <cell r="Q5251">
            <v>14</v>
          </cell>
        </row>
        <row r="5252">
          <cell r="D5252" t="str">
            <v>1062263-18-6</v>
          </cell>
          <cell r="E5252">
            <v>1062263186</v>
          </cell>
          <cell r="F5252" t="str">
            <v>-</v>
          </cell>
          <cell r="G5252" t="str">
            <v>-</v>
          </cell>
          <cell r="H5252">
            <v>5230</v>
          </cell>
          <cell r="Q5252">
            <v>14</v>
          </cell>
        </row>
        <row r="5253">
          <cell r="D5253" t="str">
            <v>1312021-45-6</v>
          </cell>
          <cell r="E5253">
            <v>1312021456</v>
          </cell>
          <cell r="F5253" t="str">
            <v>-</v>
          </cell>
          <cell r="G5253" t="str">
            <v>-</v>
          </cell>
          <cell r="H5253">
            <v>5231</v>
          </cell>
          <cell r="Q5253">
            <v>14</v>
          </cell>
        </row>
        <row r="5254">
          <cell r="D5254" t="str">
            <v>863782-35-8</v>
          </cell>
          <cell r="E5254">
            <v>863782358</v>
          </cell>
          <cell r="F5254" t="str">
            <v>-</v>
          </cell>
          <cell r="G5254" t="str">
            <v>-</v>
          </cell>
          <cell r="H5254">
            <v>5232</v>
          </cell>
          <cell r="Q5254">
            <v>14</v>
          </cell>
        </row>
        <row r="5255">
          <cell r="D5255" t="str">
            <v>1032192-65-6</v>
          </cell>
          <cell r="E5255">
            <v>1032192656</v>
          </cell>
          <cell r="F5255" t="str">
            <v>-</v>
          </cell>
          <cell r="G5255" t="str">
            <v>-</v>
          </cell>
          <cell r="H5255">
            <v>5233</v>
          </cell>
          <cell r="Q5255">
            <v>14</v>
          </cell>
        </row>
        <row r="5256">
          <cell r="D5256" t="str">
            <v>847488-62-4</v>
          </cell>
          <cell r="E5256">
            <v>847488624</v>
          </cell>
          <cell r="F5256" t="str">
            <v>-</v>
          </cell>
          <cell r="G5256" t="str">
            <v>-</v>
          </cell>
          <cell r="H5256">
            <v>5234</v>
          </cell>
          <cell r="Q5256">
            <v>14</v>
          </cell>
        </row>
        <row r="5257">
          <cell r="D5257" t="str">
            <v>56727-25-4</v>
          </cell>
          <cell r="E5257">
            <v>56727254</v>
          </cell>
          <cell r="F5257" t="str">
            <v>-</v>
          </cell>
          <cell r="G5257" t="str">
            <v>-</v>
          </cell>
          <cell r="H5257">
            <v>5235</v>
          </cell>
          <cell r="Q5257">
            <v>14</v>
          </cell>
        </row>
        <row r="5258">
          <cell r="D5258" t="str">
            <v>1032192-78-1</v>
          </cell>
          <cell r="E5258">
            <v>1032192781</v>
          </cell>
          <cell r="F5258" t="str">
            <v>-</v>
          </cell>
          <cell r="G5258" t="str">
            <v>-</v>
          </cell>
          <cell r="H5258">
            <v>5236</v>
          </cell>
          <cell r="Q5258">
            <v>14</v>
          </cell>
        </row>
        <row r="5259">
          <cell r="D5259" t="str">
            <v>65962-45-0</v>
          </cell>
          <cell r="E5259">
            <v>65962450</v>
          </cell>
          <cell r="F5259" t="str">
            <v>-</v>
          </cell>
          <cell r="G5259" t="str">
            <v>-</v>
          </cell>
          <cell r="H5259">
            <v>5237</v>
          </cell>
          <cell r="Q5259">
            <v>14</v>
          </cell>
        </row>
        <row r="5260">
          <cell r="D5260" t="str">
            <v>87061-04-9</v>
          </cell>
          <cell r="E5260">
            <v>87061049</v>
          </cell>
          <cell r="F5260" t="str">
            <v>-</v>
          </cell>
          <cell r="G5260" t="str">
            <v>-</v>
          </cell>
          <cell r="H5260">
            <v>5238</v>
          </cell>
          <cell r="Q5260">
            <v>14</v>
          </cell>
        </row>
        <row r="5261">
          <cell r="D5261" t="str">
            <v>54553-91-2</v>
          </cell>
          <cell r="E5261">
            <v>54553912</v>
          </cell>
          <cell r="F5261" t="str">
            <v>-</v>
          </cell>
          <cell r="G5261" t="str">
            <v>-</v>
          </cell>
          <cell r="H5261">
            <v>5239</v>
          </cell>
          <cell r="Q5261">
            <v>14</v>
          </cell>
        </row>
        <row r="5262">
          <cell r="D5262" t="str">
            <v>926-50-1</v>
          </cell>
          <cell r="E5262">
            <v>926501</v>
          </cell>
          <cell r="F5262" t="str">
            <v>-</v>
          </cell>
          <cell r="G5262" t="str">
            <v>-</v>
          </cell>
          <cell r="H5262">
            <v>5240</v>
          </cell>
          <cell r="Q5262">
            <v>14</v>
          </cell>
        </row>
        <row r="5263">
          <cell r="D5263" t="str">
            <v>89686-69-1</v>
          </cell>
          <cell r="E5263">
            <v>89686691</v>
          </cell>
          <cell r="F5263" t="str">
            <v>-</v>
          </cell>
          <cell r="G5263" t="str">
            <v>-</v>
          </cell>
          <cell r="H5263">
            <v>5241</v>
          </cell>
          <cell r="Q5263">
            <v>14</v>
          </cell>
        </row>
        <row r="5264">
          <cell r="D5264" t="str">
            <v>175481-26-2</v>
          </cell>
          <cell r="E5264">
            <v>175481262</v>
          </cell>
          <cell r="F5264" t="str">
            <v>-</v>
          </cell>
          <cell r="G5264" t="str">
            <v>-</v>
          </cell>
          <cell r="H5264">
            <v>5242</v>
          </cell>
          <cell r="Q5264">
            <v>14</v>
          </cell>
        </row>
        <row r="5265">
          <cell r="D5265" t="str">
            <v>1101874-33-2</v>
          </cell>
          <cell r="E5265">
            <v>1101874332</v>
          </cell>
          <cell r="F5265" t="str">
            <v>-</v>
          </cell>
          <cell r="G5265" t="str">
            <v>-</v>
          </cell>
          <cell r="H5265">
            <v>5243</v>
          </cell>
          <cell r="Q5265">
            <v>14</v>
          </cell>
        </row>
        <row r="5266">
          <cell r="D5266" t="str">
            <v>33422-23-0</v>
          </cell>
          <cell r="E5266">
            <v>33422230</v>
          </cell>
          <cell r="F5266" t="str">
            <v>-</v>
          </cell>
          <cell r="G5266" t="str">
            <v>-</v>
          </cell>
          <cell r="H5266">
            <v>5244</v>
          </cell>
          <cell r="Q5266">
            <v>14</v>
          </cell>
        </row>
        <row r="5267">
          <cell r="D5267" t="str">
            <v>128446-33-3</v>
          </cell>
          <cell r="E5267">
            <v>128446333</v>
          </cell>
          <cell r="F5267" t="str">
            <v>-</v>
          </cell>
          <cell r="G5267" t="str">
            <v>-</v>
          </cell>
          <cell r="H5267">
            <v>5245</v>
          </cell>
          <cell r="Q5267">
            <v>14</v>
          </cell>
        </row>
        <row r="5268">
          <cell r="D5268" t="str">
            <v>8011-86-7</v>
          </cell>
          <cell r="E5268">
            <v>8011867</v>
          </cell>
          <cell r="F5268" t="str">
            <v>-</v>
          </cell>
          <cell r="G5268" t="str">
            <v>-</v>
          </cell>
          <cell r="H5268">
            <v>5246</v>
          </cell>
          <cell r="Q5268">
            <v>14</v>
          </cell>
        </row>
        <row r="5269">
          <cell r="D5269" t="str">
            <v>1175612-76-6</v>
          </cell>
          <cell r="E5269">
            <v>1175612766</v>
          </cell>
          <cell r="F5269" t="str">
            <v>-</v>
          </cell>
          <cell r="G5269" t="str">
            <v>-</v>
          </cell>
          <cell r="H5269">
            <v>5247</v>
          </cell>
          <cell r="Q5269">
            <v>14</v>
          </cell>
        </row>
        <row r="5270">
          <cell r="D5270" t="str">
            <v>117172-56-2</v>
          </cell>
          <cell r="E5270">
            <v>117172562</v>
          </cell>
          <cell r="F5270" t="str">
            <v>-</v>
          </cell>
          <cell r="G5270" t="str">
            <v>-</v>
          </cell>
          <cell r="H5270">
            <v>5248</v>
          </cell>
          <cell r="Q5270">
            <v>14</v>
          </cell>
        </row>
        <row r="5271">
          <cell r="D5271" t="str">
            <v>16040-69-0</v>
          </cell>
          <cell r="E5271">
            <v>16040690</v>
          </cell>
          <cell r="F5271" t="str">
            <v>-</v>
          </cell>
          <cell r="G5271" t="str">
            <v>-</v>
          </cell>
          <cell r="H5271">
            <v>5249</v>
          </cell>
          <cell r="Q5271">
            <v>14</v>
          </cell>
        </row>
        <row r="5272">
          <cell r="D5272" t="str">
            <v>705283-58-5</v>
          </cell>
          <cell r="E5272">
            <v>705283585</v>
          </cell>
          <cell r="F5272" t="str">
            <v>-</v>
          </cell>
          <cell r="G5272" t="str">
            <v>-</v>
          </cell>
          <cell r="H5272">
            <v>5250</v>
          </cell>
          <cell r="Q5272">
            <v>14</v>
          </cell>
        </row>
        <row r="5273">
          <cell r="D5273" t="str">
            <v>68551-17-7</v>
          </cell>
          <cell r="E5273">
            <v>68551177</v>
          </cell>
          <cell r="F5273" t="str">
            <v>-</v>
          </cell>
          <cell r="G5273" t="str">
            <v>-</v>
          </cell>
          <cell r="H5273">
            <v>5251</v>
          </cell>
          <cell r="Q5273">
            <v>14</v>
          </cell>
        </row>
        <row r="5274">
          <cell r="D5274" t="str">
            <v>32764-98-0</v>
          </cell>
          <cell r="E5274">
            <v>32764980</v>
          </cell>
          <cell r="F5274" t="str">
            <v>-</v>
          </cell>
          <cell r="G5274" t="str">
            <v>-</v>
          </cell>
          <cell r="H5274">
            <v>5252</v>
          </cell>
          <cell r="Q5274">
            <v>14</v>
          </cell>
        </row>
        <row r="5275">
          <cell r="D5275" t="str">
            <v>1141487-54-8</v>
          </cell>
          <cell r="E5275">
            <v>1141487548</v>
          </cell>
          <cell r="F5275" t="str">
            <v>-</v>
          </cell>
          <cell r="G5275" t="str">
            <v>-</v>
          </cell>
          <cell r="H5275">
            <v>5253</v>
          </cell>
          <cell r="Q5275">
            <v>14</v>
          </cell>
        </row>
        <row r="5276">
          <cell r="D5276" t="str">
            <v>960495-42-5</v>
          </cell>
          <cell r="E5276">
            <v>960495425</v>
          </cell>
          <cell r="F5276" t="str">
            <v>-</v>
          </cell>
          <cell r="G5276" t="str">
            <v>-</v>
          </cell>
          <cell r="H5276">
            <v>5254</v>
          </cell>
          <cell r="Q5276">
            <v>14</v>
          </cell>
        </row>
        <row r="5277">
          <cell r="D5277" t="str">
            <v>1034015-52-5</v>
          </cell>
          <cell r="E5277">
            <v>1034015525</v>
          </cell>
          <cell r="F5277" t="str">
            <v>-</v>
          </cell>
          <cell r="G5277" t="str">
            <v>-</v>
          </cell>
          <cell r="H5277">
            <v>5255</v>
          </cell>
          <cell r="Q5277">
            <v>14</v>
          </cell>
        </row>
        <row r="5278">
          <cell r="D5278" t="str">
            <v>1085852-72-7</v>
          </cell>
          <cell r="E5278">
            <v>1085852727</v>
          </cell>
          <cell r="F5278" t="str">
            <v>-</v>
          </cell>
          <cell r="G5278" t="str">
            <v>-</v>
          </cell>
          <cell r="H5278">
            <v>5256</v>
          </cell>
          <cell r="Q5278">
            <v>14</v>
          </cell>
        </row>
        <row r="5279">
          <cell r="D5279" t="str">
            <v>693217-63-9</v>
          </cell>
          <cell r="E5279">
            <v>693217639</v>
          </cell>
          <cell r="F5279" t="str">
            <v>-</v>
          </cell>
          <cell r="G5279" t="str">
            <v>-</v>
          </cell>
          <cell r="H5279">
            <v>5257</v>
          </cell>
          <cell r="Q5279">
            <v>14</v>
          </cell>
        </row>
        <row r="5280">
          <cell r="D5280" t="str">
            <v>857288-56-3</v>
          </cell>
          <cell r="E5280">
            <v>857288563</v>
          </cell>
          <cell r="F5280" t="str">
            <v>-</v>
          </cell>
          <cell r="G5280" t="str">
            <v>-</v>
          </cell>
          <cell r="H5280">
            <v>5258</v>
          </cell>
          <cell r="Q5280">
            <v>14</v>
          </cell>
        </row>
        <row r="5281">
          <cell r="D5281" t="str">
            <v>6335-76-8</v>
          </cell>
          <cell r="E5281">
            <v>6335768</v>
          </cell>
          <cell r="F5281" t="str">
            <v>-</v>
          </cell>
          <cell r="G5281" t="str">
            <v>-</v>
          </cell>
          <cell r="H5281">
            <v>5259</v>
          </cell>
          <cell r="Q5281">
            <v>14</v>
          </cell>
        </row>
        <row r="5282">
          <cell r="D5282" t="str">
            <v>1246273-07-3</v>
          </cell>
          <cell r="E5282">
            <v>1246273073</v>
          </cell>
          <cell r="F5282" t="str">
            <v>-</v>
          </cell>
          <cell r="G5282" t="str">
            <v>-</v>
          </cell>
          <cell r="H5282">
            <v>5260</v>
          </cell>
          <cell r="Q5282">
            <v>14</v>
          </cell>
        </row>
        <row r="5283">
          <cell r="D5283" t="str">
            <v>1243654-79-6</v>
          </cell>
          <cell r="E5283">
            <v>1243654796</v>
          </cell>
          <cell r="F5283" t="str">
            <v>-</v>
          </cell>
          <cell r="G5283" t="str">
            <v>-</v>
          </cell>
          <cell r="H5283">
            <v>5261</v>
          </cell>
          <cell r="Q5283">
            <v>14</v>
          </cell>
        </row>
        <row r="5284">
          <cell r="D5284" t="str">
            <v>1007578-75-7</v>
          </cell>
          <cell r="E5284">
            <v>1007578757</v>
          </cell>
          <cell r="F5284" t="str">
            <v>-</v>
          </cell>
          <cell r="G5284" t="str">
            <v>-</v>
          </cell>
          <cell r="H5284">
            <v>5262</v>
          </cell>
          <cell r="Q5284">
            <v>14</v>
          </cell>
        </row>
        <row r="5285">
          <cell r="D5285" t="str">
            <v>1007553-30-1</v>
          </cell>
          <cell r="E5285">
            <v>1007553301</v>
          </cell>
          <cell r="F5285" t="str">
            <v>-</v>
          </cell>
          <cell r="G5285" t="str">
            <v>-</v>
          </cell>
          <cell r="H5285">
            <v>5263</v>
          </cell>
          <cell r="Q5285">
            <v>14</v>
          </cell>
        </row>
        <row r="5286">
          <cell r="D5286" t="str">
            <v>1350725-68-6</v>
          </cell>
          <cell r="E5286">
            <v>1350725686</v>
          </cell>
          <cell r="F5286" t="str">
            <v>-</v>
          </cell>
          <cell r="G5286" t="str">
            <v>-</v>
          </cell>
          <cell r="H5286">
            <v>5264</v>
          </cell>
          <cell r="Q5286">
            <v>14</v>
          </cell>
        </row>
        <row r="5287">
          <cell r="D5287" t="str">
            <v>1220100-43-5</v>
          </cell>
          <cell r="E5287">
            <v>1220100435</v>
          </cell>
          <cell r="F5287" t="str">
            <v>-</v>
          </cell>
          <cell r="G5287" t="str">
            <v>-</v>
          </cell>
          <cell r="H5287">
            <v>5265</v>
          </cell>
          <cell r="Q5287">
            <v>14</v>
          </cell>
        </row>
        <row r="5288">
          <cell r="D5288" t="str">
            <v>1190931-34-0</v>
          </cell>
          <cell r="E5288">
            <v>1190931340</v>
          </cell>
          <cell r="F5288" t="str">
            <v>-</v>
          </cell>
          <cell r="G5288" t="str">
            <v>-</v>
          </cell>
          <cell r="H5288">
            <v>5266</v>
          </cell>
          <cell r="Q5288">
            <v>14</v>
          </cell>
        </row>
        <row r="5289">
          <cell r="D5289" t="str">
            <v>101541-04-2</v>
          </cell>
          <cell r="E5289">
            <v>101541042</v>
          </cell>
          <cell r="F5289" t="str">
            <v>-</v>
          </cell>
          <cell r="G5289" t="str">
            <v>-</v>
          </cell>
          <cell r="H5289">
            <v>5267</v>
          </cell>
          <cell r="Q5289">
            <v>14</v>
          </cell>
        </row>
        <row r="5290">
          <cell r="D5290" t="str">
            <v>1254940-85-6</v>
          </cell>
          <cell r="E5290">
            <v>1254940856</v>
          </cell>
          <cell r="F5290" t="str">
            <v>-</v>
          </cell>
          <cell r="G5290" t="str">
            <v>-</v>
          </cell>
          <cell r="H5290">
            <v>5268</v>
          </cell>
          <cell r="Q5290">
            <v>14</v>
          </cell>
        </row>
        <row r="5291">
          <cell r="D5291" t="str">
            <v>90480-71-0</v>
          </cell>
          <cell r="E5291">
            <v>90480710</v>
          </cell>
          <cell r="F5291" t="str">
            <v>-</v>
          </cell>
          <cell r="G5291" t="str">
            <v>-</v>
          </cell>
          <cell r="H5291">
            <v>5269</v>
          </cell>
          <cell r="Q5291">
            <v>14</v>
          </cell>
        </row>
        <row r="5292">
          <cell r="D5292" t="str">
            <v>10305-38-1</v>
          </cell>
          <cell r="E5292">
            <v>10305381</v>
          </cell>
          <cell r="F5292" t="str">
            <v>-</v>
          </cell>
          <cell r="G5292" t="str">
            <v>-</v>
          </cell>
          <cell r="H5292">
            <v>5270</v>
          </cell>
          <cell r="Q5292">
            <v>14</v>
          </cell>
        </row>
        <row r="5295">
          <cell r="J5295">
            <v>0</v>
          </cell>
          <cell r="K5295">
            <v>0</v>
          </cell>
          <cell r="L5295">
            <v>0</v>
          </cell>
          <cell r="M5295">
            <v>0</v>
          </cell>
          <cell r="N5295">
            <v>0</v>
          </cell>
          <cell r="O5295">
            <v>0</v>
          </cell>
          <cell r="P5295">
            <v>0</v>
          </cell>
        </row>
        <row r="5301">
          <cell r="D5301" t="str">
            <v>68334-30-5</v>
          </cell>
          <cell r="E5301">
            <v>68334305</v>
          </cell>
          <cell r="F5301" t="str">
            <v>-</v>
          </cell>
          <cell r="G5301" t="str">
            <v>-</v>
          </cell>
          <cell r="H5301">
            <v>5272</v>
          </cell>
          <cell r="Q5301">
            <v>14</v>
          </cell>
        </row>
        <row r="5302">
          <cell r="D5302" t="str">
            <v>68476-33-5</v>
          </cell>
          <cell r="E5302">
            <v>68476335</v>
          </cell>
          <cell r="F5302" t="str">
            <v>-</v>
          </cell>
          <cell r="G5302" t="str">
            <v>-</v>
          </cell>
          <cell r="H5302">
            <v>5273</v>
          </cell>
          <cell r="Q5302">
            <v>14</v>
          </cell>
        </row>
        <row r="5303">
          <cell r="D5303" t="str">
            <v>86290-81-5</v>
          </cell>
          <cell r="E5303">
            <v>86290815</v>
          </cell>
          <cell r="F5303" t="str">
            <v>-</v>
          </cell>
          <cell r="G5303" t="str">
            <v>-</v>
          </cell>
          <cell r="H5303">
            <v>5274</v>
          </cell>
          <cell r="Q5303">
            <v>14</v>
          </cell>
        </row>
        <row r="5304">
          <cell r="D5304" t="str">
            <v>8008-20-6</v>
          </cell>
          <cell r="E5304">
            <v>8008206</v>
          </cell>
          <cell r="F5304" t="str">
            <v>-</v>
          </cell>
          <cell r="G5304" t="str">
            <v>-</v>
          </cell>
          <cell r="H5304">
            <v>5275</v>
          </cell>
          <cell r="Q5304">
            <v>14</v>
          </cell>
        </row>
        <row r="5305">
          <cell r="D5305" t="str">
            <v>68333-22-2</v>
          </cell>
          <cell r="E5305">
            <v>68333222</v>
          </cell>
          <cell r="F5305" t="str">
            <v>-</v>
          </cell>
          <cell r="G5305" t="str">
            <v>-</v>
          </cell>
          <cell r="H5305">
            <v>5276</v>
          </cell>
          <cell r="Q5305">
            <v>14</v>
          </cell>
        </row>
        <row r="5306">
          <cell r="D5306" t="str">
            <v>64741-45-3</v>
          </cell>
          <cell r="E5306">
            <v>64741453</v>
          </cell>
          <cell r="F5306" t="str">
            <v>-</v>
          </cell>
          <cell r="G5306" t="str">
            <v>-</v>
          </cell>
          <cell r="H5306">
            <v>5277</v>
          </cell>
          <cell r="Q5306">
            <v>14</v>
          </cell>
        </row>
        <row r="5307">
          <cell r="D5307" t="str">
            <v>68814-87-9</v>
          </cell>
          <cell r="E5307">
            <v>68814879</v>
          </cell>
          <cell r="F5307" t="str">
            <v>-</v>
          </cell>
          <cell r="G5307" t="str">
            <v>-</v>
          </cell>
          <cell r="H5307">
            <v>5278</v>
          </cell>
          <cell r="Q5307">
            <v>14</v>
          </cell>
        </row>
        <row r="5308">
          <cell r="D5308" t="str">
            <v>64741-57-7</v>
          </cell>
          <cell r="E5308">
            <v>64741577</v>
          </cell>
          <cell r="F5308" t="str">
            <v>-</v>
          </cell>
          <cell r="G5308" t="str">
            <v>-</v>
          </cell>
          <cell r="H5308">
            <v>5279</v>
          </cell>
          <cell r="Q5308">
            <v>14</v>
          </cell>
        </row>
        <row r="5309">
          <cell r="D5309" t="str">
            <v>64741-42-0</v>
          </cell>
          <cell r="E5309">
            <v>64741420</v>
          </cell>
          <cell r="F5309" t="str">
            <v>-</v>
          </cell>
          <cell r="G5309" t="str">
            <v>-</v>
          </cell>
          <cell r="H5309">
            <v>5280</v>
          </cell>
          <cell r="Q5309">
            <v>14</v>
          </cell>
        </row>
        <row r="5310">
          <cell r="D5310" t="str">
            <v>64741-56-6</v>
          </cell>
          <cell r="E5310">
            <v>64741566</v>
          </cell>
          <cell r="F5310" t="str">
            <v>-</v>
          </cell>
          <cell r="G5310" t="str">
            <v>-</v>
          </cell>
          <cell r="H5310">
            <v>5281</v>
          </cell>
          <cell r="Q5310">
            <v>14</v>
          </cell>
        </row>
        <row r="5311">
          <cell r="D5311" t="str">
            <v>64742-81-0</v>
          </cell>
          <cell r="E5311">
            <v>64742810</v>
          </cell>
          <cell r="F5311" t="str">
            <v>-</v>
          </cell>
          <cell r="G5311" t="str">
            <v>-</v>
          </cell>
          <cell r="H5311">
            <v>5282</v>
          </cell>
          <cell r="Q5311">
            <v>14</v>
          </cell>
        </row>
        <row r="5312">
          <cell r="D5312" t="str">
            <v>64742-80-9</v>
          </cell>
          <cell r="E5312">
            <v>64742809</v>
          </cell>
          <cell r="F5312" t="str">
            <v>-</v>
          </cell>
          <cell r="G5312" t="str">
            <v>-</v>
          </cell>
          <cell r="H5312">
            <v>5283</v>
          </cell>
          <cell r="Q5312">
            <v>14</v>
          </cell>
        </row>
        <row r="5313">
          <cell r="D5313" t="str">
            <v>70592-78-8</v>
          </cell>
          <cell r="E5313">
            <v>70592788</v>
          </cell>
          <cell r="F5313" t="str">
            <v>-</v>
          </cell>
          <cell r="G5313" t="str">
            <v>-</v>
          </cell>
          <cell r="H5313">
            <v>5284</v>
          </cell>
          <cell r="Q5313">
            <v>14</v>
          </cell>
        </row>
        <row r="5314">
          <cell r="D5314" t="str">
            <v>91770-15-9</v>
          </cell>
          <cell r="E5314">
            <v>91770159</v>
          </cell>
          <cell r="F5314" t="str">
            <v>-</v>
          </cell>
          <cell r="G5314" t="str">
            <v>-</v>
          </cell>
          <cell r="H5314">
            <v>5285</v>
          </cell>
          <cell r="Q5314">
            <v>14</v>
          </cell>
        </row>
        <row r="5315">
          <cell r="D5315" t="str">
            <v>64741-58-8</v>
          </cell>
          <cell r="E5315">
            <v>64741588</v>
          </cell>
          <cell r="F5315" t="str">
            <v>-</v>
          </cell>
          <cell r="G5315" t="str">
            <v>-</v>
          </cell>
          <cell r="H5315">
            <v>5286</v>
          </cell>
          <cell r="Q5315">
            <v>14</v>
          </cell>
        </row>
        <row r="5316">
          <cell r="D5316" t="str">
            <v>68955-35-1</v>
          </cell>
          <cell r="E5316">
            <v>68955351</v>
          </cell>
          <cell r="F5316" t="str">
            <v>-</v>
          </cell>
          <cell r="G5316" t="str">
            <v>-</v>
          </cell>
          <cell r="H5316">
            <v>5287</v>
          </cell>
          <cell r="Q5316">
            <v>14</v>
          </cell>
        </row>
        <row r="5317">
          <cell r="D5317" t="str">
            <v>68955-27-1</v>
          </cell>
          <cell r="E5317">
            <v>68955271</v>
          </cell>
          <cell r="F5317" t="str">
            <v>-</v>
          </cell>
          <cell r="G5317" t="str">
            <v>-</v>
          </cell>
          <cell r="H5317">
            <v>5288</v>
          </cell>
          <cell r="Q5317">
            <v>14</v>
          </cell>
        </row>
        <row r="5318">
          <cell r="D5318" t="str">
            <v>64741-43-1</v>
          </cell>
          <cell r="E5318">
            <v>64741431</v>
          </cell>
          <cell r="F5318" t="str">
            <v>-</v>
          </cell>
          <cell r="G5318" t="str">
            <v>-</v>
          </cell>
          <cell r="H5318">
            <v>5289</v>
          </cell>
          <cell r="Q5318">
            <v>14</v>
          </cell>
        </row>
        <row r="5319">
          <cell r="D5319" t="str">
            <v>8052-42-4</v>
          </cell>
          <cell r="E5319">
            <v>8052424</v>
          </cell>
          <cell r="F5319" t="str">
            <v>-</v>
          </cell>
          <cell r="G5319" t="str">
            <v>-</v>
          </cell>
          <cell r="H5319">
            <v>5290</v>
          </cell>
          <cell r="Q5319">
            <v>14</v>
          </cell>
        </row>
        <row r="5320">
          <cell r="D5320" t="str">
            <v>64741-59-9</v>
          </cell>
          <cell r="E5320">
            <v>64741599</v>
          </cell>
          <cell r="F5320" t="str">
            <v>-</v>
          </cell>
          <cell r="G5320" t="str">
            <v>-</v>
          </cell>
          <cell r="H5320">
            <v>5291</v>
          </cell>
          <cell r="Q5320">
            <v>14</v>
          </cell>
        </row>
        <row r="5321">
          <cell r="D5321" t="str">
            <v>64741-80-6</v>
          </cell>
          <cell r="E5321">
            <v>64741806</v>
          </cell>
          <cell r="F5321" t="str">
            <v>-</v>
          </cell>
          <cell r="G5321" t="str">
            <v>-</v>
          </cell>
          <cell r="H5321">
            <v>5292</v>
          </cell>
          <cell r="Q5321">
            <v>14</v>
          </cell>
        </row>
        <row r="5322">
          <cell r="D5322" t="str">
            <v>68919-37-9</v>
          </cell>
          <cell r="E5322">
            <v>68919379</v>
          </cell>
          <cell r="F5322" t="str">
            <v>-</v>
          </cell>
          <cell r="G5322" t="str">
            <v>-</v>
          </cell>
          <cell r="H5322">
            <v>5293</v>
          </cell>
          <cell r="Q5322">
            <v>14</v>
          </cell>
        </row>
        <row r="5323">
          <cell r="D5323" t="str">
            <v>64741-55-5</v>
          </cell>
          <cell r="E5323">
            <v>64741555</v>
          </cell>
          <cell r="F5323" t="str">
            <v>-</v>
          </cell>
          <cell r="G5323" t="str">
            <v>-</v>
          </cell>
          <cell r="H5323">
            <v>5294</v>
          </cell>
          <cell r="Q5323">
            <v>14</v>
          </cell>
        </row>
        <row r="5324">
          <cell r="D5324" t="str">
            <v>64741-46-4</v>
          </cell>
          <cell r="E5324">
            <v>64741464</v>
          </cell>
          <cell r="F5324" t="str">
            <v>-</v>
          </cell>
          <cell r="G5324" t="str">
            <v>-</v>
          </cell>
          <cell r="H5324">
            <v>5295</v>
          </cell>
          <cell r="Q5324">
            <v>14</v>
          </cell>
        </row>
        <row r="5325">
          <cell r="D5325" t="str">
            <v>64742-73-0</v>
          </cell>
          <cell r="E5325">
            <v>64742730</v>
          </cell>
          <cell r="F5325" t="str">
            <v>-</v>
          </cell>
          <cell r="G5325" t="str">
            <v>-</v>
          </cell>
          <cell r="H5325">
            <v>5296</v>
          </cell>
          <cell r="Q5325">
            <v>14</v>
          </cell>
        </row>
        <row r="5326">
          <cell r="D5326" t="str">
            <v>68476-34-6</v>
          </cell>
          <cell r="E5326">
            <v>68476346</v>
          </cell>
          <cell r="F5326" t="str">
            <v>-</v>
          </cell>
          <cell r="G5326" t="str">
            <v>-</v>
          </cell>
          <cell r="H5326">
            <v>5297</v>
          </cell>
          <cell r="Q5326">
            <v>14</v>
          </cell>
        </row>
        <row r="5327">
          <cell r="D5327" t="str">
            <v>64741-41-9</v>
          </cell>
          <cell r="E5327">
            <v>64741419</v>
          </cell>
          <cell r="F5327" t="str">
            <v>-</v>
          </cell>
          <cell r="G5327" t="str">
            <v>-</v>
          </cell>
          <cell r="H5327">
            <v>5298</v>
          </cell>
          <cell r="Q5327">
            <v>14</v>
          </cell>
        </row>
        <row r="5328">
          <cell r="D5328" t="str">
            <v>64741-75-9</v>
          </cell>
          <cell r="E5328">
            <v>64741759</v>
          </cell>
          <cell r="F5328" t="str">
            <v>-</v>
          </cell>
          <cell r="G5328" t="str">
            <v>-</v>
          </cell>
          <cell r="H5328">
            <v>5299</v>
          </cell>
          <cell r="Q5328">
            <v>14</v>
          </cell>
        </row>
        <row r="5329">
          <cell r="D5329" t="str">
            <v>74869-22-0</v>
          </cell>
          <cell r="E5329">
            <v>74869220</v>
          </cell>
          <cell r="F5329" t="str">
            <v>-</v>
          </cell>
          <cell r="G5329" t="str">
            <v>-</v>
          </cell>
          <cell r="H5329">
            <v>5300</v>
          </cell>
          <cell r="Q5329">
            <v>14</v>
          </cell>
        </row>
        <row r="5330">
          <cell r="D5330" t="str">
            <v>64742-86-5</v>
          </cell>
          <cell r="E5330">
            <v>64742865</v>
          </cell>
          <cell r="F5330" t="str">
            <v>-</v>
          </cell>
          <cell r="G5330" t="str">
            <v>-</v>
          </cell>
          <cell r="H5330">
            <v>5301</v>
          </cell>
          <cell r="Q5330">
            <v>14</v>
          </cell>
        </row>
        <row r="5331">
          <cell r="D5331" t="str">
            <v>64742-48-9</v>
          </cell>
          <cell r="E5331">
            <v>64742489</v>
          </cell>
          <cell r="F5331" t="str">
            <v>-</v>
          </cell>
          <cell r="G5331" t="str">
            <v>-</v>
          </cell>
          <cell r="H5331">
            <v>5302</v>
          </cell>
          <cell r="Q5331">
            <v>14</v>
          </cell>
        </row>
        <row r="5332">
          <cell r="D5332" t="str">
            <v>64742-46-7</v>
          </cell>
          <cell r="E5332">
            <v>64742467</v>
          </cell>
          <cell r="F5332" t="str">
            <v>-</v>
          </cell>
          <cell r="G5332" t="str">
            <v>-</v>
          </cell>
          <cell r="H5332">
            <v>5303</v>
          </cell>
          <cell r="Q5332">
            <v>14</v>
          </cell>
        </row>
        <row r="5333">
          <cell r="D5333" t="str">
            <v>64742-79-6</v>
          </cell>
          <cell r="E5333">
            <v>64742796</v>
          </cell>
          <cell r="F5333" t="str">
            <v>-</v>
          </cell>
          <cell r="G5333" t="str">
            <v>-</v>
          </cell>
          <cell r="H5333">
            <v>5304</v>
          </cell>
          <cell r="Q5333">
            <v>14</v>
          </cell>
        </row>
        <row r="5334">
          <cell r="D5334" t="str">
            <v>64741-70-4</v>
          </cell>
          <cell r="E5334">
            <v>64741704</v>
          </cell>
          <cell r="F5334" t="str">
            <v>-</v>
          </cell>
          <cell r="G5334" t="str">
            <v>-</v>
          </cell>
          <cell r="H5334">
            <v>5305</v>
          </cell>
          <cell r="Q5334">
            <v>14</v>
          </cell>
        </row>
        <row r="5335">
          <cell r="D5335" t="str">
            <v>92045-59-5</v>
          </cell>
          <cell r="E5335">
            <v>92045595</v>
          </cell>
          <cell r="F5335" t="str">
            <v>-</v>
          </cell>
          <cell r="G5335" t="str">
            <v>-</v>
          </cell>
          <cell r="H5335">
            <v>5306</v>
          </cell>
          <cell r="Q5335">
            <v>14</v>
          </cell>
        </row>
        <row r="5336">
          <cell r="D5336" t="str">
            <v>64741-54-4</v>
          </cell>
          <cell r="E5336">
            <v>64741544</v>
          </cell>
          <cell r="F5336" t="str">
            <v>-</v>
          </cell>
          <cell r="G5336" t="str">
            <v>-</v>
          </cell>
          <cell r="H5336">
            <v>5307</v>
          </cell>
          <cell r="Q5336">
            <v>14</v>
          </cell>
        </row>
        <row r="5337">
          <cell r="D5337" t="str">
            <v>64741-77-1</v>
          </cell>
          <cell r="E5337">
            <v>64741771</v>
          </cell>
          <cell r="F5337" t="str">
            <v>-</v>
          </cell>
          <cell r="G5337" t="str">
            <v>-</v>
          </cell>
          <cell r="H5337">
            <v>5308</v>
          </cell>
          <cell r="Q5337">
            <v>14</v>
          </cell>
        </row>
        <row r="5338">
          <cell r="D5338" t="str">
            <v>64741-68-0</v>
          </cell>
          <cell r="E5338">
            <v>64741680</v>
          </cell>
          <cell r="F5338" t="str">
            <v>-</v>
          </cell>
          <cell r="G5338" t="str">
            <v>-</v>
          </cell>
          <cell r="H5338">
            <v>5309</v>
          </cell>
          <cell r="Q5338">
            <v>14</v>
          </cell>
        </row>
        <row r="5339">
          <cell r="D5339" t="str">
            <v>92062-05-0</v>
          </cell>
          <cell r="E5339">
            <v>92062050</v>
          </cell>
          <cell r="F5339" t="str">
            <v>-</v>
          </cell>
          <cell r="G5339" t="str">
            <v>-</v>
          </cell>
          <cell r="H5339">
            <v>5310</v>
          </cell>
          <cell r="Q5339">
            <v>14</v>
          </cell>
        </row>
        <row r="5340">
          <cell r="D5340" t="str">
            <v>64741-63-5</v>
          </cell>
          <cell r="E5340">
            <v>64741635</v>
          </cell>
          <cell r="F5340" t="str">
            <v>-</v>
          </cell>
          <cell r="G5340" t="str">
            <v>-</v>
          </cell>
          <cell r="H5340">
            <v>5311</v>
          </cell>
          <cell r="Q5340">
            <v>14</v>
          </cell>
        </row>
        <row r="5341">
          <cell r="D5341" t="str">
            <v>68915-96-8</v>
          </cell>
          <cell r="E5341">
            <v>68915968</v>
          </cell>
          <cell r="F5341" t="str">
            <v>-</v>
          </cell>
          <cell r="G5341" t="str">
            <v>-</v>
          </cell>
          <cell r="H5341">
            <v>5312</v>
          </cell>
          <cell r="Q5341">
            <v>14</v>
          </cell>
        </row>
        <row r="5342">
          <cell r="D5342" t="str">
            <v>64741-44-2</v>
          </cell>
          <cell r="E5342">
            <v>64741442</v>
          </cell>
          <cell r="F5342" t="str">
            <v>-</v>
          </cell>
          <cell r="G5342" t="str">
            <v>-</v>
          </cell>
          <cell r="H5342">
            <v>5313</v>
          </cell>
          <cell r="Q5342">
            <v>14</v>
          </cell>
        </row>
        <row r="5343">
          <cell r="D5343" t="str">
            <v>64741-82-8</v>
          </cell>
          <cell r="E5343">
            <v>64741828</v>
          </cell>
          <cell r="F5343" t="str">
            <v>-</v>
          </cell>
          <cell r="G5343" t="str">
            <v>-</v>
          </cell>
          <cell r="H5343">
            <v>5314</v>
          </cell>
          <cell r="Q5343">
            <v>14</v>
          </cell>
        </row>
        <row r="5344">
          <cell r="D5344" t="str">
            <v>64742-49-0</v>
          </cell>
          <cell r="E5344">
            <v>64742490</v>
          </cell>
          <cell r="F5344" t="str">
            <v>-</v>
          </cell>
          <cell r="G5344" t="str">
            <v>-</v>
          </cell>
          <cell r="H5344">
            <v>5315</v>
          </cell>
          <cell r="Q5344">
            <v>14</v>
          </cell>
        </row>
        <row r="5345">
          <cell r="D5345" t="str">
            <v>92061-97-7</v>
          </cell>
          <cell r="E5345">
            <v>92061977</v>
          </cell>
          <cell r="F5345" t="str">
            <v>-</v>
          </cell>
          <cell r="G5345" t="str">
            <v>-</v>
          </cell>
          <cell r="H5345">
            <v>5316</v>
          </cell>
          <cell r="Q5345">
            <v>14</v>
          </cell>
        </row>
        <row r="5346">
          <cell r="D5346" t="str">
            <v>68783-12-0</v>
          </cell>
          <cell r="E5346">
            <v>68783120</v>
          </cell>
          <cell r="F5346" t="str">
            <v>-</v>
          </cell>
          <cell r="G5346" t="str">
            <v>-</v>
          </cell>
          <cell r="H5346">
            <v>5317</v>
          </cell>
          <cell r="Q5346">
            <v>14</v>
          </cell>
        </row>
        <row r="5347">
          <cell r="D5347" t="str">
            <v>64741-87-3</v>
          </cell>
          <cell r="E5347">
            <v>64741873</v>
          </cell>
          <cell r="F5347" t="str">
            <v>-</v>
          </cell>
          <cell r="G5347" t="str">
            <v>-</v>
          </cell>
          <cell r="H5347">
            <v>5318</v>
          </cell>
          <cell r="Q5347">
            <v>14</v>
          </cell>
        </row>
        <row r="5348">
          <cell r="D5348" t="str">
            <v>64741-51-1</v>
          </cell>
          <cell r="E5348">
            <v>64741511</v>
          </cell>
          <cell r="F5348" t="str">
            <v>-</v>
          </cell>
          <cell r="G5348" t="str">
            <v>-</v>
          </cell>
          <cell r="H5348">
            <v>5319</v>
          </cell>
          <cell r="Q5348">
            <v>14</v>
          </cell>
        </row>
        <row r="5349">
          <cell r="D5349" t="str">
            <v>68553-00-4</v>
          </cell>
          <cell r="E5349">
            <v>68553004</v>
          </cell>
          <cell r="F5349" t="str">
            <v>-</v>
          </cell>
          <cell r="G5349" t="str">
            <v>-</v>
          </cell>
          <cell r="H5349">
            <v>5320</v>
          </cell>
          <cell r="Q5349">
            <v>14</v>
          </cell>
        </row>
        <row r="5350">
          <cell r="D5350" t="str">
            <v>68527-27-5</v>
          </cell>
          <cell r="E5350">
            <v>68527275</v>
          </cell>
          <cell r="F5350" t="str">
            <v>-</v>
          </cell>
          <cell r="G5350" t="str">
            <v>-</v>
          </cell>
          <cell r="H5350">
            <v>5321</v>
          </cell>
          <cell r="Q5350">
            <v>14</v>
          </cell>
        </row>
        <row r="5351">
          <cell r="D5351" t="str">
            <v>92045-52-8</v>
          </cell>
          <cell r="E5351">
            <v>92045528</v>
          </cell>
          <cell r="F5351" t="str">
            <v>-</v>
          </cell>
          <cell r="G5351" t="str">
            <v>-</v>
          </cell>
          <cell r="H5351">
            <v>5322</v>
          </cell>
          <cell r="Q5351">
            <v>14</v>
          </cell>
        </row>
        <row r="5352">
          <cell r="D5352" t="str">
            <v>64741-76-0</v>
          </cell>
          <cell r="E5352">
            <v>64741760</v>
          </cell>
          <cell r="F5352" t="str">
            <v>-</v>
          </cell>
          <cell r="G5352" t="str">
            <v>-</v>
          </cell>
          <cell r="H5352">
            <v>5323</v>
          </cell>
          <cell r="Q5352">
            <v>14</v>
          </cell>
        </row>
        <row r="5353">
          <cell r="D5353" t="str">
            <v>64742-93-4</v>
          </cell>
          <cell r="E5353">
            <v>64742934</v>
          </cell>
          <cell r="F5353" t="str">
            <v>-</v>
          </cell>
          <cell r="G5353" t="str">
            <v>-</v>
          </cell>
          <cell r="H5353">
            <v>5324</v>
          </cell>
          <cell r="Q5353">
            <v>14</v>
          </cell>
        </row>
        <row r="5354">
          <cell r="D5354" t="str">
            <v>68476-30-2</v>
          </cell>
          <cell r="E5354">
            <v>68476302</v>
          </cell>
          <cell r="F5354" t="str">
            <v>-</v>
          </cell>
          <cell r="G5354" t="str">
            <v>-</v>
          </cell>
          <cell r="H5354">
            <v>5325</v>
          </cell>
          <cell r="Q5354">
            <v>14</v>
          </cell>
        </row>
        <row r="5355">
          <cell r="D5355" t="str">
            <v>68333-25-5</v>
          </cell>
          <cell r="E5355">
            <v>68333255</v>
          </cell>
          <cell r="F5355" t="str">
            <v>-</v>
          </cell>
          <cell r="G5355" t="str">
            <v>-</v>
          </cell>
          <cell r="H5355">
            <v>5326</v>
          </cell>
          <cell r="Q5355">
            <v>14</v>
          </cell>
        </row>
        <row r="5356">
          <cell r="D5356" t="str">
            <v>64742-59-2</v>
          </cell>
          <cell r="E5356">
            <v>64742592</v>
          </cell>
          <cell r="F5356" t="str">
            <v>-</v>
          </cell>
          <cell r="G5356" t="str">
            <v>-</v>
          </cell>
          <cell r="H5356">
            <v>5327</v>
          </cell>
          <cell r="Q5356">
            <v>14</v>
          </cell>
        </row>
        <row r="5357">
          <cell r="D5357" t="str">
            <v>70592-77-7</v>
          </cell>
          <cell r="E5357">
            <v>70592777</v>
          </cell>
          <cell r="F5357" t="str">
            <v>-</v>
          </cell>
          <cell r="G5357" t="str">
            <v>-</v>
          </cell>
          <cell r="H5357">
            <v>5328</v>
          </cell>
          <cell r="Q5357">
            <v>14</v>
          </cell>
        </row>
        <row r="5358">
          <cell r="D5358" t="str">
            <v>101795-01-1</v>
          </cell>
          <cell r="E5358">
            <v>101795011</v>
          </cell>
          <cell r="F5358" t="str">
            <v>-</v>
          </cell>
          <cell r="G5358" t="str">
            <v>-</v>
          </cell>
          <cell r="H5358">
            <v>5329</v>
          </cell>
          <cell r="Q5358">
            <v>14</v>
          </cell>
        </row>
        <row r="5359">
          <cell r="D5359" t="str">
            <v>64742-65-0</v>
          </cell>
          <cell r="E5359">
            <v>64742650</v>
          </cell>
          <cell r="F5359" t="str">
            <v>-</v>
          </cell>
          <cell r="G5359" t="str">
            <v>-</v>
          </cell>
          <cell r="H5359">
            <v>5330</v>
          </cell>
          <cell r="Q5359">
            <v>14</v>
          </cell>
        </row>
        <row r="5360">
          <cell r="D5360" t="str">
            <v>64742-82-1</v>
          </cell>
          <cell r="E5360">
            <v>64742821</v>
          </cell>
          <cell r="F5360" t="str">
            <v>-</v>
          </cell>
          <cell r="G5360" t="str">
            <v>-</v>
          </cell>
          <cell r="H5360">
            <v>5331</v>
          </cell>
          <cell r="Q5360">
            <v>14</v>
          </cell>
        </row>
        <row r="5361">
          <cell r="D5361" t="str">
            <v>90669-76-4</v>
          </cell>
          <cell r="E5361">
            <v>90669764</v>
          </cell>
          <cell r="F5361" t="str">
            <v>-</v>
          </cell>
          <cell r="G5361" t="str">
            <v>-</v>
          </cell>
          <cell r="H5361">
            <v>5332</v>
          </cell>
          <cell r="Q5361">
            <v>14</v>
          </cell>
        </row>
        <row r="5362">
          <cell r="D5362" t="str">
            <v>68476-52-8</v>
          </cell>
          <cell r="E5362">
            <v>68476528</v>
          </cell>
          <cell r="F5362" t="str">
            <v>-</v>
          </cell>
          <cell r="G5362" t="str">
            <v>-</v>
          </cell>
          <cell r="H5362">
            <v>5333</v>
          </cell>
          <cell r="Q5362">
            <v>14</v>
          </cell>
        </row>
        <row r="5363">
          <cell r="D5363" t="str">
            <v>68476-26-6</v>
          </cell>
          <cell r="E5363">
            <v>68476266</v>
          </cell>
          <cell r="F5363" t="str">
            <v>-</v>
          </cell>
          <cell r="G5363" t="str">
            <v>-</v>
          </cell>
          <cell r="H5363">
            <v>5334</v>
          </cell>
          <cell r="Q5363">
            <v>14</v>
          </cell>
        </row>
        <row r="5364">
          <cell r="D5364" t="str">
            <v>1330-20-7</v>
          </cell>
          <cell r="E5364">
            <v>1330207</v>
          </cell>
          <cell r="F5364" t="str">
            <v>-</v>
          </cell>
          <cell r="G5364" t="str">
            <v>-</v>
          </cell>
          <cell r="H5364">
            <v>5335</v>
          </cell>
          <cell r="Q5364">
            <v>14</v>
          </cell>
        </row>
        <row r="5365">
          <cell r="D5365" t="str">
            <v>68606-10-0</v>
          </cell>
          <cell r="E5365">
            <v>68606100</v>
          </cell>
          <cell r="F5365" t="str">
            <v>-</v>
          </cell>
          <cell r="G5365" t="str">
            <v>-</v>
          </cell>
          <cell r="H5365">
            <v>5336</v>
          </cell>
          <cell r="Q5365">
            <v>14</v>
          </cell>
        </row>
        <row r="5366">
          <cell r="D5366" t="str">
            <v>70592-76-6</v>
          </cell>
          <cell r="E5366">
            <v>70592766</v>
          </cell>
          <cell r="F5366" t="str">
            <v>-</v>
          </cell>
          <cell r="G5366" t="str">
            <v>-</v>
          </cell>
          <cell r="H5366">
            <v>5337</v>
          </cell>
          <cell r="Q5366">
            <v>14</v>
          </cell>
        </row>
        <row r="5367">
          <cell r="D5367" t="str">
            <v>64741-81-7</v>
          </cell>
          <cell r="E5367">
            <v>64741817</v>
          </cell>
          <cell r="F5367" t="str">
            <v>-</v>
          </cell>
          <cell r="G5367" t="str">
            <v>-</v>
          </cell>
          <cell r="H5367">
            <v>5338</v>
          </cell>
          <cell r="Q5367">
            <v>14</v>
          </cell>
        </row>
        <row r="5368">
          <cell r="D5368" t="str">
            <v>64741-64-6</v>
          </cell>
          <cell r="E5368">
            <v>64741646</v>
          </cell>
          <cell r="F5368" t="str">
            <v>-</v>
          </cell>
          <cell r="G5368" t="str">
            <v>-</v>
          </cell>
          <cell r="H5368">
            <v>5339</v>
          </cell>
          <cell r="Q5368">
            <v>14</v>
          </cell>
        </row>
        <row r="5369">
          <cell r="D5369" t="str">
            <v>64741-69-1</v>
          </cell>
          <cell r="E5369">
            <v>64741691</v>
          </cell>
          <cell r="F5369" t="str">
            <v>-</v>
          </cell>
          <cell r="G5369" t="str">
            <v>-</v>
          </cell>
          <cell r="H5369">
            <v>5340</v>
          </cell>
          <cell r="Q5369">
            <v>14</v>
          </cell>
        </row>
        <row r="5370">
          <cell r="D5370" t="str">
            <v>68475-70-7</v>
          </cell>
          <cell r="E5370">
            <v>68475707</v>
          </cell>
          <cell r="F5370" t="str">
            <v>-</v>
          </cell>
          <cell r="G5370" t="str">
            <v>-</v>
          </cell>
          <cell r="H5370">
            <v>5341</v>
          </cell>
          <cell r="Q5370">
            <v>14</v>
          </cell>
        </row>
        <row r="5371">
          <cell r="D5371" t="str">
            <v>64741-78-2</v>
          </cell>
          <cell r="E5371">
            <v>64741782</v>
          </cell>
          <cell r="F5371" t="str">
            <v>-</v>
          </cell>
          <cell r="G5371" t="str">
            <v>-</v>
          </cell>
          <cell r="H5371">
            <v>5342</v>
          </cell>
          <cell r="Q5371">
            <v>14</v>
          </cell>
        </row>
        <row r="5372">
          <cell r="D5372" t="str">
            <v>64741-84-0</v>
          </cell>
          <cell r="E5372">
            <v>64741840</v>
          </cell>
          <cell r="F5372" t="str">
            <v>-</v>
          </cell>
          <cell r="G5372" t="str">
            <v>-</v>
          </cell>
          <cell r="H5372">
            <v>5343</v>
          </cell>
          <cell r="Q5372">
            <v>14</v>
          </cell>
        </row>
        <row r="5373">
          <cell r="D5373" t="str">
            <v>68607-30-7</v>
          </cell>
          <cell r="E5373">
            <v>68607307</v>
          </cell>
          <cell r="F5373" t="str">
            <v>-</v>
          </cell>
          <cell r="G5373" t="str">
            <v>-</v>
          </cell>
          <cell r="H5373">
            <v>5344</v>
          </cell>
          <cell r="Q5373">
            <v>14</v>
          </cell>
        </row>
        <row r="5374">
          <cell r="D5374" t="str">
            <v>92045-23-3</v>
          </cell>
          <cell r="E5374">
            <v>92045233</v>
          </cell>
          <cell r="F5374" t="str">
            <v>-</v>
          </cell>
          <cell r="G5374" t="str">
            <v>-</v>
          </cell>
          <cell r="H5374">
            <v>5345</v>
          </cell>
          <cell r="Q5374">
            <v>14</v>
          </cell>
        </row>
        <row r="5375">
          <cell r="D5375" t="str">
            <v>64741-88-4</v>
          </cell>
          <cell r="E5375">
            <v>64741884</v>
          </cell>
          <cell r="F5375" t="str">
            <v>-</v>
          </cell>
          <cell r="G5375" t="str">
            <v>-</v>
          </cell>
          <cell r="H5375">
            <v>5346</v>
          </cell>
          <cell r="Q5375">
            <v>14</v>
          </cell>
        </row>
        <row r="5376">
          <cell r="D5376" t="str">
            <v>93571-75-6</v>
          </cell>
          <cell r="E5376">
            <v>93571756</v>
          </cell>
          <cell r="F5376" t="str">
            <v>-</v>
          </cell>
          <cell r="G5376" t="str">
            <v>-</v>
          </cell>
          <cell r="H5376">
            <v>5347</v>
          </cell>
          <cell r="Q5376">
            <v>14</v>
          </cell>
        </row>
        <row r="5377">
          <cell r="D5377" t="str">
            <v>64742-83-2</v>
          </cell>
          <cell r="E5377">
            <v>64742832</v>
          </cell>
          <cell r="F5377" t="str">
            <v>-</v>
          </cell>
          <cell r="G5377" t="str">
            <v>-</v>
          </cell>
          <cell r="H5377">
            <v>5348</v>
          </cell>
          <cell r="Q5377">
            <v>14</v>
          </cell>
        </row>
        <row r="5378">
          <cell r="D5378" t="str">
            <v>68783-08-4</v>
          </cell>
          <cell r="E5378">
            <v>68783084</v>
          </cell>
          <cell r="F5378" t="str">
            <v>-</v>
          </cell>
          <cell r="G5378" t="str">
            <v>-</v>
          </cell>
          <cell r="H5378">
            <v>5349</v>
          </cell>
          <cell r="Q5378">
            <v>14</v>
          </cell>
        </row>
        <row r="5379">
          <cell r="D5379" t="str">
            <v>68955-28-2</v>
          </cell>
          <cell r="E5379">
            <v>68955282</v>
          </cell>
          <cell r="F5379" t="str">
            <v>-</v>
          </cell>
          <cell r="G5379" t="str">
            <v>-</v>
          </cell>
          <cell r="H5379">
            <v>5350</v>
          </cell>
          <cell r="Q5379">
            <v>14</v>
          </cell>
        </row>
        <row r="5380">
          <cell r="D5380" t="str">
            <v>64742-47-8</v>
          </cell>
          <cell r="E5380">
            <v>64742478</v>
          </cell>
          <cell r="F5380" t="str">
            <v>-</v>
          </cell>
          <cell r="G5380" t="str">
            <v>-</v>
          </cell>
          <cell r="H5380">
            <v>5351</v>
          </cell>
          <cell r="Q5380">
            <v>14</v>
          </cell>
        </row>
        <row r="5381">
          <cell r="D5381" t="str">
            <v>68527-23-1</v>
          </cell>
          <cell r="E5381">
            <v>68527231</v>
          </cell>
          <cell r="F5381" t="str">
            <v>-</v>
          </cell>
          <cell r="G5381" t="str">
            <v>-</v>
          </cell>
          <cell r="H5381">
            <v>5352</v>
          </cell>
          <cell r="Q5381">
            <v>14</v>
          </cell>
        </row>
        <row r="5382">
          <cell r="D5382" t="str">
            <v>64741-62-4</v>
          </cell>
          <cell r="E5382">
            <v>64741624</v>
          </cell>
          <cell r="F5382" t="str">
            <v>-</v>
          </cell>
          <cell r="G5382" t="str">
            <v>-</v>
          </cell>
          <cell r="H5382">
            <v>5353</v>
          </cell>
          <cell r="Q5382">
            <v>14</v>
          </cell>
        </row>
        <row r="5383">
          <cell r="D5383" t="str">
            <v>64741-60-2</v>
          </cell>
          <cell r="E5383">
            <v>64741602</v>
          </cell>
          <cell r="F5383" t="str">
            <v>-</v>
          </cell>
          <cell r="G5383" t="str">
            <v>-</v>
          </cell>
          <cell r="H5383">
            <v>5354</v>
          </cell>
          <cell r="Q5383">
            <v>14</v>
          </cell>
        </row>
        <row r="5384">
          <cell r="D5384" t="str">
            <v>92045-29-9</v>
          </cell>
          <cell r="E5384">
            <v>92045299</v>
          </cell>
          <cell r="F5384" t="str">
            <v>-</v>
          </cell>
          <cell r="G5384" t="str">
            <v>-</v>
          </cell>
          <cell r="H5384">
            <v>5355</v>
          </cell>
          <cell r="Q5384">
            <v>14</v>
          </cell>
        </row>
        <row r="5385">
          <cell r="D5385" t="str">
            <v>64742-54-7</v>
          </cell>
          <cell r="E5385">
            <v>64742547</v>
          </cell>
          <cell r="F5385" t="str">
            <v>-</v>
          </cell>
          <cell r="G5385" t="str">
            <v>-</v>
          </cell>
          <cell r="H5385">
            <v>5356</v>
          </cell>
          <cell r="Q5385">
            <v>14</v>
          </cell>
        </row>
        <row r="5386">
          <cell r="D5386" t="str">
            <v>68606-11-1</v>
          </cell>
          <cell r="E5386">
            <v>68606111</v>
          </cell>
          <cell r="F5386" t="str">
            <v>-</v>
          </cell>
          <cell r="G5386" t="str">
            <v>-</v>
          </cell>
          <cell r="H5386">
            <v>5357</v>
          </cell>
          <cell r="Q5386">
            <v>14</v>
          </cell>
        </row>
        <row r="5387">
          <cell r="D5387" t="str">
            <v>92045-14-2</v>
          </cell>
          <cell r="E5387">
            <v>92045142</v>
          </cell>
          <cell r="F5387" t="str">
            <v>-</v>
          </cell>
          <cell r="G5387" t="str">
            <v>-</v>
          </cell>
          <cell r="H5387">
            <v>5358</v>
          </cell>
          <cell r="Q5387">
            <v>14</v>
          </cell>
        </row>
        <row r="5388">
          <cell r="D5388" t="str">
            <v>64742-04-7</v>
          </cell>
          <cell r="E5388">
            <v>64742047</v>
          </cell>
          <cell r="F5388" t="str">
            <v>-</v>
          </cell>
          <cell r="G5388" t="str">
            <v>-</v>
          </cell>
          <cell r="H5388">
            <v>5359</v>
          </cell>
          <cell r="Q5388">
            <v>14</v>
          </cell>
        </row>
        <row r="5389">
          <cell r="D5389" t="str">
            <v>68921-67-5</v>
          </cell>
          <cell r="E5389">
            <v>68921675</v>
          </cell>
          <cell r="F5389" t="str">
            <v>-</v>
          </cell>
          <cell r="G5389" t="str">
            <v>-</v>
          </cell>
          <cell r="H5389">
            <v>5360</v>
          </cell>
          <cell r="Q5389">
            <v>14</v>
          </cell>
        </row>
        <row r="5390">
          <cell r="D5390" t="str">
            <v>68476-55-1</v>
          </cell>
          <cell r="E5390">
            <v>68476551</v>
          </cell>
          <cell r="F5390" t="str">
            <v>-</v>
          </cell>
          <cell r="G5390" t="str">
            <v>-</v>
          </cell>
          <cell r="H5390">
            <v>5361</v>
          </cell>
          <cell r="Q5390">
            <v>14</v>
          </cell>
        </row>
        <row r="5391">
          <cell r="D5391" t="str">
            <v>93572-29-3</v>
          </cell>
          <cell r="E5391">
            <v>93572293</v>
          </cell>
          <cell r="F5391" t="str">
            <v>-</v>
          </cell>
          <cell r="G5391" t="str">
            <v>-</v>
          </cell>
          <cell r="H5391">
            <v>5362</v>
          </cell>
          <cell r="Q5391">
            <v>14</v>
          </cell>
        </row>
        <row r="5392">
          <cell r="D5392" t="str">
            <v>68477-53-2</v>
          </cell>
          <cell r="E5392">
            <v>68477532</v>
          </cell>
          <cell r="F5392" t="str">
            <v>-</v>
          </cell>
          <cell r="G5392" t="str">
            <v>-</v>
          </cell>
          <cell r="H5392">
            <v>5363</v>
          </cell>
          <cell r="Q5392">
            <v>14</v>
          </cell>
        </row>
        <row r="5393">
          <cell r="D5393" t="str">
            <v>68989-88-8</v>
          </cell>
          <cell r="E5393">
            <v>68989888</v>
          </cell>
          <cell r="F5393" t="str">
            <v>-</v>
          </cell>
          <cell r="G5393" t="str">
            <v>-</v>
          </cell>
          <cell r="H5393">
            <v>5364</v>
          </cell>
          <cell r="Q5393">
            <v>14</v>
          </cell>
        </row>
        <row r="5394">
          <cell r="D5394" t="str">
            <v>64742-78-5</v>
          </cell>
          <cell r="E5394">
            <v>64742785</v>
          </cell>
          <cell r="F5394" t="str">
            <v>-</v>
          </cell>
          <cell r="G5394" t="str">
            <v>-</v>
          </cell>
          <cell r="H5394">
            <v>5365</v>
          </cell>
          <cell r="Q5394">
            <v>14</v>
          </cell>
        </row>
        <row r="5395">
          <cell r="D5395" t="str">
            <v>68915-97-9</v>
          </cell>
          <cell r="E5395">
            <v>68915979</v>
          </cell>
          <cell r="F5395" t="str">
            <v>-</v>
          </cell>
          <cell r="G5395" t="str">
            <v>-</v>
          </cell>
          <cell r="H5395">
            <v>5366</v>
          </cell>
          <cell r="Q5395">
            <v>14</v>
          </cell>
        </row>
        <row r="5396">
          <cell r="D5396" t="str">
            <v>64742-87-6</v>
          </cell>
          <cell r="E5396">
            <v>64742876</v>
          </cell>
          <cell r="F5396" t="str">
            <v>-</v>
          </cell>
          <cell r="G5396" t="str">
            <v>-</v>
          </cell>
          <cell r="H5396">
            <v>5367</v>
          </cell>
          <cell r="Q5396">
            <v>14</v>
          </cell>
        </row>
        <row r="5397">
          <cell r="D5397" t="str">
            <v>64741-50-0</v>
          </cell>
          <cell r="E5397">
            <v>64741500</v>
          </cell>
          <cell r="F5397" t="str">
            <v>-</v>
          </cell>
          <cell r="G5397" t="str">
            <v>-</v>
          </cell>
          <cell r="H5397">
            <v>5368</v>
          </cell>
          <cell r="Q5397">
            <v>14</v>
          </cell>
        </row>
        <row r="5398">
          <cell r="D5398" t="str">
            <v>8030-30-6</v>
          </cell>
          <cell r="E5398">
            <v>8030306</v>
          </cell>
          <cell r="F5398" t="str">
            <v>-</v>
          </cell>
          <cell r="G5398" t="str">
            <v>-</v>
          </cell>
          <cell r="H5398">
            <v>5369</v>
          </cell>
          <cell r="Q5398">
            <v>14</v>
          </cell>
        </row>
        <row r="5399">
          <cell r="D5399" t="str">
            <v>68478-17-1</v>
          </cell>
          <cell r="E5399">
            <v>68478171</v>
          </cell>
          <cell r="F5399" t="str">
            <v>-</v>
          </cell>
          <cell r="G5399" t="str">
            <v>-</v>
          </cell>
          <cell r="H5399">
            <v>5370</v>
          </cell>
          <cell r="Q5399">
            <v>14</v>
          </cell>
        </row>
        <row r="5400">
          <cell r="D5400" t="str">
            <v>64742-90-1</v>
          </cell>
          <cell r="E5400">
            <v>64742901</v>
          </cell>
          <cell r="F5400" t="str">
            <v>-</v>
          </cell>
          <cell r="G5400" t="str">
            <v>-</v>
          </cell>
          <cell r="H5400">
            <v>5371</v>
          </cell>
          <cell r="Q5400">
            <v>14</v>
          </cell>
        </row>
        <row r="5401">
          <cell r="D5401" t="str">
            <v>68783-07-3</v>
          </cell>
          <cell r="E5401">
            <v>68783073</v>
          </cell>
          <cell r="F5401" t="str">
            <v>-</v>
          </cell>
          <cell r="G5401" t="str">
            <v>-</v>
          </cell>
          <cell r="H5401">
            <v>5372</v>
          </cell>
          <cell r="Q5401">
            <v>14</v>
          </cell>
        </row>
        <row r="5402">
          <cell r="D5402" t="str">
            <v>68955-29-3</v>
          </cell>
          <cell r="E5402">
            <v>68955293</v>
          </cell>
          <cell r="F5402" t="str">
            <v>-</v>
          </cell>
          <cell r="G5402" t="str">
            <v>-</v>
          </cell>
          <cell r="H5402">
            <v>5373</v>
          </cell>
          <cell r="Q5402">
            <v>14</v>
          </cell>
        </row>
        <row r="5403">
          <cell r="D5403" t="str">
            <v>68921-08-4</v>
          </cell>
          <cell r="E5403">
            <v>68921084</v>
          </cell>
          <cell r="F5403" t="str">
            <v>-</v>
          </cell>
          <cell r="G5403" t="str">
            <v>-</v>
          </cell>
          <cell r="H5403">
            <v>5374</v>
          </cell>
          <cell r="Q5403">
            <v>14</v>
          </cell>
        </row>
        <row r="5404">
          <cell r="D5404" t="str">
            <v>64742-89-8</v>
          </cell>
          <cell r="E5404">
            <v>64742898</v>
          </cell>
          <cell r="F5404" t="str">
            <v>-</v>
          </cell>
          <cell r="G5404" t="str">
            <v>-</v>
          </cell>
          <cell r="H5404">
            <v>5375</v>
          </cell>
          <cell r="Q5404">
            <v>14</v>
          </cell>
        </row>
        <row r="5405">
          <cell r="D5405" t="str">
            <v>64741-95-3</v>
          </cell>
          <cell r="E5405">
            <v>64741953</v>
          </cell>
          <cell r="F5405" t="str">
            <v>-</v>
          </cell>
          <cell r="G5405" t="str">
            <v>-</v>
          </cell>
          <cell r="H5405">
            <v>5376</v>
          </cell>
          <cell r="Q5405">
            <v>14</v>
          </cell>
        </row>
        <row r="5406">
          <cell r="D5406" t="str">
            <v>92045-37-9</v>
          </cell>
          <cell r="E5406">
            <v>92045379</v>
          </cell>
          <cell r="F5406" t="str">
            <v>-</v>
          </cell>
          <cell r="G5406" t="str">
            <v>-</v>
          </cell>
          <cell r="H5406">
            <v>5377</v>
          </cell>
          <cell r="Q5406">
            <v>14</v>
          </cell>
        </row>
        <row r="5407">
          <cell r="D5407" t="str">
            <v>68606-26-8</v>
          </cell>
          <cell r="E5407">
            <v>68606268</v>
          </cell>
          <cell r="F5407" t="str">
            <v>-</v>
          </cell>
          <cell r="G5407" t="str">
            <v>-</v>
          </cell>
          <cell r="H5407">
            <v>5378</v>
          </cell>
          <cell r="Q5407">
            <v>14</v>
          </cell>
        </row>
        <row r="5408">
          <cell r="D5408" t="str">
            <v>91723-50-1</v>
          </cell>
          <cell r="E5408">
            <v>91723501</v>
          </cell>
          <cell r="F5408" t="str">
            <v>-</v>
          </cell>
          <cell r="G5408" t="str">
            <v>-</v>
          </cell>
          <cell r="H5408">
            <v>5379</v>
          </cell>
          <cell r="Q5408">
            <v>14</v>
          </cell>
        </row>
        <row r="5409">
          <cell r="D5409" t="str">
            <v>68513-02-0</v>
          </cell>
          <cell r="E5409">
            <v>68513020</v>
          </cell>
          <cell r="F5409" t="str">
            <v>-</v>
          </cell>
          <cell r="G5409" t="str">
            <v>-</v>
          </cell>
          <cell r="H5409">
            <v>5380</v>
          </cell>
          <cell r="Q5409">
            <v>14</v>
          </cell>
        </row>
        <row r="5410">
          <cell r="D5410" t="str">
            <v>91995-50-5</v>
          </cell>
          <cell r="E5410">
            <v>91995505</v>
          </cell>
          <cell r="F5410" t="str">
            <v>-</v>
          </cell>
          <cell r="G5410" t="str">
            <v>-</v>
          </cell>
          <cell r="H5410">
            <v>5381</v>
          </cell>
          <cell r="Q5410">
            <v>14</v>
          </cell>
        </row>
        <row r="5411">
          <cell r="D5411" t="str">
            <v>68516-20-1</v>
          </cell>
          <cell r="E5411">
            <v>68516201</v>
          </cell>
          <cell r="F5411" t="str">
            <v>-</v>
          </cell>
          <cell r="G5411" t="str">
            <v>-</v>
          </cell>
          <cell r="H5411">
            <v>5382</v>
          </cell>
          <cell r="Q5411">
            <v>14</v>
          </cell>
        </row>
        <row r="5412">
          <cell r="D5412" t="str">
            <v>64741-47-5</v>
          </cell>
          <cell r="E5412">
            <v>64741475</v>
          </cell>
          <cell r="F5412" t="str">
            <v>-</v>
          </cell>
          <cell r="G5412" t="str">
            <v>-</v>
          </cell>
          <cell r="H5412">
            <v>5383</v>
          </cell>
          <cell r="Q5412">
            <v>14</v>
          </cell>
        </row>
        <row r="5413">
          <cell r="D5413" t="str">
            <v>68476-50-6</v>
          </cell>
          <cell r="E5413">
            <v>68476506</v>
          </cell>
          <cell r="F5413" t="str">
            <v>-</v>
          </cell>
          <cell r="G5413" t="str">
            <v>-</v>
          </cell>
          <cell r="H5413">
            <v>5384</v>
          </cell>
          <cell r="Q5413">
            <v>14</v>
          </cell>
        </row>
        <row r="5414">
          <cell r="D5414" t="str">
            <v>64741-61-3</v>
          </cell>
          <cell r="E5414">
            <v>64741613</v>
          </cell>
          <cell r="F5414" t="str">
            <v>-</v>
          </cell>
          <cell r="G5414" t="str">
            <v>-</v>
          </cell>
          <cell r="H5414">
            <v>5385</v>
          </cell>
          <cell r="Q5414">
            <v>14</v>
          </cell>
        </row>
        <row r="5415">
          <cell r="D5415" t="str">
            <v>94114-03-1</v>
          </cell>
          <cell r="E5415">
            <v>94114031</v>
          </cell>
          <cell r="F5415" t="str">
            <v>-</v>
          </cell>
          <cell r="G5415" t="str">
            <v>-</v>
          </cell>
          <cell r="H5415">
            <v>5386</v>
          </cell>
          <cell r="Q5415">
            <v>14</v>
          </cell>
        </row>
        <row r="5416">
          <cell r="D5416" t="str">
            <v>64742-61-6</v>
          </cell>
          <cell r="E5416">
            <v>64742616</v>
          </cell>
          <cell r="F5416" t="str">
            <v>-</v>
          </cell>
          <cell r="G5416" t="str">
            <v>-</v>
          </cell>
          <cell r="H5416">
            <v>5387</v>
          </cell>
          <cell r="Q5416">
            <v>14</v>
          </cell>
        </row>
        <row r="5417">
          <cell r="D5417" t="str">
            <v>68476-32-4</v>
          </cell>
          <cell r="E5417">
            <v>68476324</v>
          </cell>
          <cell r="F5417" t="str">
            <v>-</v>
          </cell>
          <cell r="G5417" t="str">
            <v>-</v>
          </cell>
          <cell r="H5417">
            <v>5388</v>
          </cell>
          <cell r="Q5417">
            <v>14</v>
          </cell>
        </row>
        <row r="5418">
          <cell r="D5418" t="str">
            <v>64741-89-5</v>
          </cell>
          <cell r="E5418">
            <v>64741895</v>
          </cell>
          <cell r="F5418" t="str">
            <v>-</v>
          </cell>
          <cell r="G5418" t="str">
            <v>-</v>
          </cell>
          <cell r="H5418">
            <v>5389</v>
          </cell>
          <cell r="Q5418">
            <v>14</v>
          </cell>
        </row>
        <row r="5419">
          <cell r="D5419" t="str">
            <v>68514-79-4</v>
          </cell>
          <cell r="E5419">
            <v>68514794</v>
          </cell>
          <cell r="F5419" t="str">
            <v>-</v>
          </cell>
          <cell r="G5419" t="str">
            <v>-</v>
          </cell>
          <cell r="H5419">
            <v>5390</v>
          </cell>
          <cell r="Q5419">
            <v>14</v>
          </cell>
        </row>
        <row r="5420">
          <cell r="D5420" t="str">
            <v>64742-95-6</v>
          </cell>
          <cell r="E5420">
            <v>64742956</v>
          </cell>
          <cell r="F5420" t="str">
            <v>-</v>
          </cell>
          <cell r="G5420" t="str">
            <v>-</v>
          </cell>
          <cell r="H5420">
            <v>5391</v>
          </cell>
          <cell r="Q5420">
            <v>14</v>
          </cell>
        </row>
        <row r="5421">
          <cell r="D5421" t="str">
            <v>8006-61-9</v>
          </cell>
          <cell r="E5421">
            <v>8006619</v>
          </cell>
          <cell r="F5421" t="str">
            <v>-</v>
          </cell>
          <cell r="G5421" t="str">
            <v>-</v>
          </cell>
          <cell r="H5421">
            <v>5392</v>
          </cell>
          <cell r="Q5421">
            <v>14</v>
          </cell>
        </row>
        <row r="5422">
          <cell r="D5422" t="str">
            <v>68476-46-0</v>
          </cell>
          <cell r="E5422">
            <v>68476460</v>
          </cell>
          <cell r="F5422" t="str">
            <v>-</v>
          </cell>
          <cell r="G5422" t="str">
            <v>-</v>
          </cell>
          <cell r="H5422">
            <v>5393</v>
          </cell>
          <cell r="Q5422">
            <v>14</v>
          </cell>
        </row>
        <row r="5423">
          <cell r="D5423" t="str">
            <v>64742-01-4</v>
          </cell>
          <cell r="E5423">
            <v>64742014</v>
          </cell>
          <cell r="F5423" t="str">
            <v>-</v>
          </cell>
          <cell r="G5423" t="str">
            <v>-</v>
          </cell>
          <cell r="H5423">
            <v>5394</v>
          </cell>
          <cell r="Q5423">
            <v>14</v>
          </cell>
        </row>
        <row r="5424">
          <cell r="D5424" t="str">
            <v>68513-69-9</v>
          </cell>
          <cell r="E5424">
            <v>68513699</v>
          </cell>
          <cell r="F5424" t="str">
            <v>-</v>
          </cell>
          <cell r="G5424" t="str">
            <v>-</v>
          </cell>
          <cell r="H5424">
            <v>5395</v>
          </cell>
          <cell r="Q5424">
            <v>14</v>
          </cell>
        </row>
        <row r="5425">
          <cell r="D5425" t="str">
            <v>68308-27-0</v>
          </cell>
          <cell r="E5425">
            <v>68308270</v>
          </cell>
          <cell r="F5425" t="str">
            <v>-</v>
          </cell>
          <cell r="G5425" t="str">
            <v>-</v>
          </cell>
          <cell r="H5425">
            <v>5396</v>
          </cell>
          <cell r="Q5425">
            <v>14</v>
          </cell>
        </row>
        <row r="5426">
          <cell r="D5426" t="str">
            <v>93165-19-6</v>
          </cell>
          <cell r="E5426">
            <v>93165196</v>
          </cell>
          <cell r="F5426" t="str">
            <v>-</v>
          </cell>
          <cell r="G5426" t="str">
            <v>-</v>
          </cell>
          <cell r="H5426">
            <v>5397</v>
          </cell>
          <cell r="Q5426">
            <v>14</v>
          </cell>
        </row>
        <row r="5427">
          <cell r="D5427" t="str">
            <v>68783-66-4</v>
          </cell>
          <cell r="E5427">
            <v>68783664</v>
          </cell>
          <cell r="F5427" t="str">
            <v>-</v>
          </cell>
          <cell r="G5427" t="str">
            <v>-</v>
          </cell>
          <cell r="H5427">
            <v>5398</v>
          </cell>
          <cell r="Q5427">
            <v>14</v>
          </cell>
        </row>
        <row r="5428">
          <cell r="D5428" t="str">
            <v>64742-62-7</v>
          </cell>
          <cell r="E5428">
            <v>64742627</v>
          </cell>
          <cell r="F5428" t="str">
            <v>-</v>
          </cell>
          <cell r="G5428" t="str">
            <v>-</v>
          </cell>
          <cell r="H5428">
            <v>5399</v>
          </cell>
          <cell r="Q5428">
            <v>14</v>
          </cell>
        </row>
        <row r="5429">
          <cell r="D5429" t="str">
            <v>68476-85-7</v>
          </cell>
          <cell r="E5429">
            <v>68476857</v>
          </cell>
          <cell r="F5429" t="str">
            <v>-</v>
          </cell>
          <cell r="G5429" t="str">
            <v>-</v>
          </cell>
          <cell r="H5429">
            <v>5400</v>
          </cell>
          <cell r="Q5429">
            <v>14</v>
          </cell>
        </row>
        <row r="5430">
          <cell r="D5430" t="str">
            <v>64741-74-8</v>
          </cell>
          <cell r="E5430">
            <v>64741748</v>
          </cell>
          <cell r="F5430" t="str">
            <v>-</v>
          </cell>
          <cell r="G5430" t="str">
            <v>-</v>
          </cell>
          <cell r="H5430">
            <v>5401</v>
          </cell>
          <cell r="Q5430">
            <v>14</v>
          </cell>
        </row>
        <row r="5431">
          <cell r="D5431" t="str">
            <v>68476-31-3</v>
          </cell>
          <cell r="E5431">
            <v>68476313</v>
          </cell>
          <cell r="F5431" t="str">
            <v>-</v>
          </cell>
          <cell r="G5431" t="str">
            <v>-</v>
          </cell>
          <cell r="H5431">
            <v>5402</v>
          </cell>
          <cell r="Q5431">
            <v>14</v>
          </cell>
        </row>
        <row r="5432">
          <cell r="D5432" t="str">
            <v>68477-90-7</v>
          </cell>
          <cell r="E5432">
            <v>68477907</v>
          </cell>
          <cell r="F5432" t="str">
            <v>-</v>
          </cell>
          <cell r="G5432" t="str">
            <v>-</v>
          </cell>
          <cell r="H5432">
            <v>5403</v>
          </cell>
          <cell r="Q5432">
            <v>14</v>
          </cell>
        </row>
        <row r="5433">
          <cell r="D5433" t="str">
            <v>91995-38-9</v>
          </cell>
          <cell r="E5433">
            <v>91995389</v>
          </cell>
          <cell r="F5433" t="str">
            <v>-</v>
          </cell>
          <cell r="G5433" t="str">
            <v>-</v>
          </cell>
          <cell r="H5433">
            <v>5404</v>
          </cell>
          <cell r="Q5433">
            <v>14</v>
          </cell>
        </row>
        <row r="5434">
          <cell r="D5434" t="str">
            <v>100684-40-0</v>
          </cell>
          <cell r="E5434">
            <v>100684400</v>
          </cell>
          <cell r="F5434" t="str">
            <v>-</v>
          </cell>
          <cell r="G5434" t="str">
            <v>-</v>
          </cell>
          <cell r="H5434">
            <v>5405</v>
          </cell>
          <cell r="Q5434">
            <v>14</v>
          </cell>
        </row>
        <row r="5435">
          <cell r="D5435" t="str">
            <v>91995-18-5</v>
          </cell>
          <cell r="E5435">
            <v>91995185</v>
          </cell>
          <cell r="F5435" t="str">
            <v>-</v>
          </cell>
          <cell r="G5435" t="str">
            <v>-</v>
          </cell>
          <cell r="H5435">
            <v>5406</v>
          </cell>
          <cell r="Q5435">
            <v>14</v>
          </cell>
        </row>
        <row r="5436">
          <cell r="D5436" t="str">
            <v>64741-49-7</v>
          </cell>
          <cell r="E5436">
            <v>64741497</v>
          </cell>
          <cell r="F5436" t="str">
            <v>-</v>
          </cell>
          <cell r="G5436" t="str">
            <v>-</v>
          </cell>
          <cell r="H5436">
            <v>5407</v>
          </cell>
          <cell r="Q5436">
            <v>14</v>
          </cell>
        </row>
        <row r="5437">
          <cell r="D5437" t="str">
            <v>64741-83-9</v>
          </cell>
          <cell r="E5437">
            <v>64741839</v>
          </cell>
          <cell r="F5437" t="str">
            <v>-</v>
          </cell>
          <cell r="G5437" t="str">
            <v>-</v>
          </cell>
          <cell r="H5437">
            <v>5408</v>
          </cell>
          <cell r="Q5437">
            <v>14</v>
          </cell>
        </row>
        <row r="5438">
          <cell r="D5438" t="str">
            <v>64742-55-8</v>
          </cell>
          <cell r="E5438">
            <v>64742558</v>
          </cell>
          <cell r="F5438" t="str">
            <v>-</v>
          </cell>
          <cell r="G5438" t="str">
            <v>-</v>
          </cell>
          <cell r="H5438">
            <v>5409</v>
          </cell>
          <cell r="Q5438">
            <v>14</v>
          </cell>
        </row>
        <row r="5439">
          <cell r="D5439" t="str">
            <v>101316-59-0</v>
          </cell>
          <cell r="E5439">
            <v>101316590</v>
          </cell>
          <cell r="F5439" t="str">
            <v>-</v>
          </cell>
          <cell r="G5439" t="str">
            <v>-</v>
          </cell>
          <cell r="H5439">
            <v>5410</v>
          </cell>
          <cell r="Q5439">
            <v>14</v>
          </cell>
        </row>
        <row r="5440">
          <cell r="D5440" t="str">
            <v>8002-74-2</v>
          </cell>
          <cell r="E5440">
            <v>8002742</v>
          </cell>
          <cell r="F5440" t="str">
            <v>-</v>
          </cell>
          <cell r="G5440" t="str">
            <v>-</v>
          </cell>
          <cell r="H5440">
            <v>5411</v>
          </cell>
          <cell r="Q5440">
            <v>14</v>
          </cell>
        </row>
        <row r="5441">
          <cell r="D5441" t="str">
            <v>68477-54-3</v>
          </cell>
          <cell r="E5441">
            <v>68477543</v>
          </cell>
          <cell r="F5441" t="str">
            <v>-</v>
          </cell>
          <cell r="G5441" t="str">
            <v>-</v>
          </cell>
          <cell r="H5441">
            <v>5412</v>
          </cell>
          <cell r="Q5441">
            <v>14</v>
          </cell>
        </row>
        <row r="5442">
          <cell r="D5442" t="str">
            <v>64742-85-4</v>
          </cell>
          <cell r="E5442">
            <v>64742854</v>
          </cell>
          <cell r="F5442" t="str">
            <v>-</v>
          </cell>
          <cell r="G5442" t="str">
            <v>-</v>
          </cell>
          <cell r="H5442">
            <v>5413</v>
          </cell>
          <cell r="Q5442">
            <v>14</v>
          </cell>
        </row>
        <row r="5443">
          <cell r="D5443" t="str">
            <v>90989-43-8</v>
          </cell>
          <cell r="E5443">
            <v>90989438</v>
          </cell>
          <cell r="F5443" t="str">
            <v>-</v>
          </cell>
          <cell r="G5443" t="str">
            <v>-</v>
          </cell>
          <cell r="H5443">
            <v>5414</v>
          </cell>
          <cell r="Q5443">
            <v>14</v>
          </cell>
        </row>
        <row r="5444">
          <cell r="D5444" t="str">
            <v>95465-89-7</v>
          </cell>
          <cell r="E5444">
            <v>95465897</v>
          </cell>
          <cell r="F5444" t="str">
            <v>-</v>
          </cell>
          <cell r="G5444" t="str">
            <v>-</v>
          </cell>
          <cell r="H5444">
            <v>5415</v>
          </cell>
          <cell r="Q5444">
            <v>14</v>
          </cell>
        </row>
        <row r="5445">
          <cell r="D5445" t="str">
            <v>72623-87-1</v>
          </cell>
          <cell r="E5445">
            <v>72623871</v>
          </cell>
          <cell r="F5445" t="str">
            <v>-</v>
          </cell>
          <cell r="G5445" t="str">
            <v>-</v>
          </cell>
          <cell r="H5445">
            <v>5416</v>
          </cell>
          <cell r="Q5445">
            <v>14</v>
          </cell>
        </row>
        <row r="5446">
          <cell r="D5446" t="str">
            <v>101316-80-7</v>
          </cell>
          <cell r="E5446">
            <v>101316807</v>
          </cell>
          <cell r="F5446" t="str">
            <v>-</v>
          </cell>
          <cell r="G5446" t="str">
            <v>-</v>
          </cell>
          <cell r="H5446">
            <v>5417</v>
          </cell>
          <cell r="Q5446">
            <v>14</v>
          </cell>
        </row>
        <row r="5447">
          <cell r="D5447" t="str">
            <v>100684-39-7</v>
          </cell>
          <cell r="E5447">
            <v>100684397</v>
          </cell>
          <cell r="F5447" t="str">
            <v>-</v>
          </cell>
          <cell r="G5447" t="str">
            <v>-</v>
          </cell>
          <cell r="H5447">
            <v>5418</v>
          </cell>
          <cell r="Q5447">
            <v>14</v>
          </cell>
        </row>
        <row r="5448">
          <cell r="D5448" t="str">
            <v>64742-94-5</v>
          </cell>
          <cell r="E5448">
            <v>64742945</v>
          </cell>
          <cell r="F5448" t="str">
            <v>-</v>
          </cell>
          <cell r="G5448" t="str">
            <v>-</v>
          </cell>
          <cell r="H5448">
            <v>5419</v>
          </cell>
          <cell r="Q5448">
            <v>14</v>
          </cell>
        </row>
        <row r="5449">
          <cell r="D5449" t="str">
            <v>91995-68-5</v>
          </cell>
          <cell r="E5449">
            <v>91995685</v>
          </cell>
          <cell r="F5449" t="str">
            <v>-</v>
          </cell>
          <cell r="G5449" t="str">
            <v>-</v>
          </cell>
          <cell r="H5449">
            <v>5420</v>
          </cell>
          <cell r="Q5449">
            <v>14</v>
          </cell>
        </row>
        <row r="5450">
          <cell r="D5450" t="str">
            <v>101316-72-7</v>
          </cell>
          <cell r="E5450">
            <v>101316727</v>
          </cell>
          <cell r="F5450" t="str">
            <v>-</v>
          </cell>
          <cell r="G5450" t="str">
            <v>-</v>
          </cell>
          <cell r="H5450">
            <v>5421</v>
          </cell>
          <cell r="Q5450">
            <v>14</v>
          </cell>
        </row>
        <row r="5451">
          <cell r="D5451" t="str">
            <v>68410-96-8</v>
          </cell>
          <cell r="E5451">
            <v>68410968</v>
          </cell>
          <cell r="F5451" t="str">
            <v>-</v>
          </cell>
          <cell r="G5451" t="str">
            <v>-</v>
          </cell>
          <cell r="H5451">
            <v>5422</v>
          </cell>
          <cell r="Q5451">
            <v>14</v>
          </cell>
        </row>
        <row r="5452">
          <cell r="D5452" t="str">
            <v>64742-52-5</v>
          </cell>
          <cell r="E5452">
            <v>64742525</v>
          </cell>
          <cell r="F5452" t="str">
            <v>-</v>
          </cell>
          <cell r="G5452" t="str">
            <v>-</v>
          </cell>
          <cell r="H5452">
            <v>5423</v>
          </cell>
          <cell r="Q5452">
            <v>14</v>
          </cell>
        </row>
        <row r="5453">
          <cell r="D5453" t="str">
            <v>102110-55-4</v>
          </cell>
          <cell r="E5453">
            <v>102110554</v>
          </cell>
          <cell r="F5453" t="str">
            <v>-</v>
          </cell>
          <cell r="G5453" t="str">
            <v>-</v>
          </cell>
          <cell r="H5453">
            <v>5424</v>
          </cell>
          <cell r="Q5453">
            <v>14</v>
          </cell>
        </row>
        <row r="5454">
          <cell r="D5454" t="str">
            <v>92045-60-8</v>
          </cell>
          <cell r="E5454">
            <v>92045608</v>
          </cell>
          <cell r="F5454" t="str">
            <v>-</v>
          </cell>
          <cell r="G5454" t="str">
            <v>-</v>
          </cell>
          <cell r="H5454">
            <v>5425</v>
          </cell>
          <cell r="Q5454">
            <v>14</v>
          </cell>
        </row>
        <row r="5455">
          <cell r="D5455" t="str">
            <v>68409-99-4</v>
          </cell>
          <cell r="E5455">
            <v>68409994</v>
          </cell>
          <cell r="F5455" t="str">
            <v>-</v>
          </cell>
          <cell r="G5455" t="str">
            <v>-</v>
          </cell>
          <cell r="H5455">
            <v>5426</v>
          </cell>
          <cell r="Q5455">
            <v>14</v>
          </cell>
        </row>
        <row r="5456">
          <cell r="D5456" t="str">
            <v>8042-47-5</v>
          </cell>
          <cell r="E5456">
            <v>8042475</v>
          </cell>
          <cell r="F5456" t="str">
            <v>-</v>
          </cell>
          <cell r="G5456" t="str">
            <v>-</v>
          </cell>
          <cell r="H5456">
            <v>5427</v>
          </cell>
          <cell r="Q5456">
            <v>14</v>
          </cell>
        </row>
        <row r="5457">
          <cell r="D5457" t="str">
            <v>68512-91-4</v>
          </cell>
          <cell r="E5457">
            <v>68512914</v>
          </cell>
          <cell r="F5457" t="str">
            <v>-</v>
          </cell>
          <cell r="G5457" t="str">
            <v>-</v>
          </cell>
          <cell r="H5457">
            <v>5428</v>
          </cell>
          <cell r="Q5457">
            <v>14</v>
          </cell>
        </row>
        <row r="5458">
          <cell r="D5458" t="str">
            <v>90669-78-6</v>
          </cell>
          <cell r="E5458">
            <v>90669786</v>
          </cell>
          <cell r="F5458" t="str">
            <v>-</v>
          </cell>
          <cell r="G5458" t="str">
            <v>-</v>
          </cell>
          <cell r="H5458">
            <v>5429</v>
          </cell>
          <cell r="Q5458">
            <v>14</v>
          </cell>
        </row>
        <row r="5459">
          <cell r="D5459" t="str">
            <v>64742-53-6</v>
          </cell>
          <cell r="E5459">
            <v>64742536</v>
          </cell>
          <cell r="F5459" t="str">
            <v>-</v>
          </cell>
          <cell r="G5459" t="str">
            <v>-</v>
          </cell>
          <cell r="H5459">
            <v>5430</v>
          </cell>
          <cell r="Q5459">
            <v>14</v>
          </cell>
        </row>
        <row r="5460">
          <cell r="D5460" t="str">
            <v>92045-50-6</v>
          </cell>
          <cell r="E5460">
            <v>92045506</v>
          </cell>
          <cell r="F5460" t="str">
            <v>-</v>
          </cell>
          <cell r="G5460" t="str">
            <v>-</v>
          </cell>
          <cell r="H5460">
            <v>5431</v>
          </cell>
          <cell r="Q5460">
            <v>14</v>
          </cell>
        </row>
        <row r="5461">
          <cell r="D5461" t="str">
            <v>90989-38-1</v>
          </cell>
          <cell r="E5461">
            <v>90989381</v>
          </cell>
          <cell r="F5461" t="str">
            <v>-</v>
          </cell>
          <cell r="G5461" t="str">
            <v>-</v>
          </cell>
          <cell r="H5461">
            <v>5432</v>
          </cell>
          <cell r="Q5461">
            <v>14</v>
          </cell>
        </row>
        <row r="5462">
          <cell r="D5462" t="str">
            <v>68477-83-8</v>
          </cell>
          <cell r="E5462">
            <v>68477838</v>
          </cell>
          <cell r="F5462" t="str">
            <v>-</v>
          </cell>
          <cell r="G5462" t="str">
            <v>-</v>
          </cell>
          <cell r="H5462">
            <v>5433</v>
          </cell>
          <cell r="Q5462">
            <v>14</v>
          </cell>
        </row>
        <row r="5463">
          <cell r="D5463" t="str">
            <v>93572-35-1</v>
          </cell>
          <cell r="E5463">
            <v>93572351</v>
          </cell>
          <cell r="F5463" t="str">
            <v>-</v>
          </cell>
          <cell r="G5463" t="str">
            <v>-</v>
          </cell>
          <cell r="H5463">
            <v>5434</v>
          </cell>
          <cell r="Q5463">
            <v>14</v>
          </cell>
        </row>
        <row r="5464">
          <cell r="D5464" t="str">
            <v>64742-10-5</v>
          </cell>
          <cell r="E5464">
            <v>64742105</v>
          </cell>
          <cell r="F5464" t="str">
            <v>-</v>
          </cell>
          <cell r="G5464" t="str">
            <v>-</v>
          </cell>
          <cell r="H5464">
            <v>5435</v>
          </cell>
          <cell r="Q5464">
            <v>14</v>
          </cell>
        </row>
        <row r="5465">
          <cell r="D5465" t="str">
            <v>101316-76-1</v>
          </cell>
          <cell r="E5465">
            <v>101316761</v>
          </cell>
          <cell r="F5465" t="str">
            <v>-</v>
          </cell>
          <cell r="G5465" t="str">
            <v>-</v>
          </cell>
          <cell r="H5465">
            <v>5436</v>
          </cell>
          <cell r="Q5465">
            <v>14</v>
          </cell>
        </row>
        <row r="5466">
          <cell r="D5466" t="str">
            <v>64742-56-9</v>
          </cell>
          <cell r="E5466">
            <v>64742569</v>
          </cell>
          <cell r="F5466" t="str">
            <v>-</v>
          </cell>
          <cell r="G5466" t="str">
            <v>-</v>
          </cell>
          <cell r="H5466">
            <v>5437</v>
          </cell>
          <cell r="Q5466">
            <v>14</v>
          </cell>
        </row>
        <row r="5467">
          <cell r="D5467" t="str">
            <v>64742-51-4</v>
          </cell>
          <cell r="E5467">
            <v>64742514</v>
          </cell>
          <cell r="F5467" t="str">
            <v>-</v>
          </cell>
          <cell r="G5467" t="str">
            <v>-</v>
          </cell>
          <cell r="H5467">
            <v>5438</v>
          </cell>
          <cell r="Q5467">
            <v>14</v>
          </cell>
        </row>
        <row r="5468">
          <cell r="D5468" t="str">
            <v>64741-72-6</v>
          </cell>
          <cell r="E5468">
            <v>64741726</v>
          </cell>
          <cell r="F5468" t="str">
            <v>-</v>
          </cell>
          <cell r="G5468" t="str">
            <v>-</v>
          </cell>
          <cell r="H5468">
            <v>5439</v>
          </cell>
          <cell r="Q5468">
            <v>14</v>
          </cell>
        </row>
        <row r="5469">
          <cell r="D5469" t="str">
            <v>85116-59-2</v>
          </cell>
          <cell r="E5469">
            <v>85116592</v>
          </cell>
          <cell r="F5469" t="str">
            <v>-</v>
          </cell>
          <cell r="G5469" t="str">
            <v>-</v>
          </cell>
          <cell r="H5469">
            <v>5440</v>
          </cell>
          <cell r="Q5469">
            <v>14</v>
          </cell>
        </row>
        <row r="5470">
          <cell r="D5470" t="str">
            <v>101316-67-0</v>
          </cell>
          <cell r="E5470">
            <v>101316670</v>
          </cell>
          <cell r="F5470" t="str">
            <v>-</v>
          </cell>
          <cell r="G5470" t="str">
            <v>-</v>
          </cell>
          <cell r="H5470">
            <v>5441</v>
          </cell>
          <cell r="Q5470">
            <v>14</v>
          </cell>
        </row>
        <row r="5471">
          <cell r="D5471" t="str">
            <v>64742-05-8</v>
          </cell>
          <cell r="E5471">
            <v>64742058</v>
          </cell>
          <cell r="F5471" t="str">
            <v>-</v>
          </cell>
          <cell r="G5471" t="str">
            <v>-</v>
          </cell>
          <cell r="H5471">
            <v>5442</v>
          </cell>
          <cell r="Q5471">
            <v>14</v>
          </cell>
        </row>
        <row r="5472">
          <cell r="D5472" t="str">
            <v>68131-75-9</v>
          </cell>
          <cell r="E5472">
            <v>68131759</v>
          </cell>
          <cell r="F5472" t="str">
            <v>-</v>
          </cell>
          <cell r="G5472" t="str">
            <v>-</v>
          </cell>
          <cell r="H5472">
            <v>5443</v>
          </cell>
          <cell r="Q5472">
            <v>14</v>
          </cell>
        </row>
        <row r="5473">
          <cell r="D5473" t="str">
            <v>93572-36-2</v>
          </cell>
          <cell r="E5473">
            <v>93572362</v>
          </cell>
          <cell r="F5473" t="str">
            <v>-</v>
          </cell>
          <cell r="G5473" t="str">
            <v>-</v>
          </cell>
          <cell r="H5473">
            <v>5444</v>
          </cell>
          <cell r="Q5473">
            <v>14</v>
          </cell>
        </row>
        <row r="5474">
          <cell r="D5474" t="str">
            <v>68410-05-9</v>
          </cell>
          <cell r="E5474">
            <v>68410059</v>
          </cell>
          <cell r="F5474" t="str">
            <v>-</v>
          </cell>
          <cell r="G5474" t="str">
            <v>-</v>
          </cell>
          <cell r="H5474">
            <v>5445</v>
          </cell>
          <cell r="Q5474">
            <v>14</v>
          </cell>
        </row>
        <row r="5475">
          <cell r="D5475" t="str">
            <v>92045-64-2</v>
          </cell>
          <cell r="E5475">
            <v>92045642</v>
          </cell>
          <cell r="F5475" t="str">
            <v>-</v>
          </cell>
          <cell r="G5475" t="str">
            <v>-</v>
          </cell>
          <cell r="H5475">
            <v>5446</v>
          </cell>
          <cell r="Q5475">
            <v>14</v>
          </cell>
        </row>
        <row r="5476">
          <cell r="D5476" t="str">
            <v>68921-07-3</v>
          </cell>
          <cell r="E5476">
            <v>68921073</v>
          </cell>
          <cell r="F5476" t="str">
            <v>-</v>
          </cell>
          <cell r="G5476" t="str">
            <v>-</v>
          </cell>
          <cell r="H5476">
            <v>5447</v>
          </cell>
          <cell r="Q5476">
            <v>14</v>
          </cell>
        </row>
        <row r="5477">
          <cell r="D5477" t="str">
            <v>68476-29-9</v>
          </cell>
          <cell r="E5477">
            <v>68476299</v>
          </cell>
          <cell r="F5477" t="str">
            <v>-</v>
          </cell>
          <cell r="G5477" t="str">
            <v>-</v>
          </cell>
          <cell r="H5477">
            <v>5448</v>
          </cell>
          <cell r="Q5477">
            <v>14</v>
          </cell>
        </row>
        <row r="5478">
          <cell r="D5478" t="str">
            <v>92045-58-4</v>
          </cell>
          <cell r="E5478">
            <v>92045584</v>
          </cell>
          <cell r="F5478" t="str">
            <v>-</v>
          </cell>
          <cell r="G5478" t="str">
            <v>-</v>
          </cell>
          <cell r="H5478">
            <v>5449</v>
          </cell>
          <cell r="Q5478">
            <v>14</v>
          </cell>
        </row>
        <row r="5479">
          <cell r="D5479" t="str">
            <v>68512-62-9</v>
          </cell>
          <cell r="E5479">
            <v>68512629</v>
          </cell>
          <cell r="F5479" t="str">
            <v>-</v>
          </cell>
          <cell r="G5479" t="str">
            <v>-</v>
          </cell>
          <cell r="H5479">
            <v>5450</v>
          </cell>
          <cell r="Q5479">
            <v>14</v>
          </cell>
        </row>
        <row r="5480">
          <cell r="D5480" t="str">
            <v>68513-03-1</v>
          </cell>
          <cell r="E5480">
            <v>68513031</v>
          </cell>
          <cell r="F5480" t="str">
            <v>-</v>
          </cell>
          <cell r="G5480" t="str">
            <v>-</v>
          </cell>
          <cell r="H5480">
            <v>5451</v>
          </cell>
          <cell r="Q5480">
            <v>14</v>
          </cell>
        </row>
        <row r="5481">
          <cell r="D5481" t="str">
            <v>90641-13-7</v>
          </cell>
          <cell r="E5481">
            <v>90641137</v>
          </cell>
          <cell r="F5481" t="str">
            <v>-</v>
          </cell>
          <cell r="G5481" t="str">
            <v>-</v>
          </cell>
          <cell r="H5481">
            <v>5452</v>
          </cell>
          <cell r="Q5481">
            <v>14</v>
          </cell>
        </row>
        <row r="5482">
          <cell r="D5482" t="str">
            <v>64741-86-2</v>
          </cell>
          <cell r="E5482">
            <v>64741862</v>
          </cell>
          <cell r="F5482" t="str">
            <v>-</v>
          </cell>
          <cell r="G5482" t="str">
            <v>-</v>
          </cell>
          <cell r="H5482">
            <v>5453</v>
          </cell>
          <cell r="Q5482">
            <v>14</v>
          </cell>
        </row>
        <row r="5483">
          <cell r="D5483" t="str">
            <v>68477-38-3</v>
          </cell>
          <cell r="E5483">
            <v>68477383</v>
          </cell>
          <cell r="F5483" t="str">
            <v>-</v>
          </cell>
          <cell r="G5483" t="str">
            <v>-</v>
          </cell>
          <cell r="H5483">
            <v>5454</v>
          </cell>
          <cell r="Q5483">
            <v>14</v>
          </cell>
        </row>
        <row r="5484">
          <cell r="D5484" t="str">
            <v>98072-36-7</v>
          </cell>
          <cell r="E5484">
            <v>98072367</v>
          </cell>
          <cell r="F5484" t="str">
            <v>-</v>
          </cell>
          <cell r="G5484" t="str">
            <v>-</v>
          </cell>
          <cell r="H5484">
            <v>5455</v>
          </cell>
          <cell r="Q5484">
            <v>14</v>
          </cell>
        </row>
        <row r="5485">
          <cell r="D5485" t="str">
            <v>68475-79-6</v>
          </cell>
          <cell r="E5485">
            <v>68475796</v>
          </cell>
          <cell r="F5485" t="str">
            <v>-</v>
          </cell>
          <cell r="G5485" t="str">
            <v>-</v>
          </cell>
          <cell r="H5485">
            <v>5456</v>
          </cell>
          <cell r="Q5485">
            <v>14</v>
          </cell>
        </row>
        <row r="5486">
          <cell r="D5486" t="str">
            <v>64741-66-8</v>
          </cell>
          <cell r="E5486">
            <v>64741668</v>
          </cell>
          <cell r="F5486" t="str">
            <v>-</v>
          </cell>
          <cell r="G5486" t="str">
            <v>-</v>
          </cell>
          <cell r="H5486">
            <v>5457</v>
          </cell>
          <cell r="Q5486">
            <v>14</v>
          </cell>
        </row>
        <row r="5487">
          <cell r="D5487" t="str">
            <v>68477-39-4</v>
          </cell>
          <cell r="E5487">
            <v>68477394</v>
          </cell>
          <cell r="F5487" t="str">
            <v>-</v>
          </cell>
          <cell r="G5487" t="str">
            <v>-</v>
          </cell>
          <cell r="H5487">
            <v>5458</v>
          </cell>
          <cell r="Q5487">
            <v>14</v>
          </cell>
        </row>
        <row r="5488">
          <cell r="D5488" t="str">
            <v>64742-57-0</v>
          </cell>
          <cell r="E5488">
            <v>64742570</v>
          </cell>
          <cell r="F5488" t="str">
            <v>-</v>
          </cell>
          <cell r="G5488" t="str">
            <v>-</v>
          </cell>
          <cell r="H5488">
            <v>5459</v>
          </cell>
          <cell r="Q5488">
            <v>14</v>
          </cell>
        </row>
        <row r="5489">
          <cell r="D5489" t="str">
            <v>93821-66-0</v>
          </cell>
          <cell r="E5489">
            <v>93821660</v>
          </cell>
          <cell r="F5489" t="str">
            <v>-</v>
          </cell>
          <cell r="G5489" t="str">
            <v>-</v>
          </cell>
          <cell r="H5489">
            <v>5460</v>
          </cell>
          <cell r="Q5489">
            <v>14</v>
          </cell>
        </row>
        <row r="5490">
          <cell r="D5490" t="str">
            <v>68475-80-9</v>
          </cell>
          <cell r="E5490">
            <v>68475809</v>
          </cell>
          <cell r="F5490" t="str">
            <v>-</v>
          </cell>
          <cell r="G5490" t="str">
            <v>-</v>
          </cell>
          <cell r="H5490">
            <v>5461</v>
          </cell>
          <cell r="Q5490">
            <v>14</v>
          </cell>
        </row>
        <row r="5491">
          <cell r="D5491" t="str">
            <v>68477-33-8</v>
          </cell>
          <cell r="E5491">
            <v>68477338</v>
          </cell>
          <cell r="F5491" t="str">
            <v>-</v>
          </cell>
          <cell r="G5491" t="str">
            <v>-</v>
          </cell>
          <cell r="H5491">
            <v>5462</v>
          </cell>
          <cell r="Q5491">
            <v>14</v>
          </cell>
        </row>
        <row r="5492">
          <cell r="D5492" t="str">
            <v>64742-67-2</v>
          </cell>
          <cell r="E5492">
            <v>64742672</v>
          </cell>
          <cell r="F5492" t="str">
            <v>-</v>
          </cell>
          <cell r="G5492" t="str">
            <v>-</v>
          </cell>
          <cell r="H5492">
            <v>5463</v>
          </cell>
          <cell r="Q5492">
            <v>14</v>
          </cell>
        </row>
        <row r="5493">
          <cell r="D5493" t="str">
            <v>92045-57-3</v>
          </cell>
          <cell r="E5493">
            <v>92045573</v>
          </cell>
          <cell r="F5493" t="str">
            <v>-</v>
          </cell>
          <cell r="G5493" t="str">
            <v>-</v>
          </cell>
          <cell r="H5493">
            <v>5464</v>
          </cell>
          <cell r="Q5493">
            <v>14</v>
          </cell>
        </row>
        <row r="5494">
          <cell r="D5494" t="str">
            <v>92045-63-1</v>
          </cell>
          <cell r="E5494">
            <v>92045631</v>
          </cell>
          <cell r="F5494" t="str">
            <v>-</v>
          </cell>
          <cell r="G5494" t="str">
            <v>-</v>
          </cell>
          <cell r="H5494">
            <v>5465</v>
          </cell>
          <cell r="Q5494">
            <v>14</v>
          </cell>
        </row>
        <row r="5495">
          <cell r="D5495" t="str">
            <v>64741-52-2</v>
          </cell>
          <cell r="E5495">
            <v>64741522</v>
          </cell>
          <cell r="F5495" t="str">
            <v>-</v>
          </cell>
          <cell r="G5495" t="str">
            <v>-</v>
          </cell>
          <cell r="H5495">
            <v>5466</v>
          </cell>
          <cell r="Q5495">
            <v>14</v>
          </cell>
        </row>
        <row r="5496">
          <cell r="D5496" t="str">
            <v>64742-70-7</v>
          </cell>
          <cell r="E5496">
            <v>64742707</v>
          </cell>
          <cell r="F5496" t="str">
            <v>-</v>
          </cell>
          <cell r="G5496" t="str">
            <v>-</v>
          </cell>
          <cell r="H5496">
            <v>5467</v>
          </cell>
          <cell r="Q5496">
            <v>14</v>
          </cell>
        </row>
        <row r="5497">
          <cell r="D5497" t="str">
            <v>64741-53-3</v>
          </cell>
          <cell r="E5497">
            <v>64741533</v>
          </cell>
          <cell r="F5497" t="str">
            <v>-</v>
          </cell>
          <cell r="G5497" t="str">
            <v>-</v>
          </cell>
          <cell r="H5497">
            <v>5468</v>
          </cell>
          <cell r="Q5497">
            <v>14</v>
          </cell>
        </row>
        <row r="5498">
          <cell r="D5498" t="str">
            <v>8009-03-8</v>
          </cell>
          <cell r="E5498">
            <v>8009038</v>
          </cell>
          <cell r="F5498" t="str">
            <v>-</v>
          </cell>
          <cell r="G5498" t="str">
            <v>-</v>
          </cell>
          <cell r="H5498">
            <v>5469</v>
          </cell>
          <cell r="Q5498">
            <v>14</v>
          </cell>
        </row>
        <row r="5499">
          <cell r="D5499" t="str">
            <v>92062-09-4</v>
          </cell>
          <cell r="E5499">
            <v>92062094</v>
          </cell>
          <cell r="F5499" t="str">
            <v>-</v>
          </cell>
          <cell r="G5499" t="str">
            <v>-</v>
          </cell>
          <cell r="H5499">
            <v>5470</v>
          </cell>
          <cell r="Q5499">
            <v>14</v>
          </cell>
        </row>
        <row r="5500">
          <cell r="D5500" t="str">
            <v>90622-53-0</v>
          </cell>
          <cell r="E5500">
            <v>90622530</v>
          </cell>
          <cell r="F5500" t="str">
            <v>-</v>
          </cell>
          <cell r="G5500" t="str">
            <v>-</v>
          </cell>
          <cell r="H5500">
            <v>5471</v>
          </cell>
          <cell r="Q5500">
            <v>14</v>
          </cell>
        </row>
        <row r="5501">
          <cell r="D5501" t="str">
            <v>68783-04-0</v>
          </cell>
          <cell r="E5501">
            <v>68783040</v>
          </cell>
          <cell r="F5501" t="str">
            <v>-</v>
          </cell>
          <cell r="G5501" t="str">
            <v>-</v>
          </cell>
          <cell r="H5501">
            <v>5472</v>
          </cell>
          <cell r="Q5501">
            <v>14</v>
          </cell>
        </row>
        <row r="5502">
          <cell r="D5502" t="str">
            <v>68956-55-8</v>
          </cell>
          <cell r="E5502">
            <v>68956558</v>
          </cell>
          <cell r="F5502" t="str">
            <v>-</v>
          </cell>
          <cell r="G5502" t="str">
            <v>-</v>
          </cell>
          <cell r="H5502">
            <v>5473</v>
          </cell>
          <cell r="Q5502">
            <v>14</v>
          </cell>
        </row>
        <row r="5503">
          <cell r="D5503" t="str">
            <v>92045-61-9</v>
          </cell>
          <cell r="E5503">
            <v>92045619</v>
          </cell>
          <cell r="F5503" t="str">
            <v>-</v>
          </cell>
          <cell r="G5503" t="str">
            <v>-</v>
          </cell>
          <cell r="H5503">
            <v>5474</v>
          </cell>
          <cell r="Q5503">
            <v>14</v>
          </cell>
        </row>
        <row r="5504">
          <cell r="D5504" t="str">
            <v>68783-65-3</v>
          </cell>
          <cell r="E5504">
            <v>68783653</v>
          </cell>
          <cell r="F5504" t="str">
            <v>-</v>
          </cell>
          <cell r="G5504" t="str">
            <v>-</v>
          </cell>
          <cell r="H5504">
            <v>5475</v>
          </cell>
          <cell r="Q5504">
            <v>14</v>
          </cell>
        </row>
        <row r="5505">
          <cell r="D5505" t="str">
            <v>86290-83-7</v>
          </cell>
          <cell r="E5505">
            <v>86290837</v>
          </cell>
          <cell r="F5505" t="str">
            <v>-</v>
          </cell>
          <cell r="G5505" t="str">
            <v>-</v>
          </cell>
          <cell r="H5505">
            <v>5476</v>
          </cell>
          <cell r="Q5505">
            <v>14</v>
          </cell>
        </row>
        <row r="5506">
          <cell r="D5506" t="str">
            <v>68603-08-7</v>
          </cell>
          <cell r="E5506">
            <v>68603087</v>
          </cell>
          <cell r="F5506" t="str">
            <v>-</v>
          </cell>
          <cell r="G5506" t="str">
            <v>-</v>
          </cell>
          <cell r="H5506">
            <v>5477</v>
          </cell>
          <cell r="Q5506">
            <v>14</v>
          </cell>
        </row>
        <row r="5507">
          <cell r="D5507" t="str">
            <v>63231-60-7</v>
          </cell>
          <cell r="E5507">
            <v>63231607</v>
          </cell>
          <cell r="F5507" t="str">
            <v>-</v>
          </cell>
          <cell r="G5507" t="str">
            <v>-</v>
          </cell>
          <cell r="H5507">
            <v>5478</v>
          </cell>
          <cell r="Q5507">
            <v>14</v>
          </cell>
        </row>
        <row r="5508">
          <cell r="D5508" t="str">
            <v>68783-11-9</v>
          </cell>
          <cell r="E5508">
            <v>68783119</v>
          </cell>
          <cell r="F5508" t="str">
            <v>-</v>
          </cell>
          <cell r="G5508" t="str">
            <v>-</v>
          </cell>
          <cell r="H5508">
            <v>5479</v>
          </cell>
          <cell r="Q5508">
            <v>14</v>
          </cell>
        </row>
        <row r="5509">
          <cell r="D5509" t="str">
            <v>68527-18-4</v>
          </cell>
          <cell r="E5509">
            <v>68527184</v>
          </cell>
          <cell r="F5509" t="str">
            <v>-</v>
          </cell>
          <cell r="G5509" t="str">
            <v>-</v>
          </cell>
          <cell r="H5509">
            <v>5480</v>
          </cell>
          <cell r="Q5509">
            <v>14</v>
          </cell>
        </row>
        <row r="5510">
          <cell r="D5510" t="str">
            <v>64742-66-1</v>
          </cell>
          <cell r="E5510">
            <v>64742661</v>
          </cell>
          <cell r="F5510" t="str">
            <v>-</v>
          </cell>
          <cell r="G5510" t="str">
            <v>-</v>
          </cell>
          <cell r="H5510">
            <v>5481</v>
          </cell>
          <cell r="Q5510">
            <v>14</v>
          </cell>
        </row>
        <row r="5511">
          <cell r="D5511" t="str">
            <v>97593-01-6</v>
          </cell>
          <cell r="E5511">
            <v>97593016</v>
          </cell>
          <cell r="F5511" t="str">
            <v>-</v>
          </cell>
          <cell r="G5511" t="str">
            <v>-</v>
          </cell>
          <cell r="H5511">
            <v>5482</v>
          </cell>
          <cell r="Q5511">
            <v>14</v>
          </cell>
        </row>
        <row r="5512">
          <cell r="D5512" t="str">
            <v>92045-41-5</v>
          </cell>
          <cell r="E5512">
            <v>92045415</v>
          </cell>
          <cell r="F5512" t="str">
            <v>-</v>
          </cell>
          <cell r="G5512" t="str">
            <v>-</v>
          </cell>
          <cell r="H5512">
            <v>5483</v>
          </cell>
          <cell r="Q5512">
            <v>14</v>
          </cell>
        </row>
        <row r="5513">
          <cell r="D5513" t="str">
            <v>93821-12-6</v>
          </cell>
          <cell r="E5513">
            <v>93821126</v>
          </cell>
          <cell r="F5513" t="str">
            <v>-</v>
          </cell>
          <cell r="G5513" t="str">
            <v>-</v>
          </cell>
          <cell r="H5513">
            <v>5484</v>
          </cell>
          <cell r="Q5513">
            <v>14</v>
          </cell>
        </row>
        <row r="5514">
          <cell r="D5514" t="str">
            <v>68476-49-3</v>
          </cell>
          <cell r="E5514">
            <v>68476493</v>
          </cell>
          <cell r="F5514" t="str">
            <v>-</v>
          </cell>
          <cell r="G5514" t="str">
            <v>-</v>
          </cell>
          <cell r="H5514">
            <v>5485</v>
          </cell>
          <cell r="Q5514">
            <v>14</v>
          </cell>
        </row>
        <row r="5515">
          <cell r="D5515" t="str">
            <v>94733-07-0</v>
          </cell>
          <cell r="E5515">
            <v>94733070</v>
          </cell>
          <cell r="F5515" t="str">
            <v>-</v>
          </cell>
          <cell r="G5515" t="str">
            <v>-</v>
          </cell>
          <cell r="H5515">
            <v>5486</v>
          </cell>
          <cell r="Q5515">
            <v>14</v>
          </cell>
        </row>
        <row r="5516">
          <cell r="D5516" t="str">
            <v>64742-43-4</v>
          </cell>
          <cell r="E5516">
            <v>64742434</v>
          </cell>
          <cell r="F5516" t="str">
            <v>-</v>
          </cell>
          <cell r="G5516" t="str">
            <v>-</v>
          </cell>
          <cell r="H5516">
            <v>5487</v>
          </cell>
          <cell r="Q5516">
            <v>14</v>
          </cell>
        </row>
        <row r="5517">
          <cell r="D5517" t="str">
            <v>68410-71-9</v>
          </cell>
          <cell r="E5517">
            <v>68410719</v>
          </cell>
          <cell r="F5517" t="str">
            <v>-</v>
          </cell>
          <cell r="G5517" t="str">
            <v>-</v>
          </cell>
          <cell r="H5517">
            <v>5488</v>
          </cell>
          <cell r="Q5517">
            <v>14</v>
          </cell>
        </row>
        <row r="5518">
          <cell r="D5518" t="str">
            <v>95465-90-0</v>
          </cell>
          <cell r="E5518">
            <v>95465900</v>
          </cell>
          <cell r="F5518" t="str">
            <v>-</v>
          </cell>
          <cell r="G5518" t="str">
            <v>-</v>
          </cell>
          <cell r="H5518">
            <v>5489</v>
          </cell>
          <cell r="Q5518">
            <v>14</v>
          </cell>
        </row>
        <row r="5519">
          <cell r="D5519" t="str">
            <v>102110-14-5</v>
          </cell>
          <cell r="E5519">
            <v>102110145</v>
          </cell>
          <cell r="F5519" t="str">
            <v>-</v>
          </cell>
          <cell r="G5519" t="str">
            <v>-</v>
          </cell>
          <cell r="H5519">
            <v>5490</v>
          </cell>
          <cell r="Q5519">
            <v>14</v>
          </cell>
        </row>
        <row r="5520">
          <cell r="D5520" t="str">
            <v>68477-71-4</v>
          </cell>
          <cell r="E5520">
            <v>68477714</v>
          </cell>
          <cell r="F5520" t="str">
            <v>-</v>
          </cell>
          <cell r="G5520" t="str">
            <v>-</v>
          </cell>
          <cell r="H5520">
            <v>5491</v>
          </cell>
          <cell r="Q5520">
            <v>14</v>
          </cell>
        </row>
        <row r="5521">
          <cell r="D5521" t="str">
            <v>92045-77-7</v>
          </cell>
          <cell r="E5521">
            <v>92045777</v>
          </cell>
          <cell r="F5521" t="str">
            <v>-</v>
          </cell>
          <cell r="G5521" t="str">
            <v>-</v>
          </cell>
          <cell r="H5521">
            <v>5492</v>
          </cell>
          <cell r="Q5521">
            <v>14</v>
          </cell>
        </row>
        <row r="5522">
          <cell r="D5522" t="str">
            <v>64741-67-9</v>
          </cell>
          <cell r="E5522">
            <v>64741679</v>
          </cell>
          <cell r="F5522" t="str">
            <v>-</v>
          </cell>
          <cell r="G5522" t="str">
            <v>-</v>
          </cell>
          <cell r="H5522">
            <v>5493</v>
          </cell>
          <cell r="Q5522">
            <v>14</v>
          </cell>
        </row>
        <row r="5523">
          <cell r="D5523" t="str">
            <v>72623-86-0</v>
          </cell>
          <cell r="E5523">
            <v>72623860</v>
          </cell>
          <cell r="F5523" t="str">
            <v>-</v>
          </cell>
          <cell r="G5523" t="str">
            <v>-</v>
          </cell>
          <cell r="H5523">
            <v>5494</v>
          </cell>
          <cell r="Q5523">
            <v>14</v>
          </cell>
        </row>
        <row r="5524">
          <cell r="D5524" t="str">
            <v>68526-56-7</v>
          </cell>
          <cell r="E5524">
            <v>68526567</v>
          </cell>
          <cell r="F5524" t="str">
            <v>-</v>
          </cell>
          <cell r="G5524" t="str">
            <v>-</v>
          </cell>
          <cell r="H5524">
            <v>5495</v>
          </cell>
          <cell r="Q5524">
            <v>14</v>
          </cell>
        </row>
        <row r="5525">
          <cell r="D5525" t="str">
            <v>68814-67-5</v>
          </cell>
          <cell r="E5525">
            <v>68814675</v>
          </cell>
          <cell r="F5525" t="str">
            <v>-</v>
          </cell>
          <cell r="G5525" t="str">
            <v>-</v>
          </cell>
          <cell r="H5525">
            <v>5496</v>
          </cell>
          <cell r="Q5525">
            <v>14</v>
          </cell>
        </row>
        <row r="5526">
          <cell r="D5526" t="str">
            <v>91995-70-9</v>
          </cell>
          <cell r="E5526">
            <v>91995709</v>
          </cell>
          <cell r="F5526" t="str">
            <v>-</v>
          </cell>
          <cell r="G5526" t="str">
            <v>-</v>
          </cell>
          <cell r="H5526">
            <v>5497</v>
          </cell>
          <cell r="Q5526">
            <v>14</v>
          </cell>
        </row>
        <row r="5527">
          <cell r="D5527" t="str">
            <v>101316-69-2</v>
          </cell>
          <cell r="E5527">
            <v>101316692</v>
          </cell>
          <cell r="F5527" t="str">
            <v>-</v>
          </cell>
          <cell r="G5527" t="str">
            <v>-</v>
          </cell>
          <cell r="H5527">
            <v>5498</v>
          </cell>
          <cell r="Q5527">
            <v>14</v>
          </cell>
        </row>
        <row r="5528">
          <cell r="D5528" t="str">
            <v>68477-87-2</v>
          </cell>
          <cell r="E5528">
            <v>68477872</v>
          </cell>
          <cell r="F5528" t="str">
            <v>-</v>
          </cell>
          <cell r="G5528" t="str">
            <v>-</v>
          </cell>
          <cell r="H5528">
            <v>5499</v>
          </cell>
          <cell r="Q5528">
            <v>14</v>
          </cell>
        </row>
        <row r="5529">
          <cell r="D5529" t="str">
            <v>157707-86-3</v>
          </cell>
          <cell r="E5529">
            <v>157707863</v>
          </cell>
          <cell r="F5529" t="str">
            <v>-</v>
          </cell>
          <cell r="G5529" t="str">
            <v>-</v>
          </cell>
          <cell r="H5529">
            <v>5500</v>
          </cell>
          <cell r="Q5529">
            <v>14</v>
          </cell>
        </row>
        <row r="5530">
          <cell r="D5530" t="str">
            <v>101316-66-9</v>
          </cell>
          <cell r="E5530">
            <v>101316669</v>
          </cell>
          <cell r="F5530" t="str">
            <v>-</v>
          </cell>
          <cell r="G5530" t="str">
            <v>-</v>
          </cell>
          <cell r="H5530">
            <v>5501</v>
          </cell>
          <cell r="Q5530">
            <v>14</v>
          </cell>
        </row>
        <row r="5531">
          <cell r="D5531" t="str">
            <v>64741-99-7</v>
          </cell>
          <cell r="E5531">
            <v>64741997</v>
          </cell>
          <cell r="F5531" t="str">
            <v>-</v>
          </cell>
          <cell r="G5531" t="str">
            <v>-</v>
          </cell>
          <cell r="H5531">
            <v>5502</v>
          </cell>
          <cell r="Q5531">
            <v>14</v>
          </cell>
        </row>
        <row r="5532">
          <cell r="D5532" t="str">
            <v>64742-96-7</v>
          </cell>
          <cell r="E5532">
            <v>64742967</v>
          </cell>
          <cell r="F5532" t="str">
            <v>-</v>
          </cell>
          <cell r="G5532" t="str">
            <v>-</v>
          </cell>
          <cell r="H5532">
            <v>5503</v>
          </cell>
          <cell r="Q5532">
            <v>14</v>
          </cell>
        </row>
        <row r="5533">
          <cell r="D5533" t="str">
            <v>64741-98-6</v>
          </cell>
          <cell r="E5533">
            <v>64741986</v>
          </cell>
          <cell r="F5533" t="str">
            <v>-</v>
          </cell>
          <cell r="G5533" t="str">
            <v>-</v>
          </cell>
          <cell r="H5533">
            <v>5504</v>
          </cell>
          <cell r="Q5533">
            <v>14</v>
          </cell>
        </row>
        <row r="5534">
          <cell r="D5534" t="str">
            <v>68477-40-7</v>
          </cell>
          <cell r="E5534">
            <v>68477407</v>
          </cell>
          <cell r="F5534" t="str">
            <v>-</v>
          </cell>
          <cell r="G5534" t="str">
            <v>-</v>
          </cell>
          <cell r="H5534">
            <v>5505</v>
          </cell>
          <cell r="Q5534">
            <v>14</v>
          </cell>
        </row>
        <row r="5535">
          <cell r="D5535" t="str">
            <v>68526-55-6</v>
          </cell>
          <cell r="E5535">
            <v>68526556</v>
          </cell>
          <cell r="F5535" t="str">
            <v>-</v>
          </cell>
          <cell r="G5535" t="str">
            <v>-</v>
          </cell>
          <cell r="H5535">
            <v>5506</v>
          </cell>
          <cell r="Q5535">
            <v>14</v>
          </cell>
        </row>
        <row r="5536">
          <cell r="D5536" t="str">
            <v>25378-22-7</v>
          </cell>
          <cell r="E5536">
            <v>25378227</v>
          </cell>
          <cell r="F5536" t="str">
            <v>-</v>
          </cell>
          <cell r="G5536" t="str">
            <v>-</v>
          </cell>
          <cell r="H5536">
            <v>5507</v>
          </cell>
          <cell r="Q5536">
            <v>14</v>
          </cell>
        </row>
        <row r="5537">
          <cell r="D5537" t="str">
            <v>85681-75-0</v>
          </cell>
          <cell r="E5537">
            <v>85681750</v>
          </cell>
          <cell r="F5537" t="str">
            <v>-</v>
          </cell>
          <cell r="G5537" t="str">
            <v>-</v>
          </cell>
          <cell r="H5537">
            <v>5508</v>
          </cell>
          <cell r="Q5537">
            <v>14</v>
          </cell>
        </row>
        <row r="5538">
          <cell r="D5538" t="str">
            <v>91995-41-4</v>
          </cell>
          <cell r="E5538">
            <v>91995414</v>
          </cell>
          <cell r="F5538" t="str">
            <v>-</v>
          </cell>
          <cell r="G5538" t="str">
            <v>-</v>
          </cell>
          <cell r="H5538">
            <v>5509</v>
          </cell>
          <cell r="Q5538">
            <v>14</v>
          </cell>
        </row>
        <row r="5539">
          <cell r="D5539" t="str">
            <v>64742-60-5</v>
          </cell>
          <cell r="E5539">
            <v>64742605</v>
          </cell>
          <cell r="F5539" t="str">
            <v>-</v>
          </cell>
          <cell r="G5539" t="str">
            <v>-</v>
          </cell>
          <cell r="H5539">
            <v>5510</v>
          </cell>
          <cell r="Q5539">
            <v>14</v>
          </cell>
        </row>
        <row r="5540">
          <cell r="D5540" t="str">
            <v>91053-01-9</v>
          </cell>
          <cell r="E5540">
            <v>91053019</v>
          </cell>
          <cell r="F5540" t="str">
            <v>-</v>
          </cell>
          <cell r="G5540" t="str">
            <v>-</v>
          </cell>
          <cell r="H5540">
            <v>5511</v>
          </cell>
          <cell r="Q5540">
            <v>14</v>
          </cell>
        </row>
        <row r="5541">
          <cell r="D5541" t="str">
            <v>64742-42-3</v>
          </cell>
          <cell r="E5541">
            <v>64742423</v>
          </cell>
          <cell r="F5541" t="str">
            <v>-</v>
          </cell>
          <cell r="G5541" t="str">
            <v>-</v>
          </cell>
          <cell r="H5541">
            <v>5512</v>
          </cell>
          <cell r="Q5541">
            <v>14</v>
          </cell>
        </row>
        <row r="5542">
          <cell r="D5542" t="str">
            <v>68477-50-9</v>
          </cell>
          <cell r="E5542">
            <v>68477509</v>
          </cell>
          <cell r="F5542" t="str">
            <v>-</v>
          </cell>
          <cell r="G5542" t="str">
            <v>-</v>
          </cell>
          <cell r="H5542">
            <v>5513</v>
          </cell>
          <cell r="Q5542">
            <v>14</v>
          </cell>
        </row>
        <row r="5543">
          <cell r="D5543" t="str">
            <v>64742-71-8</v>
          </cell>
          <cell r="E5543">
            <v>64742718</v>
          </cell>
          <cell r="F5543" t="str">
            <v>-</v>
          </cell>
          <cell r="G5543" t="str">
            <v>-</v>
          </cell>
          <cell r="H5543">
            <v>5514</v>
          </cell>
          <cell r="Q5543">
            <v>14</v>
          </cell>
        </row>
        <row r="5544">
          <cell r="D5544" t="str">
            <v>90622-47-2</v>
          </cell>
          <cell r="E5544">
            <v>90622472</v>
          </cell>
          <cell r="F5544" t="str">
            <v>-</v>
          </cell>
          <cell r="G5544" t="str">
            <v>-</v>
          </cell>
          <cell r="H5544">
            <v>5515</v>
          </cell>
          <cell r="Q5544">
            <v>14</v>
          </cell>
        </row>
        <row r="5545">
          <cell r="D5545" t="str">
            <v>91052-99-2</v>
          </cell>
          <cell r="E5545">
            <v>91052992</v>
          </cell>
          <cell r="F5545" t="str">
            <v>-</v>
          </cell>
          <cell r="G5545" t="str">
            <v>-</v>
          </cell>
          <cell r="H5545">
            <v>5516</v>
          </cell>
          <cell r="Q5545">
            <v>14</v>
          </cell>
        </row>
        <row r="5546">
          <cell r="D5546" t="str">
            <v>68477-69-0</v>
          </cell>
          <cell r="E5546">
            <v>68477690</v>
          </cell>
          <cell r="F5546" t="str">
            <v>-</v>
          </cell>
          <cell r="G5546" t="str">
            <v>-</v>
          </cell>
          <cell r="H5546">
            <v>5517</v>
          </cell>
          <cell r="Q5546">
            <v>14</v>
          </cell>
        </row>
        <row r="5547">
          <cell r="D5547" t="str">
            <v>64741-96-4</v>
          </cell>
          <cell r="E5547">
            <v>64741964</v>
          </cell>
          <cell r="F5547" t="str">
            <v>-</v>
          </cell>
          <cell r="G5547" t="str">
            <v>-</v>
          </cell>
          <cell r="H5547">
            <v>5518</v>
          </cell>
          <cell r="Q5547">
            <v>14</v>
          </cell>
        </row>
        <row r="5548">
          <cell r="D5548" t="str">
            <v>95465-91-1</v>
          </cell>
          <cell r="E5548">
            <v>95465911</v>
          </cell>
          <cell r="F5548" t="str">
            <v>-</v>
          </cell>
          <cell r="G5548" t="str">
            <v>-</v>
          </cell>
          <cell r="H5548">
            <v>5519</v>
          </cell>
          <cell r="Q5548">
            <v>14</v>
          </cell>
        </row>
        <row r="5549">
          <cell r="D5549" t="str">
            <v>94733-15-0</v>
          </cell>
          <cell r="E5549">
            <v>94733150</v>
          </cell>
          <cell r="F5549" t="str">
            <v>-</v>
          </cell>
          <cell r="G5549" t="str">
            <v>-</v>
          </cell>
          <cell r="H5549">
            <v>5520</v>
          </cell>
          <cell r="Q5549">
            <v>14</v>
          </cell>
        </row>
        <row r="5550">
          <cell r="D5550" t="str">
            <v>64741-48-6</v>
          </cell>
          <cell r="E5550">
            <v>64741486</v>
          </cell>
          <cell r="F5550" t="str">
            <v>-</v>
          </cell>
          <cell r="G5550" t="str">
            <v>-</v>
          </cell>
          <cell r="H5550">
            <v>5521</v>
          </cell>
          <cell r="Q5550">
            <v>14</v>
          </cell>
        </row>
        <row r="5551">
          <cell r="D5551" t="str">
            <v>68476-43-7</v>
          </cell>
          <cell r="E5551">
            <v>68476437</v>
          </cell>
          <cell r="F5551" t="str">
            <v>-</v>
          </cell>
          <cell r="G5551" t="str">
            <v>-</v>
          </cell>
          <cell r="H5551">
            <v>5522</v>
          </cell>
          <cell r="Q5551">
            <v>14</v>
          </cell>
        </row>
        <row r="5552">
          <cell r="D5552" t="str">
            <v>85116-53-6</v>
          </cell>
          <cell r="E5552">
            <v>85116536</v>
          </cell>
          <cell r="F5552" t="str">
            <v>-</v>
          </cell>
          <cell r="G5552" t="str">
            <v>-</v>
          </cell>
          <cell r="H5552">
            <v>5523</v>
          </cell>
          <cell r="Q5552">
            <v>14</v>
          </cell>
        </row>
        <row r="5553">
          <cell r="D5553" t="str">
            <v>25377-82-6</v>
          </cell>
          <cell r="E5553">
            <v>25377826</v>
          </cell>
          <cell r="F5553" t="str">
            <v>-</v>
          </cell>
          <cell r="G5553" t="str">
            <v>-</v>
          </cell>
          <cell r="H5553">
            <v>5524</v>
          </cell>
          <cell r="Q5553">
            <v>14</v>
          </cell>
        </row>
        <row r="5554">
          <cell r="D5554" t="str">
            <v>85116-58-1</v>
          </cell>
          <cell r="E5554">
            <v>85116581</v>
          </cell>
          <cell r="F5554" t="str">
            <v>-</v>
          </cell>
          <cell r="G5554" t="str">
            <v>-</v>
          </cell>
          <cell r="H5554">
            <v>5525</v>
          </cell>
          <cell r="Q5554">
            <v>14</v>
          </cell>
        </row>
        <row r="5555">
          <cell r="D5555" t="str">
            <v>68919-10-8</v>
          </cell>
          <cell r="E5555">
            <v>68919108</v>
          </cell>
          <cell r="F5555" t="str">
            <v>-</v>
          </cell>
          <cell r="G5555" t="str">
            <v>-</v>
          </cell>
          <cell r="H5555">
            <v>5526</v>
          </cell>
          <cell r="Q5555">
            <v>14</v>
          </cell>
        </row>
        <row r="5556">
          <cell r="D5556" t="str">
            <v>64742-88-7</v>
          </cell>
          <cell r="E5556">
            <v>64742887</v>
          </cell>
          <cell r="F5556" t="str">
            <v>-</v>
          </cell>
          <cell r="G5556" t="str">
            <v>-</v>
          </cell>
          <cell r="H5556">
            <v>5527</v>
          </cell>
          <cell r="Q5556">
            <v>14</v>
          </cell>
        </row>
        <row r="5557">
          <cell r="D5557" t="str">
            <v>26952-13-6</v>
          </cell>
          <cell r="E5557">
            <v>26952136</v>
          </cell>
          <cell r="F5557" t="str">
            <v>-</v>
          </cell>
          <cell r="G5557" t="str">
            <v>-</v>
          </cell>
          <cell r="H5557">
            <v>5528</v>
          </cell>
          <cell r="Q5557">
            <v>14</v>
          </cell>
        </row>
        <row r="5558">
          <cell r="D5558" t="str">
            <v>92045-24-4</v>
          </cell>
          <cell r="E5558">
            <v>92045244</v>
          </cell>
          <cell r="F5558" t="str">
            <v>-</v>
          </cell>
          <cell r="G5558" t="str">
            <v>-</v>
          </cell>
          <cell r="H5558">
            <v>5529</v>
          </cell>
          <cell r="Q5558">
            <v>14</v>
          </cell>
        </row>
        <row r="5559">
          <cell r="D5559" t="str">
            <v>68514-34-1</v>
          </cell>
          <cell r="E5559">
            <v>68514341</v>
          </cell>
          <cell r="F5559" t="str">
            <v>-</v>
          </cell>
          <cell r="G5559" t="str">
            <v>-</v>
          </cell>
          <cell r="H5559">
            <v>5530</v>
          </cell>
          <cell r="Q5559">
            <v>14</v>
          </cell>
        </row>
        <row r="5560">
          <cell r="D5560" t="str">
            <v>93763-35-0</v>
          </cell>
          <cell r="E5560">
            <v>93763350</v>
          </cell>
          <cell r="F5560" t="str">
            <v>-</v>
          </cell>
          <cell r="G5560" t="str">
            <v>-</v>
          </cell>
          <cell r="H5560">
            <v>5531</v>
          </cell>
          <cell r="Q5560">
            <v>14</v>
          </cell>
        </row>
        <row r="5561">
          <cell r="D5561" t="str">
            <v>68513-66-6</v>
          </cell>
          <cell r="E5561">
            <v>68513666</v>
          </cell>
          <cell r="F5561" t="str">
            <v>-</v>
          </cell>
          <cell r="G5561" t="str">
            <v>-</v>
          </cell>
          <cell r="H5561">
            <v>5532</v>
          </cell>
          <cell r="Q5561">
            <v>14</v>
          </cell>
        </row>
        <row r="5562">
          <cell r="D5562" t="str">
            <v>92045-76-6</v>
          </cell>
          <cell r="E5562">
            <v>92045766</v>
          </cell>
          <cell r="F5562" t="str">
            <v>-</v>
          </cell>
          <cell r="G5562" t="str">
            <v>-</v>
          </cell>
          <cell r="H5562">
            <v>5533</v>
          </cell>
          <cell r="Q5562">
            <v>14</v>
          </cell>
        </row>
        <row r="5563">
          <cell r="D5563" t="str">
            <v>68478-10-4</v>
          </cell>
          <cell r="E5563">
            <v>68478104</v>
          </cell>
          <cell r="F5563" t="str">
            <v>-</v>
          </cell>
          <cell r="G5563" t="str">
            <v>-</v>
          </cell>
          <cell r="H5563">
            <v>5534</v>
          </cell>
          <cell r="Q5563">
            <v>14</v>
          </cell>
        </row>
        <row r="5564">
          <cell r="D5564" t="str">
            <v>92045-80-2</v>
          </cell>
          <cell r="E5564">
            <v>92045802</v>
          </cell>
          <cell r="F5564" t="str">
            <v>-</v>
          </cell>
          <cell r="G5564" t="str">
            <v>-</v>
          </cell>
          <cell r="H5564">
            <v>5535</v>
          </cell>
          <cell r="Q5564">
            <v>14</v>
          </cell>
        </row>
        <row r="5565">
          <cell r="D5565" t="str">
            <v>97862-82-3</v>
          </cell>
          <cell r="E5565">
            <v>97862823</v>
          </cell>
          <cell r="F5565" t="str">
            <v>-</v>
          </cell>
          <cell r="G5565" t="str">
            <v>-</v>
          </cell>
          <cell r="H5565">
            <v>5536</v>
          </cell>
          <cell r="Q5565">
            <v>14</v>
          </cell>
        </row>
        <row r="5566">
          <cell r="D5566" t="str">
            <v>92045-12-0</v>
          </cell>
          <cell r="E5566">
            <v>92045120</v>
          </cell>
          <cell r="F5566" t="str">
            <v>-</v>
          </cell>
          <cell r="G5566" t="str">
            <v>-</v>
          </cell>
          <cell r="H5566">
            <v>5537</v>
          </cell>
          <cell r="Q5566">
            <v>14</v>
          </cell>
        </row>
        <row r="5567">
          <cell r="D5567" t="str">
            <v>93924-33-5</v>
          </cell>
          <cell r="E5567">
            <v>93924335</v>
          </cell>
          <cell r="F5567" t="str">
            <v>-</v>
          </cell>
          <cell r="G5567" t="str">
            <v>-</v>
          </cell>
          <cell r="H5567">
            <v>5538</v>
          </cell>
          <cell r="Q5567">
            <v>14</v>
          </cell>
        </row>
        <row r="5568">
          <cell r="D5568" t="str">
            <v>68477-77-0</v>
          </cell>
          <cell r="E5568">
            <v>68477770</v>
          </cell>
          <cell r="F5568" t="str">
            <v>-</v>
          </cell>
          <cell r="G5568" t="str">
            <v>-</v>
          </cell>
          <cell r="H5568">
            <v>5539</v>
          </cell>
          <cell r="Q5568">
            <v>14</v>
          </cell>
        </row>
        <row r="5569">
          <cell r="D5569" t="str">
            <v>70024-67-8</v>
          </cell>
          <cell r="E5569">
            <v>70024678</v>
          </cell>
          <cell r="F5569" t="str">
            <v>-</v>
          </cell>
          <cell r="G5569" t="str">
            <v>-</v>
          </cell>
          <cell r="H5569">
            <v>5540</v>
          </cell>
          <cell r="Q5569">
            <v>14</v>
          </cell>
        </row>
        <row r="5570">
          <cell r="D5570" t="str">
            <v>31394-54-4</v>
          </cell>
          <cell r="E5570">
            <v>31394544</v>
          </cell>
          <cell r="F5570" t="str">
            <v>-</v>
          </cell>
          <cell r="G5570" t="str">
            <v>-</v>
          </cell>
          <cell r="H5570">
            <v>5541</v>
          </cell>
          <cell r="Q5570">
            <v>14</v>
          </cell>
        </row>
        <row r="5571">
          <cell r="D5571" t="str">
            <v>68608-26-4</v>
          </cell>
          <cell r="E5571">
            <v>68608264</v>
          </cell>
          <cell r="F5571" t="str">
            <v>-</v>
          </cell>
          <cell r="G5571" t="str">
            <v>-</v>
          </cell>
          <cell r="H5571">
            <v>5542</v>
          </cell>
          <cell r="Q5571">
            <v>14</v>
          </cell>
        </row>
        <row r="5572">
          <cell r="D5572" t="str">
            <v>92045-53-9</v>
          </cell>
          <cell r="E5572">
            <v>92045539</v>
          </cell>
          <cell r="F5572" t="str">
            <v>-</v>
          </cell>
          <cell r="G5572" t="str">
            <v>-</v>
          </cell>
          <cell r="H5572">
            <v>5543</v>
          </cell>
          <cell r="Q5572">
            <v>14</v>
          </cell>
        </row>
        <row r="5573">
          <cell r="D5573" t="str">
            <v>91995-40-3</v>
          </cell>
          <cell r="E5573">
            <v>91995403</v>
          </cell>
          <cell r="F5573" t="str">
            <v>-</v>
          </cell>
          <cell r="G5573" t="str">
            <v>-</v>
          </cell>
          <cell r="H5573">
            <v>5544</v>
          </cell>
          <cell r="Q5573">
            <v>14</v>
          </cell>
        </row>
        <row r="5574">
          <cell r="D5574" t="str">
            <v>93685-78-0</v>
          </cell>
          <cell r="E5574">
            <v>93685780</v>
          </cell>
          <cell r="F5574" t="str">
            <v>-</v>
          </cell>
          <cell r="G5574" t="str">
            <v>-</v>
          </cell>
          <cell r="H5574">
            <v>5545</v>
          </cell>
          <cell r="Q5574">
            <v>14</v>
          </cell>
        </row>
        <row r="5575">
          <cell r="D5575" t="str">
            <v>70024-69-0</v>
          </cell>
          <cell r="E5575">
            <v>70024690</v>
          </cell>
          <cell r="F5575" t="str">
            <v>-</v>
          </cell>
          <cell r="G5575" t="str">
            <v>-</v>
          </cell>
          <cell r="H5575">
            <v>5546</v>
          </cell>
          <cell r="Q5575">
            <v>14</v>
          </cell>
        </row>
        <row r="5576">
          <cell r="D5576" t="str">
            <v>64771-71-7</v>
          </cell>
          <cell r="E5576">
            <v>64771717</v>
          </cell>
          <cell r="F5576" t="str">
            <v>-</v>
          </cell>
          <cell r="G5576" t="str">
            <v>-</v>
          </cell>
          <cell r="H5576">
            <v>5547</v>
          </cell>
          <cell r="Q5576">
            <v>14</v>
          </cell>
        </row>
        <row r="5577">
          <cell r="D5577" t="str">
            <v>91696-74-1</v>
          </cell>
          <cell r="E5577">
            <v>91696741</v>
          </cell>
          <cell r="F5577" t="str">
            <v>-</v>
          </cell>
          <cell r="G5577" t="str">
            <v>-</v>
          </cell>
          <cell r="H5577">
            <v>5548</v>
          </cell>
          <cell r="Q5577">
            <v>14</v>
          </cell>
        </row>
        <row r="5578">
          <cell r="D5578" t="str">
            <v>93763-33-8</v>
          </cell>
          <cell r="E5578">
            <v>93763338</v>
          </cell>
          <cell r="F5578" t="str">
            <v>-</v>
          </cell>
          <cell r="G5578" t="str">
            <v>-</v>
          </cell>
          <cell r="H5578">
            <v>5549</v>
          </cell>
          <cell r="Q5578">
            <v>14</v>
          </cell>
        </row>
        <row r="5579">
          <cell r="D5579" t="str">
            <v>68602-83-5</v>
          </cell>
          <cell r="E5579">
            <v>68602835</v>
          </cell>
          <cell r="F5579" t="str">
            <v>-</v>
          </cell>
          <cell r="G5579" t="str">
            <v>-</v>
          </cell>
          <cell r="H5579">
            <v>5550</v>
          </cell>
          <cell r="Q5579">
            <v>14</v>
          </cell>
        </row>
        <row r="5580">
          <cell r="D5580" t="str">
            <v>151006-63-2</v>
          </cell>
          <cell r="E5580">
            <v>151006632</v>
          </cell>
          <cell r="F5580" t="str">
            <v>-</v>
          </cell>
          <cell r="G5580" t="str">
            <v>-</v>
          </cell>
          <cell r="H5580">
            <v>5551</v>
          </cell>
          <cell r="Q5580">
            <v>14</v>
          </cell>
        </row>
        <row r="5581">
          <cell r="D5581" t="str">
            <v>1338-24-5</v>
          </cell>
          <cell r="E5581">
            <v>1338245</v>
          </cell>
          <cell r="F5581" t="str">
            <v>-</v>
          </cell>
          <cell r="G5581" t="str">
            <v>-</v>
          </cell>
          <cell r="H5581">
            <v>5552</v>
          </cell>
          <cell r="Q5581">
            <v>14</v>
          </cell>
        </row>
        <row r="5582">
          <cell r="D5582" t="str">
            <v>883233-93-0</v>
          </cell>
          <cell r="E5582">
            <v>883233930</v>
          </cell>
          <cell r="F5582" t="str">
            <v>-</v>
          </cell>
          <cell r="G5582" t="str">
            <v>-</v>
          </cell>
          <cell r="H5582">
            <v>5553</v>
          </cell>
          <cell r="Q5582">
            <v>14</v>
          </cell>
        </row>
        <row r="5583">
          <cell r="D5583" t="str">
            <v>93762-80-2</v>
          </cell>
          <cell r="E5583">
            <v>93762802</v>
          </cell>
          <cell r="F5583" t="str">
            <v>-</v>
          </cell>
          <cell r="G5583" t="str">
            <v>-</v>
          </cell>
          <cell r="H5583">
            <v>5554</v>
          </cell>
          <cell r="Q5583">
            <v>14</v>
          </cell>
        </row>
        <row r="5584">
          <cell r="D5584" t="str">
            <v>64741-97-5</v>
          </cell>
          <cell r="E5584">
            <v>64741975</v>
          </cell>
          <cell r="F5584" t="str">
            <v>-</v>
          </cell>
          <cell r="G5584" t="str">
            <v>-</v>
          </cell>
          <cell r="H5584">
            <v>5555</v>
          </cell>
          <cell r="Q5584">
            <v>14</v>
          </cell>
        </row>
        <row r="5585">
          <cell r="D5585" t="str">
            <v>91053-00-8</v>
          </cell>
          <cell r="E5585">
            <v>91053008</v>
          </cell>
          <cell r="F5585" t="str">
            <v>-</v>
          </cell>
          <cell r="G5585" t="str">
            <v>-</v>
          </cell>
          <cell r="H5585">
            <v>5556</v>
          </cell>
          <cell r="Q5585">
            <v>14</v>
          </cell>
        </row>
        <row r="5586">
          <cell r="D5586" t="str">
            <v>883233-48-5</v>
          </cell>
          <cell r="E5586">
            <v>883233485</v>
          </cell>
          <cell r="F5586" t="str">
            <v>-</v>
          </cell>
          <cell r="G5586" t="str">
            <v>-</v>
          </cell>
          <cell r="H5586">
            <v>5557</v>
          </cell>
          <cell r="Q5586">
            <v>14</v>
          </cell>
        </row>
        <row r="5587">
          <cell r="D5587" t="str">
            <v>64743-01-7</v>
          </cell>
          <cell r="E5587">
            <v>64743017</v>
          </cell>
          <cell r="F5587" t="str">
            <v>-</v>
          </cell>
          <cell r="G5587" t="str">
            <v>-</v>
          </cell>
          <cell r="H5587">
            <v>5558</v>
          </cell>
          <cell r="Q5587">
            <v>14</v>
          </cell>
        </row>
        <row r="5588">
          <cell r="D5588" t="str">
            <v>61789-86-4</v>
          </cell>
          <cell r="E5588">
            <v>61789864</v>
          </cell>
          <cell r="F5588" t="str">
            <v>-</v>
          </cell>
          <cell r="G5588" t="str">
            <v>-</v>
          </cell>
          <cell r="H5588">
            <v>5559</v>
          </cell>
          <cell r="Q5588">
            <v>14</v>
          </cell>
        </row>
        <row r="5589">
          <cell r="D5589" t="str">
            <v>93572-43-1</v>
          </cell>
          <cell r="E5589">
            <v>93572431</v>
          </cell>
          <cell r="F5589" t="str">
            <v>-</v>
          </cell>
          <cell r="G5589" t="str">
            <v>-</v>
          </cell>
          <cell r="H5589">
            <v>5560</v>
          </cell>
          <cell r="Q5589">
            <v>14</v>
          </cell>
        </row>
        <row r="5590">
          <cell r="D5590" t="str">
            <v>68584-23-6</v>
          </cell>
          <cell r="E5590">
            <v>68584236</v>
          </cell>
          <cell r="F5590" t="str">
            <v>-</v>
          </cell>
          <cell r="G5590" t="str">
            <v>-</v>
          </cell>
          <cell r="H5590">
            <v>5561</v>
          </cell>
          <cell r="Q5590">
            <v>14</v>
          </cell>
        </row>
        <row r="5591">
          <cell r="D5591" t="str">
            <v>64742-31-0</v>
          </cell>
          <cell r="E5591">
            <v>64742310</v>
          </cell>
          <cell r="F5591" t="str">
            <v>-</v>
          </cell>
          <cell r="G5591" t="str">
            <v>-</v>
          </cell>
          <cell r="H5591">
            <v>5562</v>
          </cell>
          <cell r="Q5591">
            <v>14</v>
          </cell>
        </row>
        <row r="5592">
          <cell r="D5592" t="str">
            <v>68987-42-8</v>
          </cell>
          <cell r="E5592">
            <v>68987428</v>
          </cell>
          <cell r="F5592" t="str">
            <v>-</v>
          </cell>
          <cell r="G5592" t="str">
            <v>-</v>
          </cell>
          <cell r="H5592">
            <v>5563</v>
          </cell>
          <cell r="Q5592">
            <v>14</v>
          </cell>
        </row>
        <row r="5593">
          <cell r="D5593" t="str">
            <v>72623-85-9</v>
          </cell>
          <cell r="E5593">
            <v>72623859</v>
          </cell>
          <cell r="F5593" t="str">
            <v>-</v>
          </cell>
          <cell r="G5593" t="str">
            <v>-</v>
          </cell>
          <cell r="H5593">
            <v>5564</v>
          </cell>
          <cell r="Q5593">
            <v>14</v>
          </cell>
        </row>
        <row r="5594">
          <cell r="D5594" t="str">
            <v>8032-32-4</v>
          </cell>
          <cell r="E5594">
            <v>8032324</v>
          </cell>
          <cell r="F5594" t="str">
            <v>-</v>
          </cell>
          <cell r="G5594" t="str">
            <v>-</v>
          </cell>
          <cell r="H5594">
            <v>5565</v>
          </cell>
          <cell r="Q5594">
            <v>14</v>
          </cell>
        </row>
        <row r="5595">
          <cell r="D5595" t="str">
            <v>8012-95-1</v>
          </cell>
          <cell r="E5595">
            <v>8012951</v>
          </cell>
          <cell r="F5595" t="str">
            <v>-</v>
          </cell>
          <cell r="G5595" t="str">
            <v>-</v>
          </cell>
          <cell r="H5595">
            <v>5566</v>
          </cell>
          <cell r="Q5595">
            <v>14</v>
          </cell>
        </row>
        <row r="5596">
          <cell r="D5596" t="str">
            <v>883233-91-8</v>
          </cell>
          <cell r="E5596">
            <v>883233918</v>
          </cell>
          <cell r="F5596" t="str">
            <v>-</v>
          </cell>
          <cell r="G5596" t="str">
            <v>-</v>
          </cell>
          <cell r="H5596">
            <v>5567</v>
          </cell>
          <cell r="Q5596">
            <v>14</v>
          </cell>
        </row>
        <row r="5597">
          <cell r="D5597" t="str">
            <v>98219-64-8</v>
          </cell>
          <cell r="E5597">
            <v>98219648</v>
          </cell>
          <cell r="F5597" t="str">
            <v>-</v>
          </cell>
          <cell r="G5597" t="str">
            <v>-</v>
          </cell>
          <cell r="H5597">
            <v>5568</v>
          </cell>
          <cell r="Q5597">
            <v>14</v>
          </cell>
        </row>
        <row r="5598">
          <cell r="D5598" t="str">
            <v>25265-78-5</v>
          </cell>
          <cell r="E5598">
            <v>25265785</v>
          </cell>
          <cell r="F5598" t="str">
            <v>-</v>
          </cell>
          <cell r="G5598" t="str">
            <v>-</v>
          </cell>
          <cell r="H5598">
            <v>5569</v>
          </cell>
          <cell r="Q5598">
            <v>14</v>
          </cell>
        </row>
        <row r="5599">
          <cell r="D5599" t="str">
            <v>94733-08-1</v>
          </cell>
          <cell r="E5599">
            <v>94733081</v>
          </cell>
          <cell r="F5599" t="str">
            <v>-</v>
          </cell>
          <cell r="G5599" t="str">
            <v>-</v>
          </cell>
          <cell r="H5599">
            <v>5570</v>
          </cell>
          <cell r="Q5599">
            <v>14</v>
          </cell>
        </row>
        <row r="5600">
          <cell r="D5600" t="str">
            <v>90194-27-7</v>
          </cell>
          <cell r="E5600">
            <v>90194277</v>
          </cell>
          <cell r="F5600" t="str">
            <v>-</v>
          </cell>
          <cell r="G5600" t="str">
            <v>-</v>
          </cell>
          <cell r="H5600">
            <v>5571</v>
          </cell>
          <cell r="Q5600">
            <v>14</v>
          </cell>
        </row>
        <row r="5601">
          <cell r="D5601" t="str">
            <v>68584-22-5</v>
          </cell>
          <cell r="E5601">
            <v>68584225</v>
          </cell>
          <cell r="F5601" t="str">
            <v>-</v>
          </cell>
          <cell r="G5601" t="str">
            <v>-</v>
          </cell>
          <cell r="H5601">
            <v>5572</v>
          </cell>
          <cell r="Q5601">
            <v>14</v>
          </cell>
        </row>
        <row r="5602">
          <cell r="D5602" t="str">
            <v>25377-83-7</v>
          </cell>
          <cell r="E5602">
            <v>25377837</v>
          </cell>
          <cell r="F5602" t="str">
            <v>-</v>
          </cell>
          <cell r="G5602" t="str">
            <v>-</v>
          </cell>
          <cell r="H5602">
            <v>5573</v>
          </cell>
          <cell r="Q5602">
            <v>14</v>
          </cell>
        </row>
        <row r="5603">
          <cell r="D5603" t="str">
            <v>64743-00-6</v>
          </cell>
          <cell r="E5603">
            <v>64743006</v>
          </cell>
          <cell r="F5603" t="str">
            <v>-</v>
          </cell>
          <cell r="G5603" t="str">
            <v>-</v>
          </cell>
          <cell r="H5603">
            <v>5574</v>
          </cell>
          <cell r="Q5603">
            <v>14</v>
          </cell>
        </row>
        <row r="5604">
          <cell r="D5604" t="str">
            <v>91770-57-9</v>
          </cell>
          <cell r="E5604">
            <v>91770579</v>
          </cell>
          <cell r="F5604" t="str">
            <v>-</v>
          </cell>
          <cell r="G5604" t="str">
            <v>-</v>
          </cell>
          <cell r="H5604">
            <v>5575</v>
          </cell>
          <cell r="Q5604">
            <v>14</v>
          </cell>
        </row>
        <row r="5605">
          <cell r="D5605" t="str">
            <v>64771-72-8</v>
          </cell>
          <cell r="E5605">
            <v>64771728</v>
          </cell>
          <cell r="F5605" t="str">
            <v>-</v>
          </cell>
          <cell r="G5605" t="str">
            <v>-</v>
          </cell>
          <cell r="H5605">
            <v>5576</v>
          </cell>
          <cell r="Q5605">
            <v>14</v>
          </cell>
        </row>
        <row r="5606">
          <cell r="D5606" t="str">
            <v>93924-32-4</v>
          </cell>
          <cell r="E5606">
            <v>93924324</v>
          </cell>
          <cell r="F5606" t="str">
            <v>-</v>
          </cell>
          <cell r="G5606" t="str">
            <v>-</v>
          </cell>
          <cell r="H5606">
            <v>5577</v>
          </cell>
          <cell r="Q5606">
            <v>14</v>
          </cell>
        </row>
        <row r="5607">
          <cell r="D5607" t="str">
            <v>68584-26-9</v>
          </cell>
          <cell r="E5607">
            <v>68584269</v>
          </cell>
          <cell r="F5607" t="str">
            <v>-</v>
          </cell>
          <cell r="G5607" t="str">
            <v>-</v>
          </cell>
          <cell r="H5607">
            <v>5578</v>
          </cell>
          <cell r="Q5607">
            <v>14</v>
          </cell>
        </row>
        <row r="5608">
          <cell r="D5608" t="str">
            <v>90669-74-2</v>
          </cell>
          <cell r="E5608">
            <v>90669742</v>
          </cell>
          <cell r="F5608" t="str">
            <v>-</v>
          </cell>
          <cell r="G5608" t="str">
            <v>-</v>
          </cell>
          <cell r="H5608">
            <v>5579</v>
          </cell>
          <cell r="Q5608">
            <v>14</v>
          </cell>
        </row>
        <row r="5609">
          <cell r="D5609" t="str">
            <v>61789-87-5</v>
          </cell>
          <cell r="E5609">
            <v>61789875</v>
          </cell>
          <cell r="F5609" t="str">
            <v>-</v>
          </cell>
          <cell r="G5609" t="str">
            <v>-</v>
          </cell>
          <cell r="H5609">
            <v>5580</v>
          </cell>
          <cell r="Q5609">
            <v>14</v>
          </cell>
        </row>
        <row r="5610">
          <cell r="D5610" t="str">
            <v>61789-85-3</v>
          </cell>
          <cell r="E5610">
            <v>61789853</v>
          </cell>
          <cell r="F5610" t="str">
            <v>-</v>
          </cell>
          <cell r="G5610" t="str">
            <v>-</v>
          </cell>
          <cell r="H5610">
            <v>5581</v>
          </cell>
          <cell r="Q5610">
            <v>14</v>
          </cell>
        </row>
        <row r="5611">
          <cell r="D5611" t="str">
            <v>64742-44-5</v>
          </cell>
          <cell r="E5611">
            <v>64742445</v>
          </cell>
          <cell r="F5611" t="str">
            <v>-</v>
          </cell>
          <cell r="G5611" t="str">
            <v>-</v>
          </cell>
          <cell r="H5611">
            <v>5582</v>
          </cell>
          <cell r="Q5611">
            <v>14</v>
          </cell>
        </row>
        <row r="5612">
          <cell r="D5612" t="str">
            <v>64741-65-7</v>
          </cell>
          <cell r="E5612">
            <v>64741657</v>
          </cell>
          <cell r="F5612" t="str">
            <v>-</v>
          </cell>
          <cell r="G5612" t="str">
            <v>-</v>
          </cell>
          <cell r="H5612">
            <v>5583</v>
          </cell>
          <cell r="Q5612">
            <v>14</v>
          </cell>
        </row>
        <row r="5613">
          <cell r="D5613" t="str">
            <v>92045-40-4</v>
          </cell>
          <cell r="E5613">
            <v>92045404</v>
          </cell>
          <cell r="F5613" t="str">
            <v>-</v>
          </cell>
          <cell r="G5613" t="str">
            <v>-</v>
          </cell>
          <cell r="H5613">
            <v>5584</v>
          </cell>
          <cell r="Q5613">
            <v>14</v>
          </cell>
        </row>
        <row r="5614">
          <cell r="D5614" t="str">
            <v>7756-94-7</v>
          </cell>
          <cell r="E5614">
            <v>7756947</v>
          </cell>
          <cell r="F5614" t="str">
            <v>-</v>
          </cell>
          <cell r="G5614" t="str">
            <v>-</v>
          </cell>
          <cell r="H5614">
            <v>5585</v>
          </cell>
          <cell r="Q5614">
            <v>14</v>
          </cell>
        </row>
        <row r="5615">
          <cell r="D5615" t="str">
            <v>100684-33-1</v>
          </cell>
          <cell r="E5615">
            <v>100684331</v>
          </cell>
          <cell r="F5615" t="str">
            <v>-</v>
          </cell>
          <cell r="G5615" t="str">
            <v>-</v>
          </cell>
          <cell r="H5615">
            <v>5586</v>
          </cell>
          <cell r="Q5615">
            <v>14</v>
          </cell>
        </row>
        <row r="5616">
          <cell r="D5616" t="str">
            <v>90669-48-0</v>
          </cell>
          <cell r="E5616">
            <v>90669480</v>
          </cell>
          <cell r="F5616" t="str">
            <v>-</v>
          </cell>
          <cell r="G5616" t="str">
            <v>-</v>
          </cell>
          <cell r="H5616">
            <v>5587</v>
          </cell>
          <cell r="Q5616">
            <v>14</v>
          </cell>
        </row>
        <row r="5617">
          <cell r="D5617" t="str">
            <v>68603-11-2</v>
          </cell>
          <cell r="E5617">
            <v>68603112</v>
          </cell>
          <cell r="F5617" t="str">
            <v>-</v>
          </cell>
          <cell r="G5617" t="str">
            <v>-</v>
          </cell>
          <cell r="H5617">
            <v>5588</v>
          </cell>
          <cell r="Q5617">
            <v>14</v>
          </cell>
        </row>
        <row r="5618">
          <cell r="D5618" t="str">
            <v>61790-48-5</v>
          </cell>
          <cell r="E5618">
            <v>61790485</v>
          </cell>
          <cell r="F5618" t="str">
            <v>-</v>
          </cell>
          <cell r="G5618" t="str">
            <v>-</v>
          </cell>
          <cell r="H5618">
            <v>5589</v>
          </cell>
          <cell r="Q5618">
            <v>14</v>
          </cell>
        </row>
        <row r="5619">
          <cell r="D5619" t="str">
            <v>93820-55-4</v>
          </cell>
          <cell r="E5619">
            <v>93820554</v>
          </cell>
          <cell r="F5619" t="str">
            <v>-</v>
          </cell>
          <cell r="G5619" t="str">
            <v>-</v>
          </cell>
          <cell r="H5619">
            <v>5590</v>
          </cell>
          <cell r="Q5619">
            <v>14</v>
          </cell>
        </row>
        <row r="5620">
          <cell r="D5620" t="str">
            <v>154518-38-4</v>
          </cell>
          <cell r="E5620">
            <v>154518384</v>
          </cell>
          <cell r="F5620" t="str">
            <v>-</v>
          </cell>
          <cell r="G5620" t="str">
            <v>-</v>
          </cell>
          <cell r="H5620">
            <v>5591</v>
          </cell>
          <cell r="Q5620">
            <v>14</v>
          </cell>
        </row>
        <row r="5621">
          <cell r="D5621" t="str">
            <v>93762-79-9</v>
          </cell>
          <cell r="E5621">
            <v>93762799</v>
          </cell>
          <cell r="F5621" t="str">
            <v>-</v>
          </cell>
          <cell r="G5621" t="str">
            <v>-</v>
          </cell>
          <cell r="H5621">
            <v>5592</v>
          </cell>
          <cell r="Q5621">
            <v>14</v>
          </cell>
        </row>
        <row r="5622">
          <cell r="D5622" t="str">
            <v>93685-79-1</v>
          </cell>
          <cell r="E5622">
            <v>93685791</v>
          </cell>
          <cell r="F5622" t="str">
            <v>-</v>
          </cell>
          <cell r="G5622" t="str">
            <v>-</v>
          </cell>
          <cell r="H5622">
            <v>5593</v>
          </cell>
          <cell r="Q5622">
            <v>14</v>
          </cell>
        </row>
        <row r="5623">
          <cell r="D5623" t="str">
            <v>68814-89-1</v>
          </cell>
          <cell r="E5623">
            <v>68814891</v>
          </cell>
          <cell r="F5623" t="str">
            <v>-</v>
          </cell>
          <cell r="G5623" t="str">
            <v>-</v>
          </cell>
          <cell r="H5623">
            <v>5594</v>
          </cell>
          <cell r="Q5623">
            <v>14</v>
          </cell>
        </row>
        <row r="5624">
          <cell r="D5624" t="str">
            <v>97675-24-6</v>
          </cell>
          <cell r="E5624">
            <v>97675246</v>
          </cell>
          <cell r="F5624" t="str">
            <v>-</v>
          </cell>
          <cell r="G5624" t="str">
            <v>-</v>
          </cell>
          <cell r="H5624">
            <v>5595</v>
          </cell>
          <cell r="Q5624">
            <v>14</v>
          </cell>
        </row>
        <row r="5625">
          <cell r="D5625" t="str">
            <v>178535-25-6</v>
          </cell>
          <cell r="E5625">
            <v>178535256</v>
          </cell>
          <cell r="F5625" t="str">
            <v>-</v>
          </cell>
          <cell r="G5625" t="str">
            <v>-</v>
          </cell>
          <cell r="H5625">
            <v>5596</v>
          </cell>
          <cell r="Q5625">
            <v>14</v>
          </cell>
        </row>
        <row r="5626">
          <cell r="D5626" t="str">
            <v>85117-47-1</v>
          </cell>
          <cell r="E5626">
            <v>85117471</v>
          </cell>
          <cell r="F5626" t="str">
            <v>-</v>
          </cell>
          <cell r="G5626" t="str">
            <v>-</v>
          </cell>
          <cell r="H5626">
            <v>5597</v>
          </cell>
          <cell r="Q5626">
            <v>14</v>
          </cell>
        </row>
        <row r="5629">
          <cell r="J5629">
            <v>388</v>
          </cell>
          <cell r="K5629">
            <v>358</v>
          </cell>
          <cell r="L5629">
            <v>358</v>
          </cell>
          <cell r="M5629">
            <v>358</v>
          </cell>
          <cell r="N5629">
            <v>356</v>
          </cell>
          <cell r="O5629">
            <v>268</v>
          </cell>
          <cell r="P5629">
            <v>234</v>
          </cell>
        </row>
        <row r="5635">
          <cell r="D5635" t="str">
            <v>103-90-2</v>
          </cell>
          <cell r="E5635">
            <v>103902</v>
          </cell>
          <cell r="F5635">
            <v>165</v>
          </cell>
          <cell r="G5635" t="str">
            <v>Reach_616</v>
          </cell>
          <cell r="H5635">
            <v>5599</v>
          </cell>
          <cell r="J5635">
            <v>151.16999999999999</v>
          </cell>
          <cell r="K5635">
            <v>119.92</v>
          </cell>
          <cell r="L5635">
            <v>2.5860200000000003E-4</v>
          </cell>
          <cell r="M5635">
            <v>8056.1</v>
          </cell>
          <cell r="N5635">
            <v>1.8620871366628675</v>
          </cell>
          <cell r="O5635">
            <v>10.199999999999999</v>
          </cell>
          <cell r="P5635">
            <v>12</v>
          </cell>
          <cell r="Q5635">
            <v>2</v>
          </cell>
        </row>
        <row r="5636">
          <cell r="D5636" t="str">
            <v>657-24-9</v>
          </cell>
          <cell r="E5636">
            <v>657249</v>
          </cell>
          <cell r="F5636">
            <v>79</v>
          </cell>
          <cell r="G5636" t="str">
            <v>PharmaBeta_488</v>
          </cell>
          <cell r="H5636">
            <v>5600</v>
          </cell>
          <cell r="J5636">
            <v>129.16999999999999</v>
          </cell>
          <cell r="K5636">
            <v>74.45</v>
          </cell>
          <cell r="L5636">
            <v>1.0104140000000001E-2</v>
          </cell>
          <cell r="M5636">
            <v>43700</v>
          </cell>
          <cell r="N5636">
            <v>2.2908676527677715E-3</v>
          </cell>
          <cell r="P5636">
            <v>2.1</v>
          </cell>
          <cell r="Q5636">
            <v>11.9</v>
          </cell>
        </row>
        <row r="5637">
          <cell r="D5637" t="str">
            <v>50-06-6</v>
          </cell>
          <cell r="E5637">
            <v>50066</v>
          </cell>
          <cell r="F5637">
            <v>4945</v>
          </cell>
          <cell r="G5637" t="str">
            <v>PharmaBeta_244</v>
          </cell>
          <cell r="H5637">
            <v>5601</v>
          </cell>
          <cell r="J5637">
            <v>232.24</v>
          </cell>
          <cell r="K5637">
            <v>244.73</v>
          </cell>
          <cell r="L5637">
            <v>1.8128800000000003E-9</v>
          </cell>
          <cell r="M5637">
            <v>3428.9</v>
          </cell>
          <cell r="N5637">
            <v>21.379620895022335</v>
          </cell>
          <cell r="O5637">
            <v>7.5</v>
          </cell>
          <cell r="Q5637">
            <v>7.5</v>
          </cell>
        </row>
        <row r="5638">
          <cell r="D5638" t="str">
            <v>15687-27-1</v>
          </cell>
          <cell r="E5638">
            <v>15687271</v>
          </cell>
          <cell r="F5638">
            <v>493</v>
          </cell>
          <cell r="G5638" t="str">
            <v>Reach_2393</v>
          </cell>
          <cell r="H5638">
            <v>5602</v>
          </cell>
          <cell r="J5638">
            <v>206.29</v>
          </cell>
          <cell r="K5638">
            <v>94.22</v>
          </cell>
          <cell r="L5638">
            <v>2.4793800000000001E-2</v>
          </cell>
          <cell r="M5638">
            <v>27.51</v>
          </cell>
          <cell r="N5638">
            <v>6165.9500186148289</v>
          </cell>
          <cell r="O5638">
            <v>4.3</v>
          </cell>
          <cell r="Q5638">
            <v>4.3</v>
          </cell>
        </row>
        <row r="5639">
          <cell r="D5639" t="str">
            <v>22204-53-1</v>
          </cell>
          <cell r="E5639">
            <v>22204531</v>
          </cell>
          <cell r="F5639">
            <v>539</v>
          </cell>
          <cell r="G5639" t="str">
            <v>PharmaBeta_529</v>
          </cell>
          <cell r="H5639">
            <v>5603</v>
          </cell>
          <cell r="J5639">
            <v>230.26</v>
          </cell>
          <cell r="K5639">
            <v>137.63</v>
          </cell>
          <cell r="L5639">
            <v>1.6929099999999999E-4</v>
          </cell>
          <cell r="M5639">
            <v>277.35000000000002</v>
          </cell>
          <cell r="N5639">
            <v>1258.925411794168</v>
          </cell>
          <cell r="O5639">
            <v>4.3600000000000003</v>
          </cell>
          <cell r="Q5639">
            <v>4.3600000000000003</v>
          </cell>
        </row>
        <row r="5640">
          <cell r="D5640" t="str">
            <v>604-75-1</v>
          </cell>
          <cell r="E5640">
            <v>604751</v>
          </cell>
          <cell r="F5640">
            <v>72</v>
          </cell>
          <cell r="G5640" t="str">
            <v>PharmaBeta_286</v>
          </cell>
          <cell r="H5640">
            <v>5604</v>
          </cell>
          <cell r="J5640">
            <v>171.24</v>
          </cell>
          <cell r="K5640">
            <v>300.52</v>
          </cell>
          <cell r="L5640">
            <v>3.9190200000000006E-8</v>
          </cell>
          <cell r="M5640">
            <v>2000</v>
          </cell>
          <cell r="N5640">
            <v>4.2657951880159237E-2</v>
          </cell>
          <cell r="O5640">
            <v>3.8</v>
          </cell>
          <cell r="P5640">
            <v>3.28</v>
          </cell>
          <cell r="Q5640">
            <v>3.8</v>
          </cell>
        </row>
        <row r="5641">
          <cell r="D5641" t="str">
            <v>26787-78-0</v>
          </cell>
          <cell r="E5641">
            <v>26787780</v>
          </cell>
          <cell r="F5641">
            <v>574</v>
          </cell>
          <cell r="G5641" t="str">
            <v>Reach_2594</v>
          </cell>
          <cell r="H5641">
            <v>5605</v>
          </cell>
          <cell r="J5641">
            <v>365.41</v>
          </cell>
          <cell r="K5641">
            <v>329.94</v>
          </cell>
          <cell r="L5641">
            <v>6.251770000000001E-15</v>
          </cell>
          <cell r="M5641">
            <v>20913</v>
          </cell>
          <cell r="N5641">
            <v>9.3325430079699103</v>
          </cell>
          <cell r="O5641">
            <v>2.36</v>
          </cell>
          <cell r="P5641">
            <v>5</v>
          </cell>
          <cell r="Q5641">
            <v>2.36</v>
          </cell>
        </row>
        <row r="5642">
          <cell r="D5642" t="str">
            <v>79902-63-9</v>
          </cell>
          <cell r="E5642">
            <v>79902639</v>
          </cell>
          <cell r="F5642">
            <v>927</v>
          </cell>
          <cell r="G5642" t="str">
            <v>PharmaBeta_689</v>
          </cell>
          <cell r="H5642">
            <v>5606</v>
          </cell>
          <cell r="J5642">
            <v>418.57</v>
          </cell>
          <cell r="K5642">
            <v>206.76</v>
          </cell>
          <cell r="L5642">
            <v>5.6385900000000005E-10</v>
          </cell>
          <cell r="M5642">
            <v>0.83435000000000004</v>
          </cell>
          <cell r="N5642">
            <v>154881.66189124843</v>
          </cell>
          <cell r="O5642">
            <v>14.64</v>
          </cell>
          <cell r="Q5642">
            <v>14</v>
          </cell>
        </row>
        <row r="5643">
          <cell r="D5643" t="str">
            <v>27203-92-5</v>
          </cell>
          <cell r="E5643">
            <v>27203925</v>
          </cell>
          <cell r="F5643">
            <v>41</v>
          </cell>
          <cell r="G5643" t="str">
            <v>PharmaBeta_757</v>
          </cell>
          <cell r="H5643">
            <v>5607</v>
          </cell>
          <cell r="J5643">
            <v>263.38</v>
          </cell>
          <cell r="K5643">
            <v>115.18</v>
          </cell>
          <cell r="L5643">
            <v>6.0918100000000002E-5</v>
          </cell>
          <cell r="M5643">
            <v>1420</v>
          </cell>
          <cell r="N5643">
            <v>1023.2929922807547</v>
          </cell>
          <cell r="O5643">
            <v>14.2</v>
          </cell>
          <cell r="P5643">
            <v>4.76</v>
          </cell>
          <cell r="Q5643">
            <v>9.24</v>
          </cell>
        </row>
        <row r="5644">
          <cell r="D5644" t="str">
            <v>298-46-4</v>
          </cell>
          <cell r="E5644">
            <v>298464</v>
          </cell>
          <cell r="F5644">
            <v>45</v>
          </cell>
          <cell r="G5644" t="str">
            <v>PharmaBeta_372</v>
          </cell>
          <cell r="H5644">
            <v>5608</v>
          </cell>
          <cell r="J5644">
            <v>236.28</v>
          </cell>
          <cell r="K5644">
            <v>162.35</v>
          </cell>
          <cell r="L5644">
            <v>1.17304E-5</v>
          </cell>
          <cell r="M5644">
            <v>14.597</v>
          </cell>
          <cell r="N5644">
            <v>177.82794100389242</v>
          </cell>
          <cell r="O5644">
            <v>14.3</v>
          </cell>
          <cell r="P5644">
            <v>13.9</v>
          </cell>
          <cell r="Q5644">
            <v>9.9999999999999645E-2</v>
          </cell>
        </row>
        <row r="5645">
          <cell r="D5645" t="str">
            <v>15307-86-5</v>
          </cell>
          <cell r="E5645">
            <v>15307865</v>
          </cell>
          <cell r="F5645">
            <v>31</v>
          </cell>
          <cell r="G5645" t="str">
            <v>Reach_2382</v>
          </cell>
          <cell r="H5645">
            <v>5609</v>
          </cell>
          <cell r="J5645">
            <v>296.14999999999998</v>
          </cell>
          <cell r="K5645">
            <v>174.6</v>
          </cell>
          <cell r="L5645">
            <v>8.1846199999999992E-6</v>
          </cell>
          <cell r="M5645">
            <v>16.372</v>
          </cell>
          <cell r="N5645">
            <v>10471.285480509003</v>
          </cell>
          <cell r="O5645">
            <v>4.3499999999999996</v>
          </cell>
          <cell r="Q5645">
            <v>4.3499999999999996</v>
          </cell>
        </row>
        <row r="5646">
          <cell r="D5646" t="str">
            <v>66357-35-5</v>
          </cell>
          <cell r="E5646">
            <v>66357355</v>
          </cell>
          <cell r="F5646">
            <v>789</v>
          </cell>
          <cell r="G5646" t="str">
            <v>Reach_2879</v>
          </cell>
          <cell r="H5646">
            <v>5610</v>
          </cell>
          <cell r="J5646">
            <v>314.41000000000003</v>
          </cell>
          <cell r="K5646">
            <v>168.46</v>
          </cell>
          <cell r="L5646">
            <v>1.8662E-4</v>
          </cell>
          <cell r="M5646">
            <v>8044.3</v>
          </cell>
          <cell r="N5646">
            <v>1.9498445997580454</v>
          </cell>
          <cell r="P5646">
            <v>6</v>
          </cell>
          <cell r="Q5646">
            <v>8</v>
          </cell>
        </row>
        <row r="5647">
          <cell r="D5647" t="str">
            <v>5250-39-5</v>
          </cell>
          <cell r="E5647">
            <v>5250395</v>
          </cell>
          <cell r="F5647">
            <v>3062</v>
          </cell>
          <cell r="G5647" t="str">
            <v>PharmaBeta_260</v>
          </cell>
          <cell r="H5647">
            <v>5611</v>
          </cell>
          <cell r="J5647">
            <v>453.88</v>
          </cell>
          <cell r="K5647">
            <v>289.60000000000002</v>
          </cell>
          <cell r="L5647">
            <v>2.2261100000000002E-13</v>
          </cell>
          <cell r="M5647">
            <v>4.5330000000000004</v>
          </cell>
          <cell r="N5647">
            <v>2630.2679918953822</v>
          </cell>
          <cell r="O5647">
            <v>2.4700000000000002</v>
          </cell>
          <cell r="Q5647">
            <v>2.4700000000000002</v>
          </cell>
        </row>
        <row r="5648">
          <cell r="D5648" t="str">
            <v>73590-58-6</v>
          </cell>
          <cell r="E5648">
            <v>73590586</v>
          </cell>
          <cell r="F5648">
            <v>832</v>
          </cell>
          <cell r="G5648" t="str">
            <v>PharmaBeta_573</v>
          </cell>
          <cell r="H5648">
            <v>5612</v>
          </cell>
          <cell r="J5648">
            <v>345.42</v>
          </cell>
          <cell r="K5648">
            <v>254.42</v>
          </cell>
          <cell r="L5648">
            <v>1.3210030000000001E-13</v>
          </cell>
          <cell r="M5648">
            <v>13.539</v>
          </cell>
          <cell r="N5648">
            <v>2884.0315031266077</v>
          </cell>
          <cell r="O5648">
            <v>8.74</v>
          </cell>
          <cell r="P5648">
            <v>10</v>
          </cell>
          <cell r="Q5648">
            <v>4</v>
          </cell>
        </row>
        <row r="5649">
          <cell r="D5649" t="str">
            <v>87-08-01</v>
          </cell>
          <cell r="E5649">
            <v>870801</v>
          </cell>
          <cell r="F5649" t="str">
            <v>-</v>
          </cell>
          <cell r="G5649" t="str">
            <v>-</v>
          </cell>
          <cell r="H5649">
            <v>5613</v>
          </cell>
          <cell r="Q5649">
            <v>14</v>
          </cell>
        </row>
        <row r="5650">
          <cell r="D5650" t="str">
            <v>54-31-9</v>
          </cell>
          <cell r="E5650">
            <v>54319</v>
          </cell>
          <cell r="F5650">
            <v>62</v>
          </cell>
          <cell r="G5650" t="str">
            <v>PharmaBeta_284</v>
          </cell>
          <cell r="H5650">
            <v>5614</v>
          </cell>
          <cell r="J5650">
            <v>330.75</v>
          </cell>
          <cell r="K5650">
            <v>211.61</v>
          </cell>
          <cell r="L5650">
            <v>4.0789800000000007E-9</v>
          </cell>
          <cell r="M5650">
            <v>54.545999999999999</v>
          </cell>
          <cell r="N5650">
            <v>208.92961308540396</v>
          </cell>
          <cell r="O5650">
            <v>3.5</v>
          </cell>
          <cell r="Q5650">
            <v>3.5</v>
          </cell>
        </row>
        <row r="5651">
          <cell r="D5651" t="str">
            <v>158966-92-8</v>
          </cell>
          <cell r="E5651">
            <v>158966928</v>
          </cell>
          <cell r="F5651">
            <v>2066</v>
          </cell>
          <cell r="G5651" t="str">
            <v>PharmaBeta_517</v>
          </cell>
          <cell r="H5651">
            <v>5615</v>
          </cell>
          <cell r="J5651">
            <v>586.20000000000005</v>
          </cell>
          <cell r="K5651">
            <v>320.73</v>
          </cell>
          <cell r="L5651">
            <v>5.5186200000000009E-19</v>
          </cell>
          <cell r="M5651">
            <v>2.8E-5</v>
          </cell>
          <cell r="N5651">
            <v>3311311214.8259158</v>
          </cell>
          <cell r="O5651">
            <v>4.7300000000000004</v>
          </cell>
          <cell r="P5651">
            <v>10.62</v>
          </cell>
          <cell r="Q5651">
            <v>3.3800000000000008</v>
          </cell>
        </row>
        <row r="5652">
          <cell r="D5652" t="str">
            <v>11041-12-6</v>
          </cell>
          <cell r="E5652">
            <v>11041126</v>
          </cell>
          <cell r="F5652" t="str">
            <v>-</v>
          </cell>
          <cell r="G5652" t="str">
            <v>-</v>
          </cell>
          <cell r="H5652">
            <v>5616</v>
          </cell>
          <cell r="Q5652">
            <v>14</v>
          </cell>
        </row>
        <row r="5653">
          <cell r="D5653" t="str">
            <v>138402-11-6</v>
          </cell>
          <cell r="E5653">
            <v>138402116</v>
          </cell>
          <cell r="F5653">
            <v>444</v>
          </cell>
          <cell r="G5653" t="str">
            <v>PharmaBeta_343</v>
          </cell>
          <cell r="H5653">
            <v>5617</v>
          </cell>
          <cell r="J5653">
            <v>428.55</v>
          </cell>
          <cell r="K5653">
            <v>291.49</v>
          </cell>
          <cell r="L5653">
            <v>1.6395900000000002E-13</v>
          </cell>
          <cell r="M5653">
            <v>4.2872E-4</v>
          </cell>
          <cell r="N5653">
            <v>204173.79446695308</v>
          </cell>
          <cell r="O5653">
            <v>3.63</v>
          </cell>
          <cell r="P5653">
            <v>4</v>
          </cell>
          <cell r="Q5653">
            <v>3.63</v>
          </cell>
        </row>
        <row r="5654">
          <cell r="D5654" t="str">
            <v>599-79-1</v>
          </cell>
          <cell r="E5654">
            <v>599791</v>
          </cell>
          <cell r="F5654">
            <v>3300</v>
          </cell>
          <cell r="G5654" t="str">
            <v>PharmaBeta_704</v>
          </cell>
          <cell r="H5654">
            <v>5618</v>
          </cell>
          <cell r="J5654">
            <v>398.4</v>
          </cell>
          <cell r="K5654">
            <v>264.64</v>
          </cell>
          <cell r="L5654">
            <v>3.0259100000000004E-12</v>
          </cell>
          <cell r="M5654">
            <v>8.2316000000000004E-3</v>
          </cell>
          <cell r="N5654">
            <v>6456.5422903465615</v>
          </cell>
          <cell r="O5654">
            <v>1.84</v>
          </cell>
          <cell r="P5654">
            <v>11.34</v>
          </cell>
          <cell r="Q5654">
            <v>1.84</v>
          </cell>
        </row>
        <row r="5655">
          <cell r="D5655" t="str">
            <v>202409-33-4</v>
          </cell>
          <cell r="E5655">
            <v>202409334</v>
          </cell>
          <cell r="F5655">
            <v>2256</v>
          </cell>
          <cell r="G5655" t="str">
            <v>PharmaBeta_231</v>
          </cell>
          <cell r="H5655">
            <v>5619</v>
          </cell>
          <cell r="J5655">
            <v>358.85</v>
          </cell>
          <cell r="K5655">
            <v>220.98</v>
          </cell>
          <cell r="L5655">
            <v>1.030409E-8</v>
          </cell>
          <cell r="M5655">
            <v>1.6028</v>
          </cell>
          <cell r="N5655">
            <v>812.83051616409978</v>
          </cell>
          <cell r="P5655">
            <v>11.16</v>
          </cell>
          <cell r="Q5655">
            <v>2.84</v>
          </cell>
        </row>
        <row r="5656">
          <cell r="D5656" t="str">
            <v>723-46-6</v>
          </cell>
          <cell r="E5656">
            <v>723466</v>
          </cell>
          <cell r="F5656">
            <v>86</v>
          </cell>
          <cell r="G5656" t="str">
            <v>PharmaBeta_703</v>
          </cell>
          <cell r="H5656">
            <v>5620</v>
          </cell>
          <cell r="J5656">
            <v>253.28</v>
          </cell>
          <cell r="K5656">
            <v>172.43</v>
          </cell>
          <cell r="L5656">
            <v>1.7329000000000003E-5</v>
          </cell>
          <cell r="M5656">
            <v>1250</v>
          </cell>
          <cell r="N5656">
            <v>3.0199517204020165</v>
          </cell>
          <cell r="O5656">
            <v>5.68</v>
          </cell>
          <cell r="P5656">
            <v>12.2</v>
          </cell>
          <cell r="Q5656">
            <v>1.8000000000000007</v>
          </cell>
        </row>
        <row r="5657">
          <cell r="D5657" t="str">
            <v>41859-67-0</v>
          </cell>
          <cell r="E5657">
            <v>41859670</v>
          </cell>
          <cell r="F5657">
            <v>53</v>
          </cell>
          <cell r="G5657" t="str">
            <v>PharmaBeta_89</v>
          </cell>
          <cell r="H5657">
            <v>5621</v>
          </cell>
          <cell r="J5657">
            <v>361.83</v>
          </cell>
          <cell r="K5657">
            <v>230.39</v>
          </cell>
          <cell r="L5657">
            <v>8.1579600000000015E-9</v>
          </cell>
          <cell r="M5657">
            <v>0.64980000000000004</v>
          </cell>
          <cell r="N5657">
            <v>17782.794100389234</v>
          </cell>
          <cell r="O5657">
            <v>3.99</v>
          </cell>
          <cell r="P5657">
            <v>14.95</v>
          </cell>
          <cell r="Q5657">
            <v>-0.94999999999999929</v>
          </cell>
        </row>
        <row r="5658">
          <cell r="D5658" t="str">
            <v>134523-00-5</v>
          </cell>
          <cell r="E5658">
            <v>134523005</v>
          </cell>
          <cell r="F5658">
            <v>431</v>
          </cell>
          <cell r="G5658" t="str">
            <v>PharmaBeta_60</v>
          </cell>
          <cell r="H5658">
            <v>5622</v>
          </cell>
          <cell r="J5658">
            <v>558.65</v>
          </cell>
          <cell r="K5658">
            <v>349.84</v>
          </cell>
          <cell r="L5658">
            <v>9.2643500000000004E-23</v>
          </cell>
          <cell r="M5658">
            <v>3.0000999999999999E-3</v>
          </cell>
          <cell r="N5658">
            <v>2290867.6527677765</v>
          </cell>
          <cell r="O5658">
            <v>4.34</v>
          </cell>
          <cell r="P5658">
            <v>16</v>
          </cell>
          <cell r="Q5658">
            <v>-2</v>
          </cell>
        </row>
        <row r="5659">
          <cell r="D5659" t="str">
            <v>79617-96-2</v>
          </cell>
          <cell r="E5659">
            <v>79617962</v>
          </cell>
          <cell r="F5659">
            <v>924</v>
          </cell>
          <cell r="G5659" t="str">
            <v>PharmaBeta_684</v>
          </cell>
          <cell r="H5659">
            <v>5623</v>
          </cell>
          <cell r="J5659">
            <v>306.24</v>
          </cell>
          <cell r="K5659">
            <v>139.72999999999999</v>
          </cell>
          <cell r="L5659">
            <v>1.5596100000000001E-4</v>
          </cell>
          <cell r="M5659">
            <v>0.75317000000000001</v>
          </cell>
          <cell r="N5659">
            <v>194984.45997580473</v>
          </cell>
          <cell r="P5659">
            <v>5</v>
          </cell>
          <cell r="Q5659">
            <v>9</v>
          </cell>
        </row>
        <row r="5660">
          <cell r="D5660" t="str">
            <v>2753-45-9</v>
          </cell>
          <cell r="E5660">
            <v>2753459</v>
          </cell>
          <cell r="F5660">
            <v>6362</v>
          </cell>
          <cell r="G5660" t="str">
            <v>PharmaUBA</v>
          </cell>
          <cell r="H5660">
            <v>5624</v>
          </cell>
          <cell r="J5660">
            <v>466.02</v>
          </cell>
          <cell r="Q5660">
            <v>14</v>
          </cell>
        </row>
        <row r="5661">
          <cell r="D5661" t="str">
            <v>61-68-7</v>
          </cell>
          <cell r="E5661">
            <v>61687</v>
          </cell>
          <cell r="F5661">
            <v>1150</v>
          </cell>
          <cell r="G5661" t="str">
            <v>PharmaUBA</v>
          </cell>
          <cell r="H5661">
            <v>5625</v>
          </cell>
          <cell r="J5661">
            <v>241.29</v>
          </cell>
          <cell r="K5661">
            <v>152.83000000000001</v>
          </cell>
          <cell r="L5661">
            <v>7.7713900000000008E-6</v>
          </cell>
          <cell r="M5661">
            <v>11.497999999999999</v>
          </cell>
          <cell r="N5661">
            <v>190546.07179632492</v>
          </cell>
          <cell r="O5661">
            <v>4.3</v>
          </cell>
          <cell r="P5661">
            <v>16</v>
          </cell>
          <cell r="Q5661">
            <v>-2</v>
          </cell>
        </row>
        <row r="5662">
          <cell r="D5662" t="str">
            <v>50-78-2</v>
          </cell>
          <cell r="E5662">
            <v>50782</v>
          </cell>
          <cell r="F5662">
            <v>666</v>
          </cell>
          <cell r="G5662" t="str">
            <v>Reach_9</v>
          </cell>
          <cell r="H5662">
            <v>5626</v>
          </cell>
          <cell r="J5662">
            <v>180.16</v>
          </cell>
          <cell r="K5662">
            <v>93.06</v>
          </cell>
          <cell r="L5662">
            <v>8.7444800000000007E-3</v>
          </cell>
          <cell r="M5662">
            <v>2330.8000000000002</v>
          </cell>
          <cell r="N5662">
            <v>13.489628825916535</v>
          </cell>
          <cell r="O5662">
            <v>3.5</v>
          </cell>
          <cell r="Q5662">
            <v>3.5</v>
          </cell>
        </row>
        <row r="5663">
          <cell r="D5663" t="str">
            <v>42399-41-7</v>
          </cell>
          <cell r="E5663">
            <v>42399417</v>
          </cell>
          <cell r="F5663">
            <v>637</v>
          </cell>
          <cell r="G5663" t="str">
            <v>PharmaBeta_173</v>
          </cell>
          <cell r="H5663">
            <v>5627</v>
          </cell>
          <cell r="J5663">
            <v>414.53</v>
          </cell>
          <cell r="K5663">
            <v>231.5</v>
          </cell>
          <cell r="L5663">
            <v>3.9723400000000008E-9</v>
          </cell>
          <cell r="M5663">
            <v>6.5827</v>
          </cell>
          <cell r="N5663">
            <v>616.59500186148273</v>
          </cell>
          <cell r="P5663">
            <v>6</v>
          </cell>
          <cell r="Q5663">
            <v>8</v>
          </cell>
        </row>
        <row r="5664">
          <cell r="D5664" t="str">
            <v>315-30-0</v>
          </cell>
          <cell r="E5664">
            <v>315300</v>
          </cell>
          <cell r="F5664">
            <v>2628</v>
          </cell>
          <cell r="G5664" t="str">
            <v>PharmaBeta_24</v>
          </cell>
          <cell r="H5664">
            <v>5628</v>
          </cell>
          <cell r="J5664">
            <v>136.12</v>
          </cell>
          <cell r="K5664">
            <v>164.18</v>
          </cell>
          <cell r="L5664">
            <v>5.0254100000000004E-5</v>
          </cell>
          <cell r="M5664">
            <v>86668</v>
          </cell>
          <cell r="N5664">
            <v>7.2443596007498987E-2</v>
          </cell>
          <cell r="O5664">
            <v>9.3000000000000007</v>
          </cell>
          <cell r="Q5664">
            <v>9.3000000000000007</v>
          </cell>
        </row>
        <row r="5665">
          <cell r="D5665" t="str">
            <v>84057-84-1</v>
          </cell>
          <cell r="E5665">
            <v>84057841</v>
          </cell>
          <cell r="F5665">
            <v>102</v>
          </cell>
          <cell r="G5665" t="str">
            <v>PharmaBeta_428</v>
          </cell>
          <cell r="H5665">
            <v>5629</v>
          </cell>
          <cell r="J5665">
            <v>256.10000000000002</v>
          </cell>
          <cell r="K5665">
            <v>189.21</v>
          </cell>
          <cell r="L5665">
            <v>1.254353E-6</v>
          </cell>
          <cell r="M5665">
            <v>440.25</v>
          </cell>
          <cell r="N5665">
            <v>9.7723722095581103</v>
          </cell>
          <cell r="P5665">
            <v>8.5399999999999991</v>
          </cell>
          <cell r="Q5665">
            <v>5.4600000000000009</v>
          </cell>
        </row>
        <row r="5666">
          <cell r="D5666" t="str">
            <v>54024-22-5</v>
          </cell>
          <cell r="E5666">
            <v>54024225</v>
          </cell>
          <cell r="F5666">
            <v>662</v>
          </cell>
          <cell r="G5666" t="str">
            <v>Reach_8</v>
          </cell>
          <cell r="H5666">
            <v>5630</v>
          </cell>
          <cell r="J5666">
            <v>277.41000000000003</v>
          </cell>
          <cell r="K5666">
            <v>134.41</v>
          </cell>
          <cell r="L5666">
            <v>4.8254600000000004E-5</v>
          </cell>
          <cell r="M5666">
            <v>3.5478999999999998</v>
          </cell>
          <cell r="N5666">
            <v>89125.093813374609</v>
          </cell>
          <cell r="P5666">
            <v>5</v>
          </cell>
          <cell r="Q5666">
            <v>9</v>
          </cell>
        </row>
        <row r="5667">
          <cell r="D5667" t="str">
            <v>114-07-8</v>
          </cell>
          <cell r="E5667">
            <v>114078</v>
          </cell>
          <cell r="F5667">
            <v>336</v>
          </cell>
          <cell r="G5667" t="str">
            <v>Reach_933</v>
          </cell>
          <cell r="H5667">
            <v>5631</v>
          </cell>
          <cell r="J5667">
            <v>733.94</v>
          </cell>
          <cell r="K5667">
            <v>349.84</v>
          </cell>
          <cell r="L5667">
            <v>2.8259600000000004E-23</v>
          </cell>
          <cell r="M5667">
            <v>2.1518999999999999</v>
          </cell>
          <cell r="N5667">
            <v>301.99517204020168</v>
          </cell>
          <cell r="O5667">
            <v>12.69</v>
          </cell>
          <cell r="P5667">
            <v>5</v>
          </cell>
          <cell r="Q5667">
            <v>9</v>
          </cell>
        </row>
        <row r="5668">
          <cell r="D5668" t="str">
            <v>113665-84-2</v>
          </cell>
          <cell r="E5668">
            <v>113665842</v>
          </cell>
          <cell r="F5668">
            <v>8</v>
          </cell>
          <cell r="G5668" t="str">
            <v>PharmaBeta_405</v>
          </cell>
          <cell r="H5668">
            <v>5632</v>
          </cell>
          <cell r="J5668">
            <v>321.83</v>
          </cell>
          <cell r="K5668">
            <v>158.32</v>
          </cell>
          <cell r="L5668">
            <v>3.8523700000000005E-5</v>
          </cell>
          <cell r="M5668">
            <v>48.712000000000003</v>
          </cell>
          <cell r="N5668">
            <v>6606.9344800759654</v>
          </cell>
          <cell r="P5668">
            <v>13.66</v>
          </cell>
          <cell r="Q5668">
            <v>0.33999999999999986</v>
          </cell>
        </row>
        <row r="5669">
          <cell r="D5669" t="str">
            <v>22916-47-8</v>
          </cell>
          <cell r="E5669">
            <v>22916478</v>
          </cell>
          <cell r="F5669">
            <v>5364</v>
          </cell>
          <cell r="G5669" t="str">
            <v>PharmaUBA</v>
          </cell>
          <cell r="H5669">
            <v>5633</v>
          </cell>
          <cell r="J5669">
            <v>416.14</v>
          </cell>
          <cell r="K5669">
            <v>215.55</v>
          </cell>
          <cell r="L5669">
            <v>2.3594100000000005E-8</v>
          </cell>
          <cell r="M5669">
            <v>2.4322E-2</v>
          </cell>
          <cell r="N5669">
            <v>1778279.4100389241</v>
          </cell>
          <cell r="P5669">
            <v>7.54</v>
          </cell>
          <cell r="Q5669">
            <v>6.46</v>
          </cell>
        </row>
        <row r="5670">
          <cell r="D5670" t="str">
            <v>72559-06-9</v>
          </cell>
          <cell r="E5670">
            <v>72559069</v>
          </cell>
          <cell r="F5670">
            <v>3606</v>
          </cell>
          <cell r="G5670" t="str">
            <v>PharmaBeta_655</v>
          </cell>
          <cell r="H5670">
            <v>5634</v>
          </cell>
          <cell r="J5670">
            <v>847.02</v>
          </cell>
          <cell r="K5670">
            <v>349.84</v>
          </cell>
          <cell r="L5670">
            <v>1.233025E-31</v>
          </cell>
          <cell r="M5670">
            <v>1.136E-4</v>
          </cell>
          <cell r="N5670">
            <v>31622776.601683889</v>
          </cell>
          <cell r="O5670">
            <v>7.16</v>
          </cell>
          <cell r="P5670">
            <v>4.3600000000000003</v>
          </cell>
          <cell r="Q5670">
            <v>7.16</v>
          </cell>
        </row>
        <row r="5671">
          <cell r="D5671" t="str">
            <v>79-57-2</v>
          </cell>
          <cell r="E5671">
            <v>79572</v>
          </cell>
          <cell r="F5671">
            <v>923</v>
          </cell>
          <cell r="G5671" t="str">
            <v>PharmaBeta_583</v>
          </cell>
          <cell r="H5671">
            <v>5635</v>
          </cell>
          <cell r="J5671">
            <v>460.44</v>
          </cell>
          <cell r="K5671">
            <v>344.17</v>
          </cell>
          <cell r="L5671">
            <v>1.2063650000000001E-20</v>
          </cell>
          <cell r="M5671">
            <v>6643.5</v>
          </cell>
          <cell r="N5671">
            <v>1.3489628825916523E-3</v>
          </cell>
          <cell r="O5671">
            <v>3.28</v>
          </cell>
          <cell r="P5671">
            <v>5</v>
          </cell>
          <cell r="Q5671">
            <v>3.28</v>
          </cell>
        </row>
        <row r="5672">
          <cell r="D5672" t="str">
            <v>298-46-4</v>
          </cell>
          <cell r="E5672">
            <v>298464</v>
          </cell>
          <cell r="F5672">
            <v>44</v>
          </cell>
          <cell r="G5672" t="str">
            <v>PharmaBeta_58</v>
          </cell>
          <cell r="H5672">
            <v>5636</v>
          </cell>
          <cell r="J5672">
            <v>266.33999999999997</v>
          </cell>
          <cell r="K5672">
            <v>183.93</v>
          </cell>
          <cell r="L5672">
            <v>1.0250770000000002E-7</v>
          </cell>
          <cell r="M5672">
            <v>15134</v>
          </cell>
          <cell r="N5672">
            <v>0.93325430079699101</v>
          </cell>
          <cell r="O5672">
            <v>13.81</v>
          </cell>
          <cell r="P5672">
            <v>4.51</v>
          </cell>
          <cell r="Q5672">
            <v>9.49</v>
          </cell>
        </row>
        <row r="5673">
          <cell r="D5673" t="str">
            <v>65807-02-5</v>
          </cell>
          <cell r="E5673">
            <v>65807025</v>
          </cell>
          <cell r="F5673">
            <v>730</v>
          </cell>
          <cell r="G5673" t="str">
            <v>Reach_47</v>
          </cell>
          <cell r="H5673">
            <v>5637</v>
          </cell>
          <cell r="J5673">
            <v>180.17</v>
          </cell>
          <cell r="K5673">
            <v>193.28</v>
          </cell>
          <cell r="L5673">
            <v>7.424810000000001E-8</v>
          </cell>
          <cell r="M5673">
            <v>93221</v>
          </cell>
          <cell r="N5673">
            <v>0.40738027780411268</v>
          </cell>
          <cell r="O5673">
            <v>8.6999999999999993</v>
          </cell>
          <cell r="Q5673">
            <v>8.6999999999999993</v>
          </cell>
        </row>
        <row r="5674">
          <cell r="D5674" t="str">
            <v>7722-84-1</v>
          </cell>
          <cell r="E5674">
            <v>7722841</v>
          </cell>
          <cell r="F5674">
            <v>6452</v>
          </cell>
          <cell r="G5674" t="str">
            <v>PharmaBeta_779</v>
          </cell>
          <cell r="H5674">
            <v>5638</v>
          </cell>
          <cell r="J5674">
            <v>34.014000000000003</v>
          </cell>
          <cell r="Q5674">
            <v>14</v>
          </cell>
        </row>
        <row r="5675">
          <cell r="D5675" t="str">
            <v>59467-70-8</v>
          </cell>
          <cell r="E5675">
            <v>59467708</v>
          </cell>
          <cell r="F5675">
            <v>736</v>
          </cell>
          <cell r="G5675" t="str">
            <v>PharmaBeta_502</v>
          </cell>
          <cell r="H5675">
            <v>5639</v>
          </cell>
          <cell r="J5675">
            <v>325.77999999999997</v>
          </cell>
          <cell r="K5675">
            <v>200.65</v>
          </cell>
          <cell r="L5675">
            <v>6.8249600000000003E-7</v>
          </cell>
          <cell r="M5675">
            <v>67.082999999999998</v>
          </cell>
          <cell r="N5675">
            <v>21379.620895022348</v>
          </cell>
          <cell r="P5675">
            <v>8</v>
          </cell>
          <cell r="Q5675">
            <v>6</v>
          </cell>
        </row>
        <row r="5676">
          <cell r="D5676" t="str">
            <v>165800-03-3</v>
          </cell>
          <cell r="E5676">
            <v>165800033</v>
          </cell>
          <cell r="F5676">
            <v>504</v>
          </cell>
          <cell r="G5676" t="str">
            <v>PharmaBeta_452</v>
          </cell>
          <cell r="H5676">
            <v>5640</v>
          </cell>
          <cell r="J5676">
            <v>337.35</v>
          </cell>
          <cell r="K5676">
            <v>221.7</v>
          </cell>
          <cell r="L5676">
            <v>9.224360000000001E-9</v>
          </cell>
          <cell r="M5676">
            <v>1447.9</v>
          </cell>
          <cell r="N5676">
            <v>18.197008586099841</v>
          </cell>
          <cell r="O5676">
            <v>14.79</v>
          </cell>
          <cell r="P5676">
            <v>11</v>
          </cell>
          <cell r="Q5676">
            <v>3</v>
          </cell>
        </row>
        <row r="5677">
          <cell r="D5677" t="str">
            <v>76-57-3</v>
          </cell>
          <cell r="E5677">
            <v>76573</v>
          </cell>
          <cell r="F5677">
            <v>3719</v>
          </cell>
          <cell r="G5677" t="str">
            <v>PharmaBeta_416</v>
          </cell>
          <cell r="H5677">
            <v>5641</v>
          </cell>
          <cell r="J5677">
            <v>299.37</v>
          </cell>
          <cell r="K5677">
            <v>168.56</v>
          </cell>
          <cell r="L5677">
            <v>2.5460300000000004E-8</v>
          </cell>
          <cell r="M5677">
            <v>882.17</v>
          </cell>
          <cell r="N5677">
            <v>19.054607179632477</v>
          </cell>
          <cell r="O5677">
            <v>14.14</v>
          </cell>
          <cell r="P5677">
            <v>5.79</v>
          </cell>
          <cell r="Q5677">
            <v>8.2100000000000009</v>
          </cell>
        </row>
        <row r="5678">
          <cell r="D5678" t="str">
            <v>89-57-6</v>
          </cell>
          <cell r="E5678">
            <v>89576</v>
          </cell>
          <cell r="F5678">
            <v>3980</v>
          </cell>
          <cell r="G5678" t="str">
            <v>Reach_345</v>
          </cell>
          <cell r="H5678">
            <v>5642</v>
          </cell>
          <cell r="J5678">
            <v>153.13999999999999</v>
          </cell>
          <cell r="K5678">
            <v>128.86000000000001</v>
          </cell>
          <cell r="L5678">
            <v>8.1313000000000012E-6</v>
          </cell>
          <cell r="M5678">
            <v>14218</v>
          </cell>
          <cell r="N5678">
            <v>9.5499258602143584</v>
          </cell>
          <cell r="O5678">
            <v>2.4</v>
          </cell>
          <cell r="P5678">
            <v>8.1999999999999993</v>
          </cell>
          <cell r="Q5678">
            <v>2.4</v>
          </cell>
        </row>
        <row r="5679">
          <cell r="D5679" t="str">
            <v>81103-11-9</v>
          </cell>
          <cell r="E5679">
            <v>81103119</v>
          </cell>
          <cell r="F5679">
            <v>99</v>
          </cell>
          <cell r="G5679" t="str">
            <v>PharmaBeta_391</v>
          </cell>
          <cell r="H5679">
            <v>5643</v>
          </cell>
          <cell r="J5679">
            <v>747.97</v>
          </cell>
          <cell r="K5679">
            <v>349.84</v>
          </cell>
          <cell r="L5679">
            <v>3.0925599999999998E-23</v>
          </cell>
          <cell r="M5679">
            <v>0.76573000000000002</v>
          </cell>
          <cell r="N5679">
            <v>1513.5612484362093</v>
          </cell>
          <cell r="O5679">
            <v>12.7</v>
          </cell>
          <cell r="P5679">
            <v>5.45</v>
          </cell>
          <cell r="Q5679">
            <v>8.5500000000000007</v>
          </cell>
        </row>
        <row r="5680">
          <cell r="D5680" t="str">
            <v>130-95-0</v>
          </cell>
          <cell r="E5680">
            <v>130950</v>
          </cell>
          <cell r="F5680">
            <v>5427</v>
          </cell>
          <cell r="G5680" t="str">
            <v>PharmaUBA</v>
          </cell>
          <cell r="H5680">
            <v>5644</v>
          </cell>
          <cell r="J5680">
            <v>324.43</v>
          </cell>
          <cell r="K5680">
            <v>189.54</v>
          </cell>
          <cell r="L5680">
            <v>1.2663500000000001E-8</v>
          </cell>
          <cell r="M5680">
            <v>413.57</v>
          </cell>
          <cell r="N5680">
            <v>1949.8445997580463</v>
          </cell>
          <cell r="O5680">
            <v>11.76</v>
          </cell>
          <cell r="P5680">
            <v>5.43</v>
          </cell>
          <cell r="Q5680">
            <v>8.57</v>
          </cell>
        </row>
        <row r="5681">
          <cell r="D5681" t="str">
            <v>119478-56-7</v>
          </cell>
          <cell r="E5681">
            <v>119478567</v>
          </cell>
          <cell r="F5681">
            <v>5622</v>
          </cell>
          <cell r="G5681" t="str">
            <v>PharmaBeta_483</v>
          </cell>
          <cell r="H5681">
            <v>5645</v>
          </cell>
          <cell r="J5681">
            <v>437.51</v>
          </cell>
          <cell r="Q5681">
            <v>14</v>
          </cell>
        </row>
        <row r="5682">
          <cell r="D5682" t="str">
            <v>29110-47-2</v>
          </cell>
          <cell r="E5682">
            <v>29110472</v>
          </cell>
          <cell r="F5682">
            <v>5323</v>
          </cell>
          <cell r="G5682" t="str">
            <v>PharmaUBA</v>
          </cell>
          <cell r="H5682">
            <v>5646</v>
          </cell>
          <cell r="J5682">
            <v>323.42</v>
          </cell>
          <cell r="K5682">
            <v>207.46</v>
          </cell>
          <cell r="L5682">
            <v>1.6395900000000002E-7</v>
          </cell>
          <cell r="M5682">
            <v>229</v>
          </cell>
          <cell r="N5682">
            <v>131.82567385564084</v>
          </cell>
          <cell r="O5682">
            <v>6</v>
          </cell>
          <cell r="P5682">
            <v>10.6</v>
          </cell>
          <cell r="Q5682">
            <v>3.4000000000000004</v>
          </cell>
        </row>
        <row r="5683">
          <cell r="D5683" t="str">
            <v>103577-45-3</v>
          </cell>
          <cell r="E5683">
            <v>103577453</v>
          </cell>
          <cell r="F5683">
            <v>1372</v>
          </cell>
          <cell r="G5683" t="str">
            <v>PharmaBeta_430</v>
          </cell>
          <cell r="H5683">
            <v>5647</v>
          </cell>
          <cell r="J5683">
            <v>369.37</v>
          </cell>
          <cell r="K5683">
            <v>240.38</v>
          </cell>
          <cell r="L5683">
            <v>1.7062400000000002E-12</v>
          </cell>
          <cell r="M5683">
            <v>0.78325</v>
          </cell>
          <cell r="N5683">
            <v>4073.8027780411317</v>
          </cell>
          <cell r="O5683">
            <v>8.7899999999999991</v>
          </cell>
          <cell r="P5683">
            <v>10.08</v>
          </cell>
          <cell r="Q5683">
            <v>3.92</v>
          </cell>
        </row>
        <row r="5684">
          <cell r="D5684" t="str">
            <v>15686-71-2</v>
          </cell>
          <cell r="E5684">
            <v>15686712</v>
          </cell>
          <cell r="F5684">
            <v>492</v>
          </cell>
          <cell r="G5684" t="str">
            <v>PharmaBeta_117</v>
          </cell>
          <cell r="H5684">
            <v>5648</v>
          </cell>
          <cell r="J5684">
            <v>347.4</v>
          </cell>
          <cell r="K5684">
            <v>326.81</v>
          </cell>
          <cell r="L5684">
            <v>4.3189200000000008E-13</v>
          </cell>
          <cell r="M5684">
            <v>335.11</v>
          </cell>
          <cell r="N5684">
            <v>0.97723722095581067</v>
          </cell>
          <cell r="O5684">
            <v>2.75</v>
          </cell>
          <cell r="P5684">
            <v>7</v>
          </cell>
          <cell r="Q5684">
            <v>2.75</v>
          </cell>
        </row>
        <row r="5685">
          <cell r="D5685" t="str">
            <v>738-70-5</v>
          </cell>
          <cell r="E5685">
            <v>738705</v>
          </cell>
          <cell r="F5685">
            <v>89</v>
          </cell>
          <cell r="G5685" t="str">
            <v>PharmaBeta_765</v>
          </cell>
          <cell r="H5685">
            <v>5649</v>
          </cell>
          <cell r="J5685">
            <v>290.33</v>
          </cell>
          <cell r="K5685">
            <v>188.88</v>
          </cell>
          <cell r="L5685">
            <v>1.0024160000000002E-6</v>
          </cell>
          <cell r="M5685">
            <v>750</v>
          </cell>
          <cell r="N5685">
            <v>5.3703179637025285</v>
          </cell>
          <cell r="P5685">
            <v>6.96</v>
          </cell>
          <cell r="Q5685">
            <v>7.04</v>
          </cell>
        </row>
        <row r="5686">
          <cell r="D5686" t="str">
            <v>16679-58-6</v>
          </cell>
          <cell r="E5686">
            <v>16679586</v>
          </cell>
          <cell r="F5686">
            <v>6397</v>
          </cell>
          <cell r="G5686" t="str">
            <v>PharmaBeta_159</v>
          </cell>
          <cell r="H5686">
            <v>5650</v>
          </cell>
          <cell r="J5686">
            <v>1069.3</v>
          </cell>
          <cell r="Q5686">
            <v>14</v>
          </cell>
        </row>
        <row r="5687">
          <cell r="D5687" t="str">
            <v>96-88-8</v>
          </cell>
          <cell r="E5687">
            <v>96888</v>
          </cell>
          <cell r="F5687">
            <v>4154</v>
          </cell>
          <cell r="G5687" t="str">
            <v>PharmaBeta_576</v>
          </cell>
          <cell r="H5687">
            <v>5651</v>
          </cell>
          <cell r="J5687">
            <v>495.75</v>
          </cell>
          <cell r="K5687">
            <v>263.95</v>
          </cell>
          <cell r="L5687">
            <v>1.3023410000000001E-11</v>
          </cell>
          <cell r="M5687">
            <v>1.1019000000000001E-3</v>
          </cell>
          <cell r="N5687">
            <v>154881661.89124814</v>
          </cell>
          <cell r="O5687">
            <v>13.09</v>
          </cell>
          <cell r="P5687">
            <v>15.85</v>
          </cell>
          <cell r="Q5687">
            <v>-1.8499999999999996</v>
          </cell>
        </row>
        <row r="5688">
          <cell r="D5688" t="str">
            <v>5633-20-5</v>
          </cell>
          <cell r="E5688">
            <v>5633205</v>
          </cell>
          <cell r="F5688">
            <v>3190</v>
          </cell>
          <cell r="G5688" t="str">
            <v>PharmaBeta_585</v>
          </cell>
          <cell r="H5688">
            <v>5652</v>
          </cell>
          <cell r="J5688">
            <v>357.5</v>
          </cell>
          <cell r="K5688">
            <v>185.84</v>
          </cell>
          <cell r="L5688">
            <v>2.2527700000000002E-8</v>
          </cell>
          <cell r="M5688">
            <v>13.884</v>
          </cell>
          <cell r="N5688">
            <v>9120.1083935591087</v>
          </cell>
          <cell r="O5688">
            <v>11.5</v>
          </cell>
          <cell r="P5688">
            <v>5.74</v>
          </cell>
          <cell r="Q5688">
            <v>8.26</v>
          </cell>
        </row>
        <row r="5689">
          <cell r="D5689" t="str">
            <v>91161-71-6</v>
          </cell>
          <cell r="E5689">
            <v>91161716</v>
          </cell>
          <cell r="F5689">
            <v>4012</v>
          </cell>
          <cell r="G5689" t="str">
            <v>Reach_4498</v>
          </cell>
          <cell r="H5689">
            <v>5653</v>
          </cell>
          <cell r="J5689">
            <v>291.44</v>
          </cell>
          <cell r="K5689">
            <v>146.54</v>
          </cell>
          <cell r="L5689">
            <v>7.7847200000000016E-5</v>
          </cell>
          <cell r="M5689">
            <v>2.0181</v>
          </cell>
          <cell r="N5689">
            <v>645654.22903465526</v>
          </cell>
          <cell r="P5689">
            <v>6.9</v>
          </cell>
          <cell r="Q5689">
            <v>7.1</v>
          </cell>
        </row>
        <row r="5690">
          <cell r="D5690" t="str">
            <v>57-27-2</v>
          </cell>
          <cell r="E5690">
            <v>57272</v>
          </cell>
          <cell r="F5690">
            <v>721</v>
          </cell>
          <cell r="G5690" t="str">
            <v>PharmaBeta_518</v>
          </cell>
          <cell r="H5690">
            <v>5654</v>
          </cell>
          <cell r="J5690">
            <v>285.33999999999997</v>
          </cell>
          <cell r="K5690">
            <v>173.78</v>
          </cell>
          <cell r="L5690">
            <v>2.5060400000000003E-8</v>
          </cell>
          <cell r="M5690">
            <v>12946</v>
          </cell>
          <cell r="N5690">
            <v>5.2480746024977263</v>
          </cell>
          <cell r="O5690">
            <v>9.66</v>
          </cell>
          <cell r="P5690">
            <v>6</v>
          </cell>
          <cell r="Q5690">
            <v>8</v>
          </cell>
        </row>
        <row r="5691">
          <cell r="D5691" t="str">
            <v>137862-53-4</v>
          </cell>
          <cell r="E5691">
            <v>137862534</v>
          </cell>
          <cell r="F5691">
            <v>442</v>
          </cell>
          <cell r="G5691" t="str">
            <v>PharmaBeta_775</v>
          </cell>
          <cell r="H5691">
            <v>5655</v>
          </cell>
          <cell r="J5691">
            <v>435.53</v>
          </cell>
          <cell r="K5691">
            <v>294.05</v>
          </cell>
          <cell r="L5691">
            <v>1.090394E-13</v>
          </cell>
          <cell r="M5691">
            <v>1.2626E-2</v>
          </cell>
          <cell r="N5691">
            <v>4466.8359215096343</v>
          </cell>
          <cell r="O5691">
            <v>3.09</v>
          </cell>
          <cell r="Q5691">
            <v>3.09</v>
          </cell>
        </row>
        <row r="5692">
          <cell r="D5692" t="str">
            <v>638-23-3</v>
          </cell>
          <cell r="E5692">
            <v>638233</v>
          </cell>
          <cell r="F5692">
            <v>5239</v>
          </cell>
          <cell r="G5692" t="str">
            <v>PharmaUBA</v>
          </cell>
          <cell r="H5692">
            <v>5656</v>
          </cell>
          <cell r="J5692">
            <v>179.19</v>
          </cell>
          <cell r="K5692">
            <v>259</v>
          </cell>
          <cell r="L5692">
            <v>2.0261600000000003E-5</v>
          </cell>
          <cell r="M5692">
            <v>33049</v>
          </cell>
          <cell r="N5692">
            <v>5.7543993733715576E-5</v>
          </cell>
          <cell r="O5692">
            <v>1.89</v>
          </cell>
          <cell r="P5692">
            <v>5.31</v>
          </cell>
          <cell r="Q5692">
            <v>1.89</v>
          </cell>
        </row>
        <row r="5693">
          <cell r="D5693" t="str">
            <v>58-32-2</v>
          </cell>
          <cell r="E5693">
            <v>58322</v>
          </cell>
          <cell r="F5693">
            <v>3243</v>
          </cell>
          <cell r="G5693" t="str">
            <v>PharmaBeta_178</v>
          </cell>
          <cell r="H5693">
            <v>5657</v>
          </cell>
          <cell r="J5693">
            <v>504.64</v>
          </cell>
          <cell r="K5693">
            <v>319.36</v>
          </cell>
          <cell r="L5693">
            <v>1.5996000000000001E-18</v>
          </cell>
          <cell r="M5693">
            <v>1.8638999999999999</v>
          </cell>
          <cell r="N5693">
            <v>549.54087385762534</v>
          </cell>
          <cell r="O5693">
            <v>15.25</v>
          </cell>
          <cell r="P5693">
            <v>7.51</v>
          </cell>
          <cell r="Q5693">
            <v>6.49</v>
          </cell>
        </row>
        <row r="5694">
          <cell r="D5694" t="str">
            <v>169590-42-5</v>
          </cell>
          <cell r="E5694">
            <v>169590425</v>
          </cell>
          <cell r="F5694">
            <v>508</v>
          </cell>
          <cell r="G5694" t="str">
            <v>PharmaBeta_124</v>
          </cell>
          <cell r="H5694">
            <v>5658</v>
          </cell>
          <cell r="J5694">
            <v>381.38</v>
          </cell>
          <cell r="K5694">
            <v>212.62</v>
          </cell>
          <cell r="L5694">
            <v>1.5862700000000001E-7</v>
          </cell>
          <cell r="M5694">
            <v>2.3723999999999998</v>
          </cell>
          <cell r="N5694">
            <v>2951.2092266663899</v>
          </cell>
          <cell r="O5694">
            <v>10.029999999999999</v>
          </cell>
          <cell r="P5694">
            <v>15</v>
          </cell>
          <cell r="Q5694">
            <v>-1</v>
          </cell>
        </row>
        <row r="5695">
          <cell r="D5695" t="str">
            <v>214766-78-6</v>
          </cell>
          <cell r="E5695">
            <v>214766786</v>
          </cell>
          <cell r="F5695">
            <v>6424</v>
          </cell>
          <cell r="G5695" t="str">
            <v>PharmaBeta_156</v>
          </cell>
          <cell r="H5695">
            <v>5659</v>
          </cell>
          <cell r="J5695">
            <v>1632.3</v>
          </cell>
          <cell r="Q5695">
            <v>14</v>
          </cell>
        </row>
        <row r="5696">
          <cell r="D5696" t="str">
            <v>53123-88-9</v>
          </cell>
          <cell r="E5696">
            <v>53123889</v>
          </cell>
          <cell r="F5696">
            <v>3089</v>
          </cell>
          <cell r="G5696" t="str">
            <v>PharmaBeta_690</v>
          </cell>
          <cell r="H5696">
            <v>5660</v>
          </cell>
          <cell r="J5696">
            <v>914.19</v>
          </cell>
          <cell r="K5696">
            <v>349.84</v>
          </cell>
          <cell r="L5696">
            <v>4.145630000000001E-34</v>
          </cell>
          <cell r="M5696">
            <v>4.2299999999999998E-5</v>
          </cell>
          <cell r="N5696">
            <v>64565.422903465565</v>
          </cell>
          <cell r="O5696">
            <v>10.4</v>
          </cell>
          <cell r="Q5696">
            <v>10.4</v>
          </cell>
        </row>
        <row r="5697">
          <cell r="D5697" t="str">
            <v>49562-28-9</v>
          </cell>
          <cell r="E5697">
            <v>49562289</v>
          </cell>
          <cell r="F5697">
            <v>649</v>
          </cell>
          <cell r="G5697" t="str">
            <v>Reach_2761</v>
          </cell>
          <cell r="H5697">
            <v>5661</v>
          </cell>
          <cell r="J5697">
            <v>360.84</v>
          </cell>
          <cell r="K5697">
            <v>157.69</v>
          </cell>
          <cell r="L5697">
            <v>8.2646000000000008E-5</v>
          </cell>
          <cell r="M5697">
            <v>5.3461000000000002E-2</v>
          </cell>
          <cell r="N5697">
            <v>154881.66189124843</v>
          </cell>
          <cell r="Q5697">
            <v>14</v>
          </cell>
        </row>
        <row r="5698">
          <cell r="D5698" t="str">
            <v>54910-89-3</v>
          </cell>
          <cell r="E5698">
            <v>54910893</v>
          </cell>
          <cell r="F5698">
            <v>692</v>
          </cell>
          <cell r="G5698" t="str">
            <v>PharmaBeta_268</v>
          </cell>
          <cell r="H5698">
            <v>5662</v>
          </cell>
          <cell r="J5698">
            <v>309.33</v>
          </cell>
          <cell r="K5698">
            <v>105.27</v>
          </cell>
          <cell r="L5698">
            <v>3.3591600000000004E-3</v>
          </cell>
          <cell r="M5698">
            <v>48.009</v>
          </cell>
          <cell r="N5698">
            <v>44668.359215096389</v>
          </cell>
          <cell r="P5698">
            <v>4</v>
          </cell>
          <cell r="Q5698">
            <v>10</v>
          </cell>
        </row>
        <row r="5699">
          <cell r="D5699" t="str">
            <v>139264-17-8</v>
          </cell>
          <cell r="E5699">
            <v>139264178</v>
          </cell>
          <cell r="F5699">
            <v>1918</v>
          </cell>
          <cell r="G5699" t="str">
            <v>PharmaBeta_800</v>
          </cell>
          <cell r="H5699">
            <v>5663</v>
          </cell>
          <cell r="J5699">
            <v>287.37</v>
          </cell>
          <cell r="K5699">
            <v>201.72</v>
          </cell>
          <cell r="L5699">
            <v>1.9195200000000002E-7</v>
          </cell>
          <cell r="M5699">
            <v>1484</v>
          </cell>
          <cell r="N5699">
            <v>83.176377110267126</v>
          </cell>
          <cell r="O5699">
            <v>11.98</v>
          </cell>
          <cell r="P5699">
            <v>5.3</v>
          </cell>
          <cell r="Q5699">
            <v>8.6999999999999993</v>
          </cell>
        </row>
        <row r="5700">
          <cell r="D5700" t="str">
            <v>486460-32-6</v>
          </cell>
          <cell r="E5700">
            <v>486460326</v>
          </cell>
          <cell r="F5700">
            <v>2974</v>
          </cell>
          <cell r="G5700" t="str">
            <v>Reach_4660</v>
          </cell>
          <cell r="H5700">
            <v>5664</v>
          </cell>
          <cell r="J5700">
            <v>407.32</v>
          </cell>
          <cell r="K5700">
            <v>181.62</v>
          </cell>
          <cell r="L5700">
            <v>3.87903E-6</v>
          </cell>
          <cell r="M5700">
            <v>5.6166</v>
          </cell>
          <cell r="N5700">
            <v>24.547089156850305</v>
          </cell>
          <cell r="P5700">
            <v>5.39</v>
          </cell>
          <cell r="Q5700">
            <v>8.61</v>
          </cell>
        </row>
        <row r="5701">
          <cell r="D5701" t="str">
            <v>120287-85-6</v>
          </cell>
          <cell r="E5701">
            <v>120287856</v>
          </cell>
          <cell r="F5701">
            <v>6418</v>
          </cell>
          <cell r="G5701" t="str">
            <v>PharmaBeta_126</v>
          </cell>
          <cell r="H5701">
            <v>5665</v>
          </cell>
          <cell r="J5701">
            <v>1431.1</v>
          </cell>
          <cell r="Q5701">
            <v>14</v>
          </cell>
        </row>
        <row r="5702">
          <cell r="D5702" t="str">
            <v>58-93-5</v>
          </cell>
          <cell r="E5702">
            <v>58935</v>
          </cell>
          <cell r="F5702">
            <v>69</v>
          </cell>
          <cell r="G5702" t="str">
            <v>PharmaBeta_318</v>
          </cell>
          <cell r="H5702">
            <v>5666</v>
          </cell>
          <cell r="J5702">
            <v>297.74</v>
          </cell>
          <cell r="K5702">
            <v>202.29</v>
          </cell>
          <cell r="L5702">
            <v>2.3727400000000003E-8</v>
          </cell>
          <cell r="M5702">
            <v>1080</v>
          </cell>
          <cell r="N5702">
            <v>0.79432823472428149</v>
          </cell>
          <cell r="O5702">
            <v>8.8800000000000008</v>
          </cell>
          <cell r="Q5702">
            <v>8.8800000000000008</v>
          </cell>
        </row>
        <row r="5703">
          <cell r="D5703" t="str">
            <v>198904-31-3</v>
          </cell>
          <cell r="E5703">
            <v>198904313</v>
          </cell>
          <cell r="F5703">
            <v>2244</v>
          </cell>
          <cell r="G5703" t="str">
            <v>PharmaBeta_57</v>
          </cell>
          <cell r="H5703">
            <v>5667</v>
          </cell>
          <cell r="J5703">
            <v>704.88</v>
          </cell>
          <cell r="K5703">
            <v>349.84</v>
          </cell>
          <cell r="L5703">
            <v>1.3863200000000003E-24</v>
          </cell>
          <cell r="M5703">
            <v>1.1405999999999999E-2</v>
          </cell>
          <cell r="N5703">
            <v>758.57757502918378</v>
          </cell>
          <cell r="O5703">
            <v>8.7799999999999994</v>
          </cell>
          <cell r="P5703">
            <v>10.07</v>
          </cell>
          <cell r="Q5703">
            <v>3.9299999999999997</v>
          </cell>
        </row>
        <row r="5704">
          <cell r="D5704" t="str">
            <v>27262-47-1</v>
          </cell>
          <cell r="E5704">
            <v>27262471</v>
          </cell>
          <cell r="F5704">
            <v>5007</v>
          </cell>
          <cell r="G5704" t="str">
            <v>PharmaBeta_442</v>
          </cell>
          <cell r="H5704">
            <v>5668</v>
          </cell>
          <cell r="J5704">
            <v>170.21</v>
          </cell>
          <cell r="K5704">
            <v>140.80000000000001</v>
          </cell>
          <cell r="L5704">
            <v>4.6788300000000005E-4</v>
          </cell>
          <cell r="M5704">
            <v>153000</v>
          </cell>
          <cell r="N5704">
            <v>0.32359365692962827</v>
          </cell>
          <cell r="O5704">
            <v>13.58</v>
          </cell>
          <cell r="P5704">
            <v>15.34</v>
          </cell>
          <cell r="Q5704">
            <v>-1.3399999999999999</v>
          </cell>
        </row>
        <row r="5705">
          <cell r="D5705" t="str">
            <v>39474-58-3</v>
          </cell>
          <cell r="E5705">
            <v>39474583</v>
          </cell>
          <cell r="F5705">
            <v>6377</v>
          </cell>
          <cell r="G5705" t="str">
            <v>PharmaUBA</v>
          </cell>
          <cell r="H5705">
            <v>5669</v>
          </cell>
          <cell r="J5705">
            <v>1558.7</v>
          </cell>
          <cell r="Q5705">
            <v>14</v>
          </cell>
        </row>
        <row r="5706">
          <cell r="D5706" t="str">
            <v>22071-15-4</v>
          </cell>
          <cell r="E5706">
            <v>22071154</v>
          </cell>
          <cell r="F5706">
            <v>38</v>
          </cell>
          <cell r="G5706" t="str">
            <v>PharmaBeta_384</v>
          </cell>
          <cell r="H5706">
            <v>5670</v>
          </cell>
          <cell r="J5706">
            <v>254.29</v>
          </cell>
          <cell r="K5706">
            <v>149.15</v>
          </cell>
          <cell r="L5706">
            <v>1.9461800000000003E-4</v>
          </cell>
          <cell r="M5706">
            <v>13.009</v>
          </cell>
          <cell r="N5706">
            <v>1000</v>
          </cell>
          <cell r="O5706">
            <v>4.07</v>
          </cell>
          <cell r="Q5706">
            <v>4.07</v>
          </cell>
        </row>
        <row r="5707">
          <cell r="D5707" t="str">
            <v>51481-61-9</v>
          </cell>
          <cell r="E5707">
            <v>51481619</v>
          </cell>
          <cell r="F5707">
            <v>1129</v>
          </cell>
          <cell r="G5707" t="str">
            <v>PharmaUBA</v>
          </cell>
          <cell r="H5707">
            <v>5671</v>
          </cell>
          <cell r="J5707">
            <v>252.35</v>
          </cell>
          <cell r="K5707">
            <v>194.2</v>
          </cell>
          <cell r="L5707">
            <v>7.3181700000000007E-7</v>
          </cell>
          <cell r="M5707">
            <v>3380.8</v>
          </cell>
          <cell r="N5707">
            <v>3.7153522909717256</v>
          </cell>
          <cell r="O5707">
            <v>12.19</v>
          </cell>
          <cell r="P5707">
            <v>7</v>
          </cell>
          <cell r="Q5707">
            <v>7</v>
          </cell>
        </row>
        <row r="5708">
          <cell r="D5708" t="str">
            <v>88150-42-9</v>
          </cell>
          <cell r="E5708">
            <v>88150429</v>
          </cell>
          <cell r="F5708">
            <v>982</v>
          </cell>
          <cell r="G5708" t="str">
            <v>PharmaBeta_42</v>
          </cell>
          <cell r="H5708">
            <v>5672</v>
          </cell>
          <cell r="J5708">
            <v>408.88</v>
          </cell>
          <cell r="K5708">
            <v>200.57</v>
          </cell>
          <cell r="L5708">
            <v>1.5862700000000001E-7</v>
          </cell>
          <cell r="M5708">
            <v>1457.3</v>
          </cell>
          <cell r="N5708">
            <v>117.48975549395293</v>
          </cell>
          <cell r="P5708">
            <v>5</v>
          </cell>
          <cell r="Q5708">
            <v>9</v>
          </cell>
        </row>
        <row r="5709">
          <cell r="D5709" t="str">
            <v>143322-58-1</v>
          </cell>
          <cell r="E5709">
            <v>143322581</v>
          </cell>
          <cell r="F5709">
            <v>1963</v>
          </cell>
          <cell r="G5709" t="str">
            <v>PharmaBeta_199</v>
          </cell>
          <cell r="H5709">
            <v>5673</v>
          </cell>
          <cell r="J5709">
            <v>382.53</v>
          </cell>
          <cell r="K5709">
            <v>234.15</v>
          </cell>
          <cell r="L5709">
            <v>1.35966E-9</v>
          </cell>
          <cell r="M5709">
            <v>12.076000000000001</v>
          </cell>
          <cell r="N5709">
            <v>3235.9365692962833</v>
          </cell>
          <cell r="P5709">
            <v>4.83</v>
          </cell>
          <cell r="Q5709">
            <v>9.17</v>
          </cell>
        </row>
        <row r="5710">
          <cell r="D5710" t="str">
            <v>21829-25-4</v>
          </cell>
          <cell r="E5710">
            <v>21829254</v>
          </cell>
          <cell r="F5710">
            <v>1102</v>
          </cell>
          <cell r="G5710" t="str">
            <v>PharmaBeta_549</v>
          </cell>
          <cell r="H5710">
            <v>5674</v>
          </cell>
          <cell r="J5710">
            <v>346.34</v>
          </cell>
          <cell r="K5710">
            <v>176.46</v>
          </cell>
          <cell r="L5710">
            <v>3.5057900000000005E-6</v>
          </cell>
          <cell r="M5710">
            <v>11.148</v>
          </cell>
          <cell r="N5710">
            <v>316.22776601683825</v>
          </cell>
          <cell r="P5710">
            <v>12</v>
          </cell>
          <cell r="Q5710">
            <v>2</v>
          </cell>
        </row>
        <row r="5711">
          <cell r="D5711" t="str">
            <v>65277-42-1</v>
          </cell>
          <cell r="E5711">
            <v>65277421</v>
          </cell>
          <cell r="F5711">
            <v>78</v>
          </cell>
          <cell r="G5711" t="str">
            <v>PharmaBeta_383</v>
          </cell>
          <cell r="H5711">
            <v>5675</v>
          </cell>
          <cell r="J5711">
            <v>531.44000000000005</v>
          </cell>
          <cell r="K5711">
            <v>291.82</v>
          </cell>
          <cell r="L5711">
            <v>8.5445300000000014E-12</v>
          </cell>
          <cell r="M5711">
            <v>0.26375999999999999</v>
          </cell>
          <cell r="N5711">
            <v>28183.829312644593</v>
          </cell>
          <cell r="P5711">
            <v>7.6</v>
          </cell>
          <cell r="Q5711">
            <v>6.4</v>
          </cell>
        </row>
        <row r="5712">
          <cell r="D5712" t="str">
            <v>13311-84-7</v>
          </cell>
          <cell r="E5712">
            <v>13311847</v>
          </cell>
          <cell r="F5712">
            <v>427</v>
          </cell>
          <cell r="G5712" t="str">
            <v>PharmaBeta_270</v>
          </cell>
          <cell r="H5712">
            <v>5676</v>
          </cell>
          <cell r="J5712">
            <v>276.22000000000003</v>
          </cell>
          <cell r="K5712">
            <v>154.87</v>
          </cell>
          <cell r="L5712">
            <v>1.4796300000000001E-4</v>
          </cell>
          <cell r="M5712">
            <v>3.0945</v>
          </cell>
          <cell r="N5712">
            <v>3235.9365692962833</v>
          </cell>
          <cell r="O5712">
            <v>12.29</v>
          </cell>
          <cell r="Q5712">
            <v>12.29</v>
          </cell>
        </row>
        <row r="5713">
          <cell r="D5713" t="str">
            <v>61337-67-5</v>
          </cell>
          <cell r="E5713">
            <v>61337675</v>
          </cell>
          <cell r="F5713" t="str">
            <v>-</v>
          </cell>
          <cell r="G5713" t="str">
            <v>-</v>
          </cell>
          <cell r="H5713">
            <v>5677</v>
          </cell>
          <cell r="Q5713">
            <v>14</v>
          </cell>
        </row>
        <row r="5714">
          <cell r="D5714" t="str">
            <v>133040-01-4</v>
          </cell>
          <cell r="E5714">
            <v>133040014</v>
          </cell>
          <cell r="F5714">
            <v>1864</v>
          </cell>
          <cell r="G5714" t="str">
            <v>PharmaBeta_210</v>
          </cell>
          <cell r="H5714">
            <v>5678</v>
          </cell>
          <cell r="J5714">
            <v>424.52</v>
          </cell>
          <cell r="K5714">
            <v>285.23</v>
          </cell>
          <cell r="L5714">
            <v>4.4655500000000006E-13</v>
          </cell>
          <cell r="M5714">
            <v>0.34000999999999998</v>
          </cell>
          <cell r="N5714">
            <v>2344228.8153199251</v>
          </cell>
          <cell r="O5714">
            <v>3.51</v>
          </cell>
          <cell r="P5714">
            <v>6.91</v>
          </cell>
          <cell r="Q5714">
            <v>3.51</v>
          </cell>
        </row>
        <row r="5715">
          <cell r="D5715" t="str">
            <v>51-52-5</v>
          </cell>
          <cell r="E5715">
            <v>51525</v>
          </cell>
          <cell r="F5715">
            <v>5108</v>
          </cell>
          <cell r="G5715" t="str">
            <v>PharmaBeta_637</v>
          </cell>
          <cell r="H5715">
            <v>5679</v>
          </cell>
          <cell r="J5715">
            <v>170.24</v>
          </cell>
          <cell r="K5715">
            <v>164.77</v>
          </cell>
          <cell r="L5715">
            <v>9.2243599999999999E-6</v>
          </cell>
          <cell r="M5715">
            <v>959.82</v>
          </cell>
          <cell r="N5715">
            <v>9.5499258602143584</v>
          </cell>
          <cell r="O5715">
            <v>7.5</v>
          </cell>
          <cell r="Q5715">
            <v>7.5</v>
          </cell>
        </row>
        <row r="5716">
          <cell r="D5716" t="str">
            <v>26839-75-8</v>
          </cell>
          <cell r="E5716">
            <v>26839758</v>
          </cell>
          <cell r="F5716">
            <v>2488</v>
          </cell>
          <cell r="G5716" t="str">
            <v>PharmaBeta_740</v>
          </cell>
          <cell r="H5716">
            <v>5680</v>
          </cell>
          <cell r="J5716">
            <v>316.43</v>
          </cell>
          <cell r="K5716">
            <v>176.36</v>
          </cell>
          <cell r="L5716">
            <v>7.2648500000000004E-8</v>
          </cell>
          <cell r="M5716">
            <v>9831.2000000000007</v>
          </cell>
          <cell r="N5716">
            <v>56.234132519034915</v>
          </cell>
          <cell r="O5716">
            <v>14.06</v>
          </cell>
          <cell r="P5716">
            <v>4.21</v>
          </cell>
          <cell r="Q5716">
            <v>9.7899999999999991</v>
          </cell>
        </row>
        <row r="5717">
          <cell r="D5717" t="str">
            <v>58-46-8</v>
          </cell>
          <cell r="E5717">
            <v>58468</v>
          </cell>
          <cell r="F5717">
            <v>5154</v>
          </cell>
          <cell r="G5717" t="str">
            <v>PharmaBeta_730</v>
          </cell>
          <cell r="H5717">
            <v>5681</v>
          </cell>
          <cell r="J5717">
            <v>317.43</v>
          </cell>
          <cell r="K5717">
            <v>157.78</v>
          </cell>
          <cell r="L5717">
            <v>7.0782300000000008E-5</v>
          </cell>
          <cell r="M5717">
            <v>17.247</v>
          </cell>
          <cell r="N5717">
            <v>457.0881896148756</v>
          </cell>
          <cell r="P5717">
            <v>7.02</v>
          </cell>
          <cell r="Q5717">
            <v>6.98</v>
          </cell>
        </row>
        <row r="5718">
          <cell r="D5718" t="str">
            <v>274901-16-5</v>
          </cell>
          <cell r="E5718">
            <v>274901165</v>
          </cell>
          <cell r="F5718">
            <v>2510</v>
          </cell>
          <cell r="G5718" t="str">
            <v>PharmaBeta_786</v>
          </cell>
          <cell r="H5718">
            <v>5682</v>
          </cell>
          <cell r="J5718">
            <v>303.41000000000003</v>
          </cell>
          <cell r="K5718">
            <v>190.31</v>
          </cell>
          <cell r="L5718">
            <v>1.2823460000000001E-8</v>
          </cell>
          <cell r="M5718">
            <v>109.84</v>
          </cell>
          <cell r="N5718">
            <v>6.1659500186148231</v>
          </cell>
          <cell r="O5718">
            <v>15.37</v>
          </cell>
          <cell r="P5718">
            <v>6.41</v>
          </cell>
          <cell r="Q5718">
            <v>7.59</v>
          </cell>
        </row>
        <row r="5719">
          <cell r="D5719" t="str">
            <v>67-20-9</v>
          </cell>
          <cell r="E5719">
            <v>67209</v>
          </cell>
          <cell r="F5719">
            <v>791</v>
          </cell>
          <cell r="G5719" t="str">
            <v>PharmaBeta_557</v>
          </cell>
          <cell r="H5719">
            <v>5683</v>
          </cell>
          <cell r="J5719">
            <v>238.16</v>
          </cell>
          <cell r="K5719">
            <v>212.6</v>
          </cell>
          <cell r="L5719">
            <v>9.0510700000000019E-9</v>
          </cell>
          <cell r="M5719">
            <v>98.567999999999998</v>
          </cell>
          <cell r="N5719">
            <v>0.67608297539198181</v>
          </cell>
          <cell r="O5719">
            <v>7.24</v>
          </cell>
          <cell r="Q5719">
            <v>7.24</v>
          </cell>
        </row>
        <row r="5720">
          <cell r="D5720" t="str">
            <v>137-58-6</v>
          </cell>
          <cell r="E5720">
            <v>137586</v>
          </cell>
          <cell r="F5720">
            <v>26</v>
          </cell>
          <cell r="G5720" t="str">
            <v>PharmaBeta_451</v>
          </cell>
          <cell r="H5720">
            <v>5684</v>
          </cell>
          <cell r="J5720">
            <v>234.35</v>
          </cell>
          <cell r="K5720">
            <v>144.18</v>
          </cell>
          <cell r="L5720">
            <v>9.0110800000000007E-4</v>
          </cell>
          <cell r="M5720">
            <v>680.81</v>
          </cell>
          <cell r="N5720">
            <v>45.708818961487509</v>
          </cell>
          <cell r="O5720">
            <v>13.06</v>
          </cell>
          <cell r="P5720">
            <v>6.1</v>
          </cell>
          <cell r="Q5720">
            <v>7.9</v>
          </cell>
        </row>
        <row r="5721">
          <cell r="D5721" t="str">
            <v>125-28-0</v>
          </cell>
          <cell r="E5721">
            <v>125280</v>
          </cell>
          <cell r="F5721">
            <v>5283</v>
          </cell>
          <cell r="G5721" t="str">
            <v>PharmaUBA</v>
          </cell>
          <cell r="H5721">
            <v>5685</v>
          </cell>
          <cell r="J5721">
            <v>301.39</v>
          </cell>
          <cell r="K5721">
            <v>167.85</v>
          </cell>
          <cell r="L5721">
            <v>2.6793300000000002E-7</v>
          </cell>
          <cell r="M5721">
            <v>450.61</v>
          </cell>
          <cell r="N5721">
            <v>30.902954325135919</v>
          </cell>
          <cell r="O5721">
            <v>14.64</v>
          </cell>
          <cell r="P5721">
            <v>5.79</v>
          </cell>
          <cell r="Q5721">
            <v>8.2100000000000009</v>
          </cell>
        </row>
        <row r="5722">
          <cell r="D5722" t="str">
            <v>1400-61-9</v>
          </cell>
          <cell r="E5722">
            <v>1400619</v>
          </cell>
          <cell r="F5722">
            <v>1925</v>
          </cell>
          <cell r="G5722" t="str">
            <v>PharmaBeta_567</v>
          </cell>
          <cell r="H5722">
            <v>5686</v>
          </cell>
          <cell r="J5722">
            <v>276.42</v>
          </cell>
          <cell r="K5722">
            <v>131.75</v>
          </cell>
          <cell r="L5722">
            <v>1.157044E-4</v>
          </cell>
          <cell r="M5722">
            <v>0.70248999999999995</v>
          </cell>
          <cell r="N5722">
            <v>12022644.346174169</v>
          </cell>
          <cell r="O5722">
            <v>4.9000000000000004</v>
          </cell>
          <cell r="Q5722">
            <v>4.9000000000000004</v>
          </cell>
        </row>
        <row r="5723">
          <cell r="D5723" t="str">
            <v>61-32-5</v>
          </cell>
          <cell r="E5723">
            <v>61325</v>
          </cell>
          <cell r="F5723">
            <v>5360</v>
          </cell>
          <cell r="G5723" t="str">
            <v>PharmaUBA</v>
          </cell>
          <cell r="H5723">
            <v>5687</v>
          </cell>
          <cell r="J5723">
            <v>241.24</v>
          </cell>
          <cell r="K5723">
            <v>120.49</v>
          </cell>
          <cell r="L5723">
            <v>9.0777300000000009E-5</v>
          </cell>
          <cell r="M5723">
            <v>11369</v>
          </cell>
          <cell r="N5723">
            <v>0.54954087385762451</v>
          </cell>
          <cell r="O5723">
            <v>11.61</v>
          </cell>
          <cell r="Q5723">
            <v>11.61</v>
          </cell>
        </row>
        <row r="5724">
          <cell r="D5724" t="str">
            <v>745-65-3</v>
          </cell>
          <cell r="E5724">
            <v>745653</v>
          </cell>
          <cell r="F5724">
            <v>3640</v>
          </cell>
          <cell r="G5724" t="str">
            <v>PharmaBeta_27</v>
          </cell>
          <cell r="H5724">
            <v>5688</v>
          </cell>
          <cell r="J5724">
            <v>354.49</v>
          </cell>
          <cell r="K5724">
            <v>217.9</v>
          </cell>
          <cell r="L5724">
            <v>3.0525700000000003E-11</v>
          </cell>
          <cell r="M5724">
            <v>3.1164000000000001</v>
          </cell>
          <cell r="N5724">
            <v>5370.3179637025269</v>
          </cell>
          <cell r="O5724">
            <v>4.9000000000000004</v>
          </cell>
          <cell r="Q5724">
            <v>4.9000000000000004</v>
          </cell>
        </row>
        <row r="5725">
          <cell r="D5725" t="str">
            <v>38304-91-5</v>
          </cell>
          <cell r="E5725">
            <v>38304915</v>
          </cell>
          <cell r="F5725">
            <v>2820</v>
          </cell>
          <cell r="G5725" t="str">
            <v>PharmaBeta_508</v>
          </cell>
          <cell r="H5725">
            <v>5689</v>
          </cell>
          <cell r="J5725">
            <v>209.26</v>
          </cell>
          <cell r="K5725">
            <v>173.05</v>
          </cell>
          <cell r="L5725">
            <v>1.7728900000000001E-6</v>
          </cell>
          <cell r="M5725">
            <v>27786</v>
          </cell>
          <cell r="N5725">
            <v>22.387211385683404</v>
          </cell>
          <cell r="P5725">
            <v>9.4</v>
          </cell>
          <cell r="Q5725">
            <v>4.5999999999999996</v>
          </cell>
        </row>
        <row r="5726">
          <cell r="D5726" t="str">
            <v>93-14-1</v>
          </cell>
          <cell r="E5726">
            <v>93141</v>
          </cell>
          <cell r="F5726">
            <v>4061</v>
          </cell>
          <cell r="G5726" t="str">
            <v>PharmaBeta_312</v>
          </cell>
          <cell r="H5726">
            <v>5690</v>
          </cell>
          <cell r="J5726">
            <v>198.22</v>
          </cell>
          <cell r="K5726">
            <v>99.96</v>
          </cell>
          <cell r="L5726">
            <v>3.3724900000000002E-4</v>
          </cell>
          <cell r="M5726">
            <v>115000</v>
          </cell>
          <cell r="N5726">
            <v>2.6302679918953822</v>
          </cell>
          <cell r="O5726">
            <v>13.97</v>
          </cell>
          <cell r="Q5726">
            <v>13.97</v>
          </cell>
        </row>
        <row r="5727">
          <cell r="D5727" t="str">
            <v>148553-50-8</v>
          </cell>
          <cell r="E5727">
            <v>148553508</v>
          </cell>
          <cell r="F5727">
            <v>2003</v>
          </cell>
          <cell r="G5727" t="str">
            <v>PharmaBeta_626</v>
          </cell>
          <cell r="H5727">
            <v>5691</v>
          </cell>
          <cell r="J5727">
            <v>159.22999999999999</v>
          </cell>
          <cell r="K5727">
            <v>282.51</v>
          </cell>
          <cell r="L5727">
            <v>2.6926600000000002E-7</v>
          </cell>
          <cell r="M5727">
            <v>3166.5</v>
          </cell>
          <cell r="N5727">
            <v>1.6595869074375592E-2</v>
          </cell>
          <cell r="O5727">
            <v>3.8</v>
          </cell>
          <cell r="P5727">
            <v>3.28</v>
          </cell>
          <cell r="Q5727">
            <v>3.8</v>
          </cell>
        </row>
        <row r="5728">
          <cell r="D5728" t="str">
            <v>616-91-1</v>
          </cell>
          <cell r="E5728">
            <v>616911</v>
          </cell>
          <cell r="F5728">
            <v>3348</v>
          </cell>
          <cell r="G5728" t="str">
            <v>PharmaBeta_5</v>
          </cell>
          <cell r="H5728">
            <v>5692</v>
          </cell>
          <cell r="J5728">
            <v>163.19999999999999</v>
          </cell>
          <cell r="K5728">
            <v>131.29</v>
          </cell>
          <cell r="L5728">
            <v>1.4529700000000003E-3</v>
          </cell>
          <cell r="M5728">
            <v>187000</v>
          </cell>
          <cell r="N5728">
            <v>0.21877616239495523</v>
          </cell>
          <cell r="O5728">
            <v>3.03</v>
          </cell>
          <cell r="Q5728">
            <v>3.03</v>
          </cell>
        </row>
        <row r="5729">
          <cell r="D5729" t="str">
            <v>23047-25-8</v>
          </cell>
          <cell r="E5729">
            <v>23047258</v>
          </cell>
          <cell r="F5729">
            <v>5348</v>
          </cell>
          <cell r="G5729" t="str">
            <v>PharmaUBA</v>
          </cell>
          <cell r="H5729">
            <v>5693</v>
          </cell>
          <cell r="J5729">
            <v>418.97</v>
          </cell>
          <cell r="K5729">
            <v>221.55</v>
          </cell>
          <cell r="L5729">
            <v>1.9728400000000003E-7</v>
          </cell>
          <cell r="M5729">
            <v>4.7895000000000004E-3</v>
          </cell>
          <cell r="N5729">
            <v>18197008.586099867</v>
          </cell>
          <cell r="P5729">
            <v>6.69</v>
          </cell>
          <cell r="Q5729">
            <v>7.31</v>
          </cell>
        </row>
        <row r="5730">
          <cell r="D5730" t="str">
            <v>378-44-9</v>
          </cell>
          <cell r="E5730">
            <v>378449</v>
          </cell>
          <cell r="F5730">
            <v>619</v>
          </cell>
          <cell r="G5730" t="str">
            <v>Reach_1261</v>
          </cell>
          <cell r="H5730">
            <v>5694</v>
          </cell>
          <cell r="J5730">
            <v>392.47</v>
          </cell>
          <cell r="K5730">
            <v>216.77</v>
          </cell>
          <cell r="L5730">
            <v>7.7447300000000007E-12</v>
          </cell>
          <cell r="M5730">
            <v>64.685000000000002</v>
          </cell>
          <cell r="N5730">
            <v>52.480746024977286</v>
          </cell>
          <cell r="O5730">
            <v>13.02</v>
          </cell>
          <cell r="Q5730">
            <v>13.02</v>
          </cell>
        </row>
        <row r="5731">
          <cell r="D5731" t="str">
            <v>144701-48-4</v>
          </cell>
          <cell r="E5731">
            <v>144701484</v>
          </cell>
          <cell r="F5731">
            <v>1981</v>
          </cell>
          <cell r="G5731" t="str">
            <v>PharmaBeta_719</v>
          </cell>
          <cell r="H5731">
            <v>5695</v>
          </cell>
          <cell r="J5731">
            <v>514.63</v>
          </cell>
          <cell r="K5731">
            <v>349.84</v>
          </cell>
          <cell r="L5731">
            <v>1.2436890000000002E-17</v>
          </cell>
          <cell r="M5731">
            <v>8.6199999999999996E-7</v>
          </cell>
          <cell r="N5731">
            <v>263026799.18953854</v>
          </cell>
          <cell r="O5731">
            <v>3.3</v>
          </cell>
          <cell r="P5731">
            <v>7.77</v>
          </cell>
          <cell r="Q5731">
            <v>3.3</v>
          </cell>
        </row>
        <row r="5732">
          <cell r="D5732" t="str">
            <v>87333-19-5</v>
          </cell>
          <cell r="E5732">
            <v>87333195</v>
          </cell>
          <cell r="F5732">
            <v>3928</v>
          </cell>
          <cell r="G5732" t="str">
            <v>PharmaBeta_646</v>
          </cell>
          <cell r="H5732">
            <v>5696</v>
          </cell>
          <cell r="J5732">
            <v>416.52</v>
          </cell>
          <cell r="K5732">
            <v>318.54000000000002</v>
          </cell>
          <cell r="L5732">
            <v>5.0654000000000003E-9</v>
          </cell>
          <cell r="M5732">
            <v>1.1329</v>
          </cell>
          <cell r="N5732">
            <v>2089.2961308540398</v>
          </cell>
          <cell r="O5732">
            <v>3.07</v>
          </cell>
          <cell r="P5732">
            <v>8.4499999999999993</v>
          </cell>
          <cell r="Q5732">
            <v>3.07</v>
          </cell>
        </row>
        <row r="5733">
          <cell r="D5733" t="str">
            <v>183321-74-6</v>
          </cell>
          <cell r="E5733">
            <v>183321746</v>
          </cell>
          <cell r="F5733">
            <v>2183</v>
          </cell>
          <cell r="G5733" t="str">
            <v>PharmaBeta_216</v>
          </cell>
          <cell r="H5733">
            <v>5697</v>
          </cell>
          <cell r="J5733">
            <v>393.45</v>
          </cell>
          <cell r="K5733">
            <v>221.58</v>
          </cell>
          <cell r="L5733">
            <v>9.4109799999999993E-9</v>
          </cell>
          <cell r="M5733">
            <v>1.2115</v>
          </cell>
          <cell r="N5733">
            <v>616.59500186148273</v>
          </cell>
          <cell r="P5733">
            <v>8.1199999999999992</v>
          </cell>
          <cell r="Q5733">
            <v>5.8800000000000008</v>
          </cell>
        </row>
        <row r="5734">
          <cell r="D5734" t="str">
            <v>183321-74-6</v>
          </cell>
          <cell r="E5734">
            <v>183321746</v>
          </cell>
          <cell r="F5734">
            <v>2183</v>
          </cell>
          <cell r="G5734" t="str">
            <v>PharmaBeta_216</v>
          </cell>
          <cell r="H5734">
            <v>5698</v>
          </cell>
          <cell r="J5734">
            <v>393.45</v>
          </cell>
          <cell r="K5734">
            <v>221.58</v>
          </cell>
          <cell r="L5734">
            <v>9.4109799999999993E-9</v>
          </cell>
          <cell r="M5734">
            <v>1.2115</v>
          </cell>
          <cell r="N5734">
            <v>616.59500186148273</v>
          </cell>
          <cell r="P5734">
            <v>8.1199999999999992</v>
          </cell>
          <cell r="Q5734">
            <v>5.8800000000000008</v>
          </cell>
        </row>
        <row r="5735">
          <cell r="D5735" t="str">
            <v>1492-18-8</v>
          </cell>
          <cell r="E5735">
            <v>1492188</v>
          </cell>
          <cell r="F5735">
            <v>6274</v>
          </cell>
          <cell r="G5735" t="str">
            <v>PharmaBeta_363</v>
          </cell>
          <cell r="H5735">
            <v>5699</v>
          </cell>
          <cell r="J5735">
            <v>158.16999999999999</v>
          </cell>
          <cell r="Q5735">
            <v>14</v>
          </cell>
        </row>
        <row r="5736">
          <cell r="D5736" t="str">
            <v>50-24-8</v>
          </cell>
          <cell r="E5736">
            <v>50248</v>
          </cell>
          <cell r="F5736">
            <v>656</v>
          </cell>
          <cell r="G5736" t="str">
            <v>Reach_6</v>
          </cell>
          <cell r="H5736">
            <v>5700</v>
          </cell>
          <cell r="J5736">
            <v>360.45</v>
          </cell>
          <cell r="K5736">
            <v>215.25</v>
          </cell>
          <cell r="L5736">
            <v>9.1310500000000004E-12</v>
          </cell>
          <cell r="M5736">
            <v>439.02</v>
          </cell>
          <cell r="N5736">
            <v>25.118864315095799</v>
          </cell>
          <cell r="O5736">
            <v>13.17</v>
          </cell>
          <cell r="Q5736">
            <v>13.17</v>
          </cell>
        </row>
        <row r="5737">
          <cell r="D5737" t="str">
            <v>57-41-0</v>
          </cell>
          <cell r="E5737">
            <v>57410</v>
          </cell>
          <cell r="F5737">
            <v>3229</v>
          </cell>
          <cell r="G5737" t="str">
            <v>PharmaBeta_250</v>
          </cell>
          <cell r="H5737">
            <v>5701</v>
          </cell>
          <cell r="J5737">
            <v>252.28</v>
          </cell>
          <cell r="K5737">
            <v>218.12</v>
          </cell>
          <cell r="L5737">
            <v>1.8128800000000003E-9</v>
          </cell>
          <cell r="M5737">
            <v>49.295000000000002</v>
          </cell>
          <cell r="N5737">
            <v>144.54397707459285</v>
          </cell>
          <cell r="O5737">
            <v>8.3000000000000007</v>
          </cell>
          <cell r="Q5737">
            <v>8.3000000000000007</v>
          </cell>
        </row>
        <row r="5738">
          <cell r="D5738" t="str">
            <v>23593-75-1</v>
          </cell>
          <cell r="E5738">
            <v>23593751</v>
          </cell>
          <cell r="F5738">
            <v>553</v>
          </cell>
          <cell r="G5738" t="str">
            <v>PharmaBeta_413</v>
          </cell>
          <cell r="H5738">
            <v>5702</v>
          </cell>
          <cell r="J5738">
            <v>344.85</v>
          </cell>
          <cell r="K5738">
            <v>206.55</v>
          </cell>
          <cell r="L5738">
            <v>2.83929E-7</v>
          </cell>
          <cell r="M5738">
            <v>9.4256999999999994E-2</v>
          </cell>
          <cell r="N5738">
            <v>1819700.8586099846</v>
          </cell>
          <cell r="P5738">
            <v>7</v>
          </cell>
          <cell r="Q5738">
            <v>7</v>
          </cell>
        </row>
        <row r="5739">
          <cell r="D5739" t="str">
            <v>59-92-7</v>
          </cell>
          <cell r="E5739">
            <v>59927</v>
          </cell>
          <cell r="F5739">
            <v>745</v>
          </cell>
          <cell r="G5739" t="str">
            <v>PharmaBeta_444</v>
          </cell>
          <cell r="H5739">
            <v>5703</v>
          </cell>
          <cell r="J5739">
            <v>197.19</v>
          </cell>
          <cell r="K5739">
            <v>295.14999999999998</v>
          </cell>
          <cell r="L5739">
            <v>3.4124800000000005E-8</v>
          </cell>
          <cell r="M5739">
            <v>709000</v>
          </cell>
          <cell r="N5739">
            <v>5.7543993733715649E-3</v>
          </cell>
          <cell r="O5739">
            <v>2.35</v>
          </cell>
          <cell r="P5739">
            <v>5</v>
          </cell>
          <cell r="Q5739">
            <v>2.35</v>
          </cell>
        </row>
        <row r="5740">
          <cell r="D5740" t="str">
            <v>66592-87-8</v>
          </cell>
          <cell r="E5740">
            <v>66592878</v>
          </cell>
          <cell r="F5740">
            <v>5982</v>
          </cell>
          <cell r="G5740" t="str">
            <v>PharmaBeta_116</v>
          </cell>
          <cell r="H5740">
            <v>5704</v>
          </cell>
          <cell r="J5740">
            <v>381.41</v>
          </cell>
          <cell r="Q5740">
            <v>14</v>
          </cell>
        </row>
        <row r="5741">
          <cell r="D5741" t="str">
            <v>147127-20-6</v>
          </cell>
          <cell r="E5741">
            <v>147127206</v>
          </cell>
          <cell r="F5741">
            <v>5457</v>
          </cell>
          <cell r="G5741" t="str">
            <v>PharmaUBA</v>
          </cell>
          <cell r="H5741">
            <v>5705</v>
          </cell>
          <cell r="J5741">
            <v>300.75</v>
          </cell>
          <cell r="K5741">
            <v>198.89</v>
          </cell>
          <cell r="L5741">
            <v>2.2661000000000004E-8</v>
          </cell>
          <cell r="M5741">
            <v>62.680999999999997</v>
          </cell>
          <cell r="N5741">
            <v>141.25375446227542</v>
          </cell>
          <cell r="O5741">
            <v>13.66</v>
          </cell>
          <cell r="P5741">
            <v>12.15</v>
          </cell>
          <cell r="Q5741">
            <v>1.8499999999999996</v>
          </cell>
        </row>
        <row r="5742">
          <cell r="D5742" t="str">
            <v>50-23-7</v>
          </cell>
          <cell r="E5742">
            <v>50237</v>
          </cell>
          <cell r="F5742">
            <v>655</v>
          </cell>
          <cell r="G5742" t="str">
            <v>Reach_5</v>
          </cell>
          <cell r="H5742">
            <v>5706</v>
          </cell>
          <cell r="J5742">
            <v>362.47</v>
          </cell>
          <cell r="K5742">
            <v>214.53</v>
          </cell>
          <cell r="L5742">
            <v>1.61293E-11</v>
          </cell>
          <cell r="M5742">
            <v>471.43</v>
          </cell>
          <cell r="N5742">
            <v>41.686938347033561</v>
          </cell>
          <cell r="O5742">
            <v>13.17</v>
          </cell>
          <cell r="Q5742">
            <v>13.17</v>
          </cell>
        </row>
        <row r="5743">
          <cell r="D5743" t="str">
            <v>439-14-5</v>
          </cell>
          <cell r="E5743">
            <v>439145</v>
          </cell>
          <cell r="F5743">
            <v>640</v>
          </cell>
          <cell r="G5743" t="str">
            <v>PharmaBeta_166</v>
          </cell>
          <cell r="H5743">
            <v>5707</v>
          </cell>
          <cell r="J5743">
            <v>284.75</v>
          </cell>
          <cell r="K5743">
            <v>181.92</v>
          </cell>
          <cell r="L5743">
            <v>1.3596600000000001E-5</v>
          </cell>
          <cell r="M5743">
            <v>32.043999999999997</v>
          </cell>
          <cell r="N5743">
            <v>501.18723362727269</v>
          </cell>
          <cell r="P5743">
            <v>11</v>
          </cell>
          <cell r="Q5743">
            <v>3</v>
          </cell>
        </row>
        <row r="5744">
          <cell r="D5744" t="str">
            <v>55-98-1</v>
          </cell>
          <cell r="E5744">
            <v>55981</v>
          </cell>
          <cell r="F5744">
            <v>708</v>
          </cell>
          <cell r="G5744" t="str">
            <v>PharmaBeta_110</v>
          </cell>
          <cell r="H5744">
            <v>5708</v>
          </cell>
          <cell r="J5744">
            <v>246.3</v>
          </cell>
          <cell r="K5744">
            <v>129.79</v>
          </cell>
          <cell r="L5744">
            <v>1.231692E-5</v>
          </cell>
          <cell r="M5744">
            <v>15306</v>
          </cell>
          <cell r="N5744">
            <v>0.20892961308540392</v>
          </cell>
          <cell r="Q5744">
            <v>14</v>
          </cell>
        </row>
        <row r="5745">
          <cell r="D5745" t="str">
            <v>116539-59-4</v>
          </cell>
          <cell r="E5745">
            <v>116539594</v>
          </cell>
          <cell r="F5745">
            <v>1652</v>
          </cell>
          <cell r="G5745" t="str">
            <v>PharmaBeta_193</v>
          </cell>
          <cell r="H5745">
            <v>5709</v>
          </cell>
          <cell r="J5745">
            <v>297.42</v>
          </cell>
          <cell r="K5745">
            <v>156.99</v>
          </cell>
          <cell r="L5745">
            <v>1.5729400000000002E-5</v>
          </cell>
          <cell r="M5745">
            <v>0.11149000000000001</v>
          </cell>
          <cell r="N5745">
            <v>47863.009232263823</v>
          </cell>
          <cell r="P5745">
            <v>4.4000000000000004</v>
          </cell>
          <cell r="Q5745">
            <v>9.6</v>
          </cell>
        </row>
        <row r="5746">
          <cell r="D5746" t="str">
            <v>78755-81-4</v>
          </cell>
          <cell r="E5746">
            <v>78755814</v>
          </cell>
          <cell r="F5746">
            <v>4957</v>
          </cell>
          <cell r="G5746" t="str">
            <v>PharmaBeta_262</v>
          </cell>
          <cell r="H5746">
            <v>5710</v>
          </cell>
          <cell r="J5746">
            <v>303.3</v>
          </cell>
          <cell r="K5746">
            <v>205.38</v>
          </cell>
          <cell r="L5746">
            <v>1.2463550000000002E-7</v>
          </cell>
          <cell r="M5746">
            <v>25.933</v>
          </cell>
          <cell r="N5746">
            <v>10.715193052376069</v>
          </cell>
          <cell r="P5746">
            <v>11.97</v>
          </cell>
          <cell r="Q5746">
            <v>2.0299999999999994</v>
          </cell>
        </row>
        <row r="5747">
          <cell r="D5747" t="str">
            <v>66592-87-8</v>
          </cell>
          <cell r="E5747">
            <v>66592878</v>
          </cell>
          <cell r="F5747">
            <v>5982</v>
          </cell>
          <cell r="G5747" t="str">
            <v>PharmaBeta_116</v>
          </cell>
          <cell r="H5747">
            <v>5711</v>
          </cell>
          <cell r="J5747">
            <v>381.41</v>
          </cell>
          <cell r="Q5747">
            <v>14</v>
          </cell>
        </row>
        <row r="5748">
          <cell r="D5748" t="str">
            <v>25812-30-0</v>
          </cell>
          <cell r="E5748">
            <v>25812300</v>
          </cell>
          <cell r="F5748">
            <v>570</v>
          </cell>
          <cell r="G5748" t="str">
            <v>PharmaBeta_299</v>
          </cell>
          <cell r="H5748">
            <v>5712</v>
          </cell>
          <cell r="J5748">
            <v>250.34</v>
          </cell>
          <cell r="K5748">
            <v>128.97</v>
          </cell>
          <cell r="L5748">
            <v>4.0656500000000005E-3</v>
          </cell>
          <cell r="M5748">
            <v>29.858000000000001</v>
          </cell>
          <cell r="N5748">
            <v>58884.365535558936</v>
          </cell>
          <cell r="O5748">
            <v>4.8099999999999996</v>
          </cell>
          <cell r="Q5748">
            <v>4.8099999999999996</v>
          </cell>
        </row>
        <row r="5749">
          <cell r="D5749" t="str">
            <v>59-67-6</v>
          </cell>
          <cell r="E5749">
            <v>59676</v>
          </cell>
          <cell r="F5749">
            <v>739</v>
          </cell>
          <cell r="G5749" t="str">
            <v>Reach_52</v>
          </cell>
          <cell r="H5749">
            <v>5713</v>
          </cell>
          <cell r="J5749">
            <v>123.11</v>
          </cell>
          <cell r="K5749">
            <v>63.27</v>
          </cell>
          <cell r="L5749">
            <v>1.2476880000000001E-2</v>
          </cell>
          <cell r="M5749">
            <v>41003</v>
          </cell>
          <cell r="N5749">
            <v>4.8977881936844625</v>
          </cell>
          <cell r="O5749">
            <v>1.96</v>
          </cell>
          <cell r="P5749">
            <v>9</v>
          </cell>
          <cell r="Q5749">
            <v>1.96</v>
          </cell>
        </row>
        <row r="5750">
          <cell r="D5750" t="str">
            <v>79794-75-5</v>
          </cell>
          <cell r="E5750">
            <v>79794755</v>
          </cell>
          <cell r="F5750">
            <v>3783</v>
          </cell>
          <cell r="G5750" t="str">
            <v>PharmaBeta_460</v>
          </cell>
          <cell r="H5750">
            <v>5714</v>
          </cell>
          <cell r="J5750">
            <v>382.89</v>
          </cell>
          <cell r="K5750">
            <v>201.18</v>
          </cell>
          <cell r="L5750">
            <v>1.2143630000000002E-6</v>
          </cell>
          <cell r="M5750">
            <v>3.4032E-2</v>
          </cell>
          <cell r="N5750">
            <v>457088.18961487547</v>
          </cell>
          <cell r="P5750">
            <v>9.25</v>
          </cell>
          <cell r="Q5750">
            <v>4.75</v>
          </cell>
        </row>
        <row r="5751">
          <cell r="D5751" t="str">
            <v>60-54-8</v>
          </cell>
          <cell r="E5751">
            <v>60548</v>
          </cell>
          <cell r="F5751">
            <v>754</v>
          </cell>
          <cell r="G5751" t="str">
            <v>PharmaBeta_731</v>
          </cell>
          <cell r="H5751">
            <v>5715</v>
          </cell>
          <cell r="J5751">
            <v>444.44</v>
          </cell>
          <cell r="K5751">
            <v>327.19</v>
          </cell>
          <cell r="L5751">
            <v>2.7726400000000001E-19</v>
          </cell>
          <cell r="M5751">
            <v>2602.6</v>
          </cell>
          <cell r="N5751">
            <v>4.6773514128719787E-2</v>
          </cell>
          <cell r="O5751">
            <v>3.36</v>
          </cell>
          <cell r="P5751">
            <v>5</v>
          </cell>
          <cell r="Q5751">
            <v>3.36</v>
          </cell>
        </row>
        <row r="5752">
          <cell r="D5752" t="str">
            <v>83905-01-5</v>
          </cell>
          <cell r="E5752">
            <v>83905015</v>
          </cell>
          <cell r="F5752">
            <v>957</v>
          </cell>
          <cell r="G5752" t="str">
            <v>Reach_4465</v>
          </cell>
          <cell r="H5752">
            <v>5716</v>
          </cell>
          <cell r="J5752">
            <v>749</v>
          </cell>
          <cell r="K5752">
            <v>349.84</v>
          </cell>
          <cell r="L5752">
            <v>3.5324500000000001E-22</v>
          </cell>
          <cell r="M5752">
            <v>0.74160999999999999</v>
          </cell>
          <cell r="N5752">
            <v>1737.8008287493772</v>
          </cell>
          <cell r="O5752">
            <v>12.61</v>
          </cell>
          <cell r="P5752">
            <v>5</v>
          </cell>
          <cell r="Q5752">
            <v>9</v>
          </cell>
        </row>
        <row r="5753">
          <cell r="D5753" t="str">
            <v>125-33-7</v>
          </cell>
          <cell r="E5753">
            <v>125337</v>
          </cell>
          <cell r="F5753">
            <v>5420</v>
          </cell>
          <cell r="G5753" t="str">
            <v>PharmaUBA</v>
          </cell>
          <cell r="H5753">
            <v>5717</v>
          </cell>
          <cell r="J5753">
            <v>218.26</v>
          </cell>
          <cell r="K5753">
            <v>195.57</v>
          </cell>
          <cell r="L5753">
            <v>4.3989000000000004E-8</v>
          </cell>
          <cell r="M5753">
            <v>2853.1</v>
          </cell>
          <cell r="N5753">
            <v>5.3703179637025285</v>
          </cell>
          <cell r="O5753">
            <v>11.75</v>
          </cell>
          <cell r="Q5753">
            <v>11.75</v>
          </cell>
        </row>
        <row r="5754">
          <cell r="D5754" t="str">
            <v>158966-92-8</v>
          </cell>
          <cell r="E5754">
            <v>158966928</v>
          </cell>
          <cell r="F5754">
            <v>2066</v>
          </cell>
          <cell r="G5754" t="str">
            <v>PharmaBeta_517</v>
          </cell>
          <cell r="H5754">
            <v>5718</v>
          </cell>
          <cell r="J5754">
            <v>586.20000000000005</v>
          </cell>
          <cell r="K5754">
            <v>320.73</v>
          </cell>
          <cell r="L5754">
            <v>5.5186200000000009E-19</v>
          </cell>
          <cell r="M5754">
            <v>2.8E-5</v>
          </cell>
          <cell r="N5754">
            <v>3311311214.8259158</v>
          </cell>
          <cell r="O5754">
            <v>4.7300000000000004</v>
          </cell>
          <cell r="P5754">
            <v>10.62</v>
          </cell>
          <cell r="Q5754">
            <v>3.3800000000000008</v>
          </cell>
        </row>
        <row r="5755">
          <cell r="D5755" t="str">
            <v>18323-44-9</v>
          </cell>
          <cell r="E5755">
            <v>18323449</v>
          </cell>
          <cell r="F5755">
            <v>2181</v>
          </cell>
          <cell r="G5755" t="str">
            <v>PharmaBeta_394</v>
          </cell>
          <cell r="H5755">
            <v>5719</v>
          </cell>
          <cell r="J5755">
            <v>424.99</v>
          </cell>
          <cell r="K5755">
            <v>255.26</v>
          </cell>
          <cell r="L5755">
            <v>7.0382400000000006E-15</v>
          </cell>
          <cell r="M5755">
            <v>129.91999999999999</v>
          </cell>
          <cell r="N5755">
            <v>102.32929922807544</v>
          </cell>
          <cell r="O5755">
            <v>11.23</v>
          </cell>
          <cell r="P5755">
            <v>6.53</v>
          </cell>
          <cell r="Q5755">
            <v>7.47</v>
          </cell>
        </row>
        <row r="5756">
          <cell r="D5756" t="str">
            <v>6990-06-3</v>
          </cell>
          <cell r="E5756">
            <v>6990063</v>
          </cell>
          <cell r="F5756">
            <v>5322</v>
          </cell>
          <cell r="G5756" t="str">
            <v>PharmaUBA</v>
          </cell>
          <cell r="H5756">
            <v>5720</v>
          </cell>
          <cell r="J5756">
            <v>516.72</v>
          </cell>
          <cell r="K5756">
            <v>264.88</v>
          </cell>
          <cell r="L5756">
            <v>3.3724900000000008E-14</v>
          </cell>
          <cell r="M5756">
            <v>0.10412</v>
          </cell>
          <cell r="N5756">
            <v>5623413.2519034976</v>
          </cell>
          <cell r="O5756">
            <v>4.07</v>
          </cell>
          <cell r="Q5756">
            <v>4.07</v>
          </cell>
        </row>
        <row r="5757">
          <cell r="D5757" t="str">
            <v>83915-83-7</v>
          </cell>
          <cell r="E5757">
            <v>83915837</v>
          </cell>
          <cell r="F5757">
            <v>3852</v>
          </cell>
          <cell r="G5757" t="str">
            <v>PharmaBeta_454</v>
          </cell>
          <cell r="H5757">
            <v>5721</v>
          </cell>
          <cell r="J5757">
            <v>405.5</v>
          </cell>
          <cell r="K5757">
            <v>326.37</v>
          </cell>
          <cell r="L5757">
            <v>5.2653500000000004E-13</v>
          </cell>
          <cell r="M5757">
            <v>26.443999999999999</v>
          </cell>
          <cell r="N5757">
            <v>0.11481536214968829</v>
          </cell>
          <cell r="O5757">
            <v>1.92</v>
          </cell>
          <cell r="P5757">
            <v>3.53</v>
          </cell>
          <cell r="Q5757">
            <v>1.92</v>
          </cell>
        </row>
        <row r="5758">
          <cell r="D5758" t="str">
            <v>604-75-1</v>
          </cell>
          <cell r="E5758">
            <v>604751</v>
          </cell>
          <cell r="F5758">
            <v>73</v>
          </cell>
          <cell r="G5758" t="str">
            <v>PharmaBeta_579</v>
          </cell>
          <cell r="H5758">
            <v>5722</v>
          </cell>
          <cell r="J5758">
            <v>286.72000000000003</v>
          </cell>
          <cell r="K5758">
            <v>208.72</v>
          </cell>
          <cell r="L5758">
            <v>5.5452800000000003E-10</v>
          </cell>
          <cell r="M5758">
            <v>87.855999999999995</v>
          </cell>
          <cell r="N5758">
            <v>208.92961308540396</v>
          </cell>
          <cell r="O5758">
            <v>11.49</v>
          </cell>
          <cell r="P5758">
            <v>12.15</v>
          </cell>
          <cell r="Q5758">
            <v>1.8499999999999996</v>
          </cell>
        </row>
        <row r="5759">
          <cell r="D5759" t="str">
            <v>10540-29-1</v>
          </cell>
          <cell r="E5759">
            <v>10540291</v>
          </cell>
          <cell r="F5759">
            <v>174</v>
          </cell>
          <cell r="G5759" t="str">
            <v>Reach_2294</v>
          </cell>
          <cell r="H5759">
            <v>5723</v>
          </cell>
          <cell r="J5759">
            <v>371.52</v>
          </cell>
          <cell r="K5759">
            <v>180.85</v>
          </cell>
          <cell r="L5759">
            <v>4.6121799999999999E-6</v>
          </cell>
          <cell r="M5759">
            <v>8.6348999999999992E-3</v>
          </cell>
          <cell r="N5759">
            <v>1995262.31496888</v>
          </cell>
          <cell r="P5759">
            <v>6</v>
          </cell>
          <cell r="Q5759">
            <v>8</v>
          </cell>
        </row>
        <row r="5760">
          <cell r="D5760" t="str">
            <v>53-03-2</v>
          </cell>
          <cell r="E5760">
            <v>53032</v>
          </cell>
          <cell r="F5760">
            <v>5101</v>
          </cell>
          <cell r="G5760" t="str">
            <v>PharmaBeta_623</v>
          </cell>
          <cell r="H5760">
            <v>5724</v>
          </cell>
          <cell r="J5760">
            <v>424.53</v>
          </cell>
          <cell r="K5760">
            <v>242.74</v>
          </cell>
          <cell r="L5760">
            <v>8.0513200000000007E-14</v>
          </cell>
          <cell r="M5760">
            <v>51.325000000000003</v>
          </cell>
          <cell r="N5760">
            <v>1258.925411794168</v>
          </cell>
          <cell r="O5760">
            <v>4.34</v>
          </cell>
          <cell r="Q5760">
            <v>4.34</v>
          </cell>
        </row>
        <row r="5761">
          <cell r="D5761" t="str">
            <v>57-13-6</v>
          </cell>
          <cell r="E5761">
            <v>57136</v>
          </cell>
          <cell r="F5761">
            <v>719</v>
          </cell>
          <cell r="G5761" t="str">
            <v>Reach_39</v>
          </cell>
          <cell r="H5761">
            <v>5725</v>
          </cell>
          <cell r="J5761">
            <v>60.058</v>
          </cell>
          <cell r="K5761">
            <v>28.99</v>
          </cell>
          <cell r="L5761">
            <v>27.726400000000002</v>
          </cell>
          <cell r="M5761">
            <v>421000</v>
          </cell>
          <cell r="N5761">
            <v>2.7542287033381647E-2</v>
          </cell>
          <cell r="O5761">
            <v>14.3</v>
          </cell>
          <cell r="P5761">
            <v>14</v>
          </cell>
          <cell r="Q5761">
            <v>0</v>
          </cell>
        </row>
        <row r="5762">
          <cell r="D5762" t="str">
            <v>3546-03-0</v>
          </cell>
          <cell r="E5762">
            <v>3546030</v>
          </cell>
          <cell r="F5762">
            <v>5266</v>
          </cell>
          <cell r="G5762" t="str">
            <v>PharmaUBA</v>
          </cell>
          <cell r="H5762">
            <v>5726</v>
          </cell>
          <cell r="J5762">
            <v>203.29</v>
          </cell>
          <cell r="K5762">
            <v>93.97</v>
          </cell>
          <cell r="L5762">
            <v>6.5183699999999997E-2</v>
          </cell>
          <cell r="M5762">
            <v>108.57</v>
          </cell>
          <cell r="N5762">
            <v>537.03179637025301</v>
          </cell>
          <cell r="P5762">
            <v>14.4</v>
          </cell>
          <cell r="Q5762">
            <v>-0.40000000000000036</v>
          </cell>
        </row>
        <row r="5763">
          <cell r="D5763" t="str">
            <v>72519-76-3</v>
          </cell>
          <cell r="E5763">
            <v>72519763</v>
          </cell>
          <cell r="F5763" t="str">
            <v>-</v>
          </cell>
          <cell r="G5763" t="str">
            <v>-</v>
          </cell>
          <cell r="H5763">
            <v>5727</v>
          </cell>
          <cell r="Q5763">
            <v>14</v>
          </cell>
        </row>
        <row r="5764">
          <cell r="D5764" t="str">
            <v>21829-25-4</v>
          </cell>
          <cell r="E5764">
            <v>21829254</v>
          </cell>
          <cell r="F5764">
            <v>1101</v>
          </cell>
          <cell r="G5764" t="str">
            <v>PharmaBeta_338</v>
          </cell>
          <cell r="H5764">
            <v>5728</v>
          </cell>
          <cell r="J5764">
            <v>357.79</v>
          </cell>
          <cell r="K5764">
            <v>219.37</v>
          </cell>
          <cell r="L5764">
            <v>6.824960000000001E-8</v>
          </cell>
          <cell r="M5764">
            <v>2.3361000000000001</v>
          </cell>
          <cell r="N5764">
            <v>16982.436524617482</v>
          </cell>
          <cell r="O5764">
            <v>4.49</v>
          </cell>
          <cell r="Q5764">
            <v>4.49</v>
          </cell>
        </row>
        <row r="5765">
          <cell r="D5765" t="str">
            <v>97-77-8</v>
          </cell>
          <cell r="E5765">
            <v>97778</v>
          </cell>
          <cell r="F5765">
            <v>1060</v>
          </cell>
          <cell r="G5765" t="str">
            <v>Reach_487</v>
          </cell>
          <cell r="H5765">
            <v>5729</v>
          </cell>
          <cell r="J5765">
            <v>296.54000000000002</v>
          </cell>
          <cell r="K5765">
            <v>138.91999999999999</v>
          </cell>
          <cell r="L5765">
            <v>8.811130000000001E-4</v>
          </cell>
          <cell r="M5765">
            <v>9.6571999999999996</v>
          </cell>
          <cell r="N5765">
            <v>4677.3514128719844</v>
          </cell>
          <cell r="P5765">
            <v>16</v>
          </cell>
          <cell r="Q5765">
            <v>-2</v>
          </cell>
        </row>
        <row r="5766">
          <cell r="D5766" t="str">
            <v>86386-73-4</v>
          </cell>
          <cell r="E5766">
            <v>86386734</v>
          </cell>
          <cell r="F5766">
            <v>970</v>
          </cell>
          <cell r="G5766" t="str">
            <v>PharmaBeta_261</v>
          </cell>
          <cell r="H5766">
            <v>5730</v>
          </cell>
          <cell r="J5766">
            <v>306.27999999999997</v>
          </cell>
          <cell r="K5766">
            <v>170.61</v>
          </cell>
          <cell r="L5766">
            <v>3.8923600000000001E-7</v>
          </cell>
          <cell r="M5766">
            <v>3599.6</v>
          </cell>
          <cell r="N5766">
            <v>1.778279410038923</v>
          </cell>
          <cell r="O5766">
            <v>14.52</v>
          </cell>
          <cell r="P5766">
            <v>12</v>
          </cell>
          <cell r="Q5766">
            <v>2</v>
          </cell>
        </row>
        <row r="5767">
          <cell r="D5767" t="str">
            <v>84625-61-6</v>
          </cell>
          <cell r="E5767">
            <v>84625616</v>
          </cell>
          <cell r="F5767">
            <v>3872</v>
          </cell>
          <cell r="G5767" t="str">
            <v>PharmaBeta_351</v>
          </cell>
          <cell r="H5767">
            <v>5731</v>
          </cell>
          <cell r="J5767">
            <v>705.65</v>
          </cell>
          <cell r="K5767">
            <v>349.84</v>
          </cell>
          <cell r="L5767">
            <v>3.4658000000000001E-18</v>
          </cell>
          <cell r="M5767">
            <v>1.2630000000000001E-4</v>
          </cell>
          <cell r="N5767">
            <v>1445439.7707459298</v>
          </cell>
          <cell r="P5767">
            <v>8.4700000000000006</v>
          </cell>
          <cell r="Q5767">
            <v>5.5299999999999994</v>
          </cell>
        </row>
        <row r="5768">
          <cell r="D5768" t="str">
            <v>76-42-6</v>
          </cell>
          <cell r="E5768">
            <v>76426</v>
          </cell>
          <cell r="F5768">
            <v>3711</v>
          </cell>
          <cell r="G5768" t="str">
            <v>PharmaBeta_581</v>
          </cell>
          <cell r="H5768">
            <v>5732</v>
          </cell>
          <cell r="J5768">
            <v>315.37</v>
          </cell>
          <cell r="K5768">
            <v>179.32</v>
          </cell>
          <cell r="L5768">
            <v>2.9592600000000004E-8</v>
          </cell>
          <cell r="M5768">
            <v>14179</v>
          </cell>
          <cell r="N5768">
            <v>4.5708818961487507</v>
          </cell>
          <cell r="O5768">
            <v>13.61</v>
          </cell>
          <cell r="P5768">
            <v>5.94</v>
          </cell>
          <cell r="Q5768">
            <v>8.0599999999999987</v>
          </cell>
        </row>
        <row r="5769">
          <cell r="D5769" t="str">
            <v>569-65-3</v>
          </cell>
          <cell r="E5769">
            <v>569653</v>
          </cell>
          <cell r="F5769">
            <v>3218</v>
          </cell>
          <cell r="G5769" t="str">
            <v>PharmaBeta_476</v>
          </cell>
          <cell r="H5769">
            <v>5733</v>
          </cell>
          <cell r="J5769">
            <v>390.96</v>
          </cell>
          <cell r="K5769">
            <v>204.83</v>
          </cell>
          <cell r="L5769">
            <v>0.1229026</v>
          </cell>
          <cell r="M5769">
            <v>0.44954</v>
          </cell>
          <cell r="N5769">
            <v>741310.24130091805</v>
          </cell>
          <cell r="P5769">
            <v>8.1199999999999992</v>
          </cell>
          <cell r="Q5769">
            <v>5.8800000000000008</v>
          </cell>
        </row>
        <row r="5770">
          <cell r="D5770" t="str">
            <v>641571-10-0</v>
          </cell>
          <cell r="E5770">
            <v>641571100</v>
          </cell>
          <cell r="F5770">
            <v>3427</v>
          </cell>
          <cell r="G5770" t="str">
            <v>Reach_4930</v>
          </cell>
          <cell r="H5770">
            <v>5734</v>
          </cell>
          <cell r="J5770">
            <v>529.53</v>
          </cell>
          <cell r="K5770">
            <v>331.03</v>
          </cell>
          <cell r="L5770">
            <v>2.7459799999999998E-16</v>
          </cell>
          <cell r="M5770">
            <v>3.4700000000000003E-5</v>
          </cell>
          <cell r="N5770">
            <v>102329.29922807543</v>
          </cell>
          <cell r="O5770">
            <v>14.47</v>
          </cell>
          <cell r="P5770">
            <v>8.09</v>
          </cell>
          <cell r="Q5770">
            <v>5.91</v>
          </cell>
        </row>
        <row r="5771">
          <cell r="D5771" t="str">
            <v>43200-80-2</v>
          </cell>
          <cell r="E5771">
            <v>43200802</v>
          </cell>
          <cell r="F5771">
            <v>2908</v>
          </cell>
          <cell r="G5771" t="str">
            <v>PharmaBeta_803</v>
          </cell>
          <cell r="H5771">
            <v>5735</v>
          </cell>
          <cell r="J5771">
            <v>388.82</v>
          </cell>
          <cell r="K5771">
            <v>228.4</v>
          </cell>
          <cell r="L5771">
            <v>1.2983420000000001E-8</v>
          </cell>
          <cell r="M5771">
            <v>836.99</v>
          </cell>
          <cell r="N5771">
            <v>34.67368504525318</v>
          </cell>
          <cell r="P5771">
            <v>7.2</v>
          </cell>
          <cell r="Q5771">
            <v>6.8</v>
          </cell>
        </row>
        <row r="5772">
          <cell r="D5772" t="str">
            <v>142217-69-4</v>
          </cell>
          <cell r="E5772">
            <v>142217694</v>
          </cell>
          <cell r="F5772">
            <v>4922</v>
          </cell>
          <cell r="G5772" t="str">
            <v>PharmaBeta_205</v>
          </cell>
          <cell r="H5772">
            <v>5736</v>
          </cell>
          <cell r="J5772">
            <v>277.29000000000002</v>
          </cell>
          <cell r="K5772">
            <v>265.52999999999997</v>
          </cell>
          <cell r="L5772">
            <v>4.0123300000000003E-15</v>
          </cell>
          <cell r="M5772">
            <v>131000</v>
          </cell>
          <cell r="N5772">
            <v>6.1659500186148221E-2</v>
          </cell>
          <cell r="O5772">
            <v>9.34</v>
          </cell>
          <cell r="P5772">
            <v>10.89</v>
          </cell>
          <cell r="Q5772">
            <v>3.1099999999999994</v>
          </cell>
        </row>
        <row r="5773">
          <cell r="D5773" t="str">
            <v>19767-45-4</v>
          </cell>
          <cell r="E5773">
            <v>19767454</v>
          </cell>
          <cell r="F5773">
            <v>5019</v>
          </cell>
          <cell r="G5773" t="str">
            <v>PharmaBeta_485</v>
          </cell>
          <cell r="H5773">
            <v>5737</v>
          </cell>
          <cell r="J5773">
            <v>141.19</v>
          </cell>
          <cell r="K5773">
            <v>71.959999999999994</v>
          </cell>
          <cell r="L5773">
            <v>1.0064150000000001E-2</v>
          </cell>
          <cell r="M5773">
            <v>105000</v>
          </cell>
          <cell r="N5773">
            <v>1.1220184543019634E-2</v>
          </cell>
          <cell r="O5773">
            <v>1.21</v>
          </cell>
          <cell r="Q5773">
            <v>1.21</v>
          </cell>
        </row>
        <row r="5774">
          <cell r="D5774" t="str">
            <v>54910-89-3</v>
          </cell>
          <cell r="E5774">
            <v>54910893</v>
          </cell>
          <cell r="F5774">
            <v>691</v>
          </cell>
          <cell r="G5774" t="str">
            <v>PharmaBeta_346</v>
          </cell>
          <cell r="H5774">
            <v>5738</v>
          </cell>
          <cell r="J5774">
            <v>137.15</v>
          </cell>
          <cell r="K5774">
            <v>118.95</v>
          </cell>
          <cell r="L5774">
            <v>1.61293E-3</v>
          </cell>
          <cell r="M5774">
            <v>322000</v>
          </cell>
          <cell r="N5774">
            <v>0.15488166189124808</v>
          </cell>
          <cell r="P5774">
            <v>10</v>
          </cell>
          <cell r="Q5774">
            <v>4</v>
          </cell>
        </row>
        <row r="5775">
          <cell r="D5775" t="str">
            <v>28721-07-5</v>
          </cell>
          <cell r="E5775">
            <v>28721075</v>
          </cell>
          <cell r="F5775">
            <v>2541</v>
          </cell>
          <cell r="G5775" t="str">
            <v>PharmaBeta_584</v>
          </cell>
          <cell r="H5775">
            <v>5739</v>
          </cell>
          <cell r="J5775">
            <v>252.28</v>
          </cell>
          <cell r="K5775">
            <v>185.15</v>
          </cell>
          <cell r="L5775">
            <v>1.0090809999999999E-6</v>
          </cell>
          <cell r="M5775">
            <v>968.95</v>
          </cell>
          <cell r="N5775">
            <v>12.882495516931346</v>
          </cell>
          <cell r="O5775">
            <v>14.24</v>
          </cell>
          <cell r="P5775">
            <v>14.1</v>
          </cell>
          <cell r="Q5775">
            <v>-9.9999999999999645E-2</v>
          </cell>
        </row>
        <row r="5776">
          <cell r="D5776" t="str">
            <v>146-22-5</v>
          </cell>
          <cell r="E5776">
            <v>146225</v>
          </cell>
          <cell r="F5776">
            <v>474</v>
          </cell>
          <cell r="G5776" t="str">
            <v>PharmaBeta_556</v>
          </cell>
          <cell r="H5776">
            <v>5740</v>
          </cell>
          <cell r="J5776">
            <v>281.27</v>
          </cell>
          <cell r="K5776">
            <v>209.03</v>
          </cell>
          <cell r="L5776">
            <v>4.1056400000000009E-8</v>
          </cell>
          <cell r="M5776">
            <v>127.73</v>
          </cell>
          <cell r="N5776">
            <v>281.83829312644554</v>
          </cell>
          <cell r="O5776">
            <v>10.8</v>
          </cell>
          <cell r="P5776">
            <v>11</v>
          </cell>
          <cell r="Q5776">
            <v>3</v>
          </cell>
        </row>
        <row r="5777">
          <cell r="D5777" t="str">
            <v>133040-01-4</v>
          </cell>
          <cell r="E5777">
            <v>133040014</v>
          </cell>
          <cell r="F5777">
            <v>1863</v>
          </cell>
          <cell r="G5777" t="str">
            <v>PharmaBeta_656</v>
          </cell>
          <cell r="H5777">
            <v>5741</v>
          </cell>
          <cell r="J5777">
            <v>822.96</v>
          </cell>
          <cell r="K5777">
            <v>349.84</v>
          </cell>
          <cell r="L5777">
            <v>4.0923100000000005E-32</v>
          </cell>
          <cell r="M5777">
            <v>8.8440000000000003E-4</v>
          </cell>
          <cell r="N5777">
            <v>17378.008287493791</v>
          </cell>
          <cell r="O5777">
            <v>3.78</v>
          </cell>
          <cell r="P5777">
            <v>5.9</v>
          </cell>
          <cell r="Q5777">
            <v>3.78</v>
          </cell>
        </row>
        <row r="5778">
          <cell r="D5778" t="str">
            <v>298-57-5</v>
          </cell>
          <cell r="E5778">
            <v>298575</v>
          </cell>
          <cell r="F5778" t="str">
            <v>-</v>
          </cell>
          <cell r="G5778" t="str">
            <v>-</v>
          </cell>
          <cell r="H5778">
            <v>5742</v>
          </cell>
          <cell r="Q5778">
            <v>14</v>
          </cell>
        </row>
        <row r="5779">
          <cell r="D5779" t="str">
            <v>136470-78-5</v>
          </cell>
          <cell r="E5779">
            <v>136470785</v>
          </cell>
          <cell r="F5779">
            <v>1899</v>
          </cell>
          <cell r="G5779" t="str">
            <v>PharmaBeta_2</v>
          </cell>
          <cell r="H5779">
            <v>5743</v>
          </cell>
          <cell r="J5779">
            <v>286.35000000000002</v>
          </cell>
          <cell r="K5779">
            <v>222.65</v>
          </cell>
          <cell r="L5779">
            <v>4.1856200000000008E-11</v>
          </cell>
          <cell r="M5779">
            <v>129.63</v>
          </cell>
          <cell r="N5779">
            <v>41.686938347033561</v>
          </cell>
          <cell r="O5779">
            <v>15.9</v>
          </cell>
          <cell r="P5779">
            <v>8.93</v>
          </cell>
          <cell r="Q5779">
            <v>5.07</v>
          </cell>
        </row>
        <row r="5780">
          <cell r="D5780" t="str">
            <v>98319-26-7</v>
          </cell>
          <cell r="E5780">
            <v>98319267</v>
          </cell>
          <cell r="F5780">
            <v>1070</v>
          </cell>
          <cell r="G5780" t="str">
            <v>PharmaBeta_253</v>
          </cell>
          <cell r="H5780">
            <v>5744</v>
          </cell>
          <cell r="J5780">
            <v>372.56</v>
          </cell>
          <cell r="K5780">
            <v>236.17</v>
          </cell>
          <cell r="L5780">
            <v>6.3850700000000008E-10</v>
          </cell>
          <cell r="M5780">
            <v>1.1868E-2</v>
          </cell>
          <cell r="N5780">
            <v>1584.8931924611156</v>
          </cell>
          <cell r="O5780">
            <v>14.78</v>
          </cell>
          <cell r="P5780">
            <v>14</v>
          </cell>
          <cell r="Q5780">
            <v>0</v>
          </cell>
        </row>
        <row r="5781">
          <cell r="D5781" t="str">
            <v>15676-16-1</v>
          </cell>
          <cell r="E5781">
            <v>15676161</v>
          </cell>
          <cell r="F5781">
            <v>5454</v>
          </cell>
          <cell r="G5781" t="str">
            <v>PharmaUBA</v>
          </cell>
          <cell r="H5781">
            <v>5745</v>
          </cell>
          <cell r="J5781">
            <v>341.43</v>
          </cell>
          <cell r="K5781">
            <v>226.54</v>
          </cell>
          <cell r="L5781">
            <v>1.6395900000000001E-8</v>
          </cell>
          <cell r="M5781">
            <v>1985.8</v>
          </cell>
          <cell r="N5781">
            <v>4.4668359215096318</v>
          </cell>
          <cell r="O5781">
            <v>10.26</v>
          </cell>
          <cell r="P5781">
            <v>4.82</v>
          </cell>
          <cell r="Q5781">
            <v>9.18</v>
          </cell>
        </row>
        <row r="5782">
          <cell r="D5782" t="str">
            <v>57808-66-9</v>
          </cell>
          <cell r="E5782">
            <v>57808669</v>
          </cell>
          <cell r="F5782">
            <v>5289</v>
          </cell>
          <cell r="G5782" t="str">
            <v>PharmaUBA</v>
          </cell>
          <cell r="H5782">
            <v>5746</v>
          </cell>
          <cell r="J5782">
            <v>425.93</v>
          </cell>
          <cell r="K5782">
            <v>277.47000000000003</v>
          </cell>
          <cell r="L5782">
            <v>4.1456300000000008E-12</v>
          </cell>
          <cell r="M5782">
            <v>0.16034999999999999</v>
          </cell>
          <cell r="N5782">
            <v>2238.7211385683418</v>
          </cell>
          <cell r="O5782">
            <v>10.199999999999999</v>
          </cell>
          <cell r="P5782">
            <v>5.83</v>
          </cell>
          <cell r="Q5782">
            <v>8.17</v>
          </cell>
        </row>
        <row r="5783">
          <cell r="D5783" t="str">
            <v>3737-09-5</v>
          </cell>
          <cell r="E5783">
            <v>3737095</v>
          </cell>
          <cell r="F5783">
            <v>115</v>
          </cell>
          <cell r="G5783" t="str">
            <v>PharmaBeta_179</v>
          </cell>
          <cell r="H5783">
            <v>5747</v>
          </cell>
          <cell r="J5783">
            <v>339.49</v>
          </cell>
          <cell r="K5783">
            <v>202.17</v>
          </cell>
          <cell r="L5783">
            <v>2.8392900000000002E-6</v>
          </cell>
          <cell r="M5783">
            <v>14.41</v>
          </cell>
          <cell r="N5783">
            <v>912.01083935590987</v>
          </cell>
          <cell r="O5783">
            <v>12.82</v>
          </cell>
          <cell r="P5783">
            <v>5</v>
          </cell>
          <cell r="Q5783">
            <v>9</v>
          </cell>
        </row>
        <row r="5784">
          <cell r="D5784" t="str">
            <v>67018-85-3</v>
          </cell>
          <cell r="E5784">
            <v>67018853</v>
          </cell>
          <cell r="F5784">
            <v>5392</v>
          </cell>
          <cell r="G5784" t="str">
            <v>PharmaUBA</v>
          </cell>
          <cell r="H5784">
            <v>5748</v>
          </cell>
          <cell r="J5784">
            <v>263.38</v>
          </cell>
          <cell r="K5784">
            <v>129.81</v>
          </cell>
          <cell r="L5784">
            <v>2.94593E-4</v>
          </cell>
          <cell r="M5784">
            <v>6.1715999999999998</v>
          </cell>
          <cell r="N5784">
            <v>54954.087385762505</v>
          </cell>
          <cell r="P5784">
            <v>4.0999999999999996</v>
          </cell>
          <cell r="Q5784">
            <v>9.9</v>
          </cell>
        </row>
        <row r="5785">
          <cell r="D5785" t="str">
            <v>62571-86-2</v>
          </cell>
          <cell r="E5785">
            <v>62571862</v>
          </cell>
          <cell r="F5785">
            <v>1103</v>
          </cell>
          <cell r="G5785" t="str">
            <v>PharmaUBA</v>
          </cell>
          <cell r="H5785">
            <v>5749</v>
          </cell>
          <cell r="J5785">
            <v>217.29</v>
          </cell>
          <cell r="K5785">
            <v>133.83000000000001</v>
          </cell>
          <cell r="L5785">
            <v>9.6642500000000014E-4</v>
          </cell>
          <cell r="M5785">
            <v>14425</v>
          </cell>
          <cell r="N5785">
            <v>6.9183097091893666</v>
          </cell>
          <cell r="O5785">
            <v>3.25</v>
          </cell>
          <cell r="Q5785">
            <v>3.25</v>
          </cell>
        </row>
        <row r="5786">
          <cell r="D5786" t="str">
            <v>72956-09-3</v>
          </cell>
          <cell r="E5786">
            <v>72956093</v>
          </cell>
          <cell r="F5786">
            <v>826</v>
          </cell>
          <cell r="G5786" t="str">
            <v>PharmaBeta_379</v>
          </cell>
          <cell r="H5786">
            <v>5750</v>
          </cell>
          <cell r="J5786">
            <v>406.48</v>
          </cell>
          <cell r="K5786">
            <v>252.08</v>
          </cell>
          <cell r="L5786">
            <v>7.8647000000000014E-12</v>
          </cell>
          <cell r="M5786">
            <v>1.8393999999999999</v>
          </cell>
          <cell r="N5786">
            <v>1122.0184543019636</v>
          </cell>
          <cell r="O5786">
            <v>14</v>
          </cell>
          <cell r="P5786">
            <v>6</v>
          </cell>
          <cell r="Q5786">
            <v>8</v>
          </cell>
        </row>
        <row r="5787">
          <cell r="D5787" t="str">
            <v>202409-33-4</v>
          </cell>
          <cell r="E5787">
            <v>202409334</v>
          </cell>
          <cell r="F5787">
            <v>2256</v>
          </cell>
          <cell r="G5787" t="str">
            <v>PharmaBeta_231</v>
          </cell>
          <cell r="H5787">
            <v>5751</v>
          </cell>
          <cell r="J5787">
            <v>358.85</v>
          </cell>
          <cell r="K5787">
            <v>220.98</v>
          </cell>
          <cell r="L5787">
            <v>1.030409E-8</v>
          </cell>
          <cell r="M5787">
            <v>1.6028</v>
          </cell>
          <cell r="N5787">
            <v>812.83051616409978</v>
          </cell>
          <cell r="P5787">
            <v>11.16</v>
          </cell>
          <cell r="Q5787">
            <v>2.84</v>
          </cell>
        </row>
        <row r="5788">
          <cell r="D5788" t="str">
            <v>302-17-0</v>
          </cell>
          <cell r="E5788">
            <v>302170</v>
          </cell>
          <cell r="F5788">
            <v>1126</v>
          </cell>
          <cell r="G5788" t="str">
            <v>PharmaUBA</v>
          </cell>
          <cell r="H5788">
            <v>5752</v>
          </cell>
          <cell r="J5788">
            <v>165.4</v>
          </cell>
          <cell r="K5788">
            <v>22.24</v>
          </cell>
          <cell r="L5788">
            <v>1226.3599999999999</v>
          </cell>
          <cell r="M5788">
            <v>708000</v>
          </cell>
          <cell r="N5788">
            <v>9.5499258602143584</v>
          </cell>
          <cell r="O5788">
            <v>10.1</v>
          </cell>
          <cell r="Q5788">
            <v>10.1</v>
          </cell>
        </row>
        <row r="5789">
          <cell r="D5789" t="str">
            <v>83-43-2</v>
          </cell>
          <cell r="E5789">
            <v>83432</v>
          </cell>
          <cell r="F5789">
            <v>3846</v>
          </cell>
          <cell r="G5789" t="str">
            <v>PharmaBeta_498</v>
          </cell>
          <cell r="H5789">
            <v>5753</v>
          </cell>
          <cell r="J5789">
            <v>374.48</v>
          </cell>
          <cell r="K5789">
            <v>219.1</v>
          </cell>
          <cell r="L5789">
            <v>5.9185200000000001E-12</v>
          </cell>
          <cell r="M5789">
            <v>88.733999999999995</v>
          </cell>
          <cell r="N5789">
            <v>66.069344800759623</v>
          </cell>
          <cell r="O5789">
            <v>13.17</v>
          </cell>
          <cell r="Q5789">
            <v>13.17</v>
          </cell>
        </row>
        <row r="5790">
          <cell r="D5790" t="str">
            <v>58-22-0</v>
          </cell>
          <cell r="E5790">
            <v>58220</v>
          </cell>
          <cell r="F5790">
            <v>67</v>
          </cell>
          <cell r="G5790" t="str">
            <v>Reach_46</v>
          </cell>
          <cell r="H5790">
            <v>5754</v>
          </cell>
          <cell r="J5790">
            <v>288.43</v>
          </cell>
          <cell r="K5790">
            <v>144.56</v>
          </cell>
          <cell r="L5790">
            <v>2.2794300000000001E-6</v>
          </cell>
          <cell r="M5790">
            <v>23.96</v>
          </cell>
          <cell r="N5790">
            <v>1862.0871366628687</v>
          </cell>
          <cell r="O5790">
            <v>15.99</v>
          </cell>
          <cell r="Q5790">
            <v>14</v>
          </cell>
        </row>
        <row r="5791">
          <cell r="D5791" t="str">
            <v>50-49-7</v>
          </cell>
          <cell r="E5791">
            <v>50497</v>
          </cell>
          <cell r="F5791">
            <v>5330</v>
          </cell>
          <cell r="G5791" t="str">
            <v>PharmaUBA</v>
          </cell>
          <cell r="H5791">
            <v>5755</v>
          </cell>
          <cell r="J5791">
            <v>280.42</v>
          </cell>
          <cell r="K5791">
            <v>140.91</v>
          </cell>
          <cell r="L5791">
            <v>8.5045399999999997E-5</v>
          </cell>
          <cell r="M5791">
            <v>10.225</v>
          </cell>
          <cell r="N5791">
            <v>102329.29922807543</v>
          </cell>
          <cell r="P5791">
            <v>4.8</v>
          </cell>
          <cell r="Q5791">
            <v>9.1999999999999993</v>
          </cell>
        </row>
        <row r="5792">
          <cell r="D5792" t="str">
            <v>71125-39-8</v>
          </cell>
          <cell r="E5792">
            <v>71125398</v>
          </cell>
          <cell r="F5792" t="str">
            <v>-</v>
          </cell>
          <cell r="G5792" t="str">
            <v>-</v>
          </cell>
          <cell r="H5792">
            <v>5756</v>
          </cell>
          <cell r="Q5792">
            <v>14</v>
          </cell>
        </row>
        <row r="5793">
          <cell r="D5793" t="str">
            <v>7722-84-1</v>
          </cell>
          <cell r="E5793">
            <v>7722841</v>
          </cell>
          <cell r="F5793">
            <v>6452</v>
          </cell>
          <cell r="G5793" t="str">
            <v>PharmaBeta_779</v>
          </cell>
          <cell r="H5793">
            <v>5757</v>
          </cell>
          <cell r="J5793">
            <v>34.014000000000003</v>
          </cell>
          <cell r="Q5793">
            <v>14</v>
          </cell>
        </row>
        <row r="5794">
          <cell r="D5794" t="str">
            <v>56-81-5</v>
          </cell>
          <cell r="E5794">
            <v>56815</v>
          </cell>
          <cell r="F5794">
            <v>716</v>
          </cell>
          <cell r="G5794" t="str">
            <v>Reach_30</v>
          </cell>
          <cell r="H5794">
            <v>5758</v>
          </cell>
          <cell r="J5794">
            <v>92.093999999999994</v>
          </cell>
          <cell r="K5794">
            <v>19.440000000000001</v>
          </cell>
          <cell r="L5794">
            <v>1.063734E-2</v>
          </cell>
          <cell r="M5794">
            <v>1000000</v>
          </cell>
          <cell r="N5794">
            <v>2.2387211385683389E-2</v>
          </cell>
          <cell r="O5794">
            <v>14.16</v>
          </cell>
          <cell r="Q5794">
            <v>14</v>
          </cell>
        </row>
        <row r="5795">
          <cell r="D5795" t="str">
            <v>66085-59-4</v>
          </cell>
          <cell r="E5795">
            <v>66085594</v>
          </cell>
          <cell r="F5795">
            <v>5067</v>
          </cell>
          <cell r="G5795" t="str">
            <v>PharmaBeta_551</v>
          </cell>
          <cell r="H5795">
            <v>5759</v>
          </cell>
          <cell r="J5795">
            <v>162.24</v>
          </cell>
          <cell r="K5795">
            <v>57.34</v>
          </cell>
          <cell r="L5795">
            <v>4.2656000000000001</v>
          </cell>
          <cell r="M5795">
            <v>911000</v>
          </cell>
          <cell r="N5795">
            <v>10</v>
          </cell>
          <cell r="P5795">
            <v>5.7</v>
          </cell>
          <cell r="Q5795">
            <v>8.3000000000000007</v>
          </cell>
        </row>
        <row r="5796">
          <cell r="D5796" t="str">
            <v>1397-89-3</v>
          </cell>
          <cell r="E5796">
            <v>1397893</v>
          </cell>
          <cell r="F5796">
            <v>1923</v>
          </cell>
          <cell r="G5796" t="str">
            <v>PharmaBeta_688</v>
          </cell>
          <cell r="H5796">
            <v>5760</v>
          </cell>
          <cell r="J5796">
            <v>474.59</v>
          </cell>
          <cell r="K5796">
            <v>327.37</v>
          </cell>
          <cell r="L5796">
            <v>4.9854200000000005E-16</v>
          </cell>
          <cell r="M5796">
            <v>16.631</v>
          </cell>
          <cell r="N5796">
            <v>295.12092266663893</v>
          </cell>
          <cell r="O5796">
            <v>7.43</v>
          </cell>
          <cell r="P5796">
            <v>7.56</v>
          </cell>
          <cell r="Q5796">
            <v>6.44</v>
          </cell>
        </row>
        <row r="5797">
          <cell r="D5797" t="str">
            <v>163222-33-1</v>
          </cell>
          <cell r="E5797">
            <v>163222331</v>
          </cell>
          <cell r="F5797">
            <v>2088</v>
          </cell>
          <cell r="G5797" t="str">
            <v>PharmaBeta_237</v>
          </cell>
          <cell r="H5797">
            <v>5761</v>
          </cell>
          <cell r="J5797">
            <v>409.43</v>
          </cell>
          <cell r="K5797">
            <v>239.62</v>
          </cell>
          <cell r="L5797">
            <v>1.95951E-12</v>
          </cell>
          <cell r="M5797">
            <v>1.3228</v>
          </cell>
          <cell r="N5797">
            <v>8709.6358995608189</v>
          </cell>
          <cell r="O5797">
            <v>10</v>
          </cell>
          <cell r="P5797">
            <v>13.38</v>
          </cell>
          <cell r="Q5797">
            <v>0.61999999999999922</v>
          </cell>
        </row>
        <row r="5798">
          <cell r="D5798" t="str">
            <v>93957-54-1</v>
          </cell>
          <cell r="E5798">
            <v>93957541</v>
          </cell>
          <cell r="F5798">
            <v>4094</v>
          </cell>
          <cell r="G5798" t="str">
            <v>PharmaBeta_272</v>
          </cell>
          <cell r="H5798">
            <v>5762</v>
          </cell>
          <cell r="J5798">
            <v>411.47</v>
          </cell>
          <cell r="K5798">
            <v>255.82</v>
          </cell>
          <cell r="L5798">
            <v>2.5460300000000002E-14</v>
          </cell>
          <cell r="M5798">
            <v>0.72728999999999999</v>
          </cell>
          <cell r="N5798">
            <v>70794.578438413781</v>
          </cell>
          <cell r="O5798">
            <v>4.34</v>
          </cell>
          <cell r="Q5798">
            <v>4.34</v>
          </cell>
        </row>
        <row r="5799">
          <cell r="D5799" t="str">
            <v>1716-12-7</v>
          </cell>
          <cell r="E5799">
            <v>1716127</v>
          </cell>
          <cell r="F5799">
            <v>6294</v>
          </cell>
          <cell r="G5799" t="str">
            <v>PharmaBeta_533</v>
          </cell>
          <cell r="H5799">
            <v>5763</v>
          </cell>
          <cell r="J5799">
            <v>215.11</v>
          </cell>
          <cell r="Q5799">
            <v>14</v>
          </cell>
        </row>
        <row r="5800">
          <cell r="D5800" t="str">
            <v>102625-70-7</v>
          </cell>
          <cell r="E5800">
            <v>102625707</v>
          </cell>
          <cell r="F5800">
            <v>1349</v>
          </cell>
          <cell r="G5800" t="str">
            <v>PharmaBeta_592</v>
          </cell>
          <cell r="H5800">
            <v>5764</v>
          </cell>
          <cell r="J5800">
            <v>383.38</v>
          </cell>
          <cell r="K5800">
            <v>253.26</v>
          </cell>
          <cell r="L5800">
            <v>1.6395900000000002E-13</v>
          </cell>
          <cell r="M5800">
            <v>8.7929999999999993</v>
          </cell>
          <cell r="N5800">
            <v>144.54397707459285</v>
          </cell>
          <cell r="O5800">
            <v>8.4499999999999993</v>
          </cell>
          <cell r="P5800">
            <v>10.130000000000001</v>
          </cell>
          <cell r="Q5800">
            <v>3.8699999999999992</v>
          </cell>
        </row>
        <row r="5801">
          <cell r="D5801" t="str">
            <v>74191-85-8</v>
          </cell>
          <cell r="E5801">
            <v>74191858</v>
          </cell>
          <cell r="F5801">
            <v>3633</v>
          </cell>
          <cell r="G5801" t="str">
            <v>PharmaBeta_187</v>
          </cell>
          <cell r="H5801">
            <v>5765</v>
          </cell>
          <cell r="J5801">
            <v>451.49</v>
          </cell>
          <cell r="K5801">
            <v>274.63</v>
          </cell>
          <cell r="L5801">
            <v>2.4127300000000004E-12</v>
          </cell>
          <cell r="M5801">
            <v>2.8266</v>
          </cell>
          <cell r="N5801">
            <v>123.02687708123821</v>
          </cell>
          <cell r="P5801">
            <v>6.58</v>
          </cell>
          <cell r="Q5801">
            <v>7.42</v>
          </cell>
        </row>
        <row r="5802">
          <cell r="D5802" t="str">
            <v>57-83-0</v>
          </cell>
          <cell r="E5802">
            <v>57830</v>
          </cell>
          <cell r="F5802">
            <v>65</v>
          </cell>
          <cell r="G5802" t="str">
            <v>Reach_43</v>
          </cell>
          <cell r="H5802">
            <v>5766</v>
          </cell>
          <cell r="J5802">
            <v>314.47000000000003</v>
          </cell>
          <cell r="K5802">
            <v>149.77000000000001</v>
          </cell>
          <cell r="L5802">
            <v>3.5857700000000006E-4</v>
          </cell>
          <cell r="M5802">
            <v>39.99</v>
          </cell>
          <cell r="N5802">
            <v>4677.3514128719844</v>
          </cell>
          <cell r="Q5802">
            <v>14</v>
          </cell>
        </row>
        <row r="5803">
          <cell r="D5803" t="str">
            <v>585-86-4</v>
          </cell>
          <cell r="E5803">
            <v>585864</v>
          </cell>
          <cell r="F5803">
            <v>4999</v>
          </cell>
          <cell r="G5803" t="str">
            <v>PharmaBeta_425</v>
          </cell>
          <cell r="H5803">
            <v>5767</v>
          </cell>
          <cell r="J5803">
            <v>250.3</v>
          </cell>
          <cell r="K5803">
            <v>196.37</v>
          </cell>
          <cell r="L5803">
            <v>4.2922600000000003E-7</v>
          </cell>
          <cell r="M5803">
            <v>940.46</v>
          </cell>
          <cell r="N5803">
            <v>0.69183097091893653</v>
          </cell>
          <cell r="O5803">
            <v>12.08</v>
          </cell>
          <cell r="Q5803">
            <v>12.08</v>
          </cell>
        </row>
        <row r="5804">
          <cell r="D5804" t="str">
            <v>4928-02-3</v>
          </cell>
          <cell r="E5804">
            <v>4928023</v>
          </cell>
          <cell r="F5804">
            <v>5213</v>
          </cell>
          <cell r="G5804" t="str">
            <v>PharmaUBA</v>
          </cell>
          <cell r="H5804">
            <v>5768</v>
          </cell>
          <cell r="J5804">
            <v>386.53</v>
          </cell>
          <cell r="K5804">
            <v>188.16</v>
          </cell>
          <cell r="L5804">
            <v>8.9311000000000003E-7</v>
          </cell>
          <cell r="M5804">
            <v>2.8100999999999998</v>
          </cell>
          <cell r="N5804">
            <v>12302.687708123816</v>
          </cell>
          <cell r="Q5804">
            <v>14</v>
          </cell>
        </row>
        <row r="5805">
          <cell r="D5805" t="str">
            <v>60-87-7</v>
          </cell>
          <cell r="E5805">
            <v>60877</v>
          </cell>
          <cell r="F5805">
            <v>5422</v>
          </cell>
          <cell r="G5805" t="str">
            <v>PharmaUBA</v>
          </cell>
          <cell r="H5805">
            <v>5769</v>
          </cell>
          <cell r="J5805">
            <v>284.43</v>
          </cell>
          <cell r="K5805">
            <v>143.63999999999999</v>
          </cell>
          <cell r="L5805">
            <v>1.3729900000000001E-3</v>
          </cell>
          <cell r="M5805">
            <v>73.555999999999997</v>
          </cell>
          <cell r="N5805">
            <v>30902.954325135954</v>
          </cell>
          <cell r="P5805">
            <v>5.2</v>
          </cell>
          <cell r="Q5805">
            <v>8.8000000000000007</v>
          </cell>
        </row>
        <row r="5806">
          <cell r="D5806" t="str">
            <v>128196-01-0</v>
          </cell>
          <cell r="E5806">
            <v>128196010</v>
          </cell>
          <cell r="F5806">
            <v>1817</v>
          </cell>
          <cell r="G5806" t="str">
            <v>PharmaBeta_219</v>
          </cell>
          <cell r="H5806">
            <v>5770</v>
          </cell>
          <cell r="J5806">
            <v>324.39999999999998</v>
          </cell>
          <cell r="K5806">
            <v>164.03</v>
          </cell>
          <cell r="L5806">
            <v>1.5062900000000003E-5</v>
          </cell>
          <cell r="M5806">
            <v>15.346</v>
          </cell>
          <cell r="N5806">
            <v>5495.4087385762541</v>
          </cell>
          <cell r="P5806">
            <v>4.6500000000000004</v>
          </cell>
          <cell r="Q5806">
            <v>9.35</v>
          </cell>
        </row>
        <row r="5807">
          <cell r="D5807" t="str">
            <v>6493-05-6</v>
          </cell>
          <cell r="E5807">
            <v>6493056</v>
          </cell>
          <cell r="F5807">
            <v>5409</v>
          </cell>
          <cell r="G5807" t="str">
            <v>PharmaUBA</v>
          </cell>
          <cell r="H5807">
            <v>5771</v>
          </cell>
          <cell r="J5807">
            <v>278.32</v>
          </cell>
          <cell r="K5807">
            <v>217.99</v>
          </cell>
          <cell r="L5807">
            <v>1.62626E-8</v>
          </cell>
          <cell r="M5807">
            <v>24793</v>
          </cell>
          <cell r="N5807">
            <v>3.630780547701014</v>
          </cell>
          <cell r="Q5807">
            <v>14</v>
          </cell>
        </row>
        <row r="5808">
          <cell r="D5808" t="str">
            <v>70458-96-7</v>
          </cell>
          <cell r="E5808">
            <v>70458967</v>
          </cell>
          <cell r="F5808">
            <v>812</v>
          </cell>
          <cell r="G5808" t="str">
            <v>PharmaBeta_562</v>
          </cell>
          <cell r="H5808">
            <v>5772</v>
          </cell>
          <cell r="J5808">
            <v>319.33999999999997</v>
          </cell>
          <cell r="K5808">
            <v>314.68</v>
          </cell>
          <cell r="L5808">
            <v>1.1077230000000001E-9</v>
          </cell>
          <cell r="M5808">
            <v>540.05999999999995</v>
          </cell>
          <cell r="N5808">
            <v>0.48977881936844614</v>
          </cell>
          <cell r="O5808">
            <v>6.15</v>
          </cell>
          <cell r="P5808">
            <v>5</v>
          </cell>
          <cell r="Q5808">
            <v>6.15</v>
          </cell>
        </row>
        <row r="5809">
          <cell r="D5809" t="str">
            <v>58-25-3</v>
          </cell>
          <cell r="E5809">
            <v>58253</v>
          </cell>
          <cell r="F5809">
            <v>1127</v>
          </cell>
          <cell r="G5809" t="str">
            <v>PharmaUBA</v>
          </cell>
          <cell r="H5809">
            <v>5773</v>
          </cell>
          <cell r="J5809">
            <v>299.76</v>
          </cell>
          <cell r="K5809">
            <v>234.12</v>
          </cell>
          <cell r="L5809">
            <v>1.2903440000000002E-9</v>
          </cell>
          <cell r="M5809">
            <v>153000</v>
          </cell>
          <cell r="N5809">
            <v>263.02679918953817</v>
          </cell>
          <cell r="P5809">
            <v>9</v>
          </cell>
          <cell r="Q5809">
            <v>5</v>
          </cell>
        </row>
        <row r="5810">
          <cell r="D5810" t="str">
            <v>82834-16-0</v>
          </cell>
          <cell r="E5810">
            <v>82834160</v>
          </cell>
          <cell r="F5810">
            <v>5090</v>
          </cell>
          <cell r="G5810" t="str">
            <v>PharmaBeta_604</v>
          </cell>
          <cell r="H5810">
            <v>5774</v>
          </cell>
          <cell r="J5810">
            <v>368.48</v>
          </cell>
          <cell r="K5810">
            <v>309.8</v>
          </cell>
          <cell r="L5810">
            <v>7.4914600000000001E-10</v>
          </cell>
          <cell r="M5810">
            <v>8.3054000000000006</v>
          </cell>
          <cell r="N5810">
            <v>389.04514499428063</v>
          </cell>
          <cell r="O5810">
            <v>3.07</v>
          </cell>
          <cell r="P5810">
            <v>8.2799999999999994</v>
          </cell>
          <cell r="Q5810">
            <v>3.07</v>
          </cell>
        </row>
        <row r="5811">
          <cell r="D5811" t="str">
            <v>5633-20-5</v>
          </cell>
          <cell r="E5811">
            <v>5633205</v>
          </cell>
          <cell r="F5811">
            <v>3190</v>
          </cell>
          <cell r="G5811" t="str">
            <v>PharmaBeta_585</v>
          </cell>
          <cell r="H5811">
            <v>5775</v>
          </cell>
          <cell r="J5811">
            <v>357.5</v>
          </cell>
          <cell r="K5811">
            <v>185.84</v>
          </cell>
          <cell r="L5811">
            <v>2.2527700000000002E-8</v>
          </cell>
          <cell r="M5811">
            <v>13.884</v>
          </cell>
          <cell r="N5811">
            <v>9120.1083935591087</v>
          </cell>
          <cell r="O5811">
            <v>11.5</v>
          </cell>
          <cell r="P5811">
            <v>5.74</v>
          </cell>
          <cell r="Q5811">
            <v>8.26</v>
          </cell>
        </row>
        <row r="5812">
          <cell r="D5812" t="str">
            <v>60-99-1</v>
          </cell>
          <cell r="E5812">
            <v>60991</v>
          </cell>
          <cell r="F5812">
            <v>3322</v>
          </cell>
          <cell r="G5812" t="str">
            <v>PharmaBeta_447</v>
          </cell>
          <cell r="H5812">
            <v>5776</v>
          </cell>
          <cell r="J5812">
            <v>328.48</v>
          </cell>
          <cell r="K5812">
            <v>171.57</v>
          </cell>
          <cell r="L5812">
            <v>1.2263600000000002E-5</v>
          </cell>
          <cell r="M5812">
            <v>7.3933999999999997</v>
          </cell>
          <cell r="N5812">
            <v>114815.36214968823</v>
          </cell>
          <cell r="P5812">
            <v>4.8099999999999996</v>
          </cell>
          <cell r="Q5812">
            <v>9.1900000000000013</v>
          </cell>
        </row>
        <row r="5813">
          <cell r="D5813" t="str">
            <v>68693-11-8</v>
          </cell>
          <cell r="E5813">
            <v>68693118</v>
          </cell>
          <cell r="F5813">
            <v>3525</v>
          </cell>
          <cell r="G5813" t="str">
            <v>PharmaBeta_514</v>
          </cell>
          <cell r="H5813">
            <v>5777</v>
          </cell>
          <cell r="J5813">
            <v>273.36</v>
          </cell>
          <cell r="K5813">
            <v>202.27</v>
          </cell>
          <cell r="L5813">
            <v>1.0050820000000002E-9</v>
          </cell>
          <cell r="M5813">
            <v>97.418000000000006</v>
          </cell>
          <cell r="N5813">
            <v>275.42287033381683</v>
          </cell>
          <cell r="O5813">
            <v>12.48</v>
          </cell>
          <cell r="Q5813">
            <v>12.48</v>
          </cell>
        </row>
        <row r="5814">
          <cell r="D5814" t="str">
            <v>129618-40-2</v>
          </cell>
          <cell r="E5814">
            <v>129618402</v>
          </cell>
          <cell r="F5814">
            <v>1829</v>
          </cell>
          <cell r="G5814" t="str">
            <v>PharmaBeta_548</v>
          </cell>
          <cell r="H5814">
            <v>5778</v>
          </cell>
          <cell r="J5814">
            <v>266.31</v>
          </cell>
          <cell r="K5814">
            <v>196.06</v>
          </cell>
          <cell r="L5814">
            <v>4.5055400000000003E-7</v>
          </cell>
          <cell r="M5814">
            <v>22.727</v>
          </cell>
          <cell r="N5814">
            <v>7762.4711662869322</v>
          </cell>
          <cell r="O5814">
            <v>14.8</v>
          </cell>
          <cell r="P5814">
            <v>10</v>
          </cell>
          <cell r="Q5814">
            <v>4</v>
          </cell>
        </row>
        <row r="5815">
          <cell r="D5815" t="str">
            <v>19982-08-2</v>
          </cell>
          <cell r="E5815">
            <v>19982082</v>
          </cell>
          <cell r="F5815">
            <v>2246</v>
          </cell>
          <cell r="G5815" t="str">
            <v>PharmaBeta_480</v>
          </cell>
          <cell r="H5815">
            <v>5779</v>
          </cell>
          <cell r="J5815">
            <v>179.31</v>
          </cell>
          <cell r="K5815">
            <v>54.56</v>
          </cell>
          <cell r="L5815">
            <v>2.5327000000000002E-2</v>
          </cell>
          <cell r="M5815">
            <v>21.135000000000002</v>
          </cell>
          <cell r="N5815">
            <v>2187.7616239495528</v>
          </cell>
          <cell r="P5815">
            <v>3.5</v>
          </cell>
          <cell r="Q5815">
            <v>10.5</v>
          </cell>
        </row>
        <row r="5816">
          <cell r="D5816" t="str">
            <v>5786-251-0</v>
          </cell>
          <cell r="E5816">
            <v>57862510</v>
          </cell>
          <cell r="F5816" t="str">
            <v>-</v>
          </cell>
          <cell r="G5816" t="str">
            <v>-</v>
          </cell>
          <cell r="H5816">
            <v>5780</v>
          </cell>
          <cell r="Q5816">
            <v>14</v>
          </cell>
        </row>
        <row r="5817">
          <cell r="D5817" t="str">
            <v>82419-36-1</v>
          </cell>
          <cell r="E5817">
            <v>82419361</v>
          </cell>
          <cell r="F5817">
            <v>945</v>
          </cell>
          <cell r="G5817" t="str">
            <v>PharmaBeta_568</v>
          </cell>
          <cell r="H5817">
            <v>5781</v>
          </cell>
          <cell r="J5817">
            <v>361.38</v>
          </cell>
          <cell r="K5817">
            <v>318.07</v>
          </cell>
          <cell r="L5817">
            <v>1.3116720000000001E-10</v>
          </cell>
          <cell r="M5817">
            <v>63.164999999999999</v>
          </cell>
          <cell r="N5817">
            <v>0.63095734448019325</v>
          </cell>
          <cell r="O5817">
            <v>6.08</v>
          </cell>
          <cell r="P5817">
            <v>6</v>
          </cell>
          <cell r="Q5817">
            <v>6.08</v>
          </cell>
        </row>
        <row r="5818">
          <cell r="D5818" t="str">
            <v>64-73-3</v>
          </cell>
          <cell r="E5818">
            <v>64733</v>
          </cell>
          <cell r="F5818">
            <v>5969</v>
          </cell>
          <cell r="G5818" t="str">
            <v>Reach_74</v>
          </cell>
          <cell r="H5818">
            <v>5782</v>
          </cell>
          <cell r="J5818">
            <v>501.32</v>
          </cell>
          <cell r="Q5818">
            <v>14</v>
          </cell>
        </row>
        <row r="5819">
          <cell r="D5819" t="str">
            <v>7491-74-9</v>
          </cell>
          <cell r="E5819">
            <v>7491749</v>
          </cell>
          <cell r="F5819">
            <v>3651</v>
          </cell>
          <cell r="G5819" t="str">
            <v>PharmaBeta_612</v>
          </cell>
          <cell r="H5819">
            <v>5783</v>
          </cell>
          <cell r="J5819">
            <v>142.16</v>
          </cell>
          <cell r="K5819">
            <v>131.72</v>
          </cell>
          <cell r="L5819">
            <v>8.5445300000000003E-4</v>
          </cell>
          <cell r="M5819">
            <v>917000</v>
          </cell>
          <cell r="N5819">
            <v>3.9810717055349727E-2</v>
          </cell>
          <cell r="O5819">
            <v>13.58</v>
          </cell>
          <cell r="P5819">
            <v>15.34</v>
          </cell>
          <cell r="Q5819">
            <v>-1.3399999999999999</v>
          </cell>
        </row>
        <row r="5820">
          <cell r="D5820" t="str">
            <v>105816-04-4</v>
          </cell>
          <cell r="E5820">
            <v>105816044</v>
          </cell>
          <cell r="F5820">
            <v>5060</v>
          </cell>
          <cell r="G5820" t="str">
            <v>PharmaBeta_531</v>
          </cell>
          <cell r="H5820">
            <v>5784</v>
          </cell>
          <cell r="J5820">
            <v>317.43</v>
          </cell>
          <cell r="K5820">
            <v>208.97</v>
          </cell>
          <cell r="L5820">
            <v>6.4250600000000002E-8</v>
          </cell>
          <cell r="M5820">
            <v>0.22578999999999999</v>
          </cell>
          <cell r="N5820">
            <v>50118.723362727294</v>
          </cell>
          <cell r="O5820">
            <v>3.29</v>
          </cell>
          <cell r="Q5820">
            <v>3.29</v>
          </cell>
        </row>
        <row r="5821">
          <cell r="D5821" t="str">
            <v>154323-57-6</v>
          </cell>
          <cell r="E5821">
            <v>154323576</v>
          </cell>
          <cell r="F5821">
            <v>4834</v>
          </cell>
          <cell r="G5821" t="str">
            <v>PharmaBeta_23</v>
          </cell>
          <cell r="H5821">
            <v>5785</v>
          </cell>
          <cell r="J5821">
            <v>551.77</v>
          </cell>
          <cell r="K5821">
            <v>312.62</v>
          </cell>
          <cell r="L5821">
            <v>2.5726900000000001E-18</v>
          </cell>
          <cell r="M5821">
            <v>0.51724000000000003</v>
          </cell>
          <cell r="N5821">
            <v>575.43993733715706</v>
          </cell>
          <cell r="O5821">
            <v>13.77</v>
          </cell>
          <cell r="P5821">
            <v>4.6900000000000004</v>
          </cell>
          <cell r="Q5821">
            <v>9.3099999999999987</v>
          </cell>
        </row>
        <row r="5822">
          <cell r="D5822" t="str">
            <v>123-99-9</v>
          </cell>
          <cell r="E5822">
            <v>123999</v>
          </cell>
          <cell r="F5822">
            <v>1782</v>
          </cell>
          <cell r="G5822" t="str">
            <v>Reach_1064</v>
          </cell>
          <cell r="H5822">
            <v>5786</v>
          </cell>
          <cell r="J5822">
            <v>188.22</v>
          </cell>
          <cell r="K5822">
            <v>127.15</v>
          </cell>
          <cell r="L5822">
            <v>3.0525700000000005E-3</v>
          </cell>
          <cell r="M5822">
            <v>3753</v>
          </cell>
          <cell r="N5822">
            <v>50.118723362727238</v>
          </cell>
          <cell r="O5822">
            <v>4.59</v>
          </cell>
          <cell r="Q5822">
            <v>4.59</v>
          </cell>
        </row>
        <row r="5823">
          <cell r="D5823" t="str">
            <v>132539-06-1</v>
          </cell>
          <cell r="E5823">
            <v>132539061</v>
          </cell>
          <cell r="F5823">
            <v>1859</v>
          </cell>
          <cell r="G5823" t="str">
            <v>PharmaBeta_570</v>
          </cell>
          <cell r="H5823">
            <v>5787</v>
          </cell>
          <cell r="J5823">
            <v>312.44</v>
          </cell>
          <cell r="K5823">
            <v>188.52</v>
          </cell>
          <cell r="L5823">
            <v>1.3863200000000001E-6</v>
          </cell>
          <cell r="M5823">
            <v>13.492000000000001</v>
          </cell>
          <cell r="N5823">
            <v>363.07805477010152</v>
          </cell>
          <cell r="P5823">
            <v>6.2</v>
          </cell>
          <cell r="Q5823">
            <v>7.8</v>
          </cell>
        </row>
        <row r="5824">
          <cell r="D5824" t="str">
            <v>79794-75-5</v>
          </cell>
          <cell r="E5824">
            <v>79794755</v>
          </cell>
          <cell r="F5824">
            <v>3782</v>
          </cell>
          <cell r="G5824" t="str">
            <v>PharmaBeta_448</v>
          </cell>
          <cell r="H5824">
            <v>5788</v>
          </cell>
          <cell r="J5824">
            <v>312.45</v>
          </cell>
          <cell r="K5824">
            <v>168.68</v>
          </cell>
          <cell r="L5824">
            <v>1.3330000000000001E-7</v>
          </cell>
          <cell r="M5824">
            <v>1.3572</v>
          </cell>
          <cell r="N5824">
            <v>3019.9517204020176</v>
          </cell>
          <cell r="O5824">
            <v>13.59</v>
          </cell>
          <cell r="Q5824">
            <v>13.59</v>
          </cell>
        </row>
        <row r="5825">
          <cell r="D5825" t="str">
            <v>226256-56-0</v>
          </cell>
          <cell r="E5825">
            <v>226256560</v>
          </cell>
          <cell r="F5825">
            <v>4876</v>
          </cell>
          <cell r="G5825" t="str">
            <v>PharmaBeta_132</v>
          </cell>
          <cell r="H5825">
            <v>5789</v>
          </cell>
          <cell r="J5825">
            <v>357.42</v>
          </cell>
          <cell r="K5825">
            <v>151.91</v>
          </cell>
          <cell r="L5825">
            <v>2.09281E-5</v>
          </cell>
          <cell r="M5825">
            <v>0.56716999999999995</v>
          </cell>
          <cell r="N5825">
            <v>6025595.8607435944</v>
          </cell>
          <cell r="P5825">
            <v>4.54</v>
          </cell>
          <cell r="Q5825">
            <v>9.4600000000000009</v>
          </cell>
        </row>
        <row r="5826">
          <cell r="D5826" t="str">
            <v>23155-02-4</v>
          </cell>
          <cell r="E5826">
            <v>23155024</v>
          </cell>
          <cell r="F5826">
            <v>5319</v>
          </cell>
          <cell r="G5826" t="str">
            <v>PharmaUBA</v>
          </cell>
          <cell r="H5826">
            <v>5790</v>
          </cell>
          <cell r="J5826">
            <v>244.26</v>
          </cell>
          <cell r="K5826">
            <v>133.91</v>
          </cell>
          <cell r="L5826">
            <v>4.7454800000000004E-4</v>
          </cell>
          <cell r="M5826">
            <v>7.9995000000000003</v>
          </cell>
          <cell r="N5826">
            <v>6456.5422903465615</v>
          </cell>
          <cell r="O5826">
            <v>4.13</v>
          </cell>
          <cell r="Q5826">
            <v>4.13</v>
          </cell>
        </row>
        <row r="5827">
          <cell r="D5827" t="str">
            <v>68-35-9</v>
          </cell>
          <cell r="E5827">
            <v>68359</v>
          </cell>
          <cell r="F5827">
            <v>1165</v>
          </cell>
          <cell r="G5827" t="str">
            <v>PharmaUBA</v>
          </cell>
          <cell r="H5827">
            <v>5791</v>
          </cell>
          <cell r="J5827">
            <v>250.28</v>
          </cell>
          <cell r="K5827">
            <v>178.96</v>
          </cell>
          <cell r="L5827">
            <v>7.0115799999999996E-7</v>
          </cell>
          <cell r="M5827">
            <v>1203.0999999999999</v>
          </cell>
          <cell r="N5827">
            <v>0.45708818961487502</v>
          </cell>
          <cell r="O5827">
            <v>6.48</v>
          </cell>
          <cell r="P5827">
            <v>12</v>
          </cell>
          <cell r="Q5827">
            <v>2</v>
          </cell>
        </row>
        <row r="5828">
          <cell r="D5828" t="str">
            <v>33817-20-8</v>
          </cell>
          <cell r="E5828">
            <v>33817208</v>
          </cell>
          <cell r="F5828">
            <v>5417</v>
          </cell>
          <cell r="G5828" t="str">
            <v>PharmaUBA</v>
          </cell>
          <cell r="H5828">
            <v>5792</v>
          </cell>
          <cell r="J5828">
            <v>331.35</v>
          </cell>
          <cell r="K5828">
            <v>245.93</v>
          </cell>
          <cell r="L5828">
            <v>2.3327500000000005E-12</v>
          </cell>
          <cell r="M5828">
            <v>12.641999999999999</v>
          </cell>
          <cell r="N5828">
            <v>380.18939632056163</v>
          </cell>
          <cell r="O5828">
            <v>5.5</v>
          </cell>
          <cell r="P5828">
            <v>11.6</v>
          </cell>
          <cell r="Q5828">
            <v>2.4000000000000004</v>
          </cell>
        </row>
        <row r="5829">
          <cell r="D5829" t="str">
            <v>38821-53-3</v>
          </cell>
          <cell r="E5829">
            <v>38821533</v>
          </cell>
          <cell r="F5829">
            <v>5252</v>
          </cell>
          <cell r="G5829" t="str">
            <v>PharmaUBA</v>
          </cell>
          <cell r="H5829">
            <v>5793</v>
          </cell>
          <cell r="J5829">
            <v>349.41</v>
          </cell>
          <cell r="K5829">
            <v>326.24</v>
          </cell>
          <cell r="L5829">
            <v>9.7842200000000011E-11</v>
          </cell>
          <cell r="M5829">
            <v>2798</v>
          </cell>
          <cell r="N5829">
            <v>0.97723722095581067</v>
          </cell>
          <cell r="O5829">
            <v>2.76</v>
          </cell>
          <cell r="P5829">
            <v>5.61</v>
          </cell>
          <cell r="Q5829">
            <v>2.76</v>
          </cell>
        </row>
        <row r="5830">
          <cell r="D5830" t="str">
            <v>53772-83-1</v>
          </cell>
          <cell r="E5830">
            <v>53772831</v>
          </cell>
          <cell r="F5830">
            <v>3109</v>
          </cell>
          <cell r="G5830" t="str">
            <v>PharmaBeta_804</v>
          </cell>
          <cell r="H5830">
            <v>5794</v>
          </cell>
          <cell r="J5830">
            <v>400.97</v>
          </cell>
          <cell r="K5830">
            <v>223.02</v>
          </cell>
          <cell r="L5830">
            <v>3.9190200000000002E-11</v>
          </cell>
          <cell r="M5830">
            <v>0.64056999999999997</v>
          </cell>
          <cell r="N5830">
            <v>5754.399373371567</v>
          </cell>
          <cell r="O5830">
            <v>14.89</v>
          </cell>
          <cell r="P5830">
            <v>6.29</v>
          </cell>
          <cell r="Q5830">
            <v>7.71</v>
          </cell>
        </row>
        <row r="5831">
          <cell r="D5831" t="str">
            <v>100643-71-8</v>
          </cell>
          <cell r="E5831">
            <v>100643718</v>
          </cell>
          <cell r="F5831">
            <v>1308</v>
          </cell>
          <cell r="G5831" t="str">
            <v>PharmaBeta_158</v>
          </cell>
          <cell r="H5831">
            <v>5795</v>
          </cell>
          <cell r="J5831">
            <v>310.83</v>
          </cell>
          <cell r="K5831">
            <v>180.51</v>
          </cell>
          <cell r="L5831">
            <v>4.5588600000000003E-6</v>
          </cell>
          <cell r="M5831">
            <v>2.3374000000000001</v>
          </cell>
          <cell r="N5831">
            <v>42657.951880159271</v>
          </cell>
          <cell r="P5831">
            <v>4.13</v>
          </cell>
          <cell r="Q5831">
            <v>9.870000000000001</v>
          </cell>
        </row>
        <row r="5832">
          <cell r="D5832" t="str">
            <v>396-01-1</v>
          </cell>
          <cell r="E5832">
            <v>396011</v>
          </cell>
          <cell r="F5832" t="str">
            <v>-</v>
          </cell>
          <cell r="G5832" t="str">
            <v>-</v>
          </cell>
          <cell r="H5832">
            <v>5796</v>
          </cell>
          <cell r="Q5832">
            <v>14</v>
          </cell>
        </row>
        <row r="5833">
          <cell r="D5833" t="str">
            <v>69-53-4</v>
          </cell>
          <cell r="E5833">
            <v>69534</v>
          </cell>
          <cell r="F5833">
            <v>808</v>
          </cell>
          <cell r="G5833" t="str">
            <v>Reach_94</v>
          </cell>
          <cell r="H5833">
            <v>5797</v>
          </cell>
          <cell r="J5833">
            <v>349.41</v>
          </cell>
          <cell r="K5833">
            <v>324.85000000000002</v>
          </cell>
          <cell r="L5833">
            <v>3.7857200000000005E-11</v>
          </cell>
          <cell r="M5833">
            <v>3536.7</v>
          </cell>
          <cell r="N5833">
            <v>28.183829312644548</v>
          </cell>
          <cell r="O5833">
            <v>2.35</v>
          </cell>
          <cell r="P5833">
            <v>7</v>
          </cell>
          <cell r="Q5833">
            <v>2.35</v>
          </cell>
        </row>
        <row r="5834">
          <cell r="D5834" t="str">
            <v>26807-65-8</v>
          </cell>
          <cell r="E5834">
            <v>26807658</v>
          </cell>
          <cell r="F5834">
            <v>5332</v>
          </cell>
          <cell r="G5834" t="str">
            <v>PharmaUBA</v>
          </cell>
          <cell r="H5834">
            <v>5798</v>
          </cell>
          <cell r="J5834">
            <v>365.84</v>
          </cell>
          <cell r="K5834">
            <v>240.86</v>
          </cell>
          <cell r="L5834">
            <v>4.1856200000000007E-9</v>
          </cell>
          <cell r="M5834">
            <v>72.637</v>
          </cell>
          <cell r="N5834">
            <v>457.0881896148756</v>
          </cell>
          <cell r="O5834">
            <v>9.6999999999999993</v>
          </cell>
          <cell r="Q5834">
            <v>9.6999999999999993</v>
          </cell>
        </row>
        <row r="5835">
          <cell r="D5835" t="str">
            <v>36791-04-5</v>
          </cell>
          <cell r="E5835">
            <v>36791045</v>
          </cell>
          <cell r="F5835">
            <v>2778</v>
          </cell>
          <cell r="G5835" t="str">
            <v>PharmaBeta_654</v>
          </cell>
          <cell r="H5835">
            <v>5799</v>
          </cell>
          <cell r="J5835">
            <v>244.21</v>
          </cell>
          <cell r="K5835">
            <v>207.53</v>
          </cell>
          <cell r="L5835">
            <v>6.7983000000000007E-11</v>
          </cell>
          <cell r="M5835">
            <v>302000</v>
          </cell>
          <cell r="N5835">
            <v>9.3325430079699099E-3</v>
          </cell>
          <cell r="O5835">
            <v>14.23</v>
          </cell>
          <cell r="P5835">
            <v>13.85</v>
          </cell>
          <cell r="Q5835">
            <v>0.15000000000000036</v>
          </cell>
        </row>
        <row r="5836">
          <cell r="D5836" t="str">
            <v>100986-85-4</v>
          </cell>
          <cell r="E5836">
            <v>100986854</v>
          </cell>
          <cell r="F5836">
            <v>139</v>
          </cell>
          <cell r="G5836" t="str">
            <v>PharmaBeta_445</v>
          </cell>
          <cell r="H5836">
            <v>5800</v>
          </cell>
          <cell r="J5836">
            <v>361.38</v>
          </cell>
          <cell r="K5836">
            <v>318.07</v>
          </cell>
          <cell r="L5836">
            <v>1.3116720000000001E-10</v>
          </cell>
          <cell r="M5836">
            <v>63.164999999999999</v>
          </cell>
          <cell r="N5836">
            <v>0.63095734448019325</v>
          </cell>
          <cell r="O5836">
            <v>6.08</v>
          </cell>
          <cell r="P5836">
            <v>6</v>
          </cell>
          <cell r="Q5836">
            <v>6.08</v>
          </cell>
        </row>
        <row r="5837">
          <cell r="D5837" t="str">
            <v>59-05-2</v>
          </cell>
          <cell r="E5837">
            <v>59052</v>
          </cell>
          <cell r="F5837">
            <v>732</v>
          </cell>
          <cell r="G5837" t="str">
            <v>PharmaBeta_492</v>
          </cell>
          <cell r="H5837">
            <v>5801</v>
          </cell>
          <cell r="J5837">
            <v>454.45</v>
          </cell>
          <cell r="K5837">
            <v>345.01</v>
          </cell>
          <cell r="L5837">
            <v>2.0128300000000004E-15</v>
          </cell>
          <cell r="M5837">
            <v>171.72</v>
          </cell>
          <cell r="N5837">
            <v>5.2480746024977244E-2</v>
          </cell>
          <cell r="O5837">
            <v>3.24</v>
          </cell>
          <cell r="P5837">
            <v>8</v>
          </cell>
          <cell r="Q5837">
            <v>3.24</v>
          </cell>
        </row>
        <row r="5838">
          <cell r="D5838" t="str">
            <v>51333-22-3</v>
          </cell>
          <cell r="E5838">
            <v>51333223</v>
          </cell>
          <cell r="F5838">
            <v>669</v>
          </cell>
          <cell r="G5838" t="str">
            <v>PharmaBeta_104</v>
          </cell>
          <cell r="H5838">
            <v>5802</v>
          </cell>
          <cell r="J5838">
            <v>430.54</v>
          </cell>
          <cell r="K5838">
            <v>234.03</v>
          </cell>
          <cell r="L5838">
            <v>1.53295E-12</v>
          </cell>
          <cell r="M5838">
            <v>2.1821999999999999</v>
          </cell>
          <cell r="N5838">
            <v>407.38027780411272</v>
          </cell>
          <cell r="O5838">
            <v>13.32</v>
          </cell>
          <cell r="Q5838">
            <v>13.32</v>
          </cell>
        </row>
        <row r="5839">
          <cell r="D5839" t="str">
            <v>13710-19-5</v>
          </cell>
          <cell r="E5839">
            <v>13710195</v>
          </cell>
          <cell r="F5839">
            <v>1177</v>
          </cell>
          <cell r="G5839" t="str">
            <v>PharmaUBA</v>
          </cell>
          <cell r="H5839">
            <v>5803</v>
          </cell>
          <cell r="J5839">
            <v>261.70999999999998</v>
          </cell>
          <cell r="K5839">
            <v>159.88</v>
          </cell>
          <cell r="L5839">
            <v>9.8375400000000014E-6</v>
          </cell>
          <cell r="M5839">
            <v>5.8391999999999999</v>
          </cell>
          <cell r="N5839">
            <v>239883.29190194907</v>
          </cell>
          <cell r="O5839">
            <v>4.22</v>
          </cell>
          <cell r="Q5839">
            <v>4.22</v>
          </cell>
        </row>
        <row r="5840">
          <cell r="D5840" t="str">
            <v>469-21-6</v>
          </cell>
          <cell r="E5840">
            <v>469216</v>
          </cell>
          <cell r="F5840">
            <v>5291</v>
          </cell>
          <cell r="G5840" t="str">
            <v>PharmaUBA</v>
          </cell>
          <cell r="H5840">
            <v>5804</v>
          </cell>
          <cell r="J5840">
            <v>279.38</v>
          </cell>
          <cell r="K5840">
            <v>133.30000000000001</v>
          </cell>
          <cell r="L5840">
            <v>2.5860200000000005E-3</v>
          </cell>
          <cell r="M5840">
            <v>6.1986999999999997</v>
          </cell>
          <cell r="N5840">
            <v>9772.3722095581161</v>
          </cell>
          <cell r="P5840">
            <v>5.2</v>
          </cell>
          <cell r="Q5840">
            <v>8.8000000000000007</v>
          </cell>
        </row>
        <row r="5841">
          <cell r="D5841" t="str">
            <v>69-72-7</v>
          </cell>
          <cell r="E5841">
            <v>69727</v>
          </cell>
          <cell r="F5841">
            <v>84</v>
          </cell>
          <cell r="G5841" t="str">
            <v>Reach_95</v>
          </cell>
          <cell r="H5841">
            <v>5805</v>
          </cell>
          <cell r="J5841">
            <v>138.12</v>
          </cell>
          <cell r="K5841">
            <v>93.83</v>
          </cell>
          <cell r="L5841">
            <v>4.2522700000000007E-3</v>
          </cell>
          <cell r="M5841">
            <v>5060</v>
          </cell>
          <cell r="N5841">
            <v>173.78008287493768</v>
          </cell>
          <cell r="O5841">
            <v>3</v>
          </cell>
          <cell r="Q5841">
            <v>3</v>
          </cell>
        </row>
        <row r="5842">
          <cell r="D5842" t="str">
            <v>29094-61-9</v>
          </cell>
          <cell r="E5842">
            <v>29094619</v>
          </cell>
          <cell r="F5842">
            <v>4968</v>
          </cell>
          <cell r="G5842" t="str">
            <v>PharmaBeta_303</v>
          </cell>
          <cell r="H5842">
            <v>5806</v>
          </cell>
          <cell r="J5842">
            <v>445.55</v>
          </cell>
          <cell r="K5842">
            <v>300.88</v>
          </cell>
          <cell r="L5842">
            <v>3.6390900000000005E-14</v>
          </cell>
          <cell r="M5842">
            <v>21.72</v>
          </cell>
          <cell r="N5842">
            <v>2238.7211385683418</v>
          </cell>
          <cell r="O5842">
            <v>5.2</v>
          </cell>
          <cell r="P5842">
            <v>13.49</v>
          </cell>
          <cell r="Q5842">
            <v>0.50999999999999979</v>
          </cell>
        </row>
        <row r="5843">
          <cell r="D5843" t="str">
            <v>51333-22-3</v>
          </cell>
          <cell r="E5843">
            <v>51333223</v>
          </cell>
          <cell r="F5843">
            <v>669</v>
          </cell>
          <cell r="G5843" t="str">
            <v>PharmaBeta_104</v>
          </cell>
          <cell r="H5843">
            <v>5807</v>
          </cell>
          <cell r="J5843">
            <v>430.54</v>
          </cell>
          <cell r="K5843">
            <v>234.03</v>
          </cell>
          <cell r="L5843">
            <v>1.53295E-12</v>
          </cell>
          <cell r="M5843">
            <v>2.1821999999999999</v>
          </cell>
          <cell r="N5843">
            <v>407.38027780411272</v>
          </cell>
          <cell r="O5843">
            <v>13.32</v>
          </cell>
          <cell r="Q5843">
            <v>13.32</v>
          </cell>
        </row>
        <row r="5844">
          <cell r="D5844" t="str">
            <v>532-32-1</v>
          </cell>
          <cell r="E5844">
            <v>532321</v>
          </cell>
          <cell r="F5844">
            <v>1218</v>
          </cell>
          <cell r="G5844" t="str">
            <v>Reach_1329</v>
          </cell>
          <cell r="H5844">
            <v>5808</v>
          </cell>
          <cell r="J5844">
            <v>144.11000000000001</v>
          </cell>
          <cell r="Q5844">
            <v>14</v>
          </cell>
        </row>
        <row r="5845">
          <cell r="D5845" t="str">
            <v>10238-21-8</v>
          </cell>
          <cell r="E5845">
            <v>10238218</v>
          </cell>
          <cell r="F5845">
            <v>152</v>
          </cell>
          <cell r="G5845" t="str">
            <v>PharmaBeta_301</v>
          </cell>
          <cell r="H5845">
            <v>5809</v>
          </cell>
          <cell r="J5845">
            <v>494.01</v>
          </cell>
          <cell r="K5845">
            <v>310.17</v>
          </cell>
          <cell r="L5845">
            <v>4.19895E-13</v>
          </cell>
          <cell r="M5845">
            <v>0.39734999999999998</v>
          </cell>
          <cell r="N5845">
            <v>61659.500186148245</v>
          </cell>
          <cell r="O5845">
            <v>5.2</v>
          </cell>
          <cell r="P5845">
            <v>15</v>
          </cell>
          <cell r="Q5845">
            <v>-1</v>
          </cell>
        </row>
        <row r="5846">
          <cell r="D5846" t="str">
            <v>114-49-8</v>
          </cell>
          <cell r="E5846">
            <v>114498</v>
          </cell>
          <cell r="F5846">
            <v>5612</v>
          </cell>
          <cell r="G5846" t="str">
            <v>Reach_934</v>
          </cell>
          <cell r="H5846">
            <v>5810</v>
          </cell>
          <cell r="J5846">
            <v>384.28</v>
          </cell>
          <cell r="Q5846">
            <v>14</v>
          </cell>
        </row>
        <row r="5847">
          <cell r="D5847" t="str">
            <v>89-78-1</v>
          </cell>
          <cell r="E5847">
            <v>89781</v>
          </cell>
          <cell r="F5847">
            <v>994</v>
          </cell>
          <cell r="G5847" t="str">
            <v>Reach_351</v>
          </cell>
          <cell r="H5847">
            <v>5811</v>
          </cell>
          <cell r="J5847">
            <v>156.27000000000001</v>
          </cell>
          <cell r="K5847">
            <v>-5.9</v>
          </cell>
          <cell r="L5847">
            <v>1.022411</v>
          </cell>
          <cell r="M5847">
            <v>938.09</v>
          </cell>
          <cell r="N5847">
            <v>2398.8329190194918</v>
          </cell>
          <cell r="O5847">
            <v>16</v>
          </cell>
          <cell r="Q5847">
            <v>14</v>
          </cell>
        </row>
        <row r="5848">
          <cell r="D5848" t="str">
            <v>19395-41-6</v>
          </cell>
          <cell r="E5848">
            <v>19395416</v>
          </cell>
          <cell r="F5848">
            <v>5429</v>
          </cell>
          <cell r="G5848" t="str">
            <v>PharmaUBA</v>
          </cell>
          <cell r="H5848">
            <v>5812</v>
          </cell>
          <cell r="J5848">
            <v>786.9</v>
          </cell>
          <cell r="K5848">
            <v>349.84</v>
          </cell>
          <cell r="L5848">
            <v>4.6121800000000008E-33</v>
          </cell>
          <cell r="M5848">
            <v>6.7299999999999999E-6</v>
          </cell>
          <cell r="N5848">
            <v>64565422.903465554</v>
          </cell>
          <cell r="O5848">
            <v>4.1500000000000004</v>
          </cell>
          <cell r="P5848">
            <v>11.5</v>
          </cell>
          <cell r="Q5848">
            <v>2.5</v>
          </cell>
        </row>
        <row r="5849">
          <cell r="D5849" t="str">
            <v>31431-39-7</v>
          </cell>
          <cell r="E5849">
            <v>31431397</v>
          </cell>
          <cell r="F5849">
            <v>599</v>
          </cell>
          <cell r="G5849" t="str">
            <v>PharmaBeta_470</v>
          </cell>
          <cell r="H5849">
            <v>5813</v>
          </cell>
          <cell r="J5849">
            <v>295.3</v>
          </cell>
          <cell r="K5849">
            <v>223.41</v>
          </cell>
          <cell r="L5849">
            <v>1.1250520000000002E-9</v>
          </cell>
          <cell r="M5849">
            <v>39.686</v>
          </cell>
          <cell r="N5849">
            <v>512.86138399136519</v>
          </cell>
          <cell r="O5849">
            <v>9.9700000000000006</v>
          </cell>
          <cell r="P5849">
            <v>10</v>
          </cell>
          <cell r="Q5849">
            <v>4</v>
          </cell>
        </row>
        <row r="5850">
          <cell r="D5850" t="str">
            <v>1404-04-2</v>
          </cell>
          <cell r="E5850">
            <v>1404042</v>
          </cell>
          <cell r="F5850">
            <v>1154</v>
          </cell>
          <cell r="G5850" t="str">
            <v>PharmaUBA</v>
          </cell>
          <cell r="H5850">
            <v>5814</v>
          </cell>
          <cell r="J5850">
            <v>309.41000000000003</v>
          </cell>
          <cell r="K5850">
            <v>181.29</v>
          </cell>
          <cell r="L5850">
            <v>1.3156710000000002E-8</v>
          </cell>
          <cell r="M5850">
            <v>1024.5999999999999</v>
          </cell>
          <cell r="N5850">
            <v>14.791083881682074</v>
          </cell>
          <cell r="O5850">
            <v>13.76</v>
          </cell>
          <cell r="P5850">
            <v>4</v>
          </cell>
          <cell r="Q5850">
            <v>10</v>
          </cell>
        </row>
        <row r="5851">
          <cell r="D5851" t="str">
            <v>76824-35-6</v>
          </cell>
          <cell r="E5851">
            <v>76824356</v>
          </cell>
          <cell r="F5851">
            <v>1100</v>
          </cell>
          <cell r="G5851" t="str">
            <v>PharmaBeta_239</v>
          </cell>
          <cell r="H5851">
            <v>5815</v>
          </cell>
          <cell r="J5851">
            <v>337.45</v>
          </cell>
          <cell r="K5851">
            <v>222.62</v>
          </cell>
          <cell r="L5851">
            <v>3.9323500000000008E-8</v>
          </cell>
          <cell r="M5851">
            <v>7385.2</v>
          </cell>
          <cell r="N5851">
            <v>0.22387211385683392</v>
          </cell>
          <cell r="O5851">
            <v>11.23</v>
          </cell>
          <cell r="P5851">
            <v>7</v>
          </cell>
          <cell r="Q5851">
            <v>7</v>
          </cell>
        </row>
        <row r="5852">
          <cell r="D5852" t="str">
            <v>24584-09-6</v>
          </cell>
          <cell r="E5852">
            <v>24584096</v>
          </cell>
          <cell r="F5852">
            <v>4891</v>
          </cell>
          <cell r="G5852" t="str">
            <v>PharmaBeta_163</v>
          </cell>
          <cell r="H5852">
            <v>5816</v>
          </cell>
          <cell r="J5852">
            <v>206.29</v>
          </cell>
          <cell r="K5852">
            <v>94.22</v>
          </cell>
          <cell r="L5852">
            <v>2.4793800000000001E-2</v>
          </cell>
          <cell r="M5852">
            <v>27.51</v>
          </cell>
          <cell r="N5852">
            <v>6165.9500186148289</v>
          </cell>
          <cell r="O5852">
            <v>4.3</v>
          </cell>
          <cell r="Q5852">
            <v>4.3</v>
          </cell>
        </row>
        <row r="5853">
          <cell r="D5853" t="str">
            <v>23210-56-2</v>
          </cell>
          <cell r="E5853">
            <v>23210562</v>
          </cell>
          <cell r="F5853">
            <v>1144</v>
          </cell>
          <cell r="G5853" t="str">
            <v>PharmaUBA</v>
          </cell>
          <cell r="H5853">
            <v>5817</v>
          </cell>
          <cell r="J5853">
            <v>352.77</v>
          </cell>
          <cell r="K5853">
            <v>189.08</v>
          </cell>
          <cell r="L5853">
            <v>5.5186200000000007E-7</v>
          </cell>
          <cell r="M5853">
            <v>84.563999999999993</v>
          </cell>
          <cell r="N5853">
            <v>83.176377110267126</v>
          </cell>
          <cell r="Q5853">
            <v>14</v>
          </cell>
        </row>
        <row r="5854">
          <cell r="D5854" t="str">
            <v>55268-75-2</v>
          </cell>
          <cell r="E5854">
            <v>55268752</v>
          </cell>
          <cell r="F5854">
            <v>3165</v>
          </cell>
          <cell r="G5854" t="str">
            <v>PharmaBeta_123</v>
          </cell>
          <cell r="H5854">
            <v>5818</v>
          </cell>
          <cell r="J5854">
            <v>424.39</v>
          </cell>
          <cell r="K5854">
            <v>289.39999999999998</v>
          </cell>
          <cell r="L5854">
            <v>2.2927600000000002E-13</v>
          </cell>
          <cell r="M5854">
            <v>6897.5</v>
          </cell>
          <cell r="N5854">
            <v>1.9498445997580454</v>
          </cell>
          <cell r="O5854">
            <v>2.86</v>
          </cell>
          <cell r="Q5854">
            <v>2.86</v>
          </cell>
        </row>
        <row r="5855">
          <cell r="D5855" t="str">
            <v>5575-21-3</v>
          </cell>
          <cell r="E5855">
            <v>5575213</v>
          </cell>
          <cell r="F5855">
            <v>5241</v>
          </cell>
          <cell r="G5855" t="str">
            <v>PharmaUBA</v>
          </cell>
          <cell r="H5855">
            <v>5819</v>
          </cell>
          <cell r="J5855">
            <v>367.81</v>
          </cell>
          <cell r="K5855">
            <v>327.66000000000003</v>
          </cell>
          <cell r="L5855">
            <v>2.9592600000000005E-13</v>
          </cell>
          <cell r="M5855">
            <v>2958.6</v>
          </cell>
          <cell r="N5855">
            <v>2.2387211385683394</v>
          </cell>
          <cell r="O5855">
            <v>1.64</v>
          </cell>
          <cell r="P5855">
            <v>6.66</v>
          </cell>
          <cell r="Q5855">
            <v>1.64</v>
          </cell>
        </row>
        <row r="5856">
          <cell r="D5856" t="str">
            <v>287714-41-4</v>
          </cell>
          <cell r="E5856">
            <v>287714414</v>
          </cell>
          <cell r="F5856">
            <v>5125</v>
          </cell>
          <cell r="G5856" t="str">
            <v>PharmaBeta_667</v>
          </cell>
          <cell r="H5856">
            <v>5820</v>
          </cell>
          <cell r="J5856">
            <v>260.38</v>
          </cell>
          <cell r="K5856">
            <v>174.58</v>
          </cell>
          <cell r="L5856">
            <v>8.3978999999999997E-6</v>
          </cell>
          <cell r="M5856">
            <v>142.66</v>
          </cell>
          <cell r="N5856">
            <v>1071.5193052376069</v>
          </cell>
          <cell r="O5856">
            <v>15.11</v>
          </cell>
          <cell r="P5856">
            <v>4.82</v>
          </cell>
          <cell r="Q5856">
            <v>9.18</v>
          </cell>
        </row>
        <row r="5857">
          <cell r="D5857" t="str">
            <v>89365-50-4</v>
          </cell>
          <cell r="E5857">
            <v>89365504</v>
          </cell>
          <cell r="F5857">
            <v>5128</v>
          </cell>
          <cell r="G5857" t="str">
            <v>PharmaBeta_673</v>
          </cell>
          <cell r="H5857">
            <v>5821</v>
          </cell>
          <cell r="J5857">
            <v>238.2</v>
          </cell>
          <cell r="K5857">
            <v>161.18</v>
          </cell>
          <cell r="L5857">
            <v>7.7847200000000016E-5</v>
          </cell>
          <cell r="M5857">
            <v>1756.7</v>
          </cell>
          <cell r="N5857">
            <v>28.840315031266066</v>
          </cell>
          <cell r="O5857">
            <v>14.72</v>
          </cell>
          <cell r="P5857">
            <v>13.4</v>
          </cell>
          <cell r="Q5857">
            <v>0.59999999999999964</v>
          </cell>
        </row>
        <row r="5858">
          <cell r="D5858" t="str">
            <v>106266-06-2</v>
          </cell>
          <cell r="E5858">
            <v>106266062</v>
          </cell>
          <cell r="F5858">
            <v>188</v>
          </cell>
          <cell r="G5858" t="str">
            <v>PharmaBeta_660</v>
          </cell>
          <cell r="H5858">
            <v>5822</v>
          </cell>
          <cell r="J5858">
            <v>410.5</v>
          </cell>
          <cell r="K5858">
            <v>235.93</v>
          </cell>
          <cell r="L5858">
            <v>6.1851200000000007E-9</v>
          </cell>
          <cell r="M5858">
            <v>0.83847000000000005</v>
          </cell>
          <cell r="N5858">
            <v>3090.295432513592</v>
          </cell>
          <cell r="P5858">
            <v>6</v>
          </cell>
          <cell r="Q5858">
            <v>8</v>
          </cell>
        </row>
        <row r="5859">
          <cell r="D5859" t="str">
            <v>18559-94-9</v>
          </cell>
          <cell r="E5859">
            <v>18559949</v>
          </cell>
          <cell r="F5859">
            <v>2198</v>
          </cell>
          <cell r="G5859" t="str">
            <v>Reach_2465</v>
          </cell>
          <cell r="H5859">
            <v>5823</v>
          </cell>
          <cell r="J5859">
            <v>239.32</v>
          </cell>
          <cell r="K5859">
            <v>145.79</v>
          </cell>
          <cell r="L5859">
            <v>1.1850370000000003E-6</v>
          </cell>
          <cell r="M5859">
            <v>15840</v>
          </cell>
          <cell r="N5859">
            <v>4.3651583224016601</v>
          </cell>
          <cell r="O5859">
            <v>10.07</v>
          </cell>
          <cell r="P5859">
            <v>5.0599999999999996</v>
          </cell>
          <cell r="Q5859">
            <v>8.9400000000000013</v>
          </cell>
        </row>
        <row r="5860">
          <cell r="D5860" t="str">
            <v>51-52-5</v>
          </cell>
          <cell r="E5860">
            <v>51525</v>
          </cell>
          <cell r="F5860">
            <v>5108</v>
          </cell>
          <cell r="G5860" t="str">
            <v>PharmaBeta_637</v>
          </cell>
          <cell r="H5860">
            <v>5824</v>
          </cell>
          <cell r="J5860">
            <v>170.24</v>
          </cell>
          <cell r="K5860">
            <v>164.77</v>
          </cell>
          <cell r="L5860">
            <v>9.2243599999999999E-6</v>
          </cell>
          <cell r="M5860">
            <v>959.82</v>
          </cell>
          <cell r="N5860">
            <v>9.5499258602143584</v>
          </cell>
          <cell r="O5860">
            <v>7.5</v>
          </cell>
          <cell r="Q5860">
            <v>7.5</v>
          </cell>
        </row>
        <row r="5861">
          <cell r="D5861" t="str">
            <v>104227-87-4</v>
          </cell>
          <cell r="E5861">
            <v>104227874</v>
          </cell>
          <cell r="F5861">
            <v>5306</v>
          </cell>
          <cell r="G5861" t="str">
            <v>PharmaUBA</v>
          </cell>
          <cell r="H5861">
            <v>5825</v>
          </cell>
          <cell r="J5861">
            <v>296.41000000000003</v>
          </cell>
          <cell r="K5861">
            <v>155.13</v>
          </cell>
          <cell r="L5861">
            <v>1.4796300000000001E-4</v>
          </cell>
          <cell r="M5861">
            <v>47.857999999999997</v>
          </cell>
          <cell r="N5861">
            <v>891.25093813374656</v>
          </cell>
          <cell r="Q5861">
            <v>14</v>
          </cell>
        </row>
        <row r="5862">
          <cell r="D5862" t="str">
            <v>67-73-2</v>
          </cell>
          <cell r="E5862">
            <v>67732</v>
          </cell>
          <cell r="F5862">
            <v>1142</v>
          </cell>
          <cell r="G5862" t="str">
            <v>PharmaUBA</v>
          </cell>
          <cell r="H5862">
            <v>5826</v>
          </cell>
          <cell r="J5862">
            <v>452.49</v>
          </cell>
          <cell r="K5862">
            <v>222.38</v>
          </cell>
          <cell r="L5862">
            <v>4.02566E-12</v>
          </cell>
          <cell r="M5862">
            <v>22.335000000000001</v>
          </cell>
          <cell r="N5862">
            <v>363.07805477010152</v>
          </cell>
          <cell r="O5862">
            <v>13.16</v>
          </cell>
          <cell r="Q5862">
            <v>13.16</v>
          </cell>
        </row>
        <row r="5863">
          <cell r="D5863" t="str">
            <v>471-34-1</v>
          </cell>
          <cell r="E5863">
            <v>471341</v>
          </cell>
          <cell r="F5863">
            <v>6276</v>
          </cell>
          <cell r="G5863" t="str">
            <v>PharmaBeta_365</v>
          </cell>
          <cell r="H5863">
            <v>5827</v>
          </cell>
          <cell r="J5863">
            <v>430.37</v>
          </cell>
          <cell r="Q5863">
            <v>14</v>
          </cell>
        </row>
        <row r="5864">
          <cell r="D5864" t="str">
            <v>57-53-4</v>
          </cell>
          <cell r="E5864">
            <v>57534</v>
          </cell>
          <cell r="F5864">
            <v>5358</v>
          </cell>
          <cell r="G5864" t="str">
            <v>PharmaUBA</v>
          </cell>
          <cell r="H5864">
            <v>5828</v>
          </cell>
          <cell r="J5864">
            <v>218.26</v>
          </cell>
          <cell r="K5864">
            <v>46.59</v>
          </cell>
          <cell r="L5864">
            <v>0.1055736</v>
          </cell>
          <cell r="M5864">
            <v>9643.9</v>
          </cell>
          <cell r="N5864">
            <v>9.5499258602143584</v>
          </cell>
          <cell r="O5864">
            <v>11.7</v>
          </cell>
          <cell r="Q5864">
            <v>11.7</v>
          </cell>
        </row>
        <row r="5865">
          <cell r="D5865" t="str">
            <v>154-21-2</v>
          </cell>
          <cell r="E5865">
            <v>154212</v>
          </cell>
          <cell r="F5865">
            <v>1146</v>
          </cell>
          <cell r="G5865" t="str">
            <v>PharmaUBA</v>
          </cell>
          <cell r="H5865">
            <v>5829</v>
          </cell>
          <cell r="J5865">
            <v>300.44</v>
          </cell>
          <cell r="K5865">
            <v>147.94999999999999</v>
          </cell>
          <cell r="L5865">
            <v>1.3596600000000001E-5</v>
          </cell>
          <cell r="M5865">
            <v>0.27960000000000002</v>
          </cell>
          <cell r="N5865">
            <v>70794578.438413769</v>
          </cell>
          <cell r="O5865">
            <v>4.4000000000000004</v>
          </cell>
          <cell r="Q5865">
            <v>4.4000000000000004</v>
          </cell>
        </row>
        <row r="5866">
          <cell r="D5866" t="str">
            <v>15676-16-1</v>
          </cell>
          <cell r="E5866">
            <v>15676161</v>
          </cell>
          <cell r="F5866">
            <v>5453</v>
          </cell>
          <cell r="G5866" t="str">
            <v>PharmaUBA</v>
          </cell>
          <cell r="H5866">
            <v>5830</v>
          </cell>
          <cell r="J5866">
            <v>404.49</v>
          </cell>
          <cell r="K5866">
            <v>275.2</v>
          </cell>
          <cell r="L5866">
            <v>9.6375900000000019E-11</v>
          </cell>
          <cell r="M5866">
            <v>5.8609000000000001E-2</v>
          </cell>
          <cell r="N5866">
            <v>138.0384264602886</v>
          </cell>
          <cell r="O5866">
            <v>3</v>
          </cell>
          <cell r="Q5866">
            <v>3</v>
          </cell>
        </row>
        <row r="5867">
          <cell r="D5867" t="str">
            <v>3380-34-5</v>
          </cell>
          <cell r="E5867">
            <v>3380345</v>
          </cell>
          <cell r="F5867">
            <v>48</v>
          </cell>
          <cell r="G5867" t="str">
            <v>Reach_1954</v>
          </cell>
          <cell r="H5867">
            <v>5831</v>
          </cell>
          <cell r="J5867">
            <v>289.55</v>
          </cell>
          <cell r="K5867">
            <v>136.79</v>
          </cell>
          <cell r="L5867">
            <v>6.1984500000000005E-4</v>
          </cell>
          <cell r="M5867">
            <v>2.9626999999999999</v>
          </cell>
          <cell r="N5867">
            <v>45708.818961487581</v>
          </cell>
          <cell r="O5867">
            <v>8.8000000000000007</v>
          </cell>
          <cell r="Q5867">
            <v>8.8000000000000007</v>
          </cell>
        </row>
        <row r="5868">
          <cell r="D5868" t="str">
            <v>55079-83-9</v>
          </cell>
          <cell r="E5868">
            <v>55079839</v>
          </cell>
          <cell r="F5868">
            <v>3159</v>
          </cell>
          <cell r="G5868" t="str">
            <v>PharmaBeta_9</v>
          </cell>
          <cell r="H5868">
            <v>5832</v>
          </cell>
          <cell r="J5868">
            <v>326.44</v>
          </cell>
          <cell r="K5868">
            <v>172.79</v>
          </cell>
          <cell r="L5868">
            <v>3.9990000000000003E-7</v>
          </cell>
          <cell r="M5868">
            <v>0.15031</v>
          </cell>
          <cell r="N5868">
            <v>15488166.189124851</v>
          </cell>
          <cell r="O5868">
            <v>4.4000000000000004</v>
          </cell>
          <cell r="Q5868">
            <v>4.4000000000000004</v>
          </cell>
        </row>
        <row r="5869">
          <cell r="D5869" t="str">
            <v>50-28-2</v>
          </cell>
          <cell r="E5869">
            <v>50282</v>
          </cell>
          <cell r="F5869">
            <v>55</v>
          </cell>
          <cell r="G5869" t="str">
            <v>Reach_7</v>
          </cell>
          <cell r="H5869">
            <v>5833</v>
          </cell>
          <cell r="J5869">
            <v>272.39</v>
          </cell>
          <cell r="K5869">
            <v>152.43</v>
          </cell>
          <cell r="L5869">
            <v>2.6526700000000002E-7</v>
          </cell>
          <cell r="M5869">
            <v>8.8080999999999996</v>
          </cell>
          <cell r="N5869">
            <v>8709.6358995608189</v>
          </cell>
          <cell r="O5869">
            <v>10</v>
          </cell>
          <cell r="Q5869">
            <v>10</v>
          </cell>
        </row>
        <row r="5870">
          <cell r="D5870" t="str">
            <v>80-08-0</v>
          </cell>
          <cell r="E5870">
            <v>80080</v>
          </cell>
          <cell r="F5870">
            <v>3787</v>
          </cell>
          <cell r="G5870" t="str">
            <v>Reach_256</v>
          </cell>
          <cell r="H5870">
            <v>5834</v>
          </cell>
          <cell r="J5870">
            <v>248.31</v>
          </cell>
          <cell r="K5870">
            <v>182.92</v>
          </cell>
          <cell r="L5870">
            <v>3.5724400000000001E-6</v>
          </cell>
          <cell r="M5870">
            <v>2105.3000000000002</v>
          </cell>
          <cell r="N5870">
            <v>5.8884365535558905</v>
          </cell>
          <cell r="P5870">
            <v>12.22</v>
          </cell>
          <cell r="Q5870">
            <v>1.7799999999999994</v>
          </cell>
        </row>
        <row r="5871">
          <cell r="D5871" t="str">
            <v>78649-41-9</v>
          </cell>
          <cell r="E5871">
            <v>78649419</v>
          </cell>
          <cell r="F5871">
            <v>4986</v>
          </cell>
          <cell r="G5871" t="str">
            <v>PharmaBeta_352</v>
          </cell>
          <cell r="H5871">
            <v>5835</v>
          </cell>
          <cell r="J5871">
            <v>468.6</v>
          </cell>
          <cell r="K5871">
            <v>251.88</v>
          </cell>
          <cell r="L5871">
            <v>8.6645000000000002E-11</v>
          </cell>
          <cell r="M5871">
            <v>0.35165000000000002</v>
          </cell>
          <cell r="N5871">
            <v>5011.8723362727324</v>
          </cell>
          <cell r="P5871">
            <v>5.62</v>
          </cell>
          <cell r="Q5871">
            <v>8.379999999999999</v>
          </cell>
        </row>
        <row r="5872">
          <cell r="D5872" t="str">
            <v>33005-95-7</v>
          </cell>
          <cell r="E5872">
            <v>33005957</v>
          </cell>
          <cell r="F5872">
            <v>5463</v>
          </cell>
          <cell r="G5872" t="str">
            <v>PharmaUBA</v>
          </cell>
          <cell r="H5872">
            <v>5836</v>
          </cell>
          <cell r="J5872">
            <v>260.31</v>
          </cell>
          <cell r="K5872">
            <v>163.35</v>
          </cell>
          <cell r="L5872">
            <v>1.3463300000000002E-4</v>
          </cell>
          <cell r="M5872">
            <v>13.327999999999999</v>
          </cell>
          <cell r="N5872">
            <v>660.69344800759643</v>
          </cell>
          <cell r="O5872">
            <v>3.77</v>
          </cell>
          <cell r="Q5872">
            <v>3.77</v>
          </cell>
        </row>
        <row r="5873">
          <cell r="D5873" t="str">
            <v>13392-18-2</v>
          </cell>
          <cell r="E5873">
            <v>13392182</v>
          </cell>
          <cell r="F5873">
            <v>5310</v>
          </cell>
          <cell r="G5873" t="str">
            <v>PharmaUBA</v>
          </cell>
          <cell r="H5873">
            <v>5837</v>
          </cell>
          <cell r="J5873">
            <v>242.27</v>
          </cell>
          <cell r="K5873">
            <v>136.47</v>
          </cell>
          <cell r="L5873">
            <v>3.13255E-3</v>
          </cell>
          <cell r="M5873">
            <v>22.187000000000001</v>
          </cell>
          <cell r="N5873">
            <v>7943.2823472428154</v>
          </cell>
          <cell r="O5873">
            <v>4.2699999999999996</v>
          </cell>
          <cell r="Q5873">
            <v>4.2699999999999996</v>
          </cell>
        </row>
        <row r="5874">
          <cell r="D5874" t="str">
            <v>126544-47-6</v>
          </cell>
          <cell r="E5874">
            <v>126544476</v>
          </cell>
          <cell r="F5874">
            <v>1806</v>
          </cell>
          <cell r="G5874" t="str">
            <v>PharmaBeta_522</v>
          </cell>
          <cell r="H5874">
            <v>5838</v>
          </cell>
          <cell r="J5874">
            <v>500.63</v>
          </cell>
          <cell r="K5874">
            <v>273.2</v>
          </cell>
          <cell r="L5874">
            <v>2.0794800000000002E-16</v>
          </cell>
          <cell r="M5874">
            <v>4.8327</v>
          </cell>
          <cell r="N5874">
            <v>912.01083935590987</v>
          </cell>
          <cell r="O5874">
            <v>4.9000000000000004</v>
          </cell>
          <cell r="Q5874">
            <v>4.9000000000000004</v>
          </cell>
        </row>
        <row r="5875">
          <cell r="D5875" t="str">
            <v>3562-63-8</v>
          </cell>
          <cell r="E5875">
            <v>3562638</v>
          </cell>
          <cell r="F5875">
            <v>5355</v>
          </cell>
          <cell r="G5875" t="str">
            <v>PharmaUBA</v>
          </cell>
          <cell r="H5875">
            <v>5839</v>
          </cell>
          <cell r="J5875">
            <v>342.48</v>
          </cell>
          <cell r="K5875">
            <v>182.93</v>
          </cell>
          <cell r="L5875">
            <v>4.63884E-8</v>
          </cell>
          <cell r="M5875">
            <v>47.079000000000001</v>
          </cell>
          <cell r="N5875">
            <v>2570.3957827688669</v>
          </cell>
          <cell r="O5875">
            <v>13.86</v>
          </cell>
          <cell r="Q5875">
            <v>13.86</v>
          </cell>
        </row>
        <row r="5876">
          <cell r="D5876" t="str">
            <v>209860-87-7</v>
          </cell>
          <cell r="E5876">
            <v>209860877</v>
          </cell>
          <cell r="F5876">
            <v>5139</v>
          </cell>
          <cell r="G5876" t="str">
            <v>PharmaBeta_710</v>
          </cell>
          <cell r="H5876">
            <v>5840</v>
          </cell>
          <cell r="J5876">
            <v>389.41</v>
          </cell>
          <cell r="K5876">
            <v>273.43</v>
          </cell>
          <cell r="L5876">
            <v>2.9192700000000003E-12</v>
          </cell>
          <cell r="M5876">
            <v>4.3028000000000004</v>
          </cell>
          <cell r="N5876">
            <v>26.302679918953825</v>
          </cell>
          <cell r="O5876">
            <v>15.65</v>
          </cell>
          <cell r="P5876">
            <v>15.81</v>
          </cell>
          <cell r="Q5876">
            <v>-1.8100000000000005</v>
          </cell>
        </row>
        <row r="5877">
          <cell r="D5877" t="str">
            <v>99200-09-6</v>
          </cell>
          <cell r="E5877">
            <v>99200096</v>
          </cell>
          <cell r="F5877">
            <v>5062</v>
          </cell>
          <cell r="G5877" t="str">
            <v>PharmaBeta_542</v>
          </cell>
          <cell r="H5877">
            <v>5841</v>
          </cell>
          <cell r="J5877">
            <v>405.44</v>
          </cell>
          <cell r="K5877">
            <v>214.46</v>
          </cell>
          <cell r="L5877">
            <v>5.7452300000000002E-11</v>
          </cell>
          <cell r="M5877">
            <v>6.3061999999999996</v>
          </cell>
          <cell r="N5877">
            <v>5128.6138399136489</v>
          </cell>
          <cell r="O5877">
            <v>13.51</v>
          </cell>
          <cell r="P5877">
            <v>5.81</v>
          </cell>
          <cell r="Q5877">
            <v>8.1900000000000013</v>
          </cell>
        </row>
        <row r="5878">
          <cell r="D5878" t="str">
            <v>58306-30-2</v>
          </cell>
          <cell r="E5878">
            <v>58306302</v>
          </cell>
          <cell r="F5878">
            <v>5307</v>
          </cell>
          <cell r="G5878" t="str">
            <v>PharmaUBA</v>
          </cell>
          <cell r="H5878">
            <v>5842</v>
          </cell>
          <cell r="J5878">
            <v>321.33999999999997</v>
          </cell>
          <cell r="K5878">
            <v>202</v>
          </cell>
          <cell r="L5878">
            <v>1.5062900000000002E-7</v>
          </cell>
          <cell r="M5878">
            <v>295.60000000000002</v>
          </cell>
          <cell r="N5878">
            <v>4.3651583224016601</v>
          </cell>
          <cell r="P5878">
            <v>10.130000000000001</v>
          </cell>
          <cell r="Q5878">
            <v>3.8699999999999992</v>
          </cell>
        </row>
        <row r="5879">
          <cell r="D5879" t="str">
            <v xml:space="preserve">50-02-2 </v>
          </cell>
          <cell r="E5879">
            <v>50022</v>
          </cell>
          <cell r="F5879">
            <v>652</v>
          </cell>
          <cell r="G5879" t="str">
            <v>PharmaBeta_161</v>
          </cell>
          <cell r="H5879">
            <v>5843</v>
          </cell>
          <cell r="J5879">
            <v>392.47</v>
          </cell>
          <cell r="K5879">
            <v>216.77</v>
          </cell>
          <cell r="L5879">
            <v>7.7447300000000007E-12</v>
          </cell>
          <cell r="M5879">
            <v>64.685000000000002</v>
          </cell>
          <cell r="N5879">
            <v>52.480746024977286</v>
          </cell>
          <cell r="O5879">
            <v>13.02</v>
          </cell>
          <cell r="Q5879">
            <v>13.02</v>
          </cell>
        </row>
        <row r="5880">
          <cell r="D5880" t="str">
            <v>578-95-0</v>
          </cell>
          <cell r="E5880">
            <v>578950</v>
          </cell>
          <cell r="F5880">
            <v>5216</v>
          </cell>
          <cell r="G5880" t="str">
            <v>PharmaUBA</v>
          </cell>
          <cell r="H5880">
            <v>5844</v>
          </cell>
          <cell r="J5880">
            <v>154.13</v>
          </cell>
          <cell r="K5880">
            <v>135.15</v>
          </cell>
          <cell r="L5880">
            <v>6.1717900000000003E-4</v>
          </cell>
          <cell r="M5880">
            <v>76114</v>
          </cell>
          <cell r="N5880">
            <v>0.30199517204020154</v>
          </cell>
          <cell r="O5880">
            <v>3.3</v>
          </cell>
          <cell r="Q5880">
            <v>3.3</v>
          </cell>
        </row>
        <row r="5881">
          <cell r="D5881" t="str">
            <v>134678-17-4</v>
          </cell>
          <cell r="E5881">
            <v>134678174</v>
          </cell>
          <cell r="F5881">
            <v>1881</v>
          </cell>
          <cell r="G5881" t="str">
            <v>PharmaBeta_427</v>
          </cell>
          <cell r="H5881">
            <v>5845</v>
          </cell>
          <cell r="J5881">
            <v>229.26</v>
          </cell>
          <cell r="K5881">
            <v>164.53</v>
          </cell>
          <cell r="L5881">
            <v>1.097059E-6</v>
          </cell>
          <cell r="M5881">
            <v>1726.1</v>
          </cell>
          <cell r="N5881">
            <v>2.3988329190194886E-3</v>
          </cell>
          <cell r="O5881">
            <v>14.05</v>
          </cell>
          <cell r="P5881">
            <v>9.75</v>
          </cell>
          <cell r="Q5881">
            <v>4.25</v>
          </cell>
        </row>
        <row r="5882">
          <cell r="D5882" t="str">
            <v>37332-99-3</v>
          </cell>
          <cell r="E5882">
            <v>37332993</v>
          </cell>
          <cell r="F5882">
            <v>6458</v>
          </cell>
          <cell r="G5882" t="str">
            <v>PharmaUBA</v>
          </cell>
          <cell r="H5882">
            <v>5846</v>
          </cell>
          <cell r="J5882">
            <v>1449.3</v>
          </cell>
          <cell r="Q5882">
            <v>14</v>
          </cell>
        </row>
        <row r="5883">
          <cell r="D5883" t="str">
            <v>58-94-6</v>
          </cell>
          <cell r="E5883">
            <v>58946</v>
          </cell>
          <cell r="F5883">
            <v>5255</v>
          </cell>
          <cell r="G5883" t="str">
            <v>PharmaUBA</v>
          </cell>
          <cell r="H5883">
            <v>5847</v>
          </cell>
          <cell r="J5883">
            <v>295.73</v>
          </cell>
          <cell r="K5883">
            <v>229.51</v>
          </cell>
          <cell r="L5883">
            <v>8.5178700000000009E-11</v>
          </cell>
          <cell r="M5883">
            <v>496.65</v>
          </cell>
          <cell r="N5883">
            <v>0.58884365535558891</v>
          </cell>
          <cell r="O5883">
            <v>6.7</v>
          </cell>
          <cell r="Q5883">
            <v>6.7</v>
          </cell>
        </row>
        <row r="5884">
          <cell r="D5884" t="str">
            <v>152459-95-5</v>
          </cell>
          <cell r="E5884">
            <v>152459955</v>
          </cell>
          <cell r="F5884">
            <v>2024</v>
          </cell>
          <cell r="G5884" t="str">
            <v>PharmaBeta_332</v>
          </cell>
          <cell r="H5884">
            <v>5848</v>
          </cell>
          <cell r="J5884">
            <v>493.62</v>
          </cell>
          <cell r="K5884">
            <v>313.38</v>
          </cell>
          <cell r="L5884">
            <v>4.8387900000000007E-15</v>
          </cell>
          <cell r="M5884">
            <v>0.51195000000000002</v>
          </cell>
          <cell r="N5884">
            <v>1023.2929922807547</v>
          </cell>
          <cell r="O5884">
            <v>15</v>
          </cell>
          <cell r="P5884">
            <v>6.43</v>
          </cell>
          <cell r="Q5884">
            <v>7.57</v>
          </cell>
        </row>
        <row r="5885">
          <cell r="D5885" t="str">
            <v>165800-03-3</v>
          </cell>
          <cell r="E5885">
            <v>165800033</v>
          </cell>
          <cell r="F5885">
            <v>504</v>
          </cell>
          <cell r="G5885" t="str">
            <v>PharmaBeta_452</v>
          </cell>
          <cell r="H5885">
            <v>5849</v>
          </cell>
          <cell r="J5885">
            <v>337.35</v>
          </cell>
          <cell r="K5885">
            <v>221.7</v>
          </cell>
          <cell r="L5885">
            <v>9.224360000000001E-9</v>
          </cell>
          <cell r="M5885">
            <v>1447.9</v>
          </cell>
          <cell r="N5885">
            <v>18.197008586099841</v>
          </cell>
          <cell r="O5885">
            <v>14.79</v>
          </cell>
          <cell r="P5885">
            <v>11</v>
          </cell>
          <cell r="Q5885">
            <v>3</v>
          </cell>
        </row>
        <row r="5886">
          <cell r="D5886" t="str">
            <v>56-75-7</v>
          </cell>
          <cell r="E5886">
            <v>56757</v>
          </cell>
          <cell r="F5886">
            <v>64</v>
          </cell>
          <cell r="G5886" t="str">
            <v>PharmaBeta_407</v>
          </cell>
          <cell r="H5886">
            <v>5850</v>
          </cell>
          <cell r="J5886">
            <v>323.13</v>
          </cell>
          <cell r="K5886">
            <v>216.38</v>
          </cell>
          <cell r="L5886">
            <v>2.33275E-10</v>
          </cell>
          <cell r="M5886">
            <v>3467.8</v>
          </cell>
          <cell r="N5886">
            <v>8.3176377110267108</v>
          </cell>
          <cell r="O5886">
            <v>9.3000000000000007</v>
          </cell>
          <cell r="Q5886">
            <v>9.3000000000000007</v>
          </cell>
        </row>
        <row r="5887">
          <cell r="D5887" t="str">
            <v>274901-16-5</v>
          </cell>
          <cell r="E5887">
            <v>274901165</v>
          </cell>
          <cell r="F5887">
            <v>2510</v>
          </cell>
          <cell r="G5887" t="str">
            <v>PharmaBeta_786</v>
          </cell>
          <cell r="H5887">
            <v>5851</v>
          </cell>
          <cell r="J5887">
            <v>303.41000000000003</v>
          </cell>
          <cell r="K5887">
            <v>190.31</v>
          </cell>
          <cell r="L5887">
            <v>1.2823460000000001E-8</v>
          </cell>
          <cell r="M5887">
            <v>109.84</v>
          </cell>
          <cell r="N5887">
            <v>6.1659500186148231</v>
          </cell>
          <cell r="O5887">
            <v>15.37</v>
          </cell>
          <cell r="P5887">
            <v>6.41</v>
          </cell>
          <cell r="Q5887">
            <v>7.59</v>
          </cell>
        </row>
        <row r="5888">
          <cell r="D5888" t="str">
            <v>68-22-4</v>
          </cell>
          <cell r="E5888">
            <v>68224</v>
          </cell>
          <cell r="F5888">
            <v>800</v>
          </cell>
          <cell r="G5888" t="str">
            <v>Reach_92</v>
          </cell>
          <cell r="H5888">
            <v>5852</v>
          </cell>
          <cell r="J5888">
            <v>298.43</v>
          </cell>
          <cell r="K5888">
            <v>161</v>
          </cell>
          <cell r="L5888">
            <v>3.1458800000000006E-7</v>
          </cell>
          <cell r="M5888">
            <v>4.7259000000000002</v>
          </cell>
          <cell r="N5888">
            <v>977.23722095581138</v>
          </cell>
          <cell r="O5888">
            <v>13.59</v>
          </cell>
          <cell r="Q5888">
            <v>13.59</v>
          </cell>
        </row>
        <row r="5889">
          <cell r="D5889" t="str">
            <v>87-33-2</v>
          </cell>
          <cell r="E5889">
            <v>87332</v>
          </cell>
          <cell r="F5889">
            <v>3926</v>
          </cell>
          <cell r="G5889" t="str">
            <v>Reach_308</v>
          </cell>
          <cell r="H5889">
            <v>5853</v>
          </cell>
          <cell r="J5889">
            <v>236.14</v>
          </cell>
          <cell r="K5889">
            <v>82.09</v>
          </cell>
          <cell r="L5889">
            <v>8.0113299999999998E-2</v>
          </cell>
          <cell r="M5889">
            <v>44773</v>
          </cell>
          <cell r="N5889">
            <v>5.7543993733715713</v>
          </cell>
          <cell r="Q5889">
            <v>14</v>
          </cell>
        </row>
        <row r="5890">
          <cell r="D5890" t="str">
            <v>50-63-5</v>
          </cell>
          <cell r="E5890">
            <v>50635</v>
          </cell>
          <cell r="F5890">
            <v>6280</v>
          </cell>
          <cell r="G5890" t="str">
            <v>PharmaBeta_410</v>
          </cell>
          <cell r="H5890">
            <v>5854</v>
          </cell>
          <cell r="J5890">
            <v>515.87</v>
          </cell>
          <cell r="Q5890">
            <v>14</v>
          </cell>
        </row>
        <row r="5891">
          <cell r="D5891" t="str">
            <v>98-92-0</v>
          </cell>
          <cell r="E5891">
            <v>98920</v>
          </cell>
          <cell r="F5891">
            <v>1079</v>
          </cell>
          <cell r="G5891" t="str">
            <v>Reach_524</v>
          </cell>
          <cell r="H5891">
            <v>5855</v>
          </cell>
          <cell r="J5891">
            <v>122.13</v>
          </cell>
          <cell r="K5891">
            <v>99.37</v>
          </cell>
          <cell r="L5891">
            <v>2.6393400000000001E-2</v>
          </cell>
          <cell r="M5891">
            <v>180000</v>
          </cell>
          <cell r="N5891">
            <v>0.35481338923357542</v>
          </cell>
          <cell r="O5891">
            <v>14.8</v>
          </cell>
          <cell r="P5891">
            <v>11</v>
          </cell>
          <cell r="Q5891">
            <v>3</v>
          </cell>
        </row>
        <row r="5892">
          <cell r="D5892" t="str">
            <v>50-18-0</v>
          </cell>
          <cell r="E5892">
            <v>50180</v>
          </cell>
          <cell r="F5892">
            <v>1131</v>
          </cell>
          <cell r="G5892" t="str">
            <v>PharmaUBA</v>
          </cell>
          <cell r="H5892">
            <v>5856</v>
          </cell>
          <cell r="J5892">
            <v>261.08999999999997</v>
          </cell>
          <cell r="K5892">
            <v>85.72</v>
          </cell>
          <cell r="L5892">
            <v>5.8652000000000001E-3</v>
          </cell>
          <cell r="M5892">
            <v>6228.2</v>
          </cell>
          <cell r="N5892">
            <v>9.3325430079699103</v>
          </cell>
          <cell r="Q5892">
            <v>14</v>
          </cell>
        </row>
        <row r="5893">
          <cell r="D5893" t="str">
            <v>26807-65-8</v>
          </cell>
          <cell r="E5893">
            <v>26807658</v>
          </cell>
          <cell r="F5893">
            <v>5331</v>
          </cell>
          <cell r="G5893" t="str">
            <v>PharmaUBA</v>
          </cell>
          <cell r="H5893">
            <v>5857</v>
          </cell>
          <cell r="J5893">
            <v>240.31</v>
          </cell>
          <cell r="K5893">
            <v>190.45</v>
          </cell>
          <cell r="L5893">
            <v>1.0424060000000001E-6</v>
          </cell>
          <cell r="M5893">
            <v>11.541</v>
          </cell>
          <cell r="N5893">
            <v>1148.1536214968839</v>
          </cell>
          <cell r="P5893">
            <v>6.7</v>
          </cell>
          <cell r="Q5893">
            <v>7.3</v>
          </cell>
        </row>
        <row r="5894">
          <cell r="D5894" t="str">
            <v>54024-22-5</v>
          </cell>
          <cell r="E5894">
            <v>54024225</v>
          </cell>
          <cell r="F5894">
            <v>3117</v>
          </cell>
          <cell r="G5894" t="str">
            <v>PharmaBeta_160</v>
          </cell>
          <cell r="H5894">
            <v>5858</v>
          </cell>
          <cell r="J5894">
            <v>310.48</v>
          </cell>
          <cell r="K5894">
            <v>148.80000000000001</v>
          </cell>
          <cell r="L5894">
            <v>8.2646000000000005E-6</v>
          </cell>
          <cell r="M5894">
            <v>3.7652999999999999E-2</v>
          </cell>
          <cell r="N5894">
            <v>446683.59215096442</v>
          </cell>
          <cell r="O5894">
            <v>13.6</v>
          </cell>
          <cell r="Q5894">
            <v>13.6</v>
          </cell>
        </row>
        <row r="5895">
          <cell r="D5895" t="str">
            <v>193-91-8</v>
          </cell>
          <cell r="E5895">
            <v>193918</v>
          </cell>
          <cell r="F5895" t="str">
            <v>-</v>
          </cell>
          <cell r="G5895" t="str">
            <v>-</v>
          </cell>
          <cell r="H5895">
            <v>5859</v>
          </cell>
          <cell r="Q5895">
            <v>14</v>
          </cell>
        </row>
        <row r="5896">
          <cell r="D5896" t="str">
            <v>6740-88-1</v>
          </cell>
          <cell r="E5896">
            <v>6740881</v>
          </cell>
          <cell r="F5896">
            <v>3490</v>
          </cell>
          <cell r="G5896" t="str">
            <v>PharmaBeta_381</v>
          </cell>
          <cell r="H5896">
            <v>5860</v>
          </cell>
          <cell r="J5896">
            <v>237.73</v>
          </cell>
          <cell r="K5896">
            <v>109.56</v>
          </cell>
          <cell r="L5896">
            <v>6.8649500000000007E-3</v>
          </cell>
          <cell r="M5896">
            <v>1578</v>
          </cell>
          <cell r="N5896">
            <v>1318.2567385564089</v>
          </cell>
          <cell r="P5896">
            <v>6.86</v>
          </cell>
          <cell r="Q5896">
            <v>7.14</v>
          </cell>
        </row>
        <row r="5897">
          <cell r="D5897" t="str">
            <v>2098-66-0</v>
          </cell>
          <cell r="E5897">
            <v>2098660</v>
          </cell>
          <cell r="F5897">
            <v>529</v>
          </cell>
          <cell r="G5897" t="str">
            <v>PharmaBeta_169</v>
          </cell>
          <cell r="H5897">
            <v>5861</v>
          </cell>
          <cell r="J5897">
            <v>780.95</v>
          </cell>
          <cell r="K5897">
            <v>349.84</v>
          </cell>
          <cell r="L5897">
            <v>4.398900000000001E-28</v>
          </cell>
          <cell r="M5897">
            <v>6.9040000000000004E-2</v>
          </cell>
          <cell r="N5897">
            <v>3.1622776601683795</v>
          </cell>
          <cell r="O5897">
            <v>13.34</v>
          </cell>
          <cell r="Q5897">
            <v>13.34</v>
          </cell>
        </row>
        <row r="5898">
          <cell r="D5898" t="str">
            <v>52485-79-7</v>
          </cell>
          <cell r="E5898">
            <v>52485797</v>
          </cell>
          <cell r="F5898">
            <v>3061</v>
          </cell>
          <cell r="G5898" t="str">
            <v>PharmaBeta_107</v>
          </cell>
          <cell r="H5898">
            <v>5862</v>
          </cell>
          <cell r="J5898">
            <v>467.65</v>
          </cell>
          <cell r="K5898">
            <v>226.01</v>
          </cell>
          <cell r="L5898">
            <v>2.2927600000000003E-11</v>
          </cell>
          <cell r="M5898">
            <v>0.12401</v>
          </cell>
          <cell r="N5898">
            <v>79432.823472428237</v>
          </cell>
          <cell r="O5898">
            <v>9.77</v>
          </cell>
          <cell r="P5898">
            <v>5.74</v>
          </cell>
          <cell r="Q5898">
            <v>8.26</v>
          </cell>
        </row>
        <row r="5899">
          <cell r="D5899" t="str">
            <v>135062-02-1</v>
          </cell>
          <cell r="E5899">
            <v>135062021</v>
          </cell>
          <cell r="F5899">
            <v>1886</v>
          </cell>
          <cell r="G5899" t="str">
            <v>PharmaBeta_651</v>
          </cell>
          <cell r="H5899">
            <v>5863</v>
          </cell>
          <cell r="J5899">
            <v>452.6</v>
          </cell>
          <cell r="K5899">
            <v>274.22000000000003</v>
          </cell>
          <cell r="L5899">
            <v>2.5726900000000004E-12</v>
          </cell>
          <cell r="M5899">
            <v>5.8659000000000003E-2</v>
          </cell>
          <cell r="N5899">
            <v>1548816.6189124861</v>
          </cell>
          <cell r="O5899">
            <v>3.61</v>
          </cell>
          <cell r="P5899">
            <v>8.0500000000000007</v>
          </cell>
          <cell r="Q5899">
            <v>3.61</v>
          </cell>
        </row>
        <row r="5900">
          <cell r="D5900" t="str">
            <v>144-83-2</v>
          </cell>
          <cell r="E5900">
            <v>144832</v>
          </cell>
          <cell r="F5900">
            <v>29</v>
          </cell>
          <cell r="G5900" t="str">
            <v>Reach_1196</v>
          </cell>
          <cell r="H5900">
            <v>5864</v>
          </cell>
          <cell r="J5900">
            <v>249.29</v>
          </cell>
          <cell r="K5900">
            <v>176.42</v>
          </cell>
          <cell r="L5900">
            <v>5.5186200000000005E-6</v>
          </cell>
          <cell r="M5900">
            <v>2520</v>
          </cell>
          <cell r="N5900">
            <v>3.3884415613920265</v>
          </cell>
          <cell r="O5900">
            <v>8.7799999999999994</v>
          </cell>
          <cell r="P5900">
            <v>10.95</v>
          </cell>
          <cell r="Q5900">
            <v>3.0500000000000007</v>
          </cell>
        </row>
        <row r="5901">
          <cell r="D5901" t="str">
            <v>1622-61-3</v>
          </cell>
          <cell r="E5901">
            <v>1622613</v>
          </cell>
          <cell r="F5901">
            <v>500</v>
          </cell>
          <cell r="G5901" t="str">
            <v>PharmaBeta_403</v>
          </cell>
          <cell r="H5901">
            <v>5865</v>
          </cell>
          <cell r="J5901">
            <v>315.72000000000003</v>
          </cell>
          <cell r="K5901">
            <v>217.76</v>
          </cell>
          <cell r="L5901">
            <v>9.7575600000000008E-9</v>
          </cell>
          <cell r="M5901">
            <v>21.238</v>
          </cell>
          <cell r="N5901">
            <v>338.84415613920248</v>
          </cell>
          <cell r="O5901">
            <v>10.62</v>
          </cell>
          <cell r="P5901">
            <v>12</v>
          </cell>
          <cell r="Q5901">
            <v>2</v>
          </cell>
        </row>
        <row r="5902">
          <cell r="D5902" t="str">
            <v>224785-90-4</v>
          </cell>
          <cell r="E5902">
            <v>224785904</v>
          </cell>
          <cell r="F5902">
            <v>2334</v>
          </cell>
          <cell r="G5902" t="str">
            <v>Reach_4232</v>
          </cell>
          <cell r="H5902">
            <v>5866</v>
          </cell>
          <cell r="J5902">
            <v>488.62</v>
          </cell>
          <cell r="K5902">
            <v>341.98</v>
          </cell>
          <cell r="L5902">
            <v>4.5721900000000009E-17</v>
          </cell>
          <cell r="M5902">
            <v>29.193000000000001</v>
          </cell>
          <cell r="N5902">
            <v>616.59500186148273</v>
          </cell>
          <cell r="P5902">
            <v>5.93</v>
          </cell>
          <cell r="Q5902">
            <v>8.07</v>
          </cell>
        </row>
        <row r="5903">
          <cell r="D5903" t="str">
            <v>72559-06-9</v>
          </cell>
          <cell r="E5903">
            <v>72559069</v>
          </cell>
          <cell r="F5903">
            <v>3606</v>
          </cell>
          <cell r="G5903" t="str">
            <v>PharmaBeta_655</v>
          </cell>
          <cell r="H5903">
            <v>5867</v>
          </cell>
          <cell r="J5903">
            <v>847.02</v>
          </cell>
          <cell r="K5903">
            <v>349.84</v>
          </cell>
          <cell r="L5903">
            <v>1.233025E-31</v>
          </cell>
          <cell r="M5903">
            <v>1.136E-4</v>
          </cell>
          <cell r="N5903">
            <v>31622776.601683889</v>
          </cell>
          <cell r="O5903">
            <v>7.16</v>
          </cell>
          <cell r="P5903">
            <v>4.3600000000000003</v>
          </cell>
          <cell r="Q5903">
            <v>7.16</v>
          </cell>
        </row>
        <row r="5904">
          <cell r="D5904" t="str">
            <v>81-13-0</v>
          </cell>
          <cell r="E5904">
            <v>81130</v>
          </cell>
          <cell r="F5904">
            <v>3802</v>
          </cell>
          <cell r="G5904" t="str">
            <v>Reach_272</v>
          </cell>
          <cell r="H5904">
            <v>5868</v>
          </cell>
          <cell r="J5904">
            <v>205.26</v>
          </cell>
          <cell r="K5904">
            <v>161.4</v>
          </cell>
          <cell r="L5904">
            <v>1.9595099999999999E-6</v>
          </cell>
          <cell r="M5904">
            <v>134000</v>
          </cell>
          <cell r="N5904">
            <v>1.2022644346174125E-2</v>
          </cell>
          <cell r="O5904">
            <v>13.18</v>
          </cell>
          <cell r="P5904">
            <v>15.48</v>
          </cell>
          <cell r="Q5904">
            <v>-1.4800000000000004</v>
          </cell>
        </row>
        <row r="5905">
          <cell r="D5905" t="str">
            <v>110-85-0</v>
          </cell>
          <cell r="E5905">
            <v>110850</v>
          </cell>
          <cell r="F5905">
            <v>1531</v>
          </cell>
          <cell r="G5905" t="str">
            <v>Reach_832</v>
          </cell>
          <cell r="H5905">
            <v>5869</v>
          </cell>
          <cell r="J5905">
            <v>86.14</v>
          </cell>
          <cell r="K5905">
            <v>7.3</v>
          </cell>
          <cell r="L5905">
            <v>94.909599999999998</v>
          </cell>
          <cell r="M5905">
            <v>1000000</v>
          </cell>
          <cell r="N5905">
            <v>0.15848931924611132</v>
          </cell>
          <cell r="P5905">
            <v>4.4000000000000004</v>
          </cell>
          <cell r="Q5905">
            <v>9.6</v>
          </cell>
        </row>
        <row r="5906">
          <cell r="D5906" t="str">
            <v>54965-21-8</v>
          </cell>
          <cell r="E5906">
            <v>54965218</v>
          </cell>
          <cell r="F5906">
            <v>1121</v>
          </cell>
          <cell r="G5906" t="str">
            <v>PharmaUBA</v>
          </cell>
          <cell r="H5906">
            <v>5870</v>
          </cell>
          <cell r="J5906">
            <v>265.33999999999997</v>
          </cell>
          <cell r="K5906">
            <v>192.24</v>
          </cell>
          <cell r="L5906">
            <v>1.9728400000000003E-7</v>
          </cell>
          <cell r="M5906">
            <v>6.5498000000000003</v>
          </cell>
          <cell r="N5906">
            <v>1380.3842646028863</v>
          </cell>
          <cell r="O5906">
            <v>9.9700000000000006</v>
          </cell>
          <cell r="P5906">
            <v>10</v>
          </cell>
          <cell r="Q5906">
            <v>4</v>
          </cell>
        </row>
        <row r="5907">
          <cell r="D5907" t="str">
            <v>106308-44-5</v>
          </cell>
          <cell r="E5907">
            <v>106308445</v>
          </cell>
          <cell r="F5907">
            <v>5127</v>
          </cell>
          <cell r="G5907" t="str">
            <v>PharmaBeta_671</v>
          </cell>
          <cell r="H5907">
            <v>5871</v>
          </cell>
          <cell r="J5907">
            <v>315.48</v>
          </cell>
          <cell r="K5907">
            <v>176.89</v>
          </cell>
          <cell r="L5907">
            <v>9.9308500000000008E-7</v>
          </cell>
          <cell r="M5907">
            <v>33.058</v>
          </cell>
          <cell r="N5907">
            <v>245470.89156850305</v>
          </cell>
          <cell r="O5907">
            <v>10.16</v>
          </cell>
          <cell r="P5907">
            <v>5.44</v>
          </cell>
          <cell r="Q5907">
            <v>8.5599999999999987</v>
          </cell>
        </row>
        <row r="5908">
          <cell r="D5908" t="str">
            <v>496775-61-2</v>
          </cell>
          <cell r="E5908">
            <v>496775612</v>
          </cell>
          <cell r="F5908">
            <v>4918</v>
          </cell>
          <cell r="G5908" t="str">
            <v>PharmaBeta_194</v>
          </cell>
          <cell r="H5908">
            <v>5872</v>
          </cell>
          <cell r="J5908">
            <v>528.54</v>
          </cell>
          <cell r="K5908">
            <v>262.39999999999998</v>
          </cell>
          <cell r="L5908">
            <v>1.6662500000000003E-11</v>
          </cell>
          <cell r="M5908">
            <v>1.0763E-2</v>
          </cell>
          <cell r="N5908">
            <v>97723.722095581266</v>
          </cell>
          <cell r="O5908">
            <v>12.97</v>
          </cell>
          <cell r="P5908">
            <v>14.64</v>
          </cell>
          <cell r="Q5908">
            <v>-0.64000000000000057</v>
          </cell>
        </row>
        <row r="5909">
          <cell r="D5909" t="str">
            <v>846-49-1</v>
          </cell>
          <cell r="E5909">
            <v>846491</v>
          </cell>
          <cell r="F5909">
            <v>103</v>
          </cell>
          <cell r="G5909" t="str">
            <v>PharmaBeta_461</v>
          </cell>
          <cell r="H5909">
            <v>5873</v>
          </cell>
          <cell r="J5909">
            <v>321.17</v>
          </cell>
          <cell r="K5909">
            <v>217.46</v>
          </cell>
          <cell r="L5909">
            <v>4.1189700000000002E-10</v>
          </cell>
          <cell r="M5909">
            <v>14.577</v>
          </cell>
          <cell r="N5909">
            <v>257.03957827688663</v>
          </cell>
          <cell r="O5909">
            <v>11.31</v>
          </cell>
          <cell r="P5909">
            <v>13.03</v>
          </cell>
          <cell r="Q5909">
            <v>0.97000000000000064</v>
          </cell>
        </row>
        <row r="5910">
          <cell r="D5910" t="str">
            <v>104987-11-3</v>
          </cell>
          <cell r="E5910">
            <v>104987113</v>
          </cell>
          <cell r="F5910">
            <v>5455</v>
          </cell>
          <cell r="G5910" t="str">
            <v>PharmaUBA</v>
          </cell>
          <cell r="H5910">
            <v>5874</v>
          </cell>
          <cell r="J5910">
            <v>804.03</v>
          </cell>
          <cell r="K5910">
            <v>349.84</v>
          </cell>
          <cell r="L5910">
            <v>1.1157210000000001E-29</v>
          </cell>
          <cell r="M5910">
            <v>3.369E-3</v>
          </cell>
          <cell r="N5910">
            <v>1071.5193052376069</v>
          </cell>
          <cell r="O5910">
            <v>10.07</v>
          </cell>
          <cell r="Q5910">
            <v>10.07</v>
          </cell>
        </row>
        <row r="5911">
          <cell r="D5911" t="str">
            <v>175591-23-8</v>
          </cell>
          <cell r="E5911">
            <v>175591238</v>
          </cell>
          <cell r="F5911">
            <v>5142</v>
          </cell>
          <cell r="G5911" t="str">
            <v>PharmaBeta_715</v>
          </cell>
          <cell r="H5911">
            <v>5875</v>
          </cell>
          <cell r="J5911">
            <v>221.35</v>
          </cell>
          <cell r="K5911">
            <v>82.31</v>
          </cell>
          <cell r="L5911">
            <v>1.58627E-2</v>
          </cell>
          <cell r="M5911">
            <v>305.27999999999997</v>
          </cell>
          <cell r="N5911">
            <v>3715.352290971724</v>
          </cell>
          <cell r="O5911">
            <v>10.210000000000001</v>
          </cell>
          <cell r="P5911">
            <v>4.82</v>
          </cell>
          <cell r="Q5911">
            <v>9.18</v>
          </cell>
        </row>
        <row r="5912">
          <cell r="D5912" t="str">
            <v>58-39-9</v>
          </cell>
          <cell r="E5912">
            <v>58399</v>
          </cell>
          <cell r="F5912">
            <v>3246</v>
          </cell>
          <cell r="G5912" t="str">
            <v>PharmaBeta_603</v>
          </cell>
          <cell r="H5912">
            <v>5876</v>
          </cell>
          <cell r="J5912">
            <v>403.98</v>
          </cell>
          <cell r="K5912">
            <v>223.21</v>
          </cell>
          <cell r="L5912">
            <v>1.0024160000000001E-9</v>
          </cell>
          <cell r="M5912">
            <v>5.6649000000000003</v>
          </cell>
          <cell r="N5912">
            <v>6606.9344800759654</v>
          </cell>
          <cell r="O5912">
            <v>14.89</v>
          </cell>
          <cell r="P5912">
            <v>6.13</v>
          </cell>
          <cell r="Q5912">
            <v>7.87</v>
          </cell>
        </row>
        <row r="5913">
          <cell r="D5913" t="str">
            <v>52-86-8</v>
          </cell>
          <cell r="E5913">
            <v>52868</v>
          </cell>
          <cell r="F5913">
            <v>3079</v>
          </cell>
          <cell r="G5913" t="str">
            <v>PharmaBeta_313</v>
          </cell>
          <cell r="H5913">
            <v>5877</v>
          </cell>
          <cell r="J5913">
            <v>375.87</v>
          </cell>
          <cell r="K5913">
            <v>194.22</v>
          </cell>
          <cell r="L5913">
            <v>1.9995000000000001E-8</v>
          </cell>
          <cell r="M5913">
            <v>9.3500999999999994</v>
          </cell>
          <cell r="N5913">
            <v>15848.931924611146</v>
          </cell>
          <cell r="O5913">
            <v>13.74</v>
          </cell>
          <cell r="P5913">
            <v>5.32</v>
          </cell>
          <cell r="Q5913">
            <v>8.68</v>
          </cell>
        </row>
        <row r="5914">
          <cell r="D5914" t="str">
            <v>354812-41-2</v>
          </cell>
          <cell r="E5914">
            <v>354812412</v>
          </cell>
          <cell r="F5914">
            <v>2017</v>
          </cell>
          <cell r="G5914" t="str">
            <v>PharmaBeta_519</v>
          </cell>
          <cell r="H5914">
            <v>5878</v>
          </cell>
          <cell r="J5914">
            <v>401.44</v>
          </cell>
          <cell r="K5914">
            <v>325</v>
          </cell>
          <cell r="L5914">
            <v>9.6775800000000017E-13</v>
          </cell>
          <cell r="M5914">
            <v>132.26</v>
          </cell>
          <cell r="N5914">
            <v>8.9125093813374576</v>
          </cell>
          <cell r="O5914">
            <v>6.11</v>
          </cell>
          <cell r="P5914">
            <v>5.28</v>
          </cell>
          <cell r="Q5914">
            <v>6.11</v>
          </cell>
        </row>
        <row r="5915">
          <cell r="D5915" t="str">
            <v>30652-11-0</v>
          </cell>
          <cell r="E5915">
            <v>30652110</v>
          </cell>
          <cell r="F5915">
            <v>4889</v>
          </cell>
          <cell r="G5915" t="str">
            <v>PharmaBeta_153</v>
          </cell>
          <cell r="H5915">
            <v>5879</v>
          </cell>
          <cell r="J5915">
            <v>373.37</v>
          </cell>
          <cell r="K5915">
            <v>272.32</v>
          </cell>
          <cell r="L5915">
            <v>2.1727900000000002E-14</v>
          </cell>
          <cell r="M5915">
            <v>1.5415000000000001</v>
          </cell>
          <cell r="N5915">
            <v>2818.3829312644561</v>
          </cell>
          <cell r="O5915">
            <v>5.58</v>
          </cell>
          <cell r="P5915">
            <v>13.82</v>
          </cell>
          <cell r="Q5915">
            <v>0.17999999999999972</v>
          </cell>
        </row>
        <row r="5916">
          <cell r="D5916" t="str">
            <v>119478-56-7</v>
          </cell>
          <cell r="E5916">
            <v>119478567</v>
          </cell>
          <cell r="F5916">
            <v>5622</v>
          </cell>
          <cell r="G5916" t="str">
            <v>PharmaBeta_483</v>
          </cell>
          <cell r="H5916">
            <v>5880</v>
          </cell>
          <cell r="J5916">
            <v>437.51</v>
          </cell>
          <cell r="Q5916">
            <v>14</v>
          </cell>
        </row>
        <row r="5917">
          <cell r="D5917" t="str">
            <v>50-98-6</v>
          </cell>
          <cell r="E5917">
            <v>50986</v>
          </cell>
          <cell r="F5917">
            <v>5902</v>
          </cell>
          <cell r="G5917" t="str">
            <v>Reach_11</v>
          </cell>
          <cell r="H5917">
            <v>5881</v>
          </cell>
          <cell r="J5917">
            <v>201.7</v>
          </cell>
          <cell r="Q5917">
            <v>14</v>
          </cell>
        </row>
        <row r="5918">
          <cell r="D5918" t="str">
            <v>162401-32-3</v>
          </cell>
          <cell r="E5918">
            <v>162401323</v>
          </cell>
          <cell r="F5918">
            <v>5123</v>
          </cell>
          <cell r="G5918" t="str">
            <v>PharmaBeta_664</v>
          </cell>
          <cell r="H5918">
            <v>5882</v>
          </cell>
          <cell r="J5918">
            <v>269.36</v>
          </cell>
          <cell r="K5918">
            <v>177.24</v>
          </cell>
          <cell r="L5918">
            <v>7.4114800000000012E-6</v>
          </cell>
          <cell r="M5918">
            <v>145.51</v>
          </cell>
          <cell r="N5918">
            <v>27.542287033381665</v>
          </cell>
          <cell r="P5918">
            <v>5.3</v>
          </cell>
          <cell r="Q5918">
            <v>8.6999999999999993</v>
          </cell>
        </row>
        <row r="5919">
          <cell r="D5919" t="str">
            <v>201530-41-8</v>
          </cell>
          <cell r="E5919">
            <v>201530418</v>
          </cell>
          <cell r="F5919">
            <v>4888</v>
          </cell>
          <cell r="G5919" t="str">
            <v>PharmaBeta_151</v>
          </cell>
          <cell r="H5919">
            <v>5883</v>
          </cell>
          <cell r="J5919">
            <v>488.02</v>
          </cell>
          <cell r="K5919">
            <v>304.61</v>
          </cell>
          <cell r="L5919">
            <v>1.167708E-17</v>
          </cell>
          <cell r="M5919">
            <v>0.43719999999999998</v>
          </cell>
          <cell r="N5919">
            <v>12.58925411794168</v>
          </cell>
          <cell r="O5919">
            <v>13.64</v>
          </cell>
          <cell r="P5919">
            <v>6.29</v>
          </cell>
          <cell r="Q5919">
            <v>7.71</v>
          </cell>
        </row>
        <row r="5920">
          <cell r="D5920" t="str">
            <v>155213-67-5</v>
          </cell>
          <cell r="E5920">
            <v>155213675</v>
          </cell>
          <cell r="F5920">
            <v>5121</v>
          </cell>
          <cell r="G5920" t="str">
            <v>PharmaBeta_653</v>
          </cell>
          <cell r="H5920">
            <v>5884</v>
          </cell>
          <cell r="J5920">
            <v>303.33999999999997</v>
          </cell>
          <cell r="K5920">
            <v>172.07</v>
          </cell>
          <cell r="L5920">
            <v>7.4914600000000008E-6</v>
          </cell>
          <cell r="M5920">
            <v>9.1172000000000004</v>
          </cell>
          <cell r="N5920">
            <v>363.07805477010152</v>
          </cell>
          <cell r="O5920">
            <v>13.16</v>
          </cell>
          <cell r="P5920">
            <v>8.94</v>
          </cell>
          <cell r="Q5920">
            <v>5.0600000000000005</v>
          </cell>
        </row>
        <row r="5921">
          <cell r="D5921" t="str">
            <v>389-08-2</v>
          </cell>
          <cell r="E5921">
            <v>389082</v>
          </cell>
          <cell r="F5921">
            <v>5376</v>
          </cell>
          <cell r="G5921" t="str">
            <v>PharmaUBA</v>
          </cell>
          <cell r="H5921">
            <v>5885</v>
          </cell>
          <cell r="J5921">
            <v>232.24</v>
          </cell>
          <cell r="K5921">
            <v>164.58</v>
          </cell>
          <cell r="L5921">
            <v>8.2246100000000015E-6</v>
          </cell>
          <cell r="M5921">
            <v>65.218000000000004</v>
          </cell>
          <cell r="N5921">
            <v>43.651583224016612</v>
          </cell>
          <cell r="O5921">
            <v>6.22</v>
          </cell>
          <cell r="P5921">
            <v>9.5</v>
          </cell>
          <cell r="Q5921">
            <v>4.5</v>
          </cell>
        </row>
        <row r="5922">
          <cell r="D5922" t="str">
            <v>56180-94-0</v>
          </cell>
          <cell r="E5922">
            <v>56180940</v>
          </cell>
          <cell r="F5922">
            <v>4831</v>
          </cell>
          <cell r="G5922" t="str">
            <v>PharmaBeta_13</v>
          </cell>
          <cell r="H5922">
            <v>5886</v>
          </cell>
          <cell r="J5922">
            <v>243.31</v>
          </cell>
          <cell r="K5922">
            <v>168.14</v>
          </cell>
          <cell r="L5922">
            <v>9.7442300000000011E-6</v>
          </cell>
          <cell r="M5922">
            <v>7.6128999999999998</v>
          </cell>
          <cell r="N5922">
            <v>575.43993733715706</v>
          </cell>
          <cell r="O5922">
            <v>14.81</v>
          </cell>
          <cell r="P5922">
            <v>14.53</v>
          </cell>
          <cell r="Q5922">
            <v>-0.52999999999999936</v>
          </cell>
        </row>
        <row r="5923">
          <cell r="D5923" t="str">
            <v>57-66-9</v>
          </cell>
          <cell r="E5923">
            <v>57669</v>
          </cell>
          <cell r="F5923">
            <v>3237</v>
          </cell>
          <cell r="G5923" t="str">
            <v>PharmaBeta_628</v>
          </cell>
          <cell r="H5923">
            <v>5887</v>
          </cell>
          <cell r="J5923">
            <v>285.36</v>
          </cell>
          <cell r="K5923">
            <v>179.91</v>
          </cell>
          <cell r="L5923">
            <v>2.9725900000000003E-6</v>
          </cell>
          <cell r="M5923">
            <v>2460.1999999999998</v>
          </cell>
          <cell r="N5923">
            <v>776.24711662869231</v>
          </cell>
          <cell r="O5923">
            <v>3.6</v>
          </cell>
          <cell r="Q5923">
            <v>3.6</v>
          </cell>
        </row>
        <row r="5924">
          <cell r="D5924" t="str">
            <v>28523-86-6</v>
          </cell>
          <cell r="E5924">
            <v>28523866</v>
          </cell>
          <cell r="F5924">
            <v>5131</v>
          </cell>
          <cell r="G5924" t="str">
            <v>PharmaBeta_680</v>
          </cell>
          <cell r="H5924">
            <v>5888</v>
          </cell>
          <cell r="J5924">
            <v>315.42</v>
          </cell>
          <cell r="K5924">
            <v>195.06</v>
          </cell>
          <cell r="L5924">
            <v>5.5852700000000001E-9</v>
          </cell>
          <cell r="M5924">
            <v>95.353999999999999</v>
          </cell>
          <cell r="N5924">
            <v>9.5499258602143584</v>
          </cell>
          <cell r="O5924">
            <v>15.6</v>
          </cell>
          <cell r="P5924">
            <v>6.58</v>
          </cell>
          <cell r="Q5924">
            <v>7.42</v>
          </cell>
        </row>
        <row r="5925">
          <cell r="D5925" t="str">
            <v>30516-87-1</v>
          </cell>
          <cell r="E5925">
            <v>30516871</v>
          </cell>
          <cell r="F5925">
            <v>2602</v>
          </cell>
          <cell r="G5925" t="str">
            <v>PharmaBeta_796</v>
          </cell>
          <cell r="H5925">
            <v>5889</v>
          </cell>
          <cell r="J5925">
            <v>267.25</v>
          </cell>
          <cell r="K5925">
            <v>308.10000000000002</v>
          </cell>
          <cell r="L5925">
            <v>1.219695E-15</v>
          </cell>
          <cell r="M5925">
            <v>2590.1999999999998</v>
          </cell>
          <cell r="N5925">
            <v>1.6982436524617444</v>
          </cell>
          <cell r="O5925">
            <v>9.6</v>
          </cell>
          <cell r="Q5925">
            <v>9.6</v>
          </cell>
        </row>
        <row r="5926">
          <cell r="D5926" t="str">
            <v>111025-46-8</v>
          </cell>
          <cell r="E5926">
            <v>111025468</v>
          </cell>
          <cell r="F5926">
            <v>5096</v>
          </cell>
          <cell r="G5926" t="str">
            <v>PharmaBeta_608</v>
          </cell>
          <cell r="H5926">
            <v>5890</v>
          </cell>
          <cell r="J5926">
            <v>810.47</v>
          </cell>
          <cell r="K5926">
            <v>349.84</v>
          </cell>
          <cell r="L5926">
            <v>1.126385E-27</v>
          </cell>
          <cell r="M5926">
            <v>5.1179999999999997E-4</v>
          </cell>
          <cell r="N5926">
            <v>24547.089156850321</v>
          </cell>
          <cell r="O5926">
            <v>10.07</v>
          </cell>
          <cell r="Q5926">
            <v>10.07</v>
          </cell>
        </row>
        <row r="5927">
          <cell r="D5927" t="str">
            <v>128-46-1</v>
          </cell>
          <cell r="E5927">
            <v>128461</v>
          </cell>
          <cell r="F5927">
            <v>1133</v>
          </cell>
          <cell r="G5927" t="str">
            <v>PharmaUBA</v>
          </cell>
          <cell r="H5927">
            <v>5891</v>
          </cell>
          <cell r="J5927">
            <v>268.36</v>
          </cell>
          <cell r="K5927">
            <v>151.82</v>
          </cell>
          <cell r="L5927">
            <v>1.151712E-6</v>
          </cell>
          <cell r="M5927">
            <v>0.88527</v>
          </cell>
          <cell r="N5927">
            <v>436515.83224016649</v>
          </cell>
          <cell r="O5927">
            <v>9.6999999999999993</v>
          </cell>
          <cell r="Q5927">
            <v>9.6999999999999993</v>
          </cell>
        </row>
        <row r="5928">
          <cell r="D5928" t="str">
            <v>59467-70-8</v>
          </cell>
          <cell r="E5928">
            <v>59467708</v>
          </cell>
          <cell r="F5928">
            <v>736</v>
          </cell>
          <cell r="G5928" t="str">
            <v>PharmaBeta_502</v>
          </cell>
          <cell r="H5928">
            <v>5892</v>
          </cell>
          <cell r="J5928">
            <v>325.77999999999997</v>
          </cell>
          <cell r="K5928">
            <v>200.65</v>
          </cell>
          <cell r="L5928">
            <v>6.8249600000000003E-7</v>
          </cell>
          <cell r="M5928">
            <v>67.082999999999998</v>
          </cell>
          <cell r="N5928">
            <v>21379.620895022348</v>
          </cell>
          <cell r="P5928">
            <v>8</v>
          </cell>
          <cell r="Q5928">
            <v>6</v>
          </cell>
        </row>
        <row r="5929">
          <cell r="D5929" t="str">
            <v>93479-97-1</v>
          </cell>
          <cell r="E5929">
            <v>93479971</v>
          </cell>
          <cell r="F5929">
            <v>4070</v>
          </cell>
          <cell r="G5929" t="str">
            <v>PharmaBeta_302</v>
          </cell>
          <cell r="H5929">
            <v>5893</v>
          </cell>
          <cell r="J5929">
            <v>490.63</v>
          </cell>
          <cell r="K5929">
            <v>329.55</v>
          </cell>
          <cell r="L5929">
            <v>3.4924600000000004E-16</v>
          </cell>
          <cell r="M5929">
            <v>4.0167000000000002</v>
          </cell>
          <cell r="N5929">
            <v>50118.723362727294</v>
          </cell>
          <cell r="O5929">
            <v>5.17</v>
          </cell>
          <cell r="P5929">
            <v>14.09</v>
          </cell>
          <cell r="Q5929">
            <v>-8.9999999999999858E-2</v>
          </cell>
        </row>
        <row r="5930">
          <cell r="D5930" t="str">
            <v>58-46-8</v>
          </cell>
          <cell r="E5930">
            <v>58468</v>
          </cell>
          <cell r="F5930">
            <v>5154</v>
          </cell>
          <cell r="G5930" t="str">
            <v>PharmaBeta_730</v>
          </cell>
          <cell r="H5930">
            <v>5894</v>
          </cell>
          <cell r="J5930">
            <v>317.43</v>
          </cell>
          <cell r="K5930">
            <v>157.78</v>
          </cell>
          <cell r="L5930">
            <v>7.0782300000000008E-5</v>
          </cell>
          <cell r="M5930">
            <v>17.247</v>
          </cell>
          <cell r="N5930">
            <v>457.0881896148756</v>
          </cell>
          <cell r="P5930">
            <v>7.02</v>
          </cell>
          <cell r="Q5930">
            <v>6.98</v>
          </cell>
        </row>
        <row r="5931">
          <cell r="D5931" t="str">
            <v>87848-99-5</v>
          </cell>
          <cell r="E5931">
            <v>87848995</v>
          </cell>
          <cell r="F5931">
            <v>5218</v>
          </cell>
          <cell r="G5931" t="str">
            <v>PharmaUBA</v>
          </cell>
          <cell r="H5931">
            <v>5895</v>
          </cell>
          <cell r="J5931">
            <v>348.45</v>
          </cell>
          <cell r="K5931">
            <v>318.08</v>
          </cell>
          <cell r="L5931">
            <v>2.0528200000000001E-11</v>
          </cell>
          <cell r="M5931">
            <v>5.2662000000000004</v>
          </cell>
          <cell r="N5931">
            <v>120.22644346174135</v>
          </cell>
          <cell r="O5931">
            <v>4.26</v>
          </cell>
          <cell r="P5931">
            <v>4.51</v>
          </cell>
          <cell r="Q5931">
            <v>4.26</v>
          </cell>
        </row>
        <row r="5932">
          <cell r="D5932" t="str">
            <v>108736-35-2</v>
          </cell>
          <cell r="E5932">
            <v>108736352</v>
          </cell>
          <cell r="F5932">
            <v>6461</v>
          </cell>
          <cell r="G5932" t="str">
            <v>PharmaUBA</v>
          </cell>
          <cell r="H5932">
            <v>5896</v>
          </cell>
          <cell r="J5932">
            <v>1804.1</v>
          </cell>
          <cell r="Q5932">
            <v>14</v>
          </cell>
        </row>
        <row r="5933">
          <cell r="D5933" t="str">
            <v>63590-64-7</v>
          </cell>
          <cell r="E5933">
            <v>63590647</v>
          </cell>
          <cell r="F5933">
            <v>3413</v>
          </cell>
          <cell r="G5933" t="str">
            <v>PharmaBeta_725</v>
          </cell>
          <cell r="H5933">
            <v>5897</v>
          </cell>
          <cell r="J5933">
            <v>387.44</v>
          </cell>
          <cell r="K5933">
            <v>239.77</v>
          </cell>
          <cell r="L5933">
            <v>2.22611E-10</v>
          </cell>
          <cell r="M5933">
            <v>436.38</v>
          </cell>
          <cell r="N5933">
            <v>29.512092266663863</v>
          </cell>
          <cell r="P5933">
            <v>6.57</v>
          </cell>
          <cell r="Q5933">
            <v>7.43</v>
          </cell>
        </row>
        <row r="5934">
          <cell r="D5934" t="str">
            <v>81093-37-0</v>
          </cell>
          <cell r="E5934">
            <v>81093370</v>
          </cell>
          <cell r="F5934">
            <v>5100</v>
          </cell>
          <cell r="G5934" t="str">
            <v>PharmaBeta_622</v>
          </cell>
          <cell r="H5934">
            <v>5898</v>
          </cell>
          <cell r="J5934">
            <v>373.45</v>
          </cell>
          <cell r="K5934">
            <v>190.88</v>
          </cell>
          <cell r="L5934">
            <v>9.7708900000000005E-7</v>
          </cell>
          <cell r="M5934">
            <v>39.570999999999998</v>
          </cell>
          <cell r="N5934">
            <v>8317.6377110267094</v>
          </cell>
          <cell r="P5934">
            <v>8.0299999999999994</v>
          </cell>
          <cell r="Q5934">
            <v>5.9700000000000006</v>
          </cell>
        </row>
        <row r="5935">
          <cell r="D5935" t="str">
            <v>177036-94-1</v>
          </cell>
          <cell r="E5935">
            <v>177036941</v>
          </cell>
          <cell r="F5935">
            <v>4835</v>
          </cell>
          <cell r="G5935" t="str">
            <v>PharmaBeta_25</v>
          </cell>
          <cell r="H5935">
            <v>5899</v>
          </cell>
          <cell r="J5935">
            <v>335.47</v>
          </cell>
          <cell r="K5935">
            <v>207.1</v>
          </cell>
          <cell r="L5935">
            <v>8.5312000000000003E-8</v>
          </cell>
          <cell r="M5935">
            <v>969.8</v>
          </cell>
          <cell r="N5935">
            <v>134.89628825916537</v>
          </cell>
          <cell r="O5935">
            <v>15.66</v>
          </cell>
          <cell r="P5935">
            <v>5.36</v>
          </cell>
          <cell r="Q5935">
            <v>8.64</v>
          </cell>
        </row>
        <row r="5936">
          <cell r="D5936" t="str">
            <v>64-86-8</v>
          </cell>
          <cell r="E5936">
            <v>64868</v>
          </cell>
          <cell r="F5936">
            <v>782</v>
          </cell>
          <cell r="G5936" t="str">
            <v>Reach_75</v>
          </cell>
          <cell r="H5936">
            <v>5900</v>
          </cell>
          <cell r="J5936">
            <v>399.44</v>
          </cell>
          <cell r="K5936">
            <v>241.78</v>
          </cell>
          <cell r="L5936">
            <v>4.2389400000000007E-9</v>
          </cell>
          <cell r="M5936">
            <v>14.363</v>
          </cell>
          <cell r="N5936">
            <v>72.443596007499067</v>
          </cell>
          <cell r="O5936">
            <v>14.64</v>
          </cell>
          <cell r="P5936">
            <v>15</v>
          </cell>
          <cell r="Q5936">
            <v>-1</v>
          </cell>
        </row>
        <row r="5937">
          <cell r="D5937" t="str">
            <v>139264-17-8</v>
          </cell>
          <cell r="E5937">
            <v>139264178</v>
          </cell>
          <cell r="F5937">
            <v>1918</v>
          </cell>
          <cell r="G5937" t="str">
            <v>PharmaBeta_800</v>
          </cell>
          <cell r="H5937">
            <v>5901</v>
          </cell>
          <cell r="J5937">
            <v>287.37</v>
          </cell>
          <cell r="K5937">
            <v>201.72</v>
          </cell>
          <cell r="L5937">
            <v>1.9195200000000002E-7</v>
          </cell>
          <cell r="M5937">
            <v>1484</v>
          </cell>
          <cell r="N5937">
            <v>83.176377110267126</v>
          </cell>
          <cell r="O5937">
            <v>11.98</v>
          </cell>
          <cell r="P5937">
            <v>5.3</v>
          </cell>
          <cell r="Q5937">
            <v>8.6999999999999993</v>
          </cell>
        </row>
        <row r="5938">
          <cell r="D5938" t="str">
            <v>404-86-4</v>
          </cell>
          <cell r="E5938">
            <v>404864</v>
          </cell>
          <cell r="F5938">
            <v>627</v>
          </cell>
          <cell r="G5938" t="str">
            <v>PharmaBeta_114</v>
          </cell>
          <cell r="H5938">
            <v>5902</v>
          </cell>
          <cell r="J5938">
            <v>305.42</v>
          </cell>
          <cell r="K5938">
            <v>196.46</v>
          </cell>
          <cell r="L5938">
            <v>1.7595600000000002E-6</v>
          </cell>
          <cell r="M5938">
            <v>4.8263999999999996</v>
          </cell>
          <cell r="N5938">
            <v>10000</v>
          </cell>
          <cell r="O5938">
            <v>10</v>
          </cell>
          <cell r="P5938">
            <v>14</v>
          </cell>
          <cell r="Q5938">
            <v>0</v>
          </cell>
        </row>
        <row r="5939">
          <cell r="D5939" t="str">
            <v>51146-56-6</v>
          </cell>
          <cell r="E5939">
            <v>51146566</v>
          </cell>
          <cell r="F5939">
            <v>4890</v>
          </cell>
          <cell r="G5939" t="str">
            <v>PharmaBeta_154</v>
          </cell>
          <cell r="H5939">
            <v>5903</v>
          </cell>
          <cell r="J5939">
            <v>139.16</v>
          </cell>
          <cell r="K5939">
            <v>71.87</v>
          </cell>
          <cell r="L5939">
            <v>2.0794800000000002E-2</v>
          </cell>
          <cell r="M5939">
            <v>21186</v>
          </cell>
          <cell r="N5939">
            <v>0.44668359215096315</v>
          </cell>
          <cell r="O5939">
            <v>8.6999999999999993</v>
          </cell>
          <cell r="P5939">
            <v>11.6</v>
          </cell>
          <cell r="Q5939">
            <v>2.4000000000000004</v>
          </cell>
        </row>
        <row r="5940">
          <cell r="D5940" t="str">
            <v>55297-95-5</v>
          </cell>
          <cell r="E5940">
            <v>55297955</v>
          </cell>
          <cell r="F5940">
            <v>5460</v>
          </cell>
          <cell r="G5940" t="str">
            <v>PharmaUBA</v>
          </cell>
          <cell r="H5940">
            <v>5904</v>
          </cell>
          <cell r="J5940">
            <v>370.58</v>
          </cell>
          <cell r="K5940">
            <v>201.8</v>
          </cell>
          <cell r="L5940">
            <v>4.9187700000000007E-6</v>
          </cell>
          <cell r="M5940">
            <v>0.26077</v>
          </cell>
          <cell r="N5940">
            <v>2818382.9312644606</v>
          </cell>
          <cell r="P5940">
            <v>4.6100000000000003</v>
          </cell>
          <cell r="Q5940">
            <v>9.39</v>
          </cell>
        </row>
        <row r="5941">
          <cell r="D5941" t="str">
            <v>1977-10-2</v>
          </cell>
          <cell r="E5941">
            <v>1977102</v>
          </cell>
          <cell r="F5941">
            <v>5350</v>
          </cell>
          <cell r="G5941" t="str">
            <v>PharmaUBA</v>
          </cell>
          <cell r="H5941">
            <v>5905</v>
          </cell>
          <cell r="J5941">
            <v>335.19</v>
          </cell>
          <cell r="K5941">
            <v>207.63</v>
          </cell>
          <cell r="L5941">
            <v>6.3717400000000012E-10</v>
          </cell>
          <cell r="M5941">
            <v>10.349</v>
          </cell>
          <cell r="N5941">
            <v>169.82436524617444</v>
          </cell>
          <cell r="O5941">
            <v>13.55</v>
          </cell>
          <cell r="P5941">
            <v>13.03</v>
          </cell>
          <cell r="Q5941">
            <v>0.97000000000000064</v>
          </cell>
        </row>
        <row r="5942">
          <cell r="D5942" t="str">
            <v>56211-40-6</v>
          </cell>
          <cell r="E5942">
            <v>56211406</v>
          </cell>
          <cell r="F5942">
            <v>5165</v>
          </cell>
          <cell r="G5942" t="str">
            <v>PharmaBeta_754</v>
          </cell>
          <cell r="H5942">
            <v>5906</v>
          </cell>
          <cell r="J5942">
            <v>348.43</v>
          </cell>
          <cell r="K5942">
            <v>225.32</v>
          </cell>
          <cell r="L5942">
            <v>5.3053400000000002E-9</v>
          </cell>
          <cell r="M5942">
            <v>10.4</v>
          </cell>
          <cell r="N5942">
            <v>89.125093813374562</v>
          </cell>
          <cell r="O5942">
            <v>6.65</v>
          </cell>
          <cell r="Q5942">
            <v>6.65</v>
          </cell>
        </row>
        <row r="5943">
          <cell r="D5943" t="str">
            <v>2709-56-0</v>
          </cell>
          <cell r="E5943">
            <v>2709560</v>
          </cell>
          <cell r="F5943">
            <v>2495</v>
          </cell>
          <cell r="G5943" t="str">
            <v>PharmaBeta_269</v>
          </cell>
          <cell r="H5943">
            <v>5907</v>
          </cell>
          <cell r="J5943">
            <v>434.53</v>
          </cell>
          <cell r="K5943">
            <v>215.88</v>
          </cell>
          <cell r="L5943">
            <v>1.3996500000000002E-10</v>
          </cell>
          <cell r="M5943">
            <v>0.56388000000000005</v>
          </cell>
          <cell r="N5943">
            <v>11748.975549395318</v>
          </cell>
          <cell r="O5943">
            <v>14.89</v>
          </cell>
          <cell r="P5943">
            <v>6.29</v>
          </cell>
          <cell r="Q5943">
            <v>7.71</v>
          </cell>
        </row>
        <row r="5944">
          <cell r="D5944" t="str">
            <v>143322-58-1</v>
          </cell>
          <cell r="E5944">
            <v>143322581</v>
          </cell>
          <cell r="F5944">
            <v>1963</v>
          </cell>
          <cell r="G5944" t="str">
            <v>PharmaBeta_199</v>
          </cell>
          <cell r="H5944">
            <v>5908</v>
          </cell>
          <cell r="J5944">
            <v>382.53</v>
          </cell>
          <cell r="K5944">
            <v>234.15</v>
          </cell>
          <cell r="L5944">
            <v>1.35966E-9</v>
          </cell>
          <cell r="M5944">
            <v>12.076000000000001</v>
          </cell>
          <cell r="N5944">
            <v>3235.9365692962833</v>
          </cell>
          <cell r="P5944">
            <v>4.83</v>
          </cell>
          <cell r="Q5944">
            <v>9.17</v>
          </cell>
        </row>
        <row r="5945">
          <cell r="D5945" t="str">
            <v>5630-53-5</v>
          </cell>
          <cell r="E5945">
            <v>5630535</v>
          </cell>
          <cell r="F5945">
            <v>3189</v>
          </cell>
          <cell r="G5945" t="str">
            <v>PharmaBeta_735</v>
          </cell>
          <cell r="H5945">
            <v>5909</v>
          </cell>
          <cell r="J5945">
            <v>312.45</v>
          </cell>
          <cell r="K5945">
            <v>170.71</v>
          </cell>
          <cell r="L5945">
            <v>4.0523200000000004E-7</v>
          </cell>
          <cell r="M5945">
            <v>1.2444</v>
          </cell>
          <cell r="N5945">
            <v>1778.2794100389244</v>
          </cell>
          <cell r="O5945">
            <v>13.59</v>
          </cell>
          <cell r="Q5945">
            <v>13.59</v>
          </cell>
        </row>
        <row r="5946">
          <cell r="D5946" t="str">
            <v>76-25-5</v>
          </cell>
          <cell r="E5946">
            <v>76255</v>
          </cell>
          <cell r="F5946">
            <v>5469</v>
          </cell>
          <cell r="G5946" t="str">
            <v>PharmaUBA</v>
          </cell>
          <cell r="H5946">
            <v>5910</v>
          </cell>
          <cell r="J5946">
            <v>434.5</v>
          </cell>
          <cell r="K5946">
            <v>223.42</v>
          </cell>
          <cell r="L5946">
            <v>1.53295E-12</v>
          </cell>
          <cell r="M5946">
            <v>43.664999999999999</v>
          </cell>
          <cell r="N5946">
            <v>489.77881936844625</v>
          </cell>
          <cell r="O5946">
            <v>13.2</v>
          </cell>
          <cell r="Q5946">
            <v>13.2</v>
          </cell>
        </row>
        <row r="5947">
          <cell r="D5947" t="str">
            <v>53-43-0</v>
          </cell>
          <cell r="E5947">
            <v>53430</v>
          </cell>
          <cell r="F5947">
            <v>3101</v>
          </cell>
          <cell r="G5947" t="str">
            <v>Reach_20</v>
          </cell>
          <cell r="H5947">
            <v>5911</v>
          </cell>
          <cell r="J5947">
            <v>288.43</v>
          </cell>
          <cell r="K5947">
            <v>144.56</v>
          </cell>
          <cell r="L5947">
            <v>3.3458300000000002E-6</v>
          </cell>
          <cell r="M5947">
            <v>35.58</v>
          </cell>
          <cell r="N5947">
            <v>954.99258602143675</v>
          </cell>
          <cell r="O5947">
            <v>15.99</v>
          </cell>
          <cell r="Q5947">
            <v>14</v>
          </cell>
        </row>
        <row r="5948">
          <cell r="D5948" t="str">
            <v>59804-37-4</v>
          </cell>
          <cell r="E5948">
            <v>59804374</v>
          </cell>
          <cell r="F5948">
            <v>5459</v>
          </cell>
          <cell r="G5948" t="str">
            <v>PharmaUBA</v>
          </cell>
          <cell r="H5948">
            <v>5912</v>
          </cell>
          <cell r="J5948">
            <v>337.38</v>
          </cell>
          <cell r="K5948">
            <v>248.6</v>
          </cell>
          <cell r="L5948">
            <v>1.086395E-12</v>
          </cell>
          <cell r="M5948">
            <v>67.983000000000004</v>
          </cell>
          <cell r="N5948">
            <v>251.18864315095806</v>
          </cell>
          <cell r="O5948">
            <v>5.5</v>
          </cell>
          <cell r="P5948">
            <v>13</v>
          </cell>
          <cell r="Q5948">
            <v>1</v>
          </cell>
        </row>
        <row r="5949">
          <cell r="D5949" t="str">
            <v>16679-58-6</v>
          </cell>
          <cell r="E5949">
            <v>16679586</v>
          </cell>
          <cell r="F5949">
            <v>6397</v>
          </cell>
          <cell r="G5949" t="str">
            <v>PharmaBeta_159</v>
          </cell>
          <cell r="H5949">
            <v>5913</v>
          </cell>
          <cell r="J5949">
            <v>1069.3</v>
          </cell>
          <cell r="Q5949">
            <v>14</v>
          </cell>
        </row>
        <row r="5950">
          <cell r="D5950" t="str">
            <v>38304-91-5</v>
          </cell>
          <cell r="E5950">
            <v>38304915</v>
          </cell>
          <cell r="F5950">
            <v>2820</v>
          </cell>
          <cell r="G5950" t="str">
            <v>PharmaBeta_508</v>
          </cell>
          <cell r="H5950">
            <v>5914</v>
          </cell>
          <cell r="J5950">
            <v>209.26</v>
          </cell>
          <cell r="K5950">
            <v>173.05</v>
          </cell>
          <cell r="L5950">
            <v>1.7728900000000001E-6</v>
          </cell>
          <cell r="M5950">
            <v>27786</v>
          </cell>
          <cell r="N5950">
            <v>22.387211385683404</v>
          </cell>
          <cell r="P5950">
            <v>9.4</v>
          </cell>
          <cell r="Q5950">
            <v>4.5999999999999996</v>
          </cell>
        </row>
        <row r="5951">
          <cell r="D5951" t="str">
            <v>1424-00-6</v>
          </cell>
          <cell r="E5951">
            <v>1424006</v>
          </cell>
          <cell r="F5951">
            <v>1955</v>
          </cell>
          <cell r="G5951" t="str">
            <v>Reach_1679</v>
          </cell>
          <cell r="H5951">
            <v>5915</v>
          </cell>
          <cell r="J5951">
            <v>304.47000000000003</v>
          </cell>
          <cell r="K5951">
            <v>144.5</v>
          </cell>
          <cell r="L5951">
            <v>4.6121800000000005E-7</v>
          </cell>
          <cell r="M5951">
            <v>3.9821</v>
          </cell>
          <cell r="N5951">
            <v>3019.9517204020176</v>
          </cell>
          <cell r="O5951">
            <v>15.99</v>
          </cell>
          <cell r="Q5951">
            <v>14</v>
          </cell>
        </row>
        <row r="5952">
          <cell r="D5952" t="str">
            <v>65807-02-5</v>
          </cell>
          <cell r="E5952">
            <v>65807025</v>
          </cell>
          <cell r="F5952">
            <v>6403</v>
          </cell>
          <cell r="G5952" t="str">
            <v>PharmaBeta_309</v>
          </cell>
          <cell r="H5952">
            <v>5916</v>
          </cell>
          <cell r="J5952">
            <v>1269.5</v>
          </cell>
          <cell r="Q5952">
            <v>14</v>
          </cell>
        </row>
        <row r="5953">
          <cell r="D5953" t="str">
            <v>73-31-4</v>
          </cell>
          <cell r="E5953">
            <v>73314</v>
          </cell>
          <cell r="F5953">
            <v>3619</v>
          </cell>
          <cell r="G5953" t="str">
            <v>PharmaBeta_477</v>
          </cell>
          <cell r="H5953">
            <v>5917</v>
          </cell>
          <cell r="J5953">
            <v>232.29</v>
          </cell>
          <cell r="K5953">
            <v>182.51</v>
          </cell>
          <cell r="L5953">
            <v>1.8262100000000003E-5</v>
          </cell>
          <cell r="M5953">
            <v>877.14</v>
          </cell>
          <cell r="N5953">
            <v>44.668359215096324</v>
          </cell>
          <cell r="O5953">
            <v>15.05</v>
          </cell>
          <cell r="P5953">
            <v>14.32</v>
          </cell>
          <cell r="Q5953">
            <v>-0.32000000000000028</v>
          </cell>
        </row>
        <row r="5954">
          <cell r="D5954" t="str">
            <v>93-14-1</v>
          </cell>
          <cell r="E5954">
            <v>93141</v>
          </cell>
          <cell r="F5954">
            <v>4061</v>
          </cell>
          <cell r="G5954" t="str">
            <v>PharmaBeta_312</v>
          </cell>
          <cell r="H5954">
            <v>5918</v>
          </cell>
          <cell r="J5954">
            <v>198.22</v>
          </cell>
          <cell r="K5954">
            <v>99.96</v>
          </cell>
          <cell r="L5954">
            <v>3.3724900000000002E-4</v>
          </cell>
          <cell r="M5954">
            <v>115000</v>
          </cell>
          <cell r="N5954">
            <v>2.6302679918953822</v>
          </cell>
          <cell r="O5954">
            <v>13.97</v>
          </cell>
          <cell r="Q5954">
            <v>13.97</v>
          </cell>
        </row>
        <row r="5955">
          <cell r="D5955" t="str">
            <v>32986-56-4</v>
          </cell>
          <cell r="E5955">
            <v>32986564</v>
          </cell>
          <cell r="F5955">
            <v>2672</v>
          </cell>
          <cell r="G5955" t="str">
            <v>PharmaBeta_747</v>
          </cell>
          <cell r="H5955">
            <v>5919</v>
          </cell>
          <cell r="J5955">
            <v>467.52</v>
          </cell>
          <cell r="K5955">
            <v>305.74</v>
          </cell>
          <cell r="L5955">
            <v>3.1592099999999999E-19</v>
          </cell>
          <cell r="M5955">
            <v>1000000</v>
          </cell>
          <cell r="N5955">
            <v>1.7378008287493753E-6</v>
          </cell>
          <cell r="O5955">
            <v>12.13</v>
          </cell>
          <cell r="P5955">
            <v>5.01</v>
          </cell>
          <cell r="Q5955">
            <v>8.99</v>
          </cell>
        </row>
        <row r="5956">
          <cell r="D5956" t="str">
            <v>137-58-6</v>
          </cell>
          <cell r="E5956">
            <v>137586</v>
          </cell>
          <cell r="F5956">
            <v>23</v>
          </cell>
          <cell r="G5956" t="str">
            <v>PharmaBeta_609</v>
          </cell>
          <cell r="H5956">
            <v>5920</v>
          </cell>
          <cell r="J5956">
            <v>248.33</v>
          </cell>
          <cell r="K5956">
            <v>145.81</v>
          </cell>
          <cell r="L5956">
            <v>8.5312000000000006E-7</v>
          </cell>
          <cell r="M5956">
            <v>6660</v>
          </cell>
          <cell r="N5956">
            <v>30.199517204020164</v>
          </cell>
          <cell r="O5956">
            <v>14.07</v>
          </cell>
          <cell r="P5956">
            <v>4.5</v>
          </cell>
          <cell r="Q5956">
            <v>9.5</v>
          </cell>
        </row>
        <row r="5957">
          <cell r="D5957" t="str">
            <v>25614-03-3</v>
          </cell>
          <cell r="E5957">
            <v>25614033</v>
          </cell>
          <cell r="F5957">
            <v>5232</v>
          </cell>
          <cell r="G5957" t="str">
            <v>PharmaUBA</v>
          </cell>
          <cell r="H5957">
            <v>5921</v>
          </cell>
          <cell r="J5957">
            <v>654.62</v>
          </cell>
          <cell r="K5957">
            <v>349.84</v>
          </cell>
          <cell r="L5957">
            <v>8.7311500000000004E-24</v>
          </cell>
          <cell r="M5957">
            <v>6.7771999999999997E-3</v>
          </cell>
          <cell r="N5957">
            <v>10715.193052376071</v>
          </cell>
          <cell r="O5957">
            <v>9.5</v>
          </cell>
          <cell r="P5957">
            <v>8.82</v>
          </cell>
          <cell r="Q5957">
            <v>5.18</v>
          </cell>
        </row>
        <row r="5958">
          <cell r="D5958" t="str">
            <v>104206-65-7</v>
          </cell>
          <cell r="E5958">
            <v>104206657</v>
          </cell>
          <cell r="F5958">
            <v>5068</v>
          </cell>
          <cell r="G5958" t="str">
            <v>PharmaBeta_554</v>
          </cell>
          <cell r="H5958">
            <v>5922</v>
          </cell>
          <cell r="J5958">
            <v>418.45</v>
          </cell>
          <cell r="K5958">
            <v>208.59</v>
          </cell>
          <cell r="L5958">
            <v>6.7983000000000007E-8</v>
          </cell>
          <cell r="M5958">
            <v>1.1660999999999999</v>
          </cell>
          <cell r="N5958">
            <v>1348.9628825916541</v>
          </cell>
          <cell r="P5958">
            <v>12.22</v>
          </cell>
          <cell r="Q5958">
            <v>1.7799999999999994</v>
          </cell>
        </row>
        <row r="5959">
          <cell r="D5959" t="str">
            <v>31218-83-4</v>
          </cell>
          <cell r="E5959">
            <v>31218834</v>
          </cell>
          <cell r="F5959">
            <v>1159</v>
          </cell>
          <cell r="G5959" t="str">
            <v>PharmaUBA</v>
          </cell>
          <cell r="H5959">
            <v>5923</v>
          </cell>
          <cell r="J5959">
            <v>312.42</v>
          </cell>
          <cell r="K5959">
            <v>202.39</v>
          </cell>
          <cell r="L5959">
            <v>9.9441800000000003E-7</v>
          </cell>
          <cell r="M5959">
            <v>161.65</v>
          </cell>
          <cell r="N5959">
            <v>263.02679918953817</v>
          </cell>
          <cell r="P5959">
            <v>16</v>
          </cell>
          <cell r="Q5959">
            <v>-2</v>
          </cell>
        </row>
        <row r="5960">
          <cell r="D5960" t="str">
            <v>125-28-0</v>
          </cell>
          <cell r="E5960">
            <v>125280</v>
          </cell>
          <cell r="F5960">
            <v>5282</v>
          </cell>
          <cell r="G5960" t="str">
            <v>PharmaUBA</v>
          </cell>
          <cell r="H5960">
            <v>5924</v>
          </cell>
          <cell r="J5960">
            <v>250.2</v>
          </cell>
          <cell r="K5960">
            <v>159.76</v>
          </cell>
          <cell r="L5960">
            <v>3.1058900000000003E-6</v>
          </cell>
          <cell r="M5960">
            <v>66.153999999999996</v>
          </cell>
          <cell r="N5960">
            <v>25703.95782768865</v>
          </cell>
          <cell r="O5960">
            <v>2.77</v>
          </cell>
          <cell r="Q5960">
            <v>2.77</v>
          </cell>
        </row>
        <row r="5961">
          <cell r="D5961" t="str">
            <v>154598-52-4</v>
          </cell>
          <cell r="E5961">
            <v>154598524</v>
          </cell>
          <cell r="F5961">
            <v>2038</v>
          </cell>
          <cell r="G5961" t="str">
            <v>PharmaBeta_196</v>
          </cell>
          <cell r="H5961">
            <v>5925</v>
          </cell>
          <cell r="J5961">
            <v>315.68</v>
          </cell>
          <cell r="K5961">
            <v>164.18</v>
          </cell>
          <cell r="L5961">
            <v>5.0254100000000004E-5</v>
          </cell>
          <cell r="M5961">
            <v>3.1863999999999999</v>
          </cell>
          <cell r="N5961">
            <v>48977.881936844686</v>
          </cell>
          <cell r="O5961">
            <v>11.78</v>
          </cell>
          <cell r="Q5961">
            <v>11.78</v>
          </cell>
        </row>
        <row r="5962">
          <cell r="D5962" t="str">
            <v>302962-49-8</v>
          </cell>
          <cell r="E5962">
            <v>302962498</v>
          </cell>
          <cell r="F5962">
            <v>4887</v>
          </cell>
          <cell r="G5962" t="str">
            <v>PharmaBeta_150</v>
          </cell>
          <cell r="H5962">
            <v>5926</v>
          </cell>
          <cell r="J5962">
            <v>547.66999999999996</v>
          </cell>
          <cell r="K5962">
            <v>296.45999999999998</v>
          </cell>
          <cell r="L5962">
            <v>5.4119800000000004E-17</v>
          </cell>
          <cell r="M5962">
            <v>9.1819999999999999E-2</v>
          </cell>
          <cell r="N5962">
            <v>75.857757502918361</v>
          </cell>
          <cell r="O5962">
            <v>9.94</v>
          </cell>
          <cell r="P5962">
            <v>12.18</v>
          </cell>
          <cell r="Q5962">
            <v>1.8200000000000003</v>
          </cell>
        </row>
        <row r="5963">
          <cell r="D5963" t="str">
            <v>120-51-4</v>
          </cell>
          <cell r="E5963">
            <v>120514</v>
          </cell>
          <cell r="F5963">
            <v>359</v>
          </cell>
          <cell r="G5963" t="str">
            <v>Reach_996</v>
          </cell>
          <cell r="H5963">
            <v>5927</v>
          </cell>
          <cell r="J5963">
            <v>212.25</v>
          </cell>
          <cell r="K5963">
            <v>70.75</v>
          </cell>
          <cell r="L5963">
            <v>7.3981500000000006E-2</v>
          </cell>
          <cell r="M5963">
            <v>72.545000000000002</v>
          </cell>
          <cell r="N5963">
            <v>3467.3685045253224</v>
          </cell>
          <cell r="Q5963">
            <v>14</v>
          </cell>
        </row>
        <row r="5964">
          <cell r="D5964" t="str">
            <v>54048-10-1</v>
          </cell>
          <cell r="E5964">
            <v>54048101</v>
          </cell>
          <cell r="F5964">
            <v>3119</v>
          </cell>
          <cell r="G5964" t="str">
            <v>PharmaBeta_229</v>
          </cell>
          <cell r="H5964">
            <v>5928</v>
          </cell>
          <cell r="J5964">
            <v>324.45999999999998</v>
          </cell>
          <cell r="K5964">
            <v>175.51</v>
          </cell>
          <cell r="L5964">
            <v>1.67958E-7</v>
          </cell>
          <cell r="M5964">
            <v>0.48815999999999998</v>
          </cell>
          <cell r="N5964">
            <v>7762.4711662869322</v>
          </cell>
          <cell r="O5964">
            <v>13.59</v>
          </cell>
          <cell r="Q5964">
            <v>13.59</v>
          </cell>
        </row>
        <row r="5965">
          <cell r="D5965" t="str">
            <v>63659-18-7</v>
          </cell>
          <cell r="E5965">
            <v>63659187</v>
          </cell>
          <cell r="F5965">
            <v>4850</v>
          </cell>
          <cell r="G5965" t="str">
            <v>PharmaBeta_87</v>
          </cell>
          <cell r="H5965">
            <v>5929</v>
          </cell>
          <cell r="J5965">
            <v>307.44</v>
          </cell>
          <cell r="K5965">
            <v>140.65</v>
          </cell>
          <cell r="L5965">
            <v>9.7975500000000007E-6</v>
          </cell>
          <cell r="M5965">
            <v>699.95</v>
          </cell>
          <cell r="N5965">
            <v>954.99258602143675</v>
          </cell>
          <cell r="O5965">
            <v>13.89</v>
          </cell>
          <cell r="P5965">
            <v>4.5</v>
          </cell>
          <cell r="Q5965">
            <v>9.5</v>
          </cell>
        </row>
        <row r="5966">
          <cell r="D5966" t="str">
            <v>129805-33-0</v>
          </cell>
          <cell r="E5966">
            <v>129805330</v>
          </cell>
          <cell r="F5966">
            <v>6462</v>
          </cell>
          <cell r="G5966" t="str">
            <v>PharmaBeta_429</v>
          </cell>
          <cell r="H5966">
            <v>5930</v>
          </cell>
          <cell r="J5966">
            <v>1036.9000000000001</v>
          </cell>
          <cell r="Q5966">
            <v>14</v>
          </cell>
        </row>
        <row r="5967">
          <cell r="D5967" t="str">
            <v>9002-96-4</v>
          </cell>
          <cell r="E5967">
            <v>9002964</v>
          </cell>
          <cell r="F5967">
            <v>5162</v>
          </cell>
          <cell r="G5967" t="str">
            <v>PharmaBeta_748</v>
          </cell>
          <cell r="H5967">
            <v>5931</v>
          </cell>
          <cell r="J5967">
            <v>574.84</v>
          </cell>
          <cell r="K5967">
            <v>253.01</v>
          </cell>
          <cell r="L5967">
            <v>1.0930600000000002E-13</v>
          </cell>
          <cell r="M5967">
            <v>5.6099999999999997E-6</v>
          </cell>
          <cell r="N5967">
            <v>204173794466.95337</v>
          </cell>
          <cell r="O5967">
            <v>14.24</v>
          </cell>
          <cell r="Q5967">
            <v>14</v>
          </cell>
        </row>
        <row r="5968">
          <cell r="D5968" t="str">
            <v>7722-84-1</v>
          </cell>
          <cell r="E5968">
            <v>7722841</v>
          </cell>
          <cell r="F5968">
            <v>6451</v>
          </cell>
          <cell r="G5968" t="str">
            <v>PharmaBeta_766</v>
          </cell>
          <cell r="H5968">
            <v>5932</v>
          </cell>
          <cell r="J5968">
            <v>1240.9000000000001</v>
          </cell>
          <cell r="Q5968">
            <v>14</v>
          </cell>
        </row>
        <row r="5969">
          <cell r="D5969" t="str">
            <v>198904-31-3</v>
          </cell>
          <cell r="E5969">
            <v>198904313</v>
          </cell>
          <cell r="F5969">
            <v>2244</v>
          </cell>
          <cell r="G5969" t="str">
            <v>PharmaBeta_57</v>
          </cell>
          <cell r="H5969">
            <v>5933</v>
          </cell>
          <cell r="J5969">
            <v>704.88</v>
          </cell>
          <cell r="K5969">
            <v>349.84</v>
          </cell>
          <cell r="L5969">
            <v>1.3863200000000003E-24</v>
          </cell>
          <cell r="M5969">
            <v>1.1405999999999999E-2</v>
          </cell>
          <cell r="N5969">
            <v>758.57757502918378</v>
          </cell>
          <cell r="O5969">
            <v>8.7799999999999994</v>
          </cell>
          <cell r="P5969">
            <v>10.07</v>
          </cell>
          <cell r="Q5969">
            <v>3.9299999999999997</v>
          </cell>
        </row>
        <row r="5970">
          <cell r="D5970" t="str">
            <v>57-91-0</v>
          </cell>
          <cell r="E5970">
            <v>57910</v>
          </cell>
          <cell r="F5970">
            <v>1117</v>
          </cell>
          <cell r="G5970" t="str">
            <v>PharmaBeta_760</v>
          </cell>
          <cell r="H5970">
            <v>5934</v>
          </cell>
          <cell r="J5970">
            <v>300.44</v>
          </cell>
          <cell r="K5970">
            <v>147.94999999999999</v>
          </cell>
          <cell r="L5970">
            <v>1.3596600000000001E-5</v>
          </cell>
          <cell r="M5970">
            <v>0.27960000000000002</v>
          </cell>
          <cell r="N5970">
            <v>70794578.438413769</v>
          </cell>
          <cell r="O5970">
            <v>4.4000000000000004</v>
          </cell>
          <cell r="Q5970">
            <v>4.4000000000000004</v>
          </cell>
        </row>
        <row r="5971">
          <cell r="D5971" t="str">
            <v>58-08-2</v>
          </cell>
          <cell r="E5971">
            <v>58082</v>
          </cell>
          <cell r="F5971">
            <v>66</v>
          </cell>
          <cell r="G5971" t="str">
            <v>Reach_45</v>
          </cell>
          <cell r="H5971">
            <v>5935</v>
          </cell>
          <cell r="J5971">
            <v>194.2</v>
          </cell>
          <cell r="K5971">
            <v>180.3</v>
          </cell>
          <cell r="L5971">
            <v>9.7708900000000005E-7</v>
          </cell>
          <cell r="M5971">
            <v>323000</v>
          </cell>
          <cell r="N5971">
            <v>1.4454397707459274</v>
          </cell>
          <cell r="Q5971">
            <v>14</v>
          </cell>
        </row>
        <row r="5972">
          <cell r="D5972" t="str">
            <v>53123-88-9</v>
          </cell>
          <cell r="E5972">
            <v>53123889</v>
          </cell>
          <cell r="F5972">
            <v>3089</v>
          </cell>
          <cell r="G5972" t="str">
            <v>PharmaBeta_690</v>
          </cell>
          <cell r="H5972">
            <v>5936</v>
          </cell>
          <cell r="J5972">
            <v>914.19</v>
          </cell>
          <cell r="K5972">
            <v>349.84</v>
          </cell>
          <cell r="L5972">
            <v>4.145630000000001E-34</v>
          </cell>
          <cell r="M5972">
            <v>4.2299999999999998E-5</v>
          </cell>
          <cell r="N5972">
            <v>64565.422903465565</v>
          </cell>
          <cell r="O5972">
            <v>10.4</v>
          </cell>
          <cell r="Q5972">
            <v>10.4</v>
          </cell>
        </row>
        <row r="5973">
          <cell r="D5973" t="str">
            <v>50-27-1</v>
          </cell>
          <cell r="E5973">
            <v>50271</v>
          </cell>
          <cell r="F5973">
            <v>54</v>
          </cell>
          <cell r="G5973" t="str">
            <v>PharmaBeta_225</v>
          </cell>
          <cell r="H5973">
            <v>5937</v>
          </cell>
          <cell r="J5973">
            <v>288.39</v>
          </cell>
          <cell r="K5973">
            <v>180.72</v>
          </cell>
          <cell r="L5973">
            <v>1.2490210000000002E-9</v>
          </cell>
          <cell r="M5973">
            <v>50.817</v>
          </cell>
          <cell r="N5973">
            <v>645.65422903465594</v>
          </cell>
          <cell r="O5973">
            <v>10</v>
          </cell>
          <cell r="Q5973">
            <v>10</v>
          </cell>
        </row>
        <row r="5974">
          <cell r="D5974" t="str">
            <v>65-85-0</v>
          </cell>
          <cell r="E5974">
            <v>65850</v>
          </cell>
          <cell r="F5974">
            <v>785</v>
          </cell>
          <cell r="G5974" t="str">
            <v>Reach_77</v>
          </cell>
          <cell r="H5974">
            <v>5938</v>
          </cell>
          <cell r="J5974">
            <v>122.12</v>
          </cell>
          <cell r="K5974">
            <v>48.85</v>
          </cell>
          <cell r="L5974">
            <v>0.39723400000000003</v>
          </cell>
          <cell r="M5974">
            <v>3479</v>
          </cell>
          <cell r="N5974">
            <v>74.131024130091816</v>
          </cell>
          <cell r="O5974">
            <v>4.0999999999999996</v>
          </cell>
          <cell r="Q5974">
            <v>4.0999999999999996</v>
          </cell>
        </row>
        <row r="5975">
          <cell r="D5975" t="str">
            <v>88768-40-5</v>
          </cell>
          <cell r="E5975">
            <v>88768405</v>
          </cell>
          <cell r="F5975">
            <v>5515</v>
          </cell>
          <cell r="G5975" t="str">
            <v>PharmaUBA</v>
          </cell>
          <cell r="H5975">
            <v>5939</v>
          </cell>
          <cell r="J5975">
            <v>417.51</v>
          </cell>
          <cell r="K5975">
            <v>323.27</v>
          </cell>
          <cell r="L5975">
            <v>2.0794800000000003E-12</v>
          </cell>
          <cell r="M5975">
            <v>7.8769999999999998</v>
          </cell>
          <cell r="N5975">
            <v>186.20871366628685</v>
          </cell>
          <cell r="O5975">
            <v>2.99</v>
          </cell>
          <cell r="P5975">
            <v>8.4700000000000006</v>
          </cell>
          <cell r="Q5975">
            <v>2.99</v>
          </cell>
        </row>
        <row r="5976">
          <cell r="D5976" t="str">
            <v>82619-04-3</v>
          </cell>
          <cell r="E5976">
            <v>82619043</v>
          </cell>
          <cell r="F5976">
            <v>5250</v>
          </cell>
          <cell r="G5976" t="str">
            <v>PharmaUBA</v>
          </cell>
          <cell r="H5976">
            <v>5940</v>
          </cell>
          <cell r="J5976">
            <v>427.46</v>
          </cell>
          <cell r="K5976">
            <v>302.95</v>
          </cell>
          <cell r="L5976">
            <v>2.6126800000000003E-14</v>
          </cell>
          <cell r="M5976">
            <v>1771.4</v>
          </cell>
          <cell r="N5976">
            <v>0.81283051616409918</v>
          </cell>
          <cell r="O5976">
            <v>2.2599999999999998</v>
          </cell>
          <cell r="P5976">
            <v>10.41</v>
          </cell>
          <cell r="Q5976">
            <v>2.2599999999999998</v>
          </cell>
        </row>
        <row r="5977">
          <cell r="D5977" t="str">
            <v>13265-10-6</v>
          </cell>
          <cell r="E5977">
            <v>13265106</v>
          </cell>
          <cell r="F5977">
            <v>5033</v>
          </cell>
          <cell r="G5977" t="str">
            <v>PharmaBeta_490</v>
          </cell>
          <cell r="H5977">
            <v>5941</v>
          </cell>
          <cell r="J5977">
            <v>365.84</v>
          </cell>
          <cell r="K5977">
            <v>237.64</v>
          </cell>
          <cell r="L5977">
            <v>4.73215E-10</v>
          </cell>
          <cell r="M5977">
            <v>1.9518</v>
          </cell>
          <cell r="N5977">
            <v>69.183097091893657</v>
          </cell>
          <cell r="O5977">
            <v>9.69</v>
          </cell>
          <cell r="P5977">
            <v>14.08</v>
          </cell>
          <cell r="Q5977">
            <v>-8.0000000000000071E-2</v>
          </cell>
        </row>
        <row r="5978">
          <cell r="D5978" t="str">
            <v>71195-58-9</v>
          </cell>
          <cell r="E5978">
            <v>71195589</v>
          </cell>
          <cell r="F5978">
            <v>3578</v>
          </cell>
          <cell r="G5978" t="str">
            <v>PharmaBeta_19</v>
          </cell>
          <cell r="H5978">
            <v>5942</v>
          </cell>
          <cell r="J5978">
            <v>416.53</v>
          </cell>
          <cell r="K5978">
            <v>239.41</v>
          </cell>
          <cell r="L5978">
            <v>8.4778800000000013E-9</v>
          </cell>
          <cell r="M5978">
            <v>270.52</v>
          </cell>
          <cell r="N5978">
            <v>229.08676527677744</v>
          </cell>
          <cell r="P5978">
            <v>7.47</v>
          </cell>
          <cell r="Q5978">
            <v>6.53</v>
          </cell>
        </row>
        <row r="5979">
          <cell r="D5979" t="str">
            <v>90566-53-3</v>
          </cell>
          <cell r="E5979">
            <v>90566533</v>
          </cell>
          <cell r="F5979">
            <v>4002</v>
          </cell>
          <cell r="G5979" t="str">
            <v>PharmaBeta_271</v>
          </cell>
          <cell r="H5979">
            <v>5943</v>
          </cell>
          <cell r="J5979">
            <v>444.51</v>
          </cell>
          <cell r="K5979">
            <v>211.49</v>
          </cell>
          <cell r="L5979">
            <v>9.9308500000000004E-11</v>
          </cell>
          <cell r="M5979">
            <v>4.5663999999999998</v>
          </cell>
          <cell r="N5979">
            <v>25.118864315095799</v>
          </cell>
          <cell r="O5979">
            <v>13.17</v>
          </cell>
          <cell r="Q5979">
            <v>13.17</v>
          </cell>
        </row>
        <row r="5980">
          <cell r="D5980" t="str">
            <v>61-76-7</v>
          </cell>
          <cell r="E5980">
            <v>61767</v>
          </cell>
          <cell r="F5980">
            <v>5952</v>
          </cell>
          <cell r="G5980" t="str">
            <v>Reach_60</v>
          </cell>
          <cell r="H5980">
            <v>5944</v>
          </cell>
          <cell r="J5980">
            <v>203.67</v>
          </cell>
          <cell r="Q5980">
            <v>14</v>
          </cell>
        </row>
        <row r="5981">
          <cell r="D5981" t="str">
            <v>437-38-7</v>
          </cell>
          <cell r="E5981">
            <v>437387</v>
          </cell>
          <cell r="F5981">
            <v>2914</v>
          </cell>
          <cell r="G5981" t="str">
            <v>PharmaBeta_247</v>
          </cell>
          <cell r="H5981">
            <v>5945</v>
          </cell>
          <cell r="J5981">
            <v>336.48</v>
          </cell>
          <cell r="K5981">
            <v>186.73</v>
          </cell>
          <cell r="L5981">
            <v>8.6911600000000013E-6</v>
          </cell>
          <cell r="M5981">
            <v>181.05</v>
          </cell>
          <cell r="N5981">
            <v>7762.4711662869322</v>
          </cell>
          <cell r="P5981">
            <v>5.92</v>
          </cell>
          <cell r="Q5981">
            <v>8.08</v>
          </cell>
        </row>
        <row r="5982">
          <cell r="D5982" t="str">
            <v>191732-72-6</v>
          </cell>
          <cell r="E5982">
            <v>191732726</v>
          </cell>
          <cell r="F5982">
            <v>5004</v>
          </cell>
          <cell r="G5982" t="str">
            <v>PharmaBeta_434</v>
          </cell>
          <cell r="H5982">
            <v>5946</v>
          </cell>
          <cell r="J5982">
            <v>432.6</v>
          </cell>
          <cell r="K5982">
            <v>229.58</v>
          </cell>
          <cell r="L5982">
            <v>4.3455800000000008E-13</v>
          </cell>
          <cell r="M5982">
            <v>4.8091999999999997</v>
          </cell>
          <cell r="N5982">
            <v>467735.14128719864</v>
          </cell>
          <cell r="O5982">
            <v>15.2</v>
          </cell>
          <cell r="Q5982">
            <v>14</v>
          </cell>
        </row>
        <row r="5983">
          <cell r="D5983" t="str">
            <v>155974-00-8</v>
          </cell>
          <cell r="E5983">
            <v>155974008</v>
          </cell>
          <cell r="F5983">
            <v>4985</v>
          </cell>
          <cell r="G5983" t="str">
            <v>PharmaBeta_350</v>
          </cell>
          <cell r="H5983">
            <v>5947</v>
          </cell>
          <cell r="J5983">
            <v>371.4</v>
          </cell>
          <cell r="K5983">
            <v>194.89</v>
          </cell>
          <cell r="L5983">
            <v>5.3586600000000004E-7</v>
          </cell>
          <cell r="M5983">
            <v>0.32984999999999998</v>
          </cell>
          <cell r="N5983">
            <v>3090.295432513592</v>
          </cell>
          <cell r="P5983">
            <v>12</v>
          </cell>
          <cell r="Q5983">
            <v>2</v>
          </cell>
        </row>
        <row r="5984">
          <cell r="D5984" t="str">
            <v>64-19-7</v>
          </cell>
          <cell r="E5984">
            <v>64197</v>
          </cell>
          <cell r="F5984">
            <v>778</v>
          </cell>
          <cell r="G5984" t="str">
            <v>Reach_72</v>
          </cell>
          <cell r="H5984">
            <v>5948</v>
          </cell>
          <cell r="J5984">
            <v>60.052</v>
          </cell>
          <cell r="K5984">
            <v>-21.26</v>
          </cell>
          <cell r="L5984">
            <v>2292.7600000000002</v>
          </cell>
          <cell r="M5984">
            <v>955000</v>
          </cell>
          <cell r="N5984">
            <v>1.2302687708123816</v>
          </cell>
          <cell r="O5984">
            <v>4.9000000000000004</v>
          </cell>
          <cell r="Q5984">
            <v>4.9000000000000004</v>
          </cell>
        </row>
        <row r="5985">
          <cell r="D5985" t="str">
            <v>155206-00-1</v>
          </cell>
          <cell r="E5985">
            <v>155206001</v>
          </cell>
          <cell r="F5985">
            <v>4852</v>
          </cell>
          <cell r="G5985" t="str">
            <v>PharmaBeta_93</v>
          </cell>
          <cell r="H5985">
            <v>5949</v>
          </cell>
          <cell r="J5985">
            <v>415.57</v>
          </cell>
          <cell r="K5985">
            <v>267.01</v>
          </cell>
          <cell r="L5985">
            <v>7.0249100000000002E-16</v>
          </cell>
          <cell r="M5985">
            <v>1.6389</v>
          </cell>
          <cell r="N5985">
            <v>9332.5430079699217</v>
          </cell>
          <cell r="O5985">
            <v>14.72</v>
          </cell>
          <cell r="P5985">
            <v>14.3</v>
          </cell>
          <cell r="Q5985">
            <v>-0.30000000000000071</v>
          </cell>
        </row>
        <row r="5986">
          <cell r="D5986" t="str">
            <v>37517-28-5</v>
          </cell>
          <cell r="E5986">
            <v>37517285</v>
          </cell>
          <cell r="F5986">
            <v>2801</v>
          </cell>
          <cell r="G5986" t="str">
            <v>PharmaBeta_36</v>
          </cell>
          <cell r="H5986">
            <v>5950</v>
          </cell>
          <cell r="J5986">
            <v>585.61</v>
          </cell>
          <cell r="K5986">
            <v>349.84</v>
          </cell>
          <cell r="L5986">
            <v>7.7180699999999999E-26</v>
          </cell>
          <cell r="M5986">
            <v>1000000</v>
          </cell>
          <cell r="N5986">
            <v>1.6595869074375584E-9</v>
          </cell>
          <cell r="O5986">
            <v>11.85</v>
          </cell>
          <cell r="P5986">
            <v>4.7300000000000004</v>
          </cell>
          <cell r="Q5986">
            <v>9.27</v>
          </cell>
        </row>
        <row r="5987">
          <cell r="D5987" t="str">
            <v>129453-61-8</v>
          </cell>
          <cell r="E5987">
            <v>129453618</v>
          </cell>
          <cell r="F5987">
            <v>414</v>
          </cell>
          <cell r="G5987" t="str">
            <v>PharmaBeta_283</v>
          </cell>
          <cell r="H5987">
            <v>5951</v>
          </cell>
          <cell r="J5987">
            <v>606.78</v>
          </cell>
          <cell r="K5987">
            <v>270.06</v>
          </cell>
          <cell r="L5987">
            <v>1.6929100000000001E-15</v>
          </cell>
          <cell r="M5987">
            <v>6.9500000000000002E-7</v>
          </cell>
          <cell r="N5987">
            <v>257039578276.88666</v>
          </cell>
          <cell r="O5987">
            <v>10</v>
          </cell>
          <cell r="Q5987">
            <v>10</v>
          </cell>
        </row>
        <row r="5988">
          <cell r="D5988" t="str">
            <v>58-14-0</v>
          </cell>
          <cell r="E5988">
            <v>58140</v>
          </cell>
          <cell r="F5988">
            <v>1161</v>
          </cell>
          <cell r="G5988" t="str">
            <v>PharmaUBA</v>
          </cell>
          <cell r="H5988">
            <v>5952</v>
          </cell>
          <cell r="J5988">
            <v>248.72</v>
          </cell>
          <cell r="K5988">
            <v>176.47</v>
          </cell>
          <cell r="L5988">
            <v>1.7595600000000002E-6</v>
          </cell>
          <cell r="M5988">
            <v>73.77</v>
          </cell>
          <cell r="N5988">
            <v>257.03957827688663</v>
          </cell>
          <cell r="P5988">
            <v>7</v>
          </cell>
          <cell r="Q5988">
            <v>7</v>
          </cell>
        </row>
        <row r="5989">
          <cell r="D5989" t="str">
            <v>10596-23-3</v>
          </cell>
          <cell r="E5989">
            <v>10596233</v>
          </cell>
          <cell r="F5989">
            <v>4991</v>
          </cell>
          <cell r="G5989" t="str">
            <v>PharmaBeta_386</v>
          </cell>
          <cell r="H5989">
            <v>5953</v>
          </cell>
          <cell r="J5989">
            <v>309.43</v>
          </cell>
          <cell r="K5989">
            <v>184.8</v>
          </cell>
          <cell r="L5989">
            <v>2.4127300000000002E-6</v>
          </cell>
          <cell r="M5989">
            <v>8.8079999999999998</v>
          </cell>
          <cell r="N5989">
            <v>7079.4578438413828</v>
          </cell>
          <cell r="P5989">
            <v>5.4</v>
          </cell>
          <cell r="Q5989">
            <v>8.6</v>
          </cell>
        </row>
        <row r="5990">
          <cell r="D5990" t="str">
            <v>79548-73-5</v>
          </cell>
          <cell r="E5990">
            <v>79548735</v>
          </cell>
          <cell r="F5990">
            <v>5415</v>
          </cell>
          <cell r="G5990" t="str">
            <v>PharmaUBA</v>
          </cell>
          <cell r="H5990">
            <v>5954</v>
          </cell>
          <cell r="J5990">
            <v>351.42</v>
          </cell>
          <cell r="K5990">
            <v>244.71</v>
          </cell>
          <cell r="L5990">
            <v>2.6526699999999998E-10</v>
          </cell>
          <cell r="M5990">
            <v>8.2377000000000006E-2</v>
          </cell>
          <cell r="N5990">
            <v>47.863009232263856</v>
          </cell>
          <cell r="O5990">
            <v>14.62</v>
          </cell>
          <cell r="P5990">
            <v>5.9</v>
          </cell>
          <cell r="Q5990">
            <v>8.1</v>
          </cell>
        </row>
        <row r="5991">
          <cell r="D5991" t="str">
            <v>51-34-3</v>
          </cell>
          <cell r="E5991">
            <v>51343</v>
          </cell>
          <cell r="F5991">
            <v>3036</v>
          </cell>
          <cell r="G5991" t="str">
            <v>Reach_15</v>
          </cell>
          <cell r="H5991">
            <v>5955</v>
          </cell>
          <cell r="J5991">
            <v>303.36</v>
          </cell>
          <cell r="K5991">
            <v>151.28</v>
          </cell>
          <cell r="L5991">
            <v>2.6393400000000007E-7</v>
          </cell>
          <cell r="M5991">
            <v>7492</v>
          </cell>
          <cell r="N5991">
            <v>2.4547089156850306</v>
          </cell>
          <cell r="O5991">
            <v>14.08</v>
          </cell>
          <cell r="P5991">
            <v>6.23</v>
          </cell>
          <cell r="Q5991">
            <v>7.77</v>
          </cell>
        </row>
        <row r="5992">
          <cell r="D5992" t="str">
            <v>175591-23-8</v>
          </cell>
          <cell r="E5992">
            <v>175591238</v>
          </cell>
          <cell r="F5992">
            <v>5141</v>
          </cell>
          <cell r="G5992" t="str">
            <v>PharmaBeta_713</v>
          </cell>
          <cell r="H5992">
            <v>5956</v>
          </cell>
          <cell r="J5992">
            <v>258.24</v>
          </cell>
          <cell r="K5992">
            <v>274.67</v>
          </cell>
          <cell r="L5992">
            <v>2.7326500000000005E-12</v>
          </cell>
          <cell r="M5992">
            <v>22.466999999999999</v>
          </cell>
          <cell r="N5992">
            <v>0.57543993733715693</v>
          </cell>
          <cell r="O5992">
            <v>8.17</v>
          </cell>
          <cell r="P5992">
            <v>14.4</v>
          </cell>
          <cell r="Q5992">
            <v>-0.40000000000000036</v>
          </cell>
        </row>
        <row r="5993">
          <cell r="D5993" t="str">
            <v>19767-45-4</v>
          </cell>
          <cell r="E5993">
            <v>19767454</v>
          </cell>
          <cell r="F5993">
            <v>5019</v>
          </cell>
          <cell r="G5993" t="str">
            <v>PharmaBeta_485</v>
          </cell>
          <cell r="H5993">
            <v>5957</v>
          </cell>
          <cell r="J5993">
            <v>141.19</v>
          </cell>
          <cell r="K5993">
            <v>71.959999999999994</v>
          </cell>
          <cell r="L5993">
            <v>1.0064150000000001E-2</v>
          </cell>
          <cell r="M5993">
            <v>105000</v>
          </cell>
          <cell r="N5993">
            <v>1.1220184543019634E-2</v>
          </cell>
          <cell r="O5993">
            <v>1.21</v>
          </cell>
          <cell r="Q5993">
            <v>1.21</v>
          </cell>
        </row>
        <row r="5994">
          <cell r="D5994" t="str">
            <v>152-97-6</v>
          </cell>
          <cell r="E5994">
            <v>152976</v>
          </cell>
          <cell r="F5994">
            <v>2026</v>
          </cell>
          <cell r="G5994" t="str">
            <v>Reach_1209</v>
          </cell>
          <cell r="H5994">
            <v>5958</v>
          </cell>
          <cell r="J5994">
            <v>376.47</v>
          </cell>
          <cell r="K5994">
            <v>204.9</v>
          </cell>
          <cell r="L5994">
            <v>5.2386899999999996E-10</v>
          </cell>
          <cell r="M5994">
            <v>54.493000000000002</v>
          </cell>
          <cell r="N5994">
            <v>114.81536214968835</v>
          </cell>
          <cell r="O5994">
            <v>13.84</v>
          </cell>
          <cell r="Q5994">
            <v>13.84</v>
          </cell>
        </row>
        <row r="5995">
          <cell r="D5995" t="str">
            <v>76712-82-8</v>
          </cell>
          <cell r="E5995">
            <v>76712828</v>
          </cell>
          <cell r="F5995">
            <v>6429</v>
          </cell>
          <cell r="G5995" t="str">
            <v>PharmaBeta_304</v>
          </cell>
          <cell r="H5995">
            <v>5959</v>
          </cell>
          <cell r="J5995">
            <v>3482.8</v>
          </cell>
          <cell r="Q5995">
            <v>14</v>
          </cell>
        </row>
        <row r="5996">
          <cell r="D5996" t="str">
            <v>31879-05-7</v>
          </cell>
          <cell r="E5996">
            <v>31879057</v>
          </cell>
          <cell r="F5996">
            <v>5309</v>
          </cell>
          <cell r="G5996" t="str">
            <v>PharmaUBA</v>
          </cell>
          <cell r="H5996">
            <v>5960</v>
          </cell>
          <cell r="J5996">
            <v>254.29</v>
          </cell>
          <cell r="K5996">
            <v>161.99</v>
          </cell>
          <cell r="L5996">
            <v>5.7585600000000008E-6</v>
          </cell>
          <cell r="M5996">
            <v>10.566000000000001</v>
          </cell>
          <cell r="N5996">
            <v>1513.5612484362093</v>
          </cell>
          <cell r="O5996">
            <v>4.8</v>
          </cell>
          <cell r="Q5996">
            <v>4.8</v>
          </cell>
        </row>
        <row r="5997">
          <cell r="D5997" t="str">
            <v>59122-46-2</v>
          </cell>
          <cell r="E5997">
            <v>59122462</v>
          </cell>
          <cell r="F5997">
            <v>3267</v>
          </cell>
          <cell r="G5997" t="str">
            <v>PharmaBeta_510</v>
          </cell>
          <cell r="H5997">
            <v>5961</v>
          </cell>
          <cell r="J5997">
            <v>382.54</v>
          </cell>
          <cell r="K5997">
            <v>192.53</v>
          </cell>
          <cell r="L5997">
            <v>6.0518199999999999E-10</v>
          </cell>
          <cell r="M5997">
            <v>15.664999999999999</v>
          </cell>
          <cell r="N5997">
            <v>29512.092266663854</v>
          </cell>
          <cell r="O5997">
            <v>15.05</v>
          </cell>
          <cell r="Q5997">
            <v>14</v>
          </cell>
        </row>
        <row r="5998">
          <cell r="D5998" t="str">
            <v>132875-61-7</v>
          </cell>
          <cell r="E5998">
            <v>132875617</v>
          </cell>
          <cell r="F5998">
            <v>5118</v>
          </cell>
          <cell r="G5998" t="str">
            <v>PharmaBeta_645</v>
          </cell>
          <cell r="H5998">
            <v>5962</v>
          </cell>
          <cell r="J5998">
            <v>444.43</v>
          </cell>
          <cell r="K5998">
            <v>332.33</v>
          </cell>
          <cell r="L5998">
            <v>6.0518199999999994E-20</v>
          </cell>
          <cell r="M5998">
            <v>66.998999999999995</v>
          </cell>
          <cell r="N5998">
            <v>2.5118864315095806</v>
          </cell>
          <cell r="O5998">
            <v>8.4</v>
          </cell>
          <cell r="P5998">
            <v>14.68</v>
          </cell>
          <cell r="Q5998">
            <v>-0.67999999999999972</v>
          </cell>
        </row>
        <row r="5999">
          <cell r="D5999" t="str">
            <v>214766-78-6</v>
          </cell>
          <cell r="E5999">
            <v>214766786</v>
          </cell>
          <cell r="F5999">
            <v>6424</v>
          </cell>
          <cell r="G5999" t="str">
            <v>PharmaBeta_156</v>
          </cell>
          <cell r="H5999">
            <v>5963</v>
          </cell>
          <cell r="J5999">
            <v>1632.3</v>
          </cell>
          <cell r="Q5999">
            <v>14</v>
          </cell>
        </row>
        <row r="6000">
          <cell r="D6000" t="str">
            <v>356-12-7</v>
          </cell>
          <cell r="E6000">
            <v>356127</v>
          </cell>
          <cell r="F6000">
            <v>5317</v>
          </cell>
          <cell r="G6000" t="str">
            <v>PharmaUBA</v>
          </cell>
          <cell r="H6000">
            <v>5964</v>
          </cell>
          <cell r="J6000">
            <v>494.53</v>
          </cell>
          <cell r="K6000">
            <v>225.15</v>
          </cell>
          <cell r="L6000">
            <v>2.4393900000000006E-12</v>
          </cell>
          <cell r="M6000">
            <v>41.582999999999998</v>
          </cell>
          <cell r="N6000">
            <v>588.84365535558959</v>
          </cell>
          <cell r="O6000">
            <v>13.74</v>
          </cell>
          <cell r="Q6000">
            <v>13.74</v>
          </cell>
        </row>
        <row r="6001">
          <cell r="D6001" t="str">
            <v>50-33-9</v>
          </cell>
          <cell r="E6001">
            <v>50339</v>
          </cell>
          <cell r="F6001">
            <v>5412</v>
          </cell>
          <cell r="G6001" t="str">
            <v>PharmaUBA</v>
          </cell>
          <cell r="H6001">
            <v>5965</v>
          </cell>
          <cell r="J6001">
            <v>308.38</v>
          </cell>
          <cell r="K6001">
            <v>212.16</v>
          </cell>
          <cell r="L6001">
            <v>6.3850700000000009E-7</v>
          </cell>
          <cell r="M6001">
            <v>27.898</v>
          </cell>
          <cell r="N6001">
            <v>3311.3112148259115</v>
          </cell>
          <cell r="O6001">
            <v>4.3</v>
          </cell>
          <cell r="Q6001">
            <v>4.3</v>
          </cell>
        </row>
        <row r="6002">
          <cell r="D6002" t="str">
            <v>983-42-6</v>
          </cell>
          <cell r="E6002">
            <v>983426</v>
          </cell>
          <cell r="F6002">
            <v>5506</v>
          </cell>
          <cell r="G6002" t="str">
            <v>PharmaUBA</v>
          </cell>
          <cell r="H6002">
            <v>5966</v>
          </cell>
          <cell r="J6002">
            <v>381.45</v>
          </cell>
          <cell r="K6002">
            <v>227.92</v>
          </cell>
          <cell r="L6002">
            <v>1.7062400000000003E-8</v>
          </cell>
          <cell r="M6002">
            <v>2.2949000000000002</v>
          </cell>
          <cell r="N6002">
            <v>3548.1338923357539</v>
          </cell>
          <cell r="O6002">
            <v>11.49</v>
          </cell>
          <cell r="P6002">
            <v>5.99</v>
          </cell>
          <cell r="Q6002">
            <v>8.01</v>
          </cell>
        </row>
        <row r="6003">
          <cell r="D6003" t="str">
            <v>81846-19-7</v>
          </cell>
          <cell r="E6003">
            <v>81846197</v>
          </cell>
          <cell r="F6003">
            <v>5172</v>
          </cell>
          <cell r="G6003" t="str">
            <v>PharmaBeta_758</v>
          </cell>
          <cell r="H6003">
            <v>5967</v>
          </cell>
          <cell r="J6003">
            <v>500.55</v>
          </cell>
          <cell r="K6003">
            <v>238.24</v>
          </cell>
          <cell r="L6003">
            <v>1.91952E-13</v>
          </cell>
          <cell r="M6003">
            <v>8.0042000000000002E-2</v>
          </cell>
          <cell r="N6003">
            <v>288403.1503126609</v>
          </cell>
          <cell r="O6003">
            <v>14.14</v>
          </cell>
          <cell r="Q6003">
            <v>14</v>
          </cell>
        </row>
        <row r="6004">
          <cell r="D6004" t="str">
            <v>62989-33-7</v>
          </cell>
          <cell r="E6004">
            <v>62989337</v>
          </cell>
          <cell r="F6004">
            <v>5129</v>
          </cell>
          <cell r="G6004" t="str">
            <v>PharmaBeta_678</v>
          </cell>
          <cell r="H6004">
            <v>5968</v>
          </cell>
          <cell r="J6004">
            <v>415.57</v>
          </cell>
          <cell r="K6004">
            <v>243.54</v>
          </cell>
          <cell r="L6004">
            <v>2.57269E-13</v>
          </cell>
          <cell r="M6004">
            <v>43.509</v>
          </cell>
          <cell r="N6004">
            <v>14125.375446227561</v>
          </cell>
          <cell r="O6004">
            <v>10.02</v>
          </cell>
          <cell r="P6004">
            <v>5.34</v>
          </cell>
          <cell r="Q6004">
            <v>8.66</v>
          </cell>
        </row>
        <row r="6005">
          <cell r="D6005" t="str">
            <v>97825-25-7</v>
          </cell>
          <cell r="E6005">
            <v>97825257</v>
          </cell>
          <cell r="F6005">
            <v>5552</v>
          </cell>
          <cell r="G6005" t="str">
            <v>PharmaUBA</v>
          </cell>
          <cell r="H6005">
            <v>5969</v>
          </cell>
          <cell r="J6005">
            <v>253.27</v>
          </cell>
          <cell r="K6005">
            <v>255.75</v>
          </cell>
          <cell r="L6005">
            <v>2.5726900000000004E-14</v>
          </cell>
          <cell r="M6005">
            <v>214000</v>
          </cell>
          <cell r="N6005">
            <v>1.4125375446227528E-2</v>
          </cell>
          <cell r="O6005">
            <v>9.3699999999999992</v>
          </cell>
          <cell r="P6005">
            <v>10.85</v>
          </cell>
          <cell r="Q6005">
            <v>3.1500000000000004</v>
          </cell>
        </row>
        <row r="6006">
          <cell r="D6006" t="str">
            <v>745-65-3</v>
          </cell>
          <cell r="E6006">
            <v>745653</v>
          </cell>
          <cell r="F6006">
            <v>3640</v>
          </cell>
          <cell r="G6006" t="str">
            <v>PharmaBeta_27</v>
          </cell>
          <cell r="H6006">
            <v>5970</v>
          </cell>
          <cell r="J6006">
            <v>354.49</v>
          </cell>
          <cell r="K6006">
            <v>217.9</v>
          </cell>
          <cell r="L6006">
            <v>3.0525700000000003E-11</v>
          </cell>
          <cell r="M6006">
            <v>3.1164000000000001</v>
          </cell>
          <cell r="N6006">
            <v>5370.3179637025269</v>
          </cell>
          <cell r="O6006">
            <v>4.9000000000000004</v>
          </cell>
          <cell r="Q6006">
            <v>4.9000000000000004</v>
          </cell>
        </row>
        <row r="6007">
          <cell r="D6007" t="str">
            <v>108-95-2</v>
          </cell>
          <cell r="E6007">
            <v>108952</v>
          </cell>
          <cell r="F6007">
            <v>252</v>
          </cell>
          <cell r="G6007" t="str">
            <v>Reach_765</v>
          </cell>
          <cell r="H6007">
            <v>5971</v>
          </cell>
          <cell r="J6007">
            <v>94.113</v>
          </cell>
          <cell r="K6007">
            <v>-2.27</v>
          </cell>
          <cell r="L6007">
            <v>43.055900000000008</v>
          </cell>
          <cell r="M6007">
            <v>35412</v>
          </cell>
          <cell r="N6007">
            <v>32.359365692962832</v>
          </cell>
          <cell r="O6007">
            <v>10</v>
          </cell>
          <cell r="Q6007">
            <v>10</v>
          </cell>
        </row>
        <row r="6008">
          <cell r="D6008" t="str">
            <v>58-74-2</v>
          </cell>
          <cell r="E6008">
            <v>58742</v>
          </cell>
          <cell r="F6008">
            <v>5083</v>
          </cell>
          <cell r="G6008" t="str">
            <v>PharmaBeta_588</v>
          </cell>
          <cell r="H6008">
            <v>5972</v>
          </cell>
          <cell r="J6008">
            <v>426.5</v>
          </cell>
          <cell r="K6008">
            <v>252.91</v>
          </cell>
          <cell r="L6008">
            <v>1.7462300000000001E-13</v>
          </cell>
          <cell r="M6008">
            <v>3.9119000000000002</v>
          </cell>
          <cell r="N6008">
            <v>89.125093813374562</v>
          </cell>
          <cell r="O6008">
            <v>15.94</v>
          </cell>
          <cell r="P6008">
            <v>5.85</v>
          </cell>
          <cell r="Q6008">
            <v>8.15</v>
          </cell>
        </row>
        <row r="6009">
          <cell r="D6009" t="str">
            <v>53-03-2</v>
          </cell>
          <cell r="E6009">
            <v>53032</v>
          </cell>
          <cell r="F6009">
            <v>5102</v>
          </cell>
          <cell r="G6009" t="str">
            <v>PharmaBeta_625</v>
          </cell>
          <cell r="H6009">
            <v>5973</v>
          </cell>
          <cell r="J6009">
            <v>358.43</v>
          </cell>
          <cell r="K6009">
            <v>213.56</v>
          </cell>
          <cell r="L6009">
            <v>5.0920600000000001E-11</v>
          </cell>
          <cell r="M6009">
            <v>562.29999999999995</v>
          </cell>
          <cell r="N6009">
            <v>38.904514499428075</v>
          </cell>
          <cell r="O6009">
            <v>13.03</v>
          </cell>
          <cell r="Q6009">
            <v>13.03</v>
          </cell>
        </row>
        <row r="6010">
          <cell r="D6010" t="str">
            <v>50-35-1</v>
          </cell>
          <cell r="E6010">
            <v>50351</v>
          </cell>
          <cell r="F6010">
            <v>5140</v>
          </cell>
          <cell r="G6010" t="str">
            <v>PharmaBeta_711</v>
          </cell>
          <cell r="H6010">
            <v>5974</v>
          </cell>
          <cell r="J6010">
            <v>452.54</v>
          </cell>
          <cell r="K6010">
            <v>204.56</v>
          </cell>
          <cell r="L6010">
            <v>5.0520700000000007E-11</v>
          </cell>
          <cell r="M6010">
            <v>0.10299</v>
          </cell>
          <cell r="N6010">
            <v>3235936.5692962883</v>
          </cell>
          <cell r="O6010">
            <v>15.1</v>
          </cell>
          <cell r="Q6010">
            <v>14</v>
          </cell>
        </row>
        <row r="6011">
          <cell r="D6011" t="str">
            <v>69004-04-2</v>
          </cell>
          <cell r="E6011">
            <v>69004042</v>
          </cell>
          <cell r="F6011">
            <v>5559</v>
          </cell>
          <cell r="G6011" t="str">
            <v>PharmaUBA</v>
          </cell>
          <cell r="H6011">
            <v>5975</v>
          </cell>
          <cell r="J6011">
            <v>585.66</v>
          </cell>
          <cell r="K6011">
            <v>349.84</v>
          </cell>
          <cell r="L6011">
            <v>1.2130300000000001E-27</v>
          </cell>
          <cell r="M6011">
            <v>159.99</v>
          </cell>
          <cell r="N6011">
            <v>0.63095734448019325</v>
          </cell>
          <cell r="O6011">
            <v>3.15</v>
          </cell>
          <cell r="P6011">
            <v>4.45</v>
          </cell>
          <cell r="Q6011">
            <v>3.15</v>
          </cell>
        </row>
        <row r="6012">
          <cell r="D6012" t="str">
            <v>183321-74-6</v>
          </cell>
          <cell r="E6012">
            <v>183321746</v>
          </cell>
          <cell r="F6012">
            <v>2183</v>
          </cell>
          <cell r="G6012" t="str">
            <v>PharmaBeta_216</v>
          </cell>
          <cell r="H6012">
            <v>5976</v>
          </cell>
          <cell r="J6012">
            <v>393.45</v>
          </cell>
          <cell r="K6012">
            <v>221.58</v>
          </cell>
          <cell r="L6012">
            <v>9.4109799999999993E-9</v>
          </cell>
          <cell r="M6012">
            <v>1.2115</v>
          </cell>
          <cell r="N6012">
            <v>616.59500186148273</v>
          </cell>
          <cell r="P6012">
            <v>8.1199999999999992</v>
          </cell>
          <cell r="Q6012">
            <v>5.8800000000000008</v>
          </cell>
        </row>
        <row r="6013">
          <cell r="D6013" t="str">
            <v>91374-21-9</v>
          </cell>
          <cell r="E6013">
            <v>91374219</v>
          </cell>
          <cell r="F6013">
            <v>5124</v>
          </cell>
          <cell r="G6013" t="str">
            <v>PharmaBeta_665</v>
          </cell>
          <cell r="H6013">
            <v>5977</v>
          </cell>
          <cell r="J6013">
            <v>403.21</v>
          </cell>
          <cell r="K6013">
            <v>212.92</v>
          </cell>
          <cell r="L6013">
            <v>3.5191200000000005E-8</v>
          </cell>
          <cell r="M6013">
            <v>0.37128</v>
          </cell>
          <cell r="N6013">
            <v>3388.4415613920255</v>
          </cell>
          <cell r="P6013">
            <v>13</v>
          </cell>
          <cell r="Q6013">
            <v>1</v>
          </cell>
        </row>
        <row r="6014">
          <cell r="D6014" t="str">
            <v>58691-88-6</v>
          </cell>
          <cell r="E6014">
            <v>58691886</v>
          </cell>
          <cell r="F6014">
            <v>5069</v>
          </cell>
          <cell r="G6014" t="str">
            <v>PharmaBeta_555</v>
          </cell>
          <cell r="H6014">
            <v>5978</v>
          </cell>
          <cell r="J6014">
            <v>329.23</v>
          </cell>
          <cell r="K6014">
            <v>175.28</v>
          </cell>
          <cell r="L6014">
            <v>9.890860000000001E-6</v>
          </cell>
          <cell r="M6014">
            <v>87.847999999999999</v>
          </cell>
          <cell r="N6014">
            <v>7585.7757502918394</v>
          </cell>
          <cell r="O6014">
            <v>2.71</v>
          </cell>
          <cell r="Q6014">
            <v>2.71</v>
          </cell>
        </row>
        <row r="6015">
          <cell r="D6015" t="str">
            <v>3385-03-3</v>
          </cell>
          <cell r="E6015">
            <v>3385033</v>
          </cell>
          <cell r="F6015">
            <v>5315</v>
          </cell>
          <cell r="G6015" t="str">
            <v>PharmaUBA</v>
          </cell>
          <cell r="H6015">
            <v>5979</v>
          </cell>
          <cell r="J6015">
            <v>434.5</v>
          </cell>
          <cell r="K6015">
            <v>224.71</v>
          </cell>
          <cell r="L6015">
            <v>8.6511700000000022E-12</v>
          </cell>
          <cell r="M6015">
            <v>29.879000000000001</v>
          </cell>
          <cell r="N6015">
            <v>457.0881896148756</v>
          </cell>
          <cell r="O6015">
            <v>13.31</v>
          </cell>
          <cell r="Q6015">
            <v>13.31</v>
          </cell>
        </row>
        <row r="6016">
          <cell r="D6016" t="str">
            <v>16846-24-5</v>
          </cell>
          <cell r="E6016">
            <v>16846245</v>
          </cell>
          <cell r="F6016">
            <v>5343</v>
          </cell>
          <cell r="G6016" t="str">
            <v>PharmaUBA</v>
          </cell>
          <cell r="H6016">
            <v>5980</v>
          </cell>
          <cell r="J6016">
            <v>875.11</v>
          </cell>
          <cell r="K6016">
            <v>349.84</v>
          </cell>
          <cell r="L6016">
            <v>1.5996E-28</v>
          </cell>
          <cell r="M6016">
            <v>2.5500000000000002E-4</v>
          </cell>
          <cell r="N6016">
            <v>40738.027780411358</v>
          </cell>
          <cell r="O6016">
            <v>12.75</v>
          </cell>
          <cell r="Q6016">
            <v>12.75</v>
          </cell>
        </row>
        <row r="6017">
          <cell r="D6017" t="str">
            <v>142217-69-4</v>
          </cell>
          <cell r="E6017">
            <v>142217694</v>
          </cell>
          <cell r="F6017">
            <v>4922</v>
          </cell>
          <cell r="G6017" t="str">
            <v>PharmaBeta_205</v>
          </cell>
          <cell r="H6017">
            <v>5981</v>
          </cell>
          <cell r="J6017">
            <v>277.29000000000002</v>
          </cell>
          <cell r="K6017">
            <v>265.52999999999997</v>
          </cell>
          <cell r="L6017">
            <v>4.0123300000000003E-15</v>
          </cell>
          <cell r="M6017">
            <v>131000</v>
          </cell>
          <cell r="N6017">
            <v>6.1659500186148221E-2</v>
          </cell>
          <cell r="O6017">
            <v>9.34</v>
          </cell>
          <cell r="P6017">
            <v>10.89</v>
          </cell>
          <cell r="Q6017">
            <v>3.1099999999999994</v>
          </cell>
        </row>
        <row r="6018">
          <cell r="D6018" t="str">
            <v>159351-69-6</v>
          </cell>
          <cell r="E6018">
            <v>159351696</v>
          </cell>
          <cell r="F6018">
            <v>2068</v>
          </cell>
          <cell r="G6018" t="str">
            <v>PharmaBeta_235</v>
          </cell>
          <cell r="H6018">
            <v>5982</v>
          </cell>
          <cell r="J6018">
            <v>958.24</v>
          </cell>
          <cell r="K6018">
            <v>349.84</v>
          </cell>
          <cell r="L6018">
            <v>1.4263100000000001E-35</v>
          </cell>
          <cell r="M6018">
            <v>2.3900000000000002E-5</v>
          </cell>
          <cell r="N6018">
            <v>33884.41561392029</v>
          </cell>
          <cell r="O6018">
            <v>10.4</v>
          </cell>
          <cell r="Q6018">
            <v>10.4</v>
          </cell>
        </row>
        <row r="6019">
          <cell r="D6019" t="str">
            <v>55-98-1</v>
          </cell>
          <cell r="E6019">
            <v>55981</v>
          </cell>
          <cell r="F6019">
            <v>708</v>
          </cell>
          <cell r="G6019" t="str">
            <v>PharmaBeta_110</v>
          </cell>
          <cell r="H6019">
            <v>5983</v>
          </cell>
          <cell r="J6019">
            <v>246.3</v>
          </cell>
          <cell r="K6019">
            <v>129.79</v>
          </cell>
          <cell r="L6019">
            <v>1.231692E-5</v>
          </cell>
          <cell r="M6019">
            <v>15306</v>
          </cell>
          <cell r="N6019">
            <v>0.20892961308540392</v>
          </cell>
          <cell r="Q6019">
            <v>14</v>
          </cell>
        </row>
        <row r="6020">
          <cell r="D6020" t="str">
            <v>110-17-8</v>
          </cell>
          <cell r="E6020">
            <v>110178</v>
          </cell>
          <cell r="F6020">
            <v>276</v>
          </cell>
          <cell r="G6020" t="str">
            <v>Reach_807</v>
          </cell>
          <cell r="H6020">
            <v>5984</v>
          </cell>
          <cell r="J6020">
            <v>116.07</v>
          </cell>
          <cell r="K6020">
            <v>84.12</v>
          </cell>
          <cell r="L6020">
            <v>1.2570190000000002E-9</v>
          </cell>
          <cell r="M6020">
            <v>55163</v>
          </cell>
          <cell r="N6020">
            <v>1.1220184543019636</v>
          </cell>
          <cell r="O6020">
            <v>3</v>
          </cell>
          <cell r="Q6020">
            <v>3</v>
          </cell>
        </row>
        <row r="6021">
          <cell r="D6021" t="str">
            <v>170729-80-3</v>
          </cell>
          <cell r="E6021">
            <v>170729803</v>
          </cell>
          <cell r="F6021">
            <v>2120</v>
          </cell>
          <cell r="G6021" t="str">
            <v>PharmaBeta_53</v>
          </cell>
          <cell r="H6021">
            <v>5985</v>
          </cell>
          <cell r="J6021">
            <v>534.44000000000005</v>
          </cell>
          <cell r="K6021">
            <v>270.10000000000002</v>
          </cell>
          <cell r="L6021">
            <v>4.9321000000000008E-12</v>
          </cell>
          <cell r="M6021">
            <v>1.9016999999999999E-2</v>
          </cell>
          <cell r="N6021">
            <v>1023.2929922807547</v>
          </cell>
          <cell r="P6021">
            <v>10.36</v>
          </cell>
          <cell r="Q6021">
            <v>3.6400000000000006</v>
          </cell>
        </row>
        <row r="6022">
          <cell r="D6022" t="str">
            <v>152-62-5</v>
          </cell>
          <cell r="E6022">
            <v>152625</v>
          </cell>
          <cell r="F6022">
            <v>5293</v>
          </cell>
          <cell r="G6022" t="str">
            <v>PharmaUBA</v>
          </cell>
          <cell r="H6022">
            <v>5986</v>
          </cell>
          <cell r="J6022">
            <v>312.45</v>
          </cell>
          <cell r="K6022">
            <v>150.63999999999999</v>
          </cell>
          <cell r="L6022">
            <v>9.5709400000000016E-5</v>
          </cell>
          <cell r="M6022">
            <v>35.338999999999999</v>
          </cell>
          <cell r="N6022">
            <v>2818.3829312644561</v>
          </cell>
          <cell r="Q6022">
            <v>14</v>
          </cell>
        </row>
        <row r="6023">
          <cell r="D6023" t="str">
            <v>139110-80-8</v>
          </cell>
          <cell r="E6023">
            <v>139110808</v>
          </cell>
          <cell r="F6023">
            <v>1916</v>
          </cell>
          <cell r="G6023" t="str">
            <v>PharmaBeta_795</v>
          </cell>
          <cell r="H6023">
            <v>5987</v>
          </cell>
          <cell r="J6023">
            <v>332.32</v>
          </cell>
          <cell r="K6023">
            <v>267.98</v>
          </cell>
          <cell r="L6023">
            <v>5.8118800000000005E-16</v>
          </cell>
          <cell r="M6023">
            <v>10925</v>
          </cell>
          <cell r="N6023">
            <v>2.1877616239495489E-5</v>
          </cell>
          <cell r="O6023">
            <v>3.46</v>
          </cell>
          <cell r="P6023">
            <v>0.74</v>
          </cell>
          <cell r="Q6023">
            <v>3.46</v>
          </cell>
        </row>
        <row r="6024">
          <cell r="D6024" t="str">
            <v>124-94-7</v>
          </cell>
          <cell r="E6024">
            <v>124947</v>
          </cell>
          <cell r="F6024">
            <v>1795</v>
          </cell>
          <cell r="G6024" t="str">
            <v>PharmaBeta_761</v>
          </cell>
          <cell r="H6024">
            <v>5988</v>
          </cell>
          <cell r="J6024">
            <v>394.44</v>
          </cell>
          <cell r="K6024">
            <v>229.89</v>
          </cell>
          <cell r="L6024">
            <v>3.1858700000000004E-13</v>
          </cell>
          <cell r="M6024">
            <v>336.82</v>
          </cell>
          <cell r="N6024">
            <v>9.1201083935590983</v>
          </cell>
          <cell r="O6024">
            <v>12.4</v>
          </cell>
          <cell r="Q6024">
            <v>12.4</v>
          </cell>
        </row>
        <row r="6025">
          <cell r="D6025" t="str">
            <v>54-11-5</v>
          </cell>
          <cell r="E6025">
            <v>54115</v>
          </cell>
          <cell r="F6025">
            <v>5066</v>
          </cell>
          <cell r="G6025" t="str">
            <v>PharmaBeta_546</v>
          </cell>
          <cell r="H6025">
            <v>5989</v>
          </cell>
          <cell r="J6025">
            <v>254.29</v>
          </cell>
          <cell r="K6025">
            <v>198.84</v>
          </cell>
          <cell r="L6025">
            <v>2.9592600000000003E-7</v>
          </cell>
          <cell r="M6025">
            <v>117.19</v>
          </cell>
          <cell r="N6025">
            <v>39.810717055349755</v>
          </cell>
          <cell r="O6025">
            <v>14.96</v>
          </cell>
          <cell r="P6025">
            <v>12.56</v>
          </cell>
          <cell r="Q6025">
            <v>1.4399999999999995</v>
          </cell>
        </row>
        <row r="6026">
          <cell r="D6026" t="str">
            <v>83150-76-9</v>
          </cell>
          <cell r="E6026">
            <v>83150769</v>
          </cell>
          <cell r="F6026">
            <v>6440</v>
          </cell>
          <cell r="G6026" t="str">
            <v>PharmaBeta_525</v>
          </cell>
          <cell r="H6026">
            <v>5990</v>
          </cell>
          <cell r="J6026">
            <v>1322.5</v>
          </cell>
          <cell r="Q6026">
            <v>14</v>
          </cell>
        </row>
        <row r="6027">
          <cell r="D6027" t="str">
            <v>78755-81-4</v>
          </cell>
          <cell r="E6027">
            <v>78755814</v>
          </cell>
          <cell r="F6027">
            <v>4957</v>
          </cell>
          <cell r="G6027" t="str">
            <v>PharmaBeta_262</v>
          </cell>
          <cell r="H6027">
            <v>5991</v>
          </cell>
          <cell r="J6027">
            <v>303.3</v>
          </cell>
          <cell r="K6027">
            <v>205.38</v>
          </cell>
          <cell r="L6027">
            <v>1.2463550000000002E-7</v>
          </cell>
          <cell r="M6027">
            <v>25.933</v>
          </cell>
          <cell r="N6027">
            <v>10.715193052376069</v>
          </cell>
          <cell r="P6027">
            <v>11.97</v>
          </cell>
          <cell r="Q6027">
            <v>2.0299999999999994</v>
          </cell>
        </row>
        <row r="6028">
          <cell r="D6028" t="str">
            <v>120287-85-6</v>
          </cell>
          <cell r="E6028">
            <v>120287856</v>
          </cell>
          <cell r="F6028">
            <v>6418</v>
          </cell>
          <cell r="G6028" t="str">
            <v>PharmaBeta_126</v>
          </cell>
          <cell r="H6028">
            <v>5992</v>
          </cell>
          <cell r="J6028">
            <v>1431.1</v>
          </cell>
          <cell r="Q6028">
            <v>14</v>
          </cell>
        </row>
        <row r="6029">
          <cell r="D6029" t="str">
            <v>437-38-7</v>
          </cell>
          <cell r="E6029">
            <v>437387</v>
          </cell>
          <cell r="F6029">
            <v>2914</v>
          </cell>
          <cell r="G6029" t="str">
            <v>PharmaBeta_247</v>
          </cell>
          <cell r="H6029">
            <v>5993</v>
          </cell>
          <cell r="J6029">
            <v>336.48</v>
          </cell>
          <cell r="K6029">
            <v>186.73</v>
          </cell>
          <cell r="L6029">
            <v>8.6911600000000013E-6</v>
          </cell>
          <cell r="M6029">
            <v>181.05</v>
          </cell>
          <cell r="N6029">
            <v>7762.4711662869322</v>
          </cell>
          <cell r="P6029">
            <v>5.92</v>
          </cell>
          <cell r="Q6029">
            <v>8.08</v>
          </cell>
        </row>
        <row r="6030">
          <cell r="D6030" t="str">
            <v>443-48-1</v>
          </cell>
          <cell r="E6030">
            <v>443481</v>
          </cell>
          <cell r="F6030">
            <v>642</v>
          </cell>
          <cell r="G6030" t="str">
            <v>PharmaBeta_493</v>
          </cell>
          <cell r="H6030">
            <v>5994</v>
          </cell>
          <cell r="J6030">
            <v>171.16</v>
          </cell>
          <cell r="K6030">
            <v>127.46</v>
          </cell>
          <cell r="L6030">
            <v>1.7462300000000001E-5</v>
          </cell>
          <cell r="M6030">
            <v>7309.4</v>
          </cell>
          <cell r="O6030">
            <v>15.64</v>
          </cell>
          <cell r="P6030">
            <v>11</v>
          </cell>
          <cell r="Q6030">
            <v>3</v>
          </cell>
        </row>
        <row r="6031">
          <cell r="D6031" t="str">
            <v>86386-73-4</v>
          </cell>
          <cell r="E6031">
            <v>86386734</v>
          </cell>
          <cell r="F6031">
            <v>969</v>
          </cell>
          <cell r="G6031" t="str">
            <v>PharmaBeta_135</v>
          </cell>
          <cell r="H6031">
            <v>5995</v>
          </cell>
          <cell r="J6031">
            <v>331.35</v>
          </cell>
          <cell r="K6031">
            <v>316.67</v>
          </cell>
          <cell r="L6031">
            <v>3.7990500000000001E-11</v>
          </cell>
          <cell r="M6031">
            <v>1238.7</v>
          </cell>
          <cell r="O6031">
            <v>5.86</v>
          </cell>
          <cell r="P6031">
            <v>5</v>
          </cell>
          <cell r="Q6031">
            <v>5.86</v>
          </cell>
        </row>
        <row r="6034">
          <cell r="J6034">
            <v>409</v>
          </cell>
          <cell r="K6034">
            <v>409</v>
          </cell>
          <cell r="L6034">
            <v>409</v>
          </cell>
          <cell r="M6034">
            <v>409</v>
          </cell>
          <cell r="N6034">
            <v>409</v>
          </cell>
          <cell r="O6034">
            <v>409</v>
          </cell>
          <cell r="P6034">
            <v>409</v>
          </cell>
        </row>
        <row r="6040">
          <cell r="D6040" t="str">
            <v>7704-34-9</v>
          </cell>
          <cell r="E6040">
            <v>7704349</v>
          </cell>
          <cell r="F6040">
            <v>6446</v>
          </cell>
          <cell r="G6040" t="str">
            <v>Pest_418</v>
          </cell>
          <cell r="H6040">
            <v>5997</v>
          </cell>
          <cell r="Q6040">
            <v>14</v>
          </cell>
        </row>
        <row r="6041">
          <cell r="D6041" t="str">
            <v>1071-83-6</v>
          </cell>
          <cell r="E6041">
            <v>1071836</v>
          </cell>
          <cell r="F6041">
            <v>212</v>
          </cell>
          <cell r="G6041" t="str">
            <v>Pest_15</v>
          </cell>
          <cell r="H6041">
            <v>5998</v>
          </cell>
          <cell r="J6041">
            <v>169.07</v>
          </cell>
          <cell r="K6041">
            <v>204.23</v>
          </cell>
          <cell r="L6041">
            <v>1.6662500000000002E-7</v>
          </cell>
          <cell r="M6041">
            <v>8744.2999999999993</v>
          </cell>
          <cell r="N6041">
            <v>1.6982436524617432E-5</v>
          </cell>
          <cell r="O6041">
            <v>0.48</v>
          </cell>
          <cell r="P6041">
            <v>4</v>
          </cell>
          <cell r="Q6041">
            <v>0.48</v>
          </cell>
        </row>
        <row r="6042">
          <cell r="D6042" t="str">
            <v>8018-01-7</v>
          </cell>
          <cell r="E6042">
            <v>8018017</v>
          </cell>
          <cell r="F6042">
            <v>1185</v>
          </cell>
          <cell r="G6042" t="str">
            <v>Pest_242</v>
          </cell>
          <cell r="H6042">
            <v>5999</v>
          </cell>
          <cell r="J6042">
            <v>541.04999999999995</v>
          </cell>
          <cell r="K6042">
            <v>0</v>
          </cell>
          <cell r="L6042">
            <v>0</v>
          </cell>
          <cell r="M6042">
            <v>0</v>
          </cell>
          <cell r="N6042">
            <v>0</v>
          </cell>
          <cell r="O6042">
            <v>0</v>
          </cell>
          <cell r="P6042">
            <v>0</v>
          </cell>
          <cell r="Q6042">
            <v>0</v>
          </cell>
        </row>
        <row r="6043">
          <cell r="D6043" t="str">
            <v>34123-59-6</v>
          </cell>
          <cell r="E6043">
            <v>34123596</v>
          </cell>
          <cell r="F6043">
            <v>49</v>
          </cell>
          <cell r="G6043" t="str">
            <v>Pest_157</v>
          </cell>
          <cell r="H6043">
            <v>6000</v>
          </cell>
          <cell r="J6043">
            <v>206.29</v>
          </cell>
          <cell r="K6043">
            <v>108.78</v>
          </cell>
          <cell r="L6043">
            <v>1.0490709999999999E-3</v>
          </cell>
          <cell r="M6043">
            <v>77.471000000000004</v>
          </cell>
          <cell r="N6043">
            <v>691.83097091893671</v>
          </cell>
          <cell r="O6043">
            <v>14.3</v>
          </cell>
          <cell r="P6043">
            <v>13.9</v>
          </cell>
          <cell r="Q6043">
            <v>9.9999999999999645E-2</v>
          </cell>
        </row>
        <row r="6044">
          <cell r="D6044" t="str">
            <v>7003-89-6</v>
          </cell>
          <cell r="E6044">
            <v>7003896</v>
          </cell>
          <cell r="F6044">
            <v>4871</v>
          </cell>
          <cell r="G6044" t="str">
            <v>Pest_302</v>
          </cell>
          <cell r="H6044">
            <v>6001</v>
          </cell>
          <cell r="J6044">
            <v>122.62</v>
          </cell>
          <cell r="K6044">
            <v>121.52</v>
          </cell>
          <cell r="L6044">
            <v>1.7195700000000001E-3</v>
          </cell>
          <cell r="M6044">
            <v>215000</v>
          </cell>
          <cell r="N6044">
            <v>3.6307805477010131E-2</v>
          </cell>
          <cell r="O6044">
            <v>0</v>
          </cell>
          <cell r="P6044">
            <v>0</v>
          </cell>
          <cell r="Q6044">
            <v>0</v>
          </cell>
        </row>
        <row r="6045">
          <cell r="D6045" t="str">
            <v>94-74-6</v>
          </cell>
          <cell r="E6045">
            <v>94746</v>
          </cell>
          <cell r="F6045">
            <v>110</v>
          </cell>
          <cell r="G6045" t="str">
            <v>Pest_369</v>
          </cell>
          <cell r="H6045">
            <v>6002</v>
          </cell>
          <cell r="J6045">
            <v>200.62</v>
          </cell>
          <cell r="K6045">
            <v>100.97</v>
          </cell>
          <cell r="L6045">
            <v>5.9851700000000008E-2</v>
          </cell>
          <cell r="M6045">
            <v>836.26</v>
          </cell>
          <cell r="N6045">
            <v>331.13112148259137</v>
          </cell>
          <cell r="O6045">
            <v>3.05</v>
          </cell>
          <cell r="P6045">
            <v>0</v>
          </cell>
          <cell r="Q6045">
            <v>3.05</v>
          </cell>
        </row>
        <row r="6046">
          <cell r="D6046" t="str">
            <v>94-75-7</v>
          </cell>
          <cell r="E6046">
            <v>94757</v>
          </cell>
          <cell r="F6046">
            <v>111</v>
          </cell>
          <cell r="G6046" t="str">
            <v>Pest_278</v>
          </cell>
          <cell r="H6046">
            <v>6003</v>
          </cell>
          <cell r="J6046">
            <v>221.04</v>
          </cell>
          <cell r="K6046">
            <v>109.13</v>
          </cell>
          <cell r="L6046">
            <v>3.7190700000000005E-3</v>
          </cell>
          <cell r="M6046">
            <v>495.23</v>
          </cell>
          <cell r="N6046">
            <v>416.86938347033572</v>
          </cell>
          <cell r="O6046">
            <v>2.97</v>
          </cell>
          <cell r="P6046">
            <v>0</v>
          </cell>
          <cell r="Q6046">
            <v>2.97</v>
          </cell>
        </row>
        <row r="6047">
          <cell r="D6047" t="str">
            <v>1582-09-8</v>
          </cell>
          <cell r="E6047">
            <v>1582098</v>
          </cell>
          <cell r="F6047">
            <v>496</v>
          </cell>
          <cell r="G6047" t="str">
            <v>Pest_85</v>
          </cell>
          <cell r="H6047">
            <v>6004</v>
          </cell>
          <cell r="J6047">
            <v>335.29</v>
          </cell>
          <cell r="K6047">
            <v>139.97</v>
          </cell>
          <cell r="L6047">
            <v>1.79955E-3</v>
          </cell>
          <cell r="M6047">
            <v>0.28364</v>
          </cell>
          <cell r="N6047">
            <v>204173.79446695308</v>
          </cell>
          <cell r="O6047">
            <v>0</v>
          </cell>
          <cell r="P6047">
            <v>0</v>
          </cell>
          <cell r="Q6047">
            <v>0</v>
          </cell>
        </row>
        <row r="6048">
          <cell r="D6048" t="str">
            <v>542-75-6</v>
          </cell>
          <cell r="E6048">
            <v>542756</v>
          </cell>
          <cell r="F6048">
            <v>1107</v>
          </cell>
          <cell r="G6048" t="str">
            <v>Pest_277</v>
          </cell>
          <cell r="H6048">
            <v>6005</v>
          </cell>
          <cell r="J6048">
            <v>110.97</v>
          </cell>
          <cell r="K6048">
            <v>-72.77</v>
          </cell>
          <cell r="L6048">
            <v>2972.59</v>
          </cell>
          <cell r="M6048">
            <v>4879.8</v>
          </cell>
          <cell r="N6048">
            <v>194.98445997580458</v>
          </cell>
          <cell r="O6048">
            <v>0</v>
          </cell>
          <cell r="P6048">
            <v>0</v>
          </cell>
          <cell r="Q6048">
            <v>0</v>
          </cell>
        </row>
        <row r="6049">
          <cell r="D6049" t="str">
            <v>15845-66-6</v>
          </cell>
          <cell r="E6049">
            <v>15845666</v>
          </cell>
          <cell r="F6049">
            <v>4965</v>
          </cell>
          <cell r="G6049" t="str">
            <v>Pest_358</v>
          </cell>
          <cell r="H6049">
            <v>6006</v>
          </cell>
          <cell r="J6049">
            <v>110.05</v>
          </cell>
          <cell r="K6049">
            <v>-10.99</v>
          </cell>
          <cell r="L6049">
            <v>7.4248100000000008</v>
          </cell>
          <cell r="M6049">
            <v>573000</v>
          </cell>
          <cell r="N6049">
            <v>0.19952623149688795</v>
          </cell>
          <cell r="O6049">
            <v>2.4</v>
          </cell>
          <cell r="P6049">
            <v>0</v>
          </cell>
          <cell r="Q6049">
            <v>2.4</v>
          </cell>
        </row>
        <row r="6050">
          <cell r="D6050" t="str">
            <v>9006-42-2</v>
          </cell>
          <cell r="E6050">
            <v>9006422</v>
          </cell>
          <cell r="F6050">
            <v>6288</v>
          </cell>
          <cell r="G6050" t="str">
            <v>Pest_377</v>
          </cell>
          <cell r="H6050">
            <v>6007</v>
          </cell>
          <cell r="J6050">
            <v>275.74</v>
          </cell>
          <cell r="K6050">
            <v>0</v>
          </cell>
          <cell r="L6050">
            <v>0</v>
          </cell>
          <cell r="M6050">
            <v>0</v>
          </cell>
          <cell r="N6050">
            <v>0</v>
          </cell>
          <cell r="O6050">
            <v>0</v>
          </cell>
          <cell r="P6050">
            <v>0</v>
          </cell>
          <cell r="Q6050">
            <v>0</v>
          </cell>
        </row>
        <row r="6051">
          <cell r="D6051" t="str">
            <v>133-07-3</v>
          </cell>
          <cell r="E6051">
            <v>133073</v>
          </cell>
          <cell r="F6051">
            <v>426</v>
          </cell>
          <cell r="G6051" t="str">
            <v>Pest_59</v>
          </cell>
          <cell r="H6051">
            <v>6008</v>
          </cell>
          <cell r="J6051">
            <v>296.56</v>
          </cell>
          <cell r="K6051">
            <v>188.69</v>
          </cell>
          <cell r="L6051">
            <v>1.8528700000000003E-6</v>
          </cell>
          <cell r="M6051">
            <v>3.0209000000000001</v>
          </cell>
          <cell r="N6051">
            <v>691.83097091893671</v>
          </cell>
          <cell r="O6051">
            <v>0</v>
          </cell>
          <cell r="P6051">
            <v>16</v>
          </cell>
          <cell r="Q6051">
            <v>-2</v>
          </cell>
        </row>
        <row r="6052">
          <cell r="D6052" t="str">
            <v>67129-08-2</v>
          </cell>
          <cell r="E6052">
            <v>67129082</v>
          </cell>
          <cell r="F6052">
            <v>81</v>
          </cell>
          <cell r="G6052" t="str">
            <v>Pest_215</v>
          </cell>
          <cell r="H6052">
            <v>6009</v>
          </cell>
          <cell r="J6052">
            <v>277.76</v>
          </cell>
          <cell r="K6052">
            <v>164.11</v>
          </cell>
          <cell r="L6052">
            <v>1.5329500000000002E-4</v>
          </cell>
          <cell r="M6052">
            <v>87.174000000000007</v>
          </cell>
          <cell r="N6052">
            <v>239.88329190194912</v>
          </cell>
          <cell r="O6052">
            <v>0</v>
          </cell>
          <cell r="P6052">
            <v>13.6</v>
          </cell>
          <cell r="Q6052">
            <v>0</v>
          </cell>
        </row>
        <row r="6053">
          <cell r="D6053" t="str">
            <v>34256-82-1</v>
          </cell>
          <cell r="E6053">
            <v>34256821</v>
          </cell>
          <cell r="F6053">
            <v>608</v>
          </cell>
          <cell r="G6053" t="str">
            <v>Pest_158</v>
          </cell>
          <cell r="H6053">
            <v>6010</v>
          </cell>
          <cell r="J6053">
            <v>269.77</v>
          </cell>
          <cell r="K6053">
            <v>128.44999999999999</v>
          </cell>
          <cell r="L6053">
            <v>3.7324000000000003E-3</v>
          </cell>
          <cell r="M6053">
            <v>866.07</v>
          </cell>
          <cell r="N6053">
            <v>2344.2288153199238</v>
          </cell>
          <cell r="O6053">
            <v>0</v>
          </cell>
          <cell r="P6053">
            <v>0</v>
          </cell>
          <cell r="Q6053">
            <v>0</v>
          </cell>
        </row>
        <row r="6054">
          <cell r="D6054" t="str">
            <v>40487-42-1</v>
          </cell>
          <cell r="E6054">
            <v>40487421</v>
          </cell>
          <cell r="F6054">
            <v>628</v>
          </cell>
          <cell r="G6054" t="str">
            <v>Pest_170</v>
          </cell>
          <cell r="H6054">
            <v>6011</v>
          </cell>
          <cell r="J6054">
            <v>281.32</v>
          </cell>
          <cell r="K6054">
            <v>148.09</v>
          </cell>
          <cell r="L6054">
            <v>2.6926600000000002E-2</v>
          </cell>
          <cell r="M6054">
            <v>16.821999999999999</v>
          </cell>
          <cell r="N6054">
            <v>66069.344800759733</v>
          </cell>
          <cell r="O6054">
            <v>0</v>
          </cell>
          <cell r="P6054">
            <v>0</v>
          </cell>
          <cell r="Q6054">
            <v>0</v>
          </cell>
        </row>
        <row r="6055">
          <cell r="D6055" t="str">
            <v>87392-12-9</v>
          </cell>
          <cell r="E6055">
            <v>87392129</v>
          </cell>
          <cell r="F6055">
            <v>1115</v>
          </cell>
          <cell r="G6055" t="str">
            <v>Pest_411</v>
          </cell>
          <cell r="H6055">
            <v>6012</v>
          </cell>
          <cell r="J6055">
            <v>283.8</v>
          </cell>
          <cell r="K6055">
            <v>136.1</v>
          </cell>
          <cell r="L6055">
            <v>0.67316500000000001</v>
          </cell>
          <cell r="M6055">
            <v>221.82</v>
          </cell>
          <cell r="N6055">
            <v>1737.8008287493772</v>
          </cell>
          <cell r="O6055">
            <v>0</v>
          </cell>
          <cell r="P6055">
            <v>15</v>
          </cell>
          <cell r="Q6055">
            <v>-1</v>
          </cell>
        </row>
        <row r="6056">
          <cell r="D6056" t="str">
            <v>1912-24-9</v>
          </cell>
          <cell r="E6056">
            <v>1912249</v>
          </cell>
          <cell r="F6056">
            <v>37</v>
          </cell>
          <cell r="G6056" t="str">
            <v>Reach_1734</v>
          </cell>
          <cell r="H6056">
            <v>6013</v>
          </cell>
          <cell r="J6056">
            <v>215.69</v>
          </cell>
          <cell r="K6056">
            <v>113.91</v>
          </cell>
          <cell r="L6056">
            <v>3.8123800000000002E-3</v>
          </cell>
          <cell r="M6056">
            <v>14.85</v>
          </cell>
          <cell r="N6056">
            <v>660.69344800759643</v>
          </cell>
          <cell r="O6056">
            <v>0</v>
          </cell>
          <cell r="P6056">
            <v>12.3</v>
          </cell>
          <cell r="Q6056">
            <v>0</v>
          </cell>
        </row>
        <row r="6057">
          <cell r="D6057" t="str">
            <v>1332-40-7</v>
          </cell>
          <cell r="E6057">
            <v>1332407</v>
          </cell>
          <cell r="F6057">
            <v>6252</v>
          </cell>
          <cell r="G6057" t="str">
            <v>Pest_310</v>
          </cell>
          <cell r="H6057">
            <v>6014</v>
          </cell>
          <cell r="J6057">
            <v>249.01</v>
          </cell>
          <cell r="K6057">
            <v>0</v>
          </cell>
          <cell r="L6057">
            <v>0</v>
          </cell>
          <cell r="M6057">
            <v>0</v>
          </cell>
          <cell r="N6057">
            <v>0</v>
          </cell>
          <cell r="O6057">
            <v>0</v>
          </cell>
          <cell r="P6057">
            <v>0</v>
          </cell>
          <cell r="Q6057">
            <v>0</v>
          </cell>
        </row>
        <row r="6058">
          <cell r="D6058" t="str">
            <v>52888-80-9</v>
          </cell>
          <cell r="E6058">
            <v>52888809</v>
          </cell>
          <cell r="F6058">
            <v>60</v>
          </cell>
          <cell r="G6058" t="str">
            <v>Pest_184</v>
          </cell>
          <cell r="H6058">
            <v>6015</v>
          </cell>
          <cell r="J6058">
            <v>251.39</v>
          </cell>
          <cell r="K6058">
            <v>117.45</v>
          </cell>
          <cell r="L6058">
            <v>6.4383900000000004E-3</v>
          </cell>
          <cell r="M6058">
            <v>14.074999999999999</v>
          </cell>
          <cell r="N6058">
            <v>16982.436524617482</v>
          </cell>
          <cell r="O6058">
            <v>0</v>
          </cell>
          <cell r="P6058">
            <v>14.6</v>
          </cell>
          <cell r="Q6058">
            <v>-0.59999999999999964</v>
          </cell>
        </row>
        <row r="6059">
          <cell r="D6059" t="str">
            <v>15972-60-8</v>
          </cell>
          <cell r="E6059">
            <v>15972608</v>
          </cell>
          <cell r="F6059">
            <v>497</v>
          </cell>
          <cell r="G6059" t="str">
            <v>Pest_86</v>
          </cell>
          <cell r="H6059">
            <v>6016</v>
          </cell>
          <cell r="J6059">
            <v>269.77</v>
          </cell>
          <cell r="K6059">
            <v>128.44999999999999</v>
          </cell>
          <cell r="L6059">
            <v>2.7326500000000001E-3</v>
          </cell>
          <cell r="M6059">
            <v>170.16</v>
          </cell>
          <cell r="N6059">
            <v>2344.2288153199238</v>
          </cell>
          <cell r="O6059">
            <v>0</v>
          </cell>
          <cell r="P6059">
            <v>0</v>
          </cell>
          <cell r="Q6059">
            <v>0</v>
          </cell>
        </row>
        <row r="6060">
          <cell r="D6060" t="str">
            <v>5915-41-3</v>
          </cell>
          <cell r="E6060">
            <v>5915413</v>
          </cell>
          <cell r="F6060">
            <v>70</v>
          </cell>
          <cell r="G6060" t="str">
            <v>Pest_201</v>
          </cell>
          <cell r="H6060">
            <v>6017</v>
          </cell>
          <cell r="J6060">
            <v>229.72</v>
          </cell>
          <cell r="K6060">
            <v>123.48</v>
          </cell>
          <cell r="L6060">
            <v>2.14613E-3</v>
          </cell>
          <cell r="M6060">
            <v>0.92374999999999996</v>
          </cell>
          <cell r="N6060">
            <v>1862.0871366628687</v>
          </cell>
          <cell r="O6060">
            <v>0</v>
          </cell>
          <cell r="P6060">
            <v>12.3</v>
          </cell>
          <cell r="Q6060">
            <v>0</v>
          </cell>
        </row>
        <row r="6061">
          <cell r="D6061" t="str">
            <v>16484-77-8</v>
          </cell>
          <cell r="E6061">
            <v>16484778</v>
          </cell>
          <cell r="F6061">
            <v>503</v>
          </cell>
          <cell r="G6061" t="str">
            <v>Reach_2421</v>
          </cell>
          <cell r="H6061">
            <v>6018</v>
          </cell>
          <cell r="J6061">
            <v>214.65</v>
          </cell>
          <cell r="K6061">
            <v>102.33</v>
          </cell>
          <cell r="L6061">
            <v>6.0784800000000007E-2</v>
          </cell>
          <cell r="M6061">
            <v>488.69</v>
          </cell>
          <cell r="N6061">
            <v>870.96358995608091</v>
          </cell>
          <cell r="O6061">
            <v>3.05</v>
          </cell>
          <cell r="P6061">
            <v>0</v>
          </cell>
          <cell r="Q6061">
            <v>3.05</v>
          </cell>
        </row>
        <row r="6062">
          <cell r="D6062" t="str">
            <v>137-26-8</v>
          </cell>
          <cell r="E6062">
            <v>137268</v>
          </cell>
          <cell r="F6062">
            <v>441</v>
          </cell>
          <cell r="G6062" t="str">
            <v>Reach_1137</v>
          </cell>
          <cell r="H6062">
            <v>6019</v>
          </cell>
          <cell r="J6062">
            <v>240.43</v>
          </cell>
          <cell r="K6062">
            <v>107.25</v>
          </cell>
          <cell r="L6062">
            <v>1.4529700000000003E-3</v>
          </cell>
          <cell r="M6062">
            <v>385.6</v>
          </cell>
          <cell r="N6062">
            <v>50.118723362727238</v>
          </cell>
          <cell r="O6062">
            <v>0</v>
          </cell>
          <cell r="P6062">
            <v>16</v>
          </cell>
          <cell r="Q6062">
            <v>-2</v>
          </cell>
        </row>
        <row r="6063">
          <cell r="D6063" t="str">
            <v>137-30-4</v>
          </cell>
          <cell r="E6063">
            <v>137304</v>
          </cell>
          <cell r="F6063">
            <v>6353</v>
          </cell>
          <cell r="G6063" t="str">
            <v>Pest_436</v>
          </cell>
          <cell r="H6063">
            <v>6020</v>
          </cell>
          <cell r="Q6063">
            <v>14</v>
          </cell>
        </row>
        <row r="6064">
          <cell r="D6064" t="str">
            <v>51276-47-2</v>
          </cell>
          <cell r="E6064">
            <v>51276472</v>
          </cell>
          <cell r="F6064">
            <v>4969</v>
          </cell>
          <cell r="G6064" t="str">
            <v>Pest_359</v>
          </cell>
          <cell r="H6064">
            <v>6021</v>
          </cell>
          <cell r="J6064">
            <v>181.13</v>
          </cell>
          <cell r="K6064">
            <v>272.12</v>
          </cell>
          <cell r="L6064">
            <v>1.5329500000000002E-8</v>
          </cell>
          <cell r="M6064">
            <v>3528.1</v>
          </cell>
          <cell r="N6064">
            <v>3.2359365692962775E-5</v>
          </cell>
          <cell r="O6064">
            <v>1.86</v>
          </cell>
          <cell r="P6064">
            <v>4.25</v>
          </cell>
          <cell r="Q6064">
            <v>1.86</v>
          </cell>
        </row>
        <row r="6065">
          <cell r="D6065" t="str">
            <v>13684-63-4</v>
          </cell>
          <cell r="E6065">
            <v>13684634</v>
          </cell>
          <cell r="F6065">
            <v>440</v>
          </cell>
          <cell r="G6065" t="str">
            <v>Pest_66</v>
          </cell>
          <cell r="H6065">
            <v>6022</v>
          </cell>
          <cell r="J6065">
            <v>300.32</v>
          </cell>
          <cell r="K6065">
            <v>126.18</v>
          </cell>
          <cell r="L6065">
            <v>8.8511200000000007E-5</v>
          </cell>
          <cell r="M6065">
            <v>4.0652999999999997</v>
          </cell>
          <cell r="N6065">
            <v>1862.0871366628687</v>
          </cell>
          <cell r="O6065">
            <v>12.9</v>
          </cell>
          <cell r="P6065">
            <v>0</v>
          </cell>
          <cell r="Q6065">
            <v>12.9</v>
          </cell>
        </row>
        <row r="6066">
          <cell r="D6066" t="str">
            <v>26225-79-6</v>
          </cell>
          <cell r="E6066">
            <v>26225796</v>
          </cell>
          <cell r="F6066">
            <v>573</v>
          </cell>
          <cell r="G6066" t="str">
            <v>Pest_136</v>
          </cell>
          <cell r="H6066">
            <v>6023</v>
          </cell>
          <cell r="J6066">
            <v>286.35000000000002</v>
          </cell>
          <cell r="K6066">
            <v>141.80000000000001</v>
          </cell>
          <cell r="L6066">
            <v>1.15971E-3</v>
          </cell>
          <cell r="M6066">
            <v>119.44</v>
          </cell>
          <cell r="N6066">
            <v>776.24711662869231</v>
          </cell>
          <cell r="O6066">
            <v>0</v>
          </cell>
          <cell r="P6066">
            <v>0</v>
          </cell>
          <cell r="Q6066">
            <v>0</v>
          </cell>
        </row>
        <row r="6067">
          <cell r="D6067" t="str">
            <v>93-65-2</v>
          </cell>
          <cell r="E6067">
            <v>93652</v>
          </cell>
          <cell r="F6067">
            <v>108</v>
          </cell>
          <cell r="G6067" t="str">
            <v>Pest_264</v>
          </cell>
          <cell r="H6067">
            <v>6024</v>
          </cell>
          <cell r="J6067">
            <v>214.65</v>
          </cell>
          <cell r="K6067">
            <v>102.33</v>
          </cell>
          <cell r="L6067">
            <v>6.0784800000000007E-2</v>
          </cell>
          <cell r="M6067">
            <v>488.69</v>
          </cell>
          <cell r="N6067">
            <v>870.96358995608091</v>
          </cell>
          <cell r="O6067">
            <v>3.05</v>
          </cell>
          <cell r="P6067">
            <v>0</v>
          </cell>
          <cell r="Q6067">
            <v>3.05</v>
          </cell>
        </row>
        <row r="6068">
          <cell r="D6068" t="str">
            <v>1897-45-6</v>
          </cell>
          <cell r="E6068">
            <v>1897456</v>
          </cell>
          <cell r="F6068">
            <v>516</v>
          </cell>
          <cell r="G6068" t="str">
            <v>Pest_102</v>
          </cell>
          <cell r="H6068">
            <v>6025</v>
          </cell>
          <cell r="J6068">
            <v>265.92</v>
          </cell>
          <cell r="K6068">
            <v>131.51</v>
          </cell>
          <cell r="L6068">
            <v>6.2917600000000009E-5</v>
          </cell>
          <cell r="M6068">
            <v>0.74482000000000004</v>
          </cell>
          <cell r="N6068">
            <v>4570.8818961487532</v>
          </cell>
          <cell r="O6068">
            <v>0</v>
          </cell>
          <cell r="P6068">
            <v>0</v>
          </cell>
          <cell r="Q6068">
            <v>0</v>
          </cell>
        </row>
        <row r="6069">
          <cell r="D6069" t="str">
            <v>1698-60-8</v>
          </cell>
          <cell r="E6069">
            <v>1698608</v>
          </cell>
          <cell r="F6069">
            <v>35</v>
          </cell>
          <cell r="G6069" t="str">
            <v>Pest_93</v>
          </cell>
          <cell r="H6069">
            <v>6026</v>
          </cell>
          <cell r="J6069">
            <v>221.65</v>
          </cell>
          <cell r="K6069">
            <v>154.76</v>
          </cell>
          <cell r="L6069">
            <v>1.4929600000000002E-4</v>
          </cell>
          <cell r="M6069">
            <v>99.7</v>
          </cell>
          <cell r="N6069">
            <v>5.7543993733715713</v>
          </cell>
          <cell r="O6069">
            <v>0</v>
          </cell>
          <cell r="P6069">
            <v>10.71</v>
          </cell>
          <cell r="Q6069">
            <v>0</v>
          </cell>
        </row>
        <row r="6070">
          <cell r="D6070" t="str">
            <v>2921-88-2</v>
          </cell>
          <cell r="E6070">
            <v>2921882</v>
          </cell>
          <cell r="F6070">
            <v>585</v>
          </cell>
          <cell r="G6070" t="str">
            <v>Pest_140</v>
          </cell>
          <cell r="H6070">
            <v>6027</v>
          </cell>
          <cell r="J6070">
            <v>350.59</v>
          </cell>
          <cell r="K6070">
            <v>82.93</v>
          </cell>
          <cell r="L6070">
            <v>2.7326500000000001E-3</v>
          </cell>
          <cell r="M6070">
            <v>0.24129</v>
          </cell>
          <cell r="N6070">
            <v>128824.95516931375</v>
          </cell>
          <cell r="O6070">
            <v>0</v>
          </cell>
          <cell r="P6070">
            <v>0</v>
          </cell>
          <cell r="Q6070">
            <v>0</v>
          </cell>
        </row>
        <row r="6071">
          <cell r="D6071" t="str">
            <v>74070-46-5</v>
          </cell>
          <cell r="E6071">
            <v>74070465</v>
          </cell>
          <cell r="F6071">
            <v>835</v>
          </cell>
          <cell r="G6071" t="str">
            <v>Pest_233</v>
          </cell>
          <cell r="H6071">
            <v>6028</v>
          </cell>
          <cell r="J6071">
            <v>264.67</v>
          </cell>
          <cell r="K6071">
            <v>160.01</v>
          </cell>
          <cell r="L6071">
            <v>3.26585E-4</v>
          </cell>
          <cell r="M6071">
            <v>24.216000000000001</v>
          </cell>
          <cell r="N6071">
            <v>7585.7757502918394</v>
          </cell>
          <cell r="O6071">
            <v>0</v>
          </cell>
          <cell r="P6071">
            <v>0</v>
          </cell>
          <cell r="Q6071">
            <v>0</v>
          </cell>
        </row>
        <row r="6072">
          <cell r="D6072" t="str">
            <v>12071-83-9</v>
          </cell>
          <cell r="E6072">
            <v>12071839</v>
          </cell>
          <cell r="F6072">
            <v>6443</v>
          </cell>
          <cell r="G6072" t="str">
            <v>Pest_402</v>
          </cell>
          <cell r="H6072">
            <v>6029</v>
          </cell>
          <cell r="Q6072">
            <v>14</v>
          </cell>
        </row>
        <row r="6073">
          <cell r="D6073" t="str">
            <v>15165-67-0</v>
          </cell>
          <cell r="E6073">
            <v>15165670</v>
          </cell>
          <cell r="F6073">
            <v>4896</v>
          </cell>
          <cell r="G6073" t="str">
            <v>Pest_323</v>
          </cell>
          <cell r="H6073">
            <v>6030</v>
          </cell>
          <cell r="J6073">
            <v>235.07</v>
          </cell>
          <cell r="K6073">
            <v>110.38</v>
          </cell>
          <cell r="L6073">
            <v>4.5188700000000004E-3</v>
          </cell>
          <cell r="M6073">
            <v>690.32</v>
          </cell>
          <cell r="N6073">
            <v>1071.5193052376069</v>
          </cell>
          <cell r="O6073">
            <v>2.97</v>
          </cell>
          <cell r="P6073">
            <v>0</v>
          </cell>
          <cell r="Q6073">
            <v>2.97</v>
          </cell>
        </row>
        <row r="6074">
          <cell r="D6074" t="str">
            <v>67564-91-4</v>
          </cell>
          <cell r="E6074">
            <v>67564914</v>
          </cell>
          <cell r="F6074">
            <v>4949</v>
          </cell>
          <cell r="G6074" t="str">
            <v>Pest_344</v>
          </cell>
          <cell r="H6074">
            <v>6031</v>
          </cell>
          <cell r="J6074">
            <v>303.49</v>
          </cell>
          <cell r="K6074">
            <v>121.28</v>
          </cell>
          <cell r="L6074">
            <v>9.9308499999999997E-3</v>
          </cell>
          <cell r="M6074">
            <v>6.1235999999999997</v>
          </cell>
          <cell r="N6074">
            <v>316227.7660168382</v>
          </cell>
          <cell r="O6074">
            <v>0</v>
          </cell>
          <cell r="P6074">
            <v>6.67</v>
          </cell>
          <cell r="Q6074">
            <v>0</v>
          </cell>
        </row>
        <row r="6075">
          <cell r="D6075" t="str">
            <v>7440-50-8</v>
          </cell>
          <cell r="E6075">
            <v>7440508</v>
          </cell>
          <cell r="F6075">
            <v>6419</v>
          </cell>
          <cell r="G6075" t="str">
            <v>Pest_305</v>
          </cell>
          <cell r="H6075">
            <v>6032</v>
          </cell>
          <cell r="Q6075">
            <v>14</v>
          </cell>
        </row>
        <row r="6076">
          <cell r="D6076" t="str">
            <v>79622-59-6</v>
          </cell>
          <cell r="E6076">
            <v>79622596</v>
          </cell>
          <cell r="F6076">
            <v>925</v>
          </cell>
          <cell r="G6076" t="str">
            <v>Pest_240</v>
          </cell>
          <cell r="H6076">
            <v>6033</v>
          </cell>
          <cell r="J6076">
            <v>465.1</v>
          </cell>
          <cell r="K6076">
            <v>190.81</v>
          </cell>
          <cell r="L6076">
            <v>7.3448299999999999E-6</v>
          </cell>
          <cell r="M6076">
            <v>0.13625999999999999</v>
          </cell>
          <cell r="N6076">
            <v>10471.285480509003</v>
          </cell>
          <cell r="O6076">
            <v>6.19</v>
          </cell>
          <cell r="P6076">
            <v>0</v>
          </cell>
          <cell r="Q6076">
            <v>6.19</v>
          </cell>
        </row>
        <row r="6077">
          <cell r="D6077" t="str">
            <v>110488-70-5</v>
          </cell>
          <cell r="E6077">
            <v>110488705</v>
          </cell>
          <cell r="F6077">
            <v>4906</v>
          </cell>
          <cell r="G6077" t="str">
            <v>Pest_330</v>
          </cell>
          <cell r="H6077">
            <v>6034</v>
          </cell>
          <cell r="J6077">
            <v>387.86</v>
          </cell>
          <cell r="K6077">
            <v>210.83</v>
          </cell>
          <cell r="L6077">
            <v>2.5726900000000005E-7</v>
          </cell>
          <cell r="M6077">
            <v>5.4282000000000004</v>
          </cell>
          <cell r="N6077">
            <v>229.08676527677744</v>
          </cell>
          <cell r="O6077">
            <v>0</v>
          </cell>
          <cell r="P6077">
            <v>15.75</v>
          </cell>
          <cell r="Q6077">
            <v>-1.75</v>
          </cell>
        </row>
        <row r="6078">
          <cell r="D6078" t="str">
            <v>133-06-2</v>
          </cell>
          <cell r="E6078">
            <v>133062</v>
          </cell>
          <cell r="F6078">
            <v>425</v>
          </cell>
          <cell r="G6078" t="str">
            <v>Pest_58</v>
          </cell>
          <cell r="H6078">
            <v>6035</v>
          </cell>
          <cell r="J6078">
            <v>300.58999999999997</v>
          </cell>
          <cell r="K6078">
            <v>183.46</v>
          </cell>
          <cell r="L6078">
            <v>3.4124800000000002E-6</v>
          </cell>
          <cell r="M6078">
            <v>124.21</v>
          </cell>
          <cell r="N6078">
            <v>549.54087385762534</v>
          </cell>
          <cell r="O6078">
            <v>0</v>
          </cell>
          <cell r="P6078">
            <v>16</v>
          </cell>
          <cell r="Q6078">
            <v>-2</v>
          </cell>
        </row>
        <row r="6079">
          <cell r="D6079" t="str">
            <v>120-36-5</v>
          </cell>
          <cell r="E6079">
            <v>120365</v>
          </cell>
          <cell r="F6079">
            <v>4895</v>
          </cell>
          <cell r="G6079" t="str">
            <v>Pest_322</v>
          </cell>
          <cell r="H6079">
            <v>6036</v>
          </cell>
          <cell r="J6079">
            <v>235.07</v>
          </cell>
          <cell r="K6079">
            <v>110.38</v>
          </cell>
          <cell r="L6079">
            <v>4.5188700000000004E-3</v>
          </cell>
          <cell r="M6079">
            <v>690.32</v>
          </cell>
          <cell r="N6079">
            <v>1071.5193052376069</v>
          </cell>
          <cell r="O6079">
            <v>2.97</v>
          </cell>
          <cell r="P6079">
            <v>0</v>
          </cell>
          <cell r="Q6079">
            <v>2.97</v>
          </cell>
        </row>
        <row r="6080">
          <cell r="D6080" t="str">
            <v>94-81-5</v>
          </cell>
          <cell r="E6080">
            <v>94815</v>
          </cell>
          <cell r="F6080">
            <v>5015</v>
          </cell>
          <cell r="G6080" t="str">
            <v>Pest_370</v>
          </cell>
          <cell r="H6080">
            <v>6037</v>
          </cell>
          <cell r="J6080">
            <v>228.68</v>
          </cell>
          <cell r="K6080">
            <v>117.51</v>
          </cell>
          <cell r="L6080">
            <v>4.0523200000000007E-3</v>
          </cell>
          <cell r="M6080">
            <v>117.73</v>
          </cell>
          <cell r="N6080">
            <v>3162.2776601683804</v>
          </cell>
          <cell r="O6080">
            <v>4.68</v>
          </cell>
          <cell r="P6080">
            <v>0</v>
          </cell>
          <cell r="Q6080">
            <v>4.68</v>
          </cell>
        </row>
        <row r="6081">
          <cell r="D6081" t="str">
            <v>24602-86-6</v>
          </cell>
          <cell r="E6081">
            <v>24602866</v>
          </cell>
          <cell r="F6081">
            <v>2398</v>
          </cell>
          <cell r="G6081" t="str">
            <v>Pest_130</v>
          </cell>
          <cell r="H6081">
            <v>6038</v>
          </cell>
          <cell r="J6081">
            <v>297.52999999999997</v>
          </cell>
          <cell r="K6081">
            <v>105.8</v>
          </cell>
          <cell r="L6081">
            <v>1.5062900000000001E-2</v>
          </cell>
          <cell r="M6081">
            <v>1.2763E-3</v>
          </cell>
          <cell r="N6081">
            <v>2398832.9190194933</v>
          </cell>
          <cell r="O6081">
            <v>0</v>
          </cell>
          <cell r="P6081">
            <v>6.2</v>
          </cell>
          <cell r="Q6081">
            <v>0</v>
          </cell>
        </row>
        <row r="6082">
          <cell r="D6082" t="str">
            <v>91315-15-0</v>
          </cell>
          <cell r="E6082">
            <v>91315150</v>
          </cell>
          <cell r="F6082">
            <v>4833</v>
          </cell>
          <cell r="G6082" t="str">
            <v>Pest_285</v>
          </cell>
          <cell r="H6082">
            <v>6039</v>
          </cell>
          <cell r="J6082">
            <v>283.5</v>
          </cell>
          <cell r="K6082">
            <v>103.44</v>
          </cell>
          <cell r="L6082">
            <v>4.8654500000000003E-3</v>
          </cell>
          <cell r="M6082">
            <v>2.7233000000000001E-3</v>
          </cell>
          <cell r="N6082">
            <v>776247.11662869214</v>
          </cell>
          <cell r="O6082">
            <v>0</v>
          </cell>
          <cell r="P6082">
            <v>6.2</v>
          </cell>
          <cell r="Q6082">
            <v>0</v>
          </cell>
        </row>
        <row r="6083">
          <cell r="D6083" t="str">
            <v>25057-89-0</v>
          </cell>
          <cell r="E6083">
            <v>25057890</v>
          </cell>
          <cell r="F6083">
            <v>39</v>
          </cell>
          <cell r="G6083" t="str">
            <v>Pest_290</v>
          </cell>
          <cell r="H6083">
            <v>6040</v>
          </cell>
          <cell r="J6083">
            <v>240.28</v>
          </cell>
          <cell r="K6083">
            <v>173.04</v>
          </cell>
          <cell r="L6083">
            <v>3.4124800000000002E-5</v>
          </cell>
          <cell r="M6083">
            <v>2850.7</v>
          </cell>
          <cell r="N6083">
            <v>46.773514128719818</v>
          </cell>
          <cell r="O6083">
            <v>2.9</v>
          </cell>
          <cell r="P6083">
            <v>0</v>
          </cell>
          <cell r="Q6083">
            <v>2.9</v>
          </cell>
        </row>
        <row r="6084">
          <cell r="D6084" t="str">
            <v>15299-99-7</v>
          </cell>
          <cell r="E6084">
            <v>15299997</v>
          </cell>
          <cell r="F6084">
            <v>5058</v>
          </cell>
          <cell r="G6084" t="str">
            <v>Pest_380</v>
          </cell>
          <cell r="H6084">
            <v>6041</v>
          </cell>
          <cell r="J6084">
            <v>271.36</v>
          </cell>
          <cell r="K6084">
            <v>140.02000000000001</v>
          </cell>
          <cell r="L6084">
            <v>3.8523700000000003E-4</v>
          </cell>
          <cell r="M6084">
            <v>42.350999999999999</v>
          </cell>
          <cell r="N6084">
            <v>2137.9620895022344</v>
          </cell>
          <cell r="O6084">
            <v>0</v>
          </cell>
          <cell r="P6084">
            <v>15.58</v>
          </cell>
          <cell r="Q6084">
            <v>-1.58</v>
          </cell>
        </row>
        <row r="6085">
          <cell r="D6085" t="str">
            <v>731-27-1</v>
          </cell>
          <cell r="E6085">
            <v>731271</v>
          </cell>
          <cell r="F6085">
            <v>827</v>
          </cell>
          <cell r="G6085" t="str">
            <v>Pest_229</v>
          </cell>
          <cell r="H6085">
            <v>6042</v>
          </cell>
          <cell r="J6085">
            <v>347.26</v>
          </cell>
          <cell r="K6085">
            <v>150.76</v>
          </cell>
          <cell r="L6085">
            <v>2.6393400000000001E-4</v>
          </cell>
          <cell r="M6085">
            <v>2.1833999999999998</v>
          </cell>
          <cell r="N6085">
            <v>1862.0871366628687</v>
          </cell>
          <cell r="O6085">
            <v>0</v>
          </cell>
          <cell r="P6085">
            <v>0</v>
          </cell>
          <cell r="Q6085">
            <v>0</v>
          </cell>
        </row>
        <row r="6086">
          <cell r="D6086" t="str">
            <v>99105-77-8</v>
          </cell>
          <cell r="E6086">
            <v>99105778</v>
          </cell>
          <cell r="F6086">
            <v>1083</v>
          </cell>
          <cell r="G6086" t="str">
            <v>Pest_274</v>
          </cell>
          <cell r="H6086">
            <v>6043</v>
          </cell>
          <cell r="J6086">
            <v>328.77</v>
          </cell>
          <cell r="K6086">
            <v>200.23</v>
          </cell>
          <cell r="L6086">
            <v>1.2036990000000002E-6</v>
          </cell>
          <cell r="M6086">
            <v>281.82</v>
          </cell>
          <cell r="N6086">
            <v>204.17379446695315</v>
          </cell>
          <cell r="O6086">
            <v>3.14</v>
          </cell>
          <cell r="P6086">
            <v>0</v>
          </cell>
          <cell r="Q6086">
            <v>3.14</v>
          </cell>
        </row>
        <row r="6087">
          <cell r="D6087" t="str">
            <v>13181-17-4</v>
          </cell>
          <cell r="E6087">
            <v>13181174</v>
          </cell>
          <cell r="F6087">
            <v>422</v>
          </cell>
          <cell r="G6087" t="str">
            <v>Pest_55</v>
          </cell>
          <cell r="H6087">
            <v>6044</v>
          </cell>
          <cell r="J6087">
            <v>461.04</v>
          </cell>
          <cell r="K6087">
            <v>221.33</v>
          </cell>
          <cell r="L6087">
            <v>2.2794300000000003E-9</v>
          </cell>
          <cell r="M6087">
            <v>0.60507</v>
          </cell>
          <cell r="N6087">
            <v>3548.1338923357539</v>
          </cell>
          <cell r="O6087">
            <v>5.0599999999999996</v>
          </cell>
          <cell r="P6087">
            <v>0</v>
          </cell>
          <cell r="Q6087">
            <v>5.0599999999999996</v>
          </cell>
        </row>
        <row r="6088">
          <cell r="D6088" t="str">
            <v>94-82-6</v>
          </cell>
          <cell r="E6088">
            <v>94826</v>
          </cell>
          <cell r="F6088">
            <v>4327</v>
          </cell>
          <cell r="G6088" t="str">
            <v>Pest_279</v>
          </cell>
          <cell r="H6088">
            <v>6045</v>
          </cell>
          <cell r="J6088">
            <v>249.09</v>
          </cell>
          <cell r="K6088">
            <v>125.28</v>
          </cell>
          <cell r="L6088">
            <v>8.4912100000000008E-3</v>
          </cell>
          <cell r="M6088">
            <v>127.1</v>
          </cell>
          <cell r="N6088">
            <v>3981.0717055349769</v>
          </cell>
          <cell r="O6088">
            <v>4.66</v>
          </cell>
          <cell r="P6088">
            <v>0</v>
          </cell>
          <cell r="Q6088">
            <v>4.66</v>
          </cell>
        </row>
        <row r="6089">
          <cell r="D6089" t="str">
            <v>107534-96-3</v>
          </cell>
          <cell r="E6089">
            <v>107534963</v>
          </cell>
          <cell r="F6089">
            <v>221</v>
          </cell>
          <cell r="G6089" t="str">
            <v>Pest_16</v>
          </cell>
          <cell r="H6089">
            <v>6046</v>
          </cell>
          <cell r="J6089">
            <v>307.83</v>
          </cell>
          <cell r="K6089">
            <v>162.86000000000001</v>
          </cell>
          <cell r="L6089">
            <v>6.1451300000000011E-6</v>
          </cell>
          <cell r="M6089">
            <v>29.289000000000001</v>
          </cell>
          <cell r="N6089">
            <v>7762.4711662869322</v>
          </cell>
          <cell r="O6089">
            <v>13.68</v>
          </cell>
          <cell r="P6089">
            <v>12</v>
          </cell>
          <cell r="Q6089">
            <v>2</v>
          </cell>
        </row>
        <row r="6090">
          <cell r="D6090" t="str">
            <v>51218-45-2</v>
          </cell>
          <cell r="E6090">
            <v>51218452</v>
          </cell>
          <cell r="F6090">
            <v>56</v>
          </cell>
          <cell r="G6090" t="str">
            <v>Pest_180</v>
          </cell>
          <cell r="H6090">
            <v>6047</v>
          </cell>
          <cell r="J6090">
            <v>283.8</v>
          </cell>
          <cell r="K6090">
            <v>136.1</v>
          </cell>
          <cell r="L6090">
            <v>0.67316500000000001</v>
          </cell>
          <cell r="M6090">
            <v>221.82</v>
          </cell>
          <cell r="N6090">
            <v>1737.8008287493772</v>
          </cell>
          <cell r="O6090">
            <v>0</v>
          </cell>
          <cell r="P6090">
            <v>15.49</v>
          </cell>
          <cell r="Q6090">
            <v>-1.4900000000000002</v>
          </cell>
        </row>
        <row r="6091">
          <cell r="D6091" t="str">
            <v>50563-36-5</v>
          </cell>
          <cell r="E6091">
            <v>50563365</v>
          </cell>
          <cell r="F6091">
            <v>663</v>
          </cell>
          <cell r="G6091" t="str">
            <v>Pest_179</v>
          </cell>
          <cell r="H6091">
            <v>6048</v>
          </cell>
          <cell r="J6091">
            <v>255.75</v>
          </cell>
          <cell r="K6091">
            <v>120.55</v>
          </cell>
          <cell r="L6091">
            <v>5.7452300000000005E-2</v>
          </cell>
          <cell r="M6091">
            <v>2277.6999999999998</v>
          </cell>
          <cell r="N6091">
            <v>213.79620895022339</v>
          </cell>
          <cell r="O6091">
            <v>0</v>
          </cell>
          <cell r="P6091">
            <v>15</v>
          </cell>
          <cell r="Q6091">
            <v>-1</v>
          </cell>
        </row>
        <row r="6092">
          <cell r="D6092" t="str">
            <v>131860-33-8</v>
          </cell>
          <cell r="E6092">
            <v>131860338</v>
          </cell>
          <cell r="F6092">
            <v>423</v>
          </cell>
          <cell r="G6092" t="str">
            <v>Pest_56</v>
          </cell>
          <cell r="H6092">
            <v>6049</v>
          </cell>
          <cell r="J6092">
            <v>403.4</v>
          </cell>
          <cell r="K6092">
            <v>228.12</v>
          </cell>
          <cell r="L6092">
            <v>6.5983500000000016E-8</v>
          </cell>
          <cell r="M6092">
            <v>2.3035999999999999</v>
          </cell>
          <cell r="N6092">
            <v>38.018939632056139</v>
          </cell>
          <cell r="O6092">
            <v>0</v>
          </cell>
          <cell r="P6092">
            <v>13</v>
          </cell>
          <cell r="Q6092">
            <v>0</v>
          </cell>
        </row>
        <row r="6093">
          <cell r="D6093" t="str">
            <v>143390-89-0</v>
          </cell>
          <cell r="E6093">
            <v>143390890</v>
          </cell>
          <cell r="F6093">
            <v>470</v>
          </cell>
          <cell r="G6093" t="str">
            <v>Pest_74</v>
          </cell>
          <cell r="H6093">
            <v>6050</v>
          </cell>
          <cell r="J6093">
            <v>313.35000000000002</v>
          </cell>
          <cell r="K6093">
            <v>137.43</v>
          </cell>
          <cell r="L6093">
            <v>1.6795800000000001E-4</v>
          </cell>
          <cell r="M6093">
            <v>4.1649000000000003</v>
          </cell>
          <cell r="N6093">
            <v>758577.57502918423</v>
          </cell>
          <cell r="O6093">
            <v>0</v>
          </cell>
          <cell r="P6093">
            <v>0</v>
          </cell>
          <cell r="Q6093">
            <v>0</v>
          </cell>
        </row>
        <row r="6094">
          <cell r="D6094" t="str">
            <v>149961-52-4</v>
          </cell>
          <cell r="E6094">
            <v>149961524</v>
          </cell>
          <cell r="F6094">
            <v>481</v>
          </cell>
          <cell r="G6094" t="str">
            <v>Pest_78</v>
          </cell>
          <cell r="H6094">
            <v>6051</v>
          </cell>
          <cell r="J6094">
            <v>326.39999999999998</v>
          </cell>
          <cell r="K6094">
            <v>205.98</v>
          </cell>
          <cell r="L6094">
            <v>1.0104140000000001E-7</v>
          </cell>
          <cell r="M6094">
            <v>3.1354000000000002</v>
          </cell>
          <cell r="N6094">
            <v>229086.76527677779</v>
          </cell>
          <cell r="O6094">
            <v>13.1</v>
          </cell>
          <cell r="P6094">
            <v>0</v>
          </cell>
          <cell r="Q6094">
            <v>13.1</v>
          </cell>
        </row>
        <row r="6095">
          <cell r="D6095" t="str">
            <v>117428-22-5</v>
          </cell>
          <cell r="E6095">
            <v>117428225</v>
          </cell>
          <cell r="F6095">
            <v>5095</v>
          </cell>
          <cell r="G6095" t="str">
            <v>Pest_396</v>
          </cell>
          <cell r="H6095">
            <v>6052</v>
          </cell>
          <cell r="J6095">
            <v>367.32</v>
          </cell>
          <cell r="K6095">
            <v>150.04</v>
          </cell>
          <cell r="L6095">
            <v>5.9851700000000008E-5</v>
          </cell>
          <cell r="M6095">
            <v>4.9221000000000004</v>
          </cell>
          <cell r="N6095">
            <v>4677.3514128719844</v>
          </cell>
          <cell r="O6095">
            <v>0</v>
          </cell>
          <cell r="P6095">
            <v>15.14</v>
          </cell>
          <cell r="Q6095">
            <v>-1.1400000000000006</v>
          </cell>
        </row>
        <row r="6096">
          <cell r="D6096" t="str">
            <v>141517-21-7</v>
          </cell>
          <cell r="E6096">
            <v>141517217</v>
          </cell>
          <cell r="F6096">
            <v>5178</v>
          </cell>
          <cell r="G6096" t="str">
            <v>Pest_431</v>
          </cell>
          <cell r="H6096">
            <v>6053</v>
          </cell>
          <cell r="J6096">
            <v>408.38</v>
          </cell>
          <cell r="K6096">
            <v>158.46</v>
          </cell>
          <cell r="L6096">
            <v>7.4914600000000008E-6</v>
          </cell>
          <cell r="M6096">
            <v>0.13533999999999999</v>
          </cell>
          <cell r="N6096">
            <v>4168693.8347033644</v>
          </cell>
          <cell r="O6096">
            <v>0</v>
          </cell>
          <cell r="P6096">
            <v>0</v>
          </cell>
          <cell r="Q6096">
            <v>0</v>
          </cell>
        </row>
        <row r="6097">
          <cell r="D6097" t="str">
            <v>175013-18-0</v>
          </cell>
          <cell r="E6097">
            <v>175013180</v>
          </cell>
          <cell r="F6097">
            <v>512</v>
          </cell>
          <cell r="G6097" t="str">
            <v>Pest_97</v>
          </cell>
          <cell r="H6097">
            <v>6054</v>
          </cell>
          <cell r="J6097">
            <v>387.83</v>
          </cell>
          <cell r="K6097">
            <v>205.43</v>
          </cell>
          <cell r="L6097">
            <v>1.0983920000000002E-7</v>
          </cell>
          <cell r="M6097">
            <v>1.347</v>
          </cell>
          <cell r="N6097">
            <v>281838.29312644573</v>
          </cell>
          <cell r="O6097">
            <v>0</v>
          </cell>
          <cell r="P6097">
            <v>13</v>
          </cell>
          <cell r="Q6097">
            <v>0</v>
          </cell>
        </row>
        <row r="6098">
          <cell r="D6098" t="str">
            <v>16752-77-5</v>
          </cell>
          <cell r="E6098">
            <v>16752775</v>
          </cell>
          <cell r="F6098">
            <v>506</v>
          </cell>
          <cell r="G6098" t="str">
            <v>Pest_90</v>
          </cell>
          <cell r="H6098">
            <v>6055</v>
          </cell>
          <cell r="J6098">
            <v>162.21</v>
          </cell>
          <cell r="K6098">
            <v>2.65</v>
          </cell>
          <cell r="L6098">
            <v>3.4124800000000004</v>
          </cell>
          <cell r="M6098">
            <v>10769</v>
          </cell>
          <cell r="N6098">
            <v>4.0738027780411281</v>
          </cell>
          <cell r="O6098">
            <v>13.86</v>
          </cell>
          <cell r="P6098">
            <v>15</v>
          </cell>
          <cell r="Q6098">
            <v>-1</v>
          </cell>
        </row>
        <row r="6099">
          <cell r="D6099" t="str">
            <v>41394-05-2</v>
          </cell>
          <cell r="E6099">
            <v>41394052</v>
          </cell>
          <cell r="F6099">
            <v>632</v>
          </cell>
          <cell r="G6099" t="str">
            <v>Pest_173</v>
          </cell>
          <cell r="H6099">
            <v>6056</v>
          </cell>
          <cell r="J6099">
            <v>202.22</v>
          </cell>
          <cell r="K6099">
            <v>157.88</v>
          </cell>
          <cell r="L6099">
            <v>9.9175200000000012E-5</v>
          </cell>
          <cell r="M6099">
            <v>9440.2999999999993</v>
          </cell>
          <cell r="N6099">
            <v>27.542287033381665</v>
          </cell>
          <cell r="O6099">
            <v>0</v>
          </cell>
          <cell r="P6099">
            <v>11</v>
          </cell>
          <cell r="Q6099">
            <v>0</v>
          </cell>
        </row>
        <row r="6100">
          <cell r="D6100" t="str">
            <v>21087-64-9</v>
          </cell>
          <cell r="E6100">
            <v>21087649</v>
          </cell>
          <cell r="F6100">
            <v>531</v>
          </cell>
          <cell r="G6100" t="str">
            <v>Pest_113</v>
          </cell>
          <cell r="H6100">
            <v>6057</v>
          </cell>
          <cell r="J6100">
            <v>214.29</v>
          </cell>
          <cell r="K6100">
            <v>150.38</v>
          </cell>
          <cell r="L6100">
            <v>6.8916099999999998E-4</v>
          </cell>
          <cell r="M6100">
            <v>2692.3</v>
          </cell>
          <cell r="N6100">
            <v>30.902954325135919</v>
          </cell>
          <cell r="O6100">
            <v>0</v>
          </cell>
          <cell r="P6100">
            <v>6</v>
          </cell>
          <cell r="Q6100">
            <v>0</v>
          </cell>
        </row>
        <row r="6101">
          <cell r="D6101" t="str">
            <v>57018-04-9</v>
          </cell>
          <cell r="E6101">
            <v>57018049</v>
          </cell>
          <cell r="F6101">
            <v>718</v>
          </cell>
          <cell r="G6101" t="str">
            <v>Pest_197</v>
          </cell>
          <cell r="H6101">
            <v>6058</v>
          </cell>
          <cell r="J6101">
            <v>301.13</v>
          </cell>
          <cell r="K6101">
            <v>32.770000000000003</v>
          </cell>
          <cell r="L6101">
            <v>8.5178700000000003E-3</v>
          </cell>
          <cell r="M6101">
            <v>1.4843999999999999</v>
          </cell>
          <cell r="N6101">
            <v>58884.365535558936</v>
          </cell>
          <cell r="O6101">
            <v>0</v>
          </cell>
          <cell r="P6101">
            <v>0</v>
          </cell>
          <cell r="Q6101">
            <v>0</v>
          </cell>
        </row>
        <row r="6102">
          <cell r="D6102" t="str">
            <v>7758-98-7</v>
          </cell>
          <cell r="E6102">
            <v>7758987</v>
          </cell>
          <cell r="F6102">
            <v>6253</v>
          </cell>
          <cell r="G6102" t="str">
            <v>Pest_312</v>
          </cell>
          <cell r="H6102">
            <v>6059</v>
          </cell>
          <cell r="J6102">
            <v>159.6</v>
          </cell>
          <cell r="K6102">
            <v>0</v>
          </cell>
          <cell r="L6102">
            <v>0</v>
          </cell>
          <cell r="M6102">
            <v>0</v>
          </cell>
          <cell r="N6102">
            <v>0</v>
          </cell>
          <cell r="O6102">
            <v>0</v>
          </cell>
          <cell r="P6102">
            <v>0</v>
          </cell>
          <cell r="Q6102">
            <v>0</v>
          </cell>
        </row>
        <row r="6103">
          <cell r="D6103" t="str">
            <v>87674-68-8</v>
          </cell>
          <cell r="E6103">
            <v>87674688</v>
          </cell>
          <cell r="F6103">
            <v>1109</v>
          </cell>
          <cell r="G6103" t="str">
            <v>Pest_329</v>
          </cell>
          <cell r="H6103">
            <v>6060</v>
          </cell>
          <cell r="J6103">
            <v>275.8</v>
          </cell>
          <cell r="K6103">
            <v>138.56</v>
          </cell>
          <cell r="L6103">
            <v>4.0123300000000006E-3</v>
          </cell>
          <cell r="M6103">
            <v>7060.3</v>
          </cell>
          <cell r="N6103">
            <v>371.53522909717265</v>
          </cell>
          <cell r="O6103">
            <v>0</v>
          </cell>
          <cell r="P6103">
            <v>0</v>
          </cell>
          <cell r="Q6103">
            <v>0</v>
          </cell>
        </row>
        <row r="6104">
          <cell r="D6104" t="str">
            <v>99-30-9</v>
          </cell>
          <cell r="E6104">
            <v>99309</v>
          </cell>
          <cell r="F6104">
            <v>1085</v>
          </cell>
          <cell r="G6104" t="str">
            <v>Pest_276</v>
          </cell>
          <cell r="H6104">
            <v>6061</v>
          </cell>
          <cell r="J6104">
            <v>207.02</v>
          </cell>
          <cell r="K6104">
            <v>113.77</v>
          </cell>
          <cell r="L6104">
            <v>1.5996000000000003E-3</v>
          </cell>
          <cell r="M6104">
            <v>336.22</v>
          </cell>
          <cell r="N6104">
            <v>575.43993733715706</v>
          </cell>
          <cell r="O6104">
            <v>0</v>
          </cell>
          <cell r="P6104">
            <v>0</v>
          </cell>
          <cell r="Q6104">
            <v>0</v>
          </cell>
        </row>
        <row r="6105">
          <cell r="D6105" t="str">
            <v>82-68-8</v>
          </cell>
          <cell r="E6105">
            <v>82688</v>
          </cell>
          <cell r="F6105">
            <v>5115</v>
          </cell>
          <cell r="G6105" t="str">
            <v>Pest_407</v>
          </cell>
          <cell r="H6105">
            <v>6062</v>
          </cell>
          <cell r="J6105">
            <v>295.33999999999997</v>
          </cell>
          <cell r="K6105">
            <v>118.99</v>
          </cell>
          <cell r="L6105">
            <v>3.6257600000000004E-3</v>
          </cell>
          <cell r="M6105">
            <v>0.41487000000000002</v>
          </cell>
          <cell r="N6105">
            <v>107151.93052376082</v>
          </cell>
          <cell r="O6105">
            <v>0</v>
          </cell>
          <cell r="P6105">
            <v>0</v>
          </cell>
          <cell r="Q6105">
            <v>0</v>
          </cell>
        </row>
        <row r="6106">
          <cell r="D6106" t="str">
            <v>23950-58-5</v>
          </cell>
          <cell r="E6106">
            <v>23950585</v>
          </cell>
          <cell r="F6106">
            <v>556</v>
          </cell>
          <cell r="G6106" t="str">
            <v>Pest_128</v>
          </cell>
          <cell r="H6106">
            <v>6063</v>
          </cell>
          <cell r="J6106">
            <v>256.13</v>
          </cell>
          <cell r="K6106">
            <v>152.87</v>
          </cell>
          <cell r="L6106">
            <v>1.3996500000000001E-4</v>
          </cell>
          <cell r="M6106">
            <v>16.012</v>
          </cell>
          <cell r="N6106">
            <v>3715.352290971724</v>
          </cell>
          <cell r="O6106">
            <v>14.38</v>
          </cell>
          <cell r="P6106">
            <v>16</v>
          </cell>
          <cell r="Q6106">
            <v>-2</v>
          </cell>
        </row>
        <row r="6107">
          <cell r="D6107" t="str">
            <v>2764-72-9</v>
          </cell>
          <cell r="E6107">
            <v>2764729</v>
          </cell>
          <cell r="F6107">
            <v>4912</v>
          </cell>
          <cell r="G6107" t="str">
            <v>Pest_334</v>
          </cell>
          <cell r="H6107">
            <v>6064</v>
          </cell>
          <cell r="J6107">
            <v>184.24</v>
          </cell>
          <cell r="K6107">
            <v>95.29</v>
          </cell>
          <cell r="L6107">
            <v>1.97284E-2</v>
          </cell>
          <cell r="M6107">
            <v>9226.4</v>
          </cell>
          <cell r="N6107">
            <v>0.21379620895022314</v>
          </cell>
          <cell r="O6107">
            <v>0</v>
          </cell>
          <cell r="P6107">
            <v>0</v>
          </cell>
          <cell r="Q6107">
            <v>0</v>
          </cell>
        </row>
        <row r="6108">
          <cell r="D6108" t="str">
            <v>10605-21-7</v>
          </cell>
          <cell r="E6108">
            <v>10605217</v>
          </cell>
          <cell r="F6108">
            <v>3</v>
          </cell>
          <cell r="G6108" t="str">
            <v>Pest_299</v>
          </cell>
          <cell r="H6108">
            <v>6065</v>
          </cell>
          <cell r="J6108">
            <v>191.19</v>
          </cell>
          <cell r="K6108">
            <v>149.71</v>
          </cell>
          <cell r="L6108">
            <v>7.2515200000000011E-7</v>
          </cell>
          <cell r="M6108">
            <v>1010</v>
          </cell>
          <cell r="N6108">
            <v>35.481338923357555</v>
          </cell>
          <cell r="O6108">
            <v>10</v>
          </cell>
          <cell r="P6108">
            <v>9.5</v>
          </cell>
          <cell r="Q6108">
            <v>4.5</v>
          </cell>
        </row>
        <row r="6109">
          <cell r="D6109" t="str">
            <v>3347-22-6</v>
          </cell>
          <cell r="E6109">
            <v>3347226</v>
          </cell>
          <cell r="F6109">
            <v>604</v>
          </cell>
          <cell r="G6109" t="str">
            <v>Pest_153</v>
          </cell>
          <cell r="H6109">
            <v>6066</v>
          </cell>
          <cell r="J6109">
            <v>296.33</v>
          </cell>
          <cell r="K6109">
            <v>219.02</v>
          </cell>
          <cell r="L6109">
            <v>1.1783720000000002E-8</v>
          </cell>
          <cell r="M6109">
            <v>209.54</v>
          </cell>
          <cell r="N6109">
            <v>436.51583224016622</v>
          </cell>
          <cell r="O6109">
            <v>0</v>
          </cell>
          <cell r="P6109">
            <v>0</v>
          </cell>
          <cell r="Q6109">
            <v>0</v>
          </cell>
        </row>
        <row r="6110">
          <cell r="D6110" t="str">
            <v>7287-19-6</v>
          </cell>
          <cell r="E6110">
            <v>7287196</v>
          </cell>
          <cell r="F6110">
            <v>87</v>
          </cell>
          <cell r="G6110" t="str">
            <v>Pest_228</v>
          </cell>
          <cell r="H6110">
            <v>6067</v>
          </cell>
          <cell r="J6110">
            <v>241.37</v>
          </cell>
          <cell r="K6110">
            <v>132.03</v>
          </cell>
          <cell r="L6110">
            <v>2.46605E-3</v>
          </cell>
          <cell r="M6110">
            <v>23.565000000000001</v>
          </cell>
          <cell r="N6110">
            <v>5370.3179637025269</v>
          </cell>
          <cell r="O6110">
            <v>0</v>
          </cell>
          <cell r="P6110">
            <v>9.9</v>
          </cell>
          <cell r="Q6110">
            <v>0</v>
          </cell>
        </row>
        <row r="6111">
          <cell r="D6111" t="str">
            <v>1918-16-7</v>
          </cell>
          <cell r="E6111">
            <v>1918167</v>
          </cell>
          <cell r="F6111">
            <v>520</v>
          </cell>
          <cell r="G6111" t="str">
            <v>Pest_107</v>
          </cell>
          <cell r="H6111">
            <v>6068</v>
          </cell>
          <cell r="J6111">
            <v>211.69</v>
          </cell>
          <cell r="K6111">
            <v>85.56</v>
          </cell>
          <cell r="L6111">
            <v>2.4660500000000002E-2</v>
          </cell>
          <cell r="M6111">
            <v>753.62</v>
          </cell>
          <cell r="N6111">
            <v>263.02679918953817</v>
          </cell>
          <cell r="O6111">
            <v>0</v>
          </cell>
          <cell r="P6111">
            <v>15</v>
          </cell>
          <cell r="Q6111">
            <v>-1</v>
          </cell>
        </row>
        <row r="6112">
          <cell r="D6112" t="str">
            <v>90717-03-6</v>
          </cell>
          <cell r="E6112">
            <v>90717036</v>
          </cell>
          <cell r="F6112">
            <v>1003</v>
          </cell>
          <cell r="G6112" t="str">
            <v>Pest_262</v>
          </cell>
          <cell r="H6112">
            <v>6069</v>
          </cell>
          <cell r="J6112">
            <v>221.64</v>
          </cell>
          <cell r="K6112">
            <v>144.37</v>
          </cell>
          <cell r="L6112">
            <v>1.8262100000000003E-5</v>
          </cell>
          <cell r="M6112">
            <v>114.85</v>
          </cell>
          <cell r="N6112">
            <v>741.31024130091828</v>
          </cell>
          <cell r="O6112">
            <v>0.51</v>
          </cell>
          <cell r="P6112">
            <v>10</v>
          </cell>
          <cell r="Q6112">
            <v>0.51</v>
          </cell>
        </row>
        <row r="6113">
          <cell r="D6113" t="str">
            <v>12122-67-7</v>
          </cell>
          <cell r="E6113">
            <v>12122677</v>
          </cell>
          <cell r="F6113">
            <v>6453</v>
          </cell>
          <cell r="G6113" t="str">
            <v>Pest_435</v>
          </cell>
          <cell r="H6113">
            <v>6070</v>
          </cell>
          <cell r="Q6113">
            <v>14</v>
          </cell>
        </row>
        <row r="6114">
          <cell r="D6114" t="str">
            <v>12427-38-2</v>
          </cell>
          <cell r="E6114">
            <v>12427382</v>
          </cell>
          <cell r="F6114">
            <v>6283</v>
          </cell>
          <cell r="G6114" t="str">
            <v>Pest_368</v>
          </cell>
          <cell r="H6114">
            <v>6071</v>
          </cell>
          <cell r="J6114">
            <v>265.3</v>
          </cell>
          <cell r="K6114">
            <v>0</v>
          </cell>
          <cell r="L6114">
            <v>0</v>
          </cell>
          <cell r="M6114">
            <v>0</v>
          </cell>
          <cell r="N6114">
            <v>0</v>
          </cell>
          <cell r="O6114">
            <v>0</v>
          </cell>
          <cell r="P6114">
            <v>0</v>
          </cell>
          <cell r="Q6114">
            <v>0</v>
          </cell>
        </row>
        <row r="6115">
          <cell r="D6115" t="str">
            <v>138261-41-3</v>
          </cell>
          <cell r="E6115">
            <v>138261413</v>
          </cell>
          <cell r="F6115">
            <v>443</v>
          </cell>
          <cell r="G6115" t="str">
            <v>Pest_68</v>
          </cell>
          <cell r="H6115">
            <v>6072</v>
          </cell>
          <cell r="J6115">
            <v>255.67</v>
          </cell>
          <cell r="K6115">
            <v>156</v>
          </cell>
          <cell r="L6115">
            <v>2.2394400000000001E-4</v>
          </cell>
          <cell r="M6115">
            <v>2057.5</v>
          </cell>
          <cell r="N6115">
            <v>3.630780547701014</v>
          </cell>
          <cell r="O6115">
            <v>11.09</v>
          </cell>
          <cell r="P6115">
            <v>13</v>
          </cell>
          <cell r="Q6115">
            <v>1</v>
          </cell>
        </row>
        <row r="6116">
          <cell r="D6116" t="str">
            <v>111988-49-9</v>
          </cell>
          <cell r="E6116">
            <v>111988499</v>
          </cell>
          <cell r="F6116">
            <v>6</v>
          </cell>
          <cell r="G6116" t="str">
            <v>Pest_20</v>
          </cell>
          <cell r="H6116">
            <v>6073</v>
          </cell>
          <cell r="J6116">
            <v>252.73</v>
          </cell>
          <cell r="K6116">
            <v>150.44</v>
          </cell>
          <cell r="L6116">
            <v>1.50629E-4</v>
          </cell>
          <cell r="M6116">
            <v>407.5</v>
          </cell>
          <cell r="N6116">
            <v>213.79620895022339</v>
          </cell>
          <cell r="O6116">
            <v>0</v>
          </cell>
          <cell r="P6116">
            <v>7.02</v>
          </cell>
          <cell r="Q6116">
            <v>0</v>
          </cell>
        </row>
        <row r="6117">
          <cell r="D6117" t="str">
            <v>24579-73-5</v>
          </cell>
          <cell r="E6117">
            <v>24579735</v>
          </cell>
          <cell r="F6117">
            <v>5105</v>
          </cell>
          <cell r="G6117" t="str">
            <v>Pest_400</v>
          </cell>
          <cell r="H6117">
            <v>6074</v>
          </cell>
          <cell r="J6117">
            <v>188.27</v>
          </cell>
          <cell r="K6117">
            <v>37.42</v>
          </cell>
          <cell r="L6117">
            <v>3.5591100000000004</v>
          </cell>
          <cell r="M6117">
            <v>69853</v>
          </cell>
          <cell r="N6117">
            <v>13.489628825916535</v>
          </cell>
          <cell r="O6117">
            <v>11.6</v>
          </cell>
          <cell r="P6117">
            <v>4.24</v>
          </cell>
          <cell r="Q6117">
            <v>9.76</v>
          </cell>
        </row>
        <row r="6118">
          <cell r="D6118" t="str">
            <v>122-34-9</v>
          </cell>
          <cell r="E6118">
            <v>122349</v>
          </cell>
          <cell r="F6118">
            <v>15</v>
          </cell>
          <cell r="G6118" t="str">
            <v>Pest_43</v>
          </cell>
          <cell r="H6118">
            <v>6075</v>
          </cell>
          <cell r="J6118">
            <v>201.67</v>
          </cell>
          <cell r="K6118">
            <v>112.05</v>
          </cell>
          <cell r="L6118">
            <v>1.2236940000000002E-3</v>
          </cell>
          <cell r="M6118">
            <v>34.470999999999997</v>
          </cell>
          <cell r="N6118">
            <v>251.18864315095806</v>
          </cell>
          <cell r="O6118">
            <v>0</v>
          </cell>
          <cell r="P6118">
            <v>12.3</v>
          </cell>
          <cell r="Q6118">
            <v>0</v>
          </cell>
        </row>
        <row r="6119">
          <cell r="D6119" t="str">
            <v>2032-65-7</v>
          </cell>
          <cell r="E6119">
            <v>2032657</v>
          </cell>
          <cell r="F6119">
            <v>528</v>
          </cell>
          <cell r="G6119" t="str">
            <v>Pest_112</v>
          </cell>
          <cell r="H6119">
            <v>6076</v>
          </cell>
          <cell r="J6119">
            <v>225.31</v>
          </cell>
          <cell r="K6119">
            <v>95.12</v>
          </cell>
          <cell r="L6119">
            <v>8.0913100000000009E-3</v>
          </cell>
          <cell r="M6119">
            <v>94.745999999999995</v>
          </cell>
          <cell r="N6119">
            <v>741.31024130091828</v>
          </cell>
          <cell r="O6119">
            <v>12.2</v>
          </cell>
          <cell r="P6119">
            <v>0</v>
          </cell>
          <cell r="Q6119">
            <v>12.2</v>
          </cell>
        </row>
        <row r="6120">
          <cell r="D6120" t="str">
            <v>55283-68-6</v>
          </cell>
          <cell r="E6120">
            <v>55283686</v>
          </cell>
          <cell r="F6120">
            <v>695</v>
          </cell>
          <cell r="G6120" t="str">
            <v>Pest_189</v>
          </cell>
          <cell r="H6120">
            <v>6077</v>
          </cell>
          <cell r="J6120">
            <v>333.27</v>
          </cell>
          <cell r="K6120">
            <v>141.88999999999999</v>
          </cell>
          <cell r="L6120">
            <v>1.9595100000000002E-3</v>
          </cell>
          <cell r="M6120">
            <v>0.63507999999999998</v>
          </cell>
          <cell r="N6120">
            <v>169824.36524617471</v>
          </cell>
          <cell r="O6120">
            <v>0</v>
          </cell>
          <cell r="P6120">
            <v>0</v>
          </cell>
          <cell r="Q6120">
            <v>0</v>
          </cell>
        </row>
        <row r="6121">
          <cell r="D6121" t="str">
            <v>33820-53-0</v>
          </cell>
          <cell r="E6121">
            <v>33820530</v>
          </cell>
          <cell r="F6121">
            <v>4982</v>
          </cell>
          <cell r="G6121" t="str">
            <v>Pest_365</v>
          </cell>
          <cell r="H6121">
            <v>6078</v>
          </cell>
          <cell r="J6121">
            <v>309.37</v>
          </cell>
          <cell r="K6121">
            <v>152.04</v>
          </cell>
          <cell r="L6121">
            <v>3.8923600000000008E-5</v>
          </cell>
          <cell r="M6121">
            <v>6.5815999999999999</v>
          </cell>
          <cell r="N6121">
            <v>630957.34448019415</v>
          </cell>
          <cell r="O6121">
            <v>0</v>
          </cell>
          <cell r="P6121">
            <v>0</v>
          </cell>
          <cell r="Q6121">
            <v>0</v>
          </cell>
        </row>
        <row r="6122">
          <cell r="D6122" t="str">
            <v>19044-88-3</v>
          </cell>
          <cell r="E6122">
            <v>19044883</v>
          </cell>
          <cell r="F6122">
            <v>517</v>
          </cell>
          <cell r="G6122" t="str">
            <v>Pest_103</v>
          </cell>
          <cell r="H6122">
            <v>6079</v>
          </cell>
          <cell r="J6122">
            <v>346.37</v>
          </cell>
          <cell r="K6122">
            <v>208.73</v>
          </cell>
          <cell r="L6122">
            <v>3.9856700000000002E-7</v>
          </cell>
          <cell r="M6122">
            <v>5.8075000000000001</v>
          </cell>
          <cell r="N6122">
            <v>537.03179637025301</v>
          </cell>
          <cell r="O6122">
            <v>9.3800000000000008</v>
          </cell>
          <cell r="P6122">
            <v>0</v>
          </cell>
          <cell r="Q6122">
            <v>9.3800000000000008</v>
          </cell>
        </row>
        <row r="6123">
          <cell r="D6123" t="str">
            <v>29091-05-2</v>
          </cell>
          <cell r="E6123">
            <v>29091052</v>
          </cell>
          <cell r="F6123">
            <v>4910</v>
          </cell>
          <cell r="G6123" t="str">
            <v>Pest_331</v>
          </cell>
          <cell r="H6123">
            <v>6080</v>
          </cell>
          <cell r="J6123">
            <v>322.25</v>
          </cell>
          <cell r="K6123">
            <v>163.66</v>
          </cell>
          <cell r="L6123">
            <v>1.98617E-4</v>
          </cell>
          <cell r="M6123">
            <v>3.7555000000000001</v>
          </cell>
          <cell r="N6123">
            <v>9120.1083935591087</v>
          </cell>
          <cell r="O6123">
            <v>0</v>
          </cell>
          <cell r="P6123">
            <v>0</v>
          </cell>
          <cell r="Q6123">
            <v>0</v>
          </cell>
        </row>
        <row r="6124">
          <cell r="D6124" t="str">
            <v>33629-47-9</v>
          </cell>
          <cell r="E6124">
            <v>33629479</v>
          </cell>
          <cell r="F6124">
            <v>605</v>
          </cell>
          <cell r="G6124" t="str">
            <v>Pest_154</v>
          </cell>
          <cell r="H6124">
            <v>6081</v>
          </cell>
          <cell r="J6124">
            <v>295.33999999999997</v>
          </cell>
          <cell r="K6124">
            <v>148.34</v>
          </cell>
          <cell r="L6124">
            <v>7.4114800000000007E-4</v>
          </cell>
          <cell r="M6124">
            <v>2.5484</v>
          </cell>
          <cell r="N6124">
            <v>141253.75446227577</v>
          </cell>
          <cell r="O6124">
            <v>0</v>
          </cell>
          <cell r="P6124">
            <v>0</v>
          </cell>
          <cell r="Q6124">
            <v>0</v>
          </cell>
        </row>
        <row r="6125">
          <cell r="D6125" t="str">
            <v>1861-40-1</v>
          </cell>
          <cell r="E6125">
            <v>1861401</v>
          </cell>
          <cell r="F6125">
            <v>514</v>
          </cell>
          <cell r="G6125" t="str">
            <v>Pest_99</v>
          </cell>
          <cell r="H6125">
            <v>6082</v>
          </cell>
          <cell r="J6125">
            <v>335.29</v>
          </cell>
          <cell r="K6125">
            <v>139.97</v>
          </cell>
          <cell r="L6125">
            <v>2.4260599999999998E-3</v>
          </cell>
          <cell r="M6125">
            <v>0.21515999999999999</v>
          </cell>
          <cell r="N6125">
            <v>204173.79446695308</v>
          </cell>
          <cell r="O6125">
            <v>0</v>
          </cell>
          <cell r="P6125">
            <v>0</v>
          </cell>
          <cell r="Q6125">
            <v>0</v>
          </cell>
        </row>
        <row r="6126">
          <cell r="D6126" t="str">
            <v>60207-90-1</v>
          </cell>
          <cell r="E6126">
            <v>60207901</v>
          </cell>
          <cell r="F6126">
            <v>748</v>
          </cell>
          <cell r="G6126" t="str">
            <v>Pest_203</v>
          </cell>
          <cell r="H6126">
            <v>6083</v>
          </cell>
          <cell r="J6126">
            <v>342.23</v>
          </cell>
          <cell r="K6126">
            <v>172.86</v>
          </cell>
          <cell r="L6126">
            <v>4.7988000000000002E-4</v>
          </cell>
          <cell r="M6126">
            <v>3.7265999999999999</v>
          </cell>
          <cell r="N6126">
            <v>13489.628825916556</v>
          </cell>
          <cell r="O6126">
            <v>0</v>
          </cell>
          <cell r="P6126">
            <v>13</v>
          </cell>
          <cell r="Q6126">
            <v>0</v>
          </cell>
        </row>
        <row r="6127">
          <cell r="D6127" t="str">
            <v>709-98-8</v>
          </cell>
          <cell r="E6127">
            <v>709988</v>
          </cell>
          <cell r="F6127">
            <v>816</v>
          </cell>
          <cell r="G6127" t="str">
            <v>Pest_224</v>
          </cell>
          <cell r="H6127">
            <v>6084</v>
          </cell>
          <cell r="J6127">
            <v>218.08</v>
          </cell>
          <cell r="K6127">
            <v>130.94999999999999</v>
          </cell>
          <cell r="L6127">
            <v>3.7590600000000003E-3</v>
          </cell>
          <cell r="M6127">
            <v>35.72</v>
          </cell>
          <cell r="N6127">
            <v>758.57757502918378</v>
          </cell>
          <cell r="O6127">
            <v>12.86</v>
          </cell>
          <cell r="P6127">
            <v>15</v>
          </cell>
          <cell r="Q6127">
            <v>-1</v>
          </cell>
        </row>
        <row r="6128">
          <cell r="D6128" t="str">
            <v>88671-89-0</v>
          </cell>
          <cell r="E6128">
            <v>88671890</v>
          </cell>
          <cell r="F6128">
            <v>984</v>
          </cell>
          <cell r="G6128" t="str">
            <v>Pest_261</v>
          </cell>
          <cell r="H6128">
            <v>6085</v>
          </cell>
          <cell r="J6128">
            <v>288.79000000000002</v>
          </cell>
          <cell r="K6128">
            <v>166.68</v>
          </cell>
          <cell r="L6128">
            <v>3.1058900000000006E-4</v>
          </cell>
          <cell r="M6128">
            <v>3.7075999999999998</v>
          </cell>
          <cell r="N6128">
            <v>3162.2776601683804</v>
          </cell>
          <cell r="O6128">
            <v>0</v>
          </cell>
          <cell r="P6128">
            <v>13</v>
          </cell>
          <cell r="Q6128">
            <v>0</v>
          </cell>
        </row>
        <row r="6129">
          <cell r="D6129" t="str">
            <v>85509-19-9</v>
          </cell>
          <cell r="E6129">
            <v>85509199</v>
          </cell>
          <cell r="F6129">
            <v>967</v>
          </cell>
          <cell r="G6129" t="str">
            <v>Pest_256</v>
          </cell>
          <cell r="H6129">
            <v>6086</v>
          </cell>
          <cell r="J6129">
            <v>315.39999999999998</v>
          </cell>
          <cell r="K6129">
            <v>143.59</v>
          </cell>
          <cell r="L6129">
            <v>2.5460300000000003E-3</v>
          </cell>
          <cell r="M6129">
            <v>1.7048000000000001</v>
          </cell>
          <cell r="N6129">
            <v>77624.711662869129</v>
          </cell>
          <cell r="O6129">
            <v>0</v>
          </cell>
          <cell r="P6129">
            <v>12</v>
          </cell>
          <cell r="Q6129">
            <v>0</v>
          </cell>
        </row>
        <row r="6130">
          <cell r="D6130" t="str">
            <v>119446-68-3</v>
          </cell>
          <cell r="E6130">
            <v>119446683</v>
          </cell>
          <cell r="F6130">
            <v>351</v>
          </cell>
          <cell r="G6130" t="str">
            <v>Pest_35</v>
          </cell>
          <cell r="H6130">
            <v>6087</v>
          </cell>
          <cell r="J6130">
            <v>406.27</v>
          </cell>
          <cell r="K6130">
            <v>206.96</v>
          </cell>
          <cell r="L6130">
            <v>2.4260600000000001E-6</v>
          </cell>
          <cell r="M6130">
            <v>0.51688999999999996</v>
          </cell>
          <cell r="N6130">
            <v>158489.31924611164</v>
          </cell>
          <cell r="O6130">
            <v>0</v>
          </cell>
          <cell r="P6130">
            <v>13</v>
          </cell>
          <cell r="Q6130">
            <v>0</v>
          </cell>
        </row>
        <row r="6131">
          <cell r="D6131" t="str">
            <v>2593-15-9</v>
          </cell>
          <cell r="E6131">
            <v>2593159</v>
          </cell>
          <cell r="F6131">
            <v>571</v>
          </cell>
          <cell r="G6131" t="str">
            <v>Pest_135</v>
          </cell>
          <cell r="H6131">
            <v>6088</v>
          </cell>
          <cell r="J6131">
            <v>247.53</v>
          </cell>
          <cell r="K6131">
            <v>101.86</v>
          </cell>
          <cell r="L6131">
            <v>87.044900000000013</v>
          </cell>
          <cell r="M6131">
            <v>75.873999999999995</v>
          </cell>
          <cell r="N6131">
            <v>3981.0717055349769</v>
          </cell>
          <cell r="O6131">
            <v>0</v>
          </cell>
          <cell r="P6131">
            <v>11</v>
          </cell>
          <cell r="Q6131">
            <v>0</v>
          </cell>
        </row>
        <row r="6132">
          <cell r="D6132" t="str">
            <v>112281-77-3</v>
          </cell>
          <cell r="E6132">
            <v>112281773</v>
          </cell>
          <cell r="F6132">
            <v>323</v>
          </cell>
          <cell r="G6132" t="str">
            <v>Pest_22</v>
          </cell>
          <cell r="H6132">
            <v>6089</v>
          </cell>
          <cell r="J6132">
            <v>372.15</v>
          </cell>
          <cell r="K6132">
            <v>133.94</v>
          </cell>
          <cell r="L6132">
            <v>1.0957260000000002E-2</v>
          </cell>
          <cell r="M6132">
            <v>0.50399000000000005</v>
          </cell>
          <cell r="N6132">
            <v>17782.794100389234</v>
          </cell>
          <cell r="O6132">
            <v>0</v>
          </cell>
          <cell r="P6132">
            <v>12</v>
          </cell>
          <cell r="Q6132">
            <v>0</v>
          </cell>
        </row>
        <row r="6133">
          <cell r="D6133" t="str">
            <v>125116-23-6</v>
          </cell>
          <cell r="E6133">
            <v>125116236</v>
          </cell>
          <cell r="F6133">
            <v>405</v>
          </cell>
          <cell r="G6133" t="str">
            <v>Pest_48</v>
          </cell>
          <cell r="H6133">
            <v>6090</v>
          </cell>
          <cell r="J6133">
            <v>319.83999999999997</v>
          </cell>
          <cell r="K6133">
            <v>172.78</v>
          </cell>
          <cell r="L6133">
            <v>6.5983500000000002E-3</v>
          </cell>
          <cell r="M6133">
            <v>26.529</v>
          </cell>
          <cell r="N6133">
            <v>15488.166189124853</v>
          </cell>
          <cell r="O6133">
            <v>13.68</v>
          </cell>
          <cell r="P6133">
            <v>12</v>
          </cell>
          <cell r="Q6133">
            <v>2</v>
          </cell>
        </row>
        <row r="6134">
          <cell r="D6134" t="str">
            <v>131983-72-7</v>
          </cell>
          <cell r="E6134">
            <v>131983727</v>
          </cell>
          <cell r="F6134">
            <v>424</v>
          </cell>
          <cell r="G6134" t="str">
            <v>Pest_57</v>
          </cell>
          <cell r="H6134">
            <v>6091</v>
          </cell>
          <cell r="J6134">
            <v>317.82</v>
          </cell>
          <cell r="K6134">
            <v>175.08</v>
          </cell>
          <cell r="L6134">
            <v>4.4788800000000002E-7</v>
          </cell>
          <cell r="M6134">
            <v>34.93</v>
          </cell>
          <cell r="N6134">
            <v>12882.49551693136</v>
          </cell>
          <cell r="O6134">
            <v>15.16</v>
          </cell>
          <cell r="P6134">
            <v>12</v>
          </cell>
          <cell r="Q6134">
            <v>2</v>
          </cell>
        </row>
        <row r="6135">
          <cell r="D6135" t="str">
            <v>55219-65-3</v>
          </cell>
          <cell r="E6135">
            <v>55219653</v>
          </cell>
          <cell r="F6135">
            <v>694</v>
          </cell>
          <cell r="G6135" t="str">
            <v>Pest_188</v>
          </cell>
          <cell r="H6135">
            <v>6092</v>
          </cell>
          <cell r="J6135">
            <v>295.77</v>
          </cell>
          <cell r="K6135">
            <v>152.51</v>
          </cell>
          <cell r="L6135">
            <v>4.3722400000000005E-6</v>
          </cell>
          <cell r="M6135">
            <v>915.62</v>
          </cell>
          <cell r="N6135">
            <v>891.25093813374656</v>
          </cell>
          <cell r="O6135">
            <v>14.83</v>
          </cell>
          <cell r="P6135">
            <v>14</v>
          </cell>
          <cell r="Q6135">
            <v>0</v>
          </cell>
        </row>
        <row r="6136">
          <cell r="D6136" t="str">
            <v>94361-06-5</v>
          </cell>
          <cell r="E6136">
            <v>94361065</v>
          </cell>
          <cell r="F6136">
            <v>1022</v>
          </cell>
          <cell r="G6136" t="str">
            <v>Pest_266</v>
          </cell>
          <cell r="H6136">
            <v>6093</v>
          </cell>
          <cell r="J6136">
            <v>291.79000000000002</v>
          </cell>
          <cell r="K6136">
            <v>158.36000000000001</v>
          </cell>
          <cell r="L6136">
            <v>7.6114300000000009E-6</v>
          </cell>
          <cell r="M6136">
            <v>118.27</v>
          </cell>
          <cell r="N6136">
            <v>1778.2794100389244</v>
          </cell>
          <cell r="O6136">
            <v>14.64</v>
          </cell>
          <cell r="P6136">
            <v>13</v>
          </cell>
          <cell r="Q6136">
            <v>1</v>
          </cell>
        </row>
        <row r="6137">
          <cell r="D6137" t="str">
            <v>66246-88-6</v>
          </cell>
          <cell r="E6137">
            <v>66246886</v>
          </cell>
          <cell r="F6137">
            <v>787</v>
          </cell>
          <cell r="G6137" t="str">
            <v>Pest_213</v>
          </cell>
          <cell r="H6137">
            <v>6094</v>
          </cell>
          <cell r="J6137">
            <v>284.19</v>
          </cell>
          <cell r="K6137">
            <v>132.47</v>
          </cell>
          <cell r="L6137">
            <v>4.7988000000000006E-3</v>
          </cell>
          <cell r="M6137">
            <v>2.8129</v>
          </cell>
          <cell r="N6137">
            <v>46773.514128719893</v>
          </cell>
          <cell r="O6137">
            <v>0</v>
          </cell>
          <cell r="P6137">
            <v>12</v>
          </cell>
          <cell r="Q6137">
            <v>0</v>
          </cell>
        </row>
        <row r="6138">
          <cell r="D6138" t="str">
            <v>43121-43-3</v>
          </cell>
          <cell r="E6138">
            <v>43121433</v>
          </cell>
          <cell r="F6138">
            <v>639</v>
          </cell>
          <cell r="G6138" t="str">
            <v>Pest_176</v>
          </cell>
          <cell r="H6138">
            <v>6095</v>
          </cell>
          <cell r="J6138">
            <v>293.76</v>
          </cell>
          <cell r="K6138">
            <v>148.63999999999999</v>
          </cell>
          <cell r="L6138">
            <v>1.1583770000000001E-3</v>
          </cell>
          <cell r="M6138">
            <v>88.756</v>
          </cell>
          <cell r="N6138">
            <v>870.96358995608091</v>
          </cell>
          <cell r="O6138">
            <v>0</v>
          </cell>
          <cell r="P6138">
            <v>15</v>
          </cell>
          <cell r="Q6138">
            <v>-1</v>
          </cell>
        </row>
        <row r="6139">
          <cell r="D6139" t="str">
            <v>133855-98-8</v>
          </cell>
          <cell r="E6139">
            <v>133855988</v>
          </cell>
          <cell r="F6139">
            <v>4924</v>
          </cell>
          <cell r="G6139" t="str">
            <v>Pest_338</v>
          </cell>
          <cell r="H6139">
            <v>6096</v>
          </cell>
          <cell r="J6139">
            <v>329.76</v>
          </cell>
          <cell r="K6139">
            <v>172.63</v>
          </cell>
          <cell r="L6139">
            <v>3.7457300000000005E-5</v>
          </cell>
          <cell r="M6139">
            <v>24.949000000000002</v>
          </cell>
          <cell r="N6139">
            <v>2951.2092266663899</v>
          </cell>
          <cell r="O6139">
            <v>0</v>
          </cell>
          <cell r="P6139">
            <v>12.8</v>
          </cell>
          <cell r="Q6139">
            <v>0</v>
          </cell>
        </row>
        <row r="6140">
          <cell r="D6140" t="str">
            <v>83657-24-3</v>
          </cell>
          <cell r="E6140">
            <v>83657243</v>
          </cell>
          <cell r="F6140">
            <v>955</v>
          </cell>
          <cell r="G6140" t="str">
            <v>Pest_252</v>
          </cell>
          <cell r="H6140">
            <v>6097</v>
          </cell>
          <cell r="J6140">
            <v>326.23</v>
          </cell>
          <cell r="K6140">
            <v>169.98</v>
          </cell>
          <cell r="L6140">
            <v>6.0118300000000012E-7</v>
          </cell>
          <cell r="M6140">
            <v>7.7328999999999999</v>
          </cell>
          <cell r="N6140">
            <v>8317.6377110267094</v>
          </cell>
          <cell r="O6140">
            <v>15.55</v>
          </cell>
          <cell r="P6140">
            <v>13</v>
          </cell>
          <cell r="Q6140">
            <v>1</v>
          </cell>
        </row>
        <row r="6141">
          <cell r="D6141" t="str">
            <v>79983-71-4</v>
          </cell>
          <cell r="E6141">
            <v>79983714</v>
          </cell>
          <cell r="F6141">
            <v>930</v>
          </cell>
          <cell r="G6141" t="str">
            <v>Pest_241</v>
          </cell>
          <cell r="H6141">
            <v>6098</v>
          </cell>
          <cell r="J6141">
            <v>314.22000000000003</v>
          </cell>
          <cell r="K6141">
            <v>166.79</v>
          </cell>
          <cell r="L6141">
            <v>3.09256E-6</v>
          </cell>
          <cell r="M6141">
            <v>16.02</v>
          </cell>
          <cell r="N6141">
            <v>4570.8818961487532</v>
          </cell>
          <cell r="O6141">
            <v>14.22</v>
          </cell>
          <cell r="P6141">
            <v>13</v>
          </cell>
          <cell r="Q6141">
            <v>1</v>
          </cell>
        </row>
        <row r="6142">
          <cell r="D6142" t="str">
            <v>76674-21-0</v>
          </cell>
          <cell r="E6142">
            <v>76674210</v>
          </cell>
          <cell r="F6142">
            <v>875</v>
          </cell>
          <cell r="G6142" t="str">
            <v>Pest_236</v>
          </cell>
          <cell r="H6142">
            <v>6099</v>
          </cell>
          <cell r="J6142">
            <v>301.3</v>
          </cell>
          <cell r="K6142">
            <v>164.45</v>
          </cell>
          <cell r="L6142">
            <v>2.7059900000000002E-6</v>
          </cell>
          <cell r="M6142">
            <v>271.63</v>
          </cell>
          <cell r="N6142">
            <v>331.13112148259137</v>
          </cell>
          <cell r="O6142">
            <v>13.41</v>
          </cell>
          <cell r="P6142">
            <v>13</v>
          </cell>
          <cell r="Q6142">
            <v>1</v>
          </cell>
        </row>
        <row r="6143">
          <cell r="D6143" t="str">
            <v>68694-11-1</v>
          </cell>
          <cell r="E6143">
            <v>68694111</v>
          </cell>
          <cell r="F6143">
            <v>802</v>
          </cell>
          <cell r="G6143" t="str">
            <v>Pest_219</v>
          </cell>
          <cell r="H6143">
            <v>6100</v>
          </cell>
          <cell r="J6143">
            <v>345.76</v>
          </cell>
          <cell r="K6143">
            <v>150.93</v>
          </cell>
          <cell r="L6143">
            <v>2.2927600000000002E-4</v>
          </cell>
          <cell r="M6143">
            <v>3.2538999999999998</v>
          </cell>
          <cell r="N6143">
            <v>31.622776601683803</v>
          </cell>
          <cell r="O6143">
            <v>0</v>
          </cell>
          <cell r="P6143">
            <v>11</v>
          </cell>
          <cell r="Q6143">
            <v>0</v>
          </cell>
        </row>
        <row r="6144">
          <cell r="D6144" t="str">
            <v>136426-54-5</v>
          </cell>
          <cell r="E6144">
            <v>136426545</v>
          </cell>
          <cell r="F6144">
            <v>438</v>
          </cell>
          <cell r="G6144" t="str">
            <v>Pest_64</v>
          </cell>
          <cell r="H6144">
            <v>6101</v>
          </cell>
          <cell r="J6144">
            <v>376.18</v>
          </cell>
          <cell r="K6144">
            <v>218.11</v>
          </cell>
          <cell r="L6144">
            <v>3.2525199999999999E-8</v>
          </cell>
          <cell r="M6144">
            <v>7.5498999999999997E-2</v>
          </cell>
          <cell r="N6144">
            <v>5370.3179637025269</v>
          </cell>
          <cell r="O6144">
            <v>0</v>
          </cell>
          <cell r="P6144">
            <v>5</v>
          </cell>
          <cell r="Q6144">
            <v>0</v>
          </cell>
        </row>
        <row r="6145">
          <cell r="D6145" t="str">
            <v>116255-48-2</v>
          </cell>
          <cell r="E6145">
            <v>116255482</v>
          </cell>
          <cell r="F6145">
            <v>343</v>
          </cell>
          <cell r="G6145" t="str">
            <v>Pest_30</v>
          </cell>
          <cell r="H6145">
            <v>6102</v>
          </cell>
          <cell r="J6145">
            <v>377.08</v>
          </cell>
          <cell r="K6145">
            <v>172.71</v>
          </cell>
          <cell r="L6145">
            <v>1.3303340000000001E-4</v>
          </cell>
          <cell r="M6145">
            <v>2.8056000000000001</v>
          </cell>
          <cell r="N6145">
            <v>3467.3685045253224</v>
          </cell>
          <cell r="O6145">
            <v>0</v>
          </cell>
          <cell r="P6145">
            <v>13</v>
          </cell>
          <cell r="Q6145">
            <v>0</v>
          </cell>
        </row>
        <row r="6146">
          <cell r="D6146" t="str">
            <v>35554-44-0</v>
          </cell>
          <cell r="E6146">
            <v>35554440</v>
          </cell>
          <cell r="F6146">
            <v>614</v>
          </cell>
          <cell r="G6146" t="str">
            <v>Pest_162</v>
          </cell>
          <cell r="H6146">
            <v>6103</v>
          </cell>
          <cell r="J6146">
            <v>297.19</v>
          </cell>
          <cell r="K6146">
            <v>151.76</v>
          </cell>
          <cell r="L6146">
            <v>1.151712E-2</v>
          </cell>
          <cell r="M6146">
            <v>8.9152000000000005</v>
          </cell>
          <cell r="N6146">
            <v>12589.254117941671</v>
          </cell>
          <cell r="O6146">
            <v>0</v>
          </cell>
          <cell r="P6146">
            <v>8</v>
          </cell>
          <cell r="Q6146">
            <v>0</v>
          </cell>
        </row>
        <row r="6147">
          <cell r="D6147" t="str">
            <v>114369-43-6</v>
          </cell>
          <cell r="E6147">
            <v>114369436</v>
          </cell>
          <cell r="F6147">
            <v>338</v>
          </cell>
          <cell r="G6147" t="str">
            <v>Pest_27</v>
          </cell>
          <cell r="H6147">
            <v>6104</v>
          </cell>
          <cell r="J6147">
            <v>336.83</v>
          </cell>
          <cell r="K6147">
            <v>197.68</v>
          </cell>
          <cell r="L6147">
            <v>2.3460800000000002E-6</v>
          </cell>
          <cell r="M6147">
            <v>0.64400999999999997</v>
          </cell>
          <cell r="N6147">
            <v>16982.436524617482</v>
          </cell>
          <cell r="O6147">
            <v>0</v>
          </cell>
          <cell r="P6147">
            <v>13</v>
          </cell>
          <cell r="Q6147">
            <v>0</v>
          </cell>
        </row>
        <row r="6148">
          <cell r="D6148" t="str">
            <v>55179-31-2</v>
          </cell>
          <cell r="E6148">
            <v>55179312</v>
          </cell>
          <cell r="F6148">
            <v>693</v>
          </cell>
          <cell r="G6148" t="str">
            <v>Pest_187</v>
          </cell>
          <cell r="H6148">
            <v>6105</v>
          </cell>
          <cell r="J6148">
            <v>337.43</v>
          </cell>
          <cell r="K6148">
            <v>196.84</v>
          </cell>
          <cell r="L6148">
            <v>1.8795300000000004E-8</v>
          </cell>
          <cell r="M6148">
            <v>19.847999999999999</v>
          </cell>
          <cell r="N6148">
            <v>11748.975549395318</v>
          </cell>
          <cell r="O6148">
            <v>14.87</v>
          </cell>
          <cell r="P6148">
            <v>14</v>
          </cell>
          <cell r="Q6148">
            <v>0</v>
          </cell>
        </row>
        <row r="6149">
          <cell r="D6149" t="str">
            <v>1918-00-9</v>
          </cell>
          <cell r="E6149">
            <v>1918009</v>
          </cell>
          <cell r="F6149">
            <v>519</v>
          </cell>
          <cell r="G6149" t="str">
            <v>Pest_106</v>
          </cell>
          <cell r="H6149">
            <v>6106</v>
          </cell>
          <cell r="J6149">
            <v>221.04</v>
          </cell>
          <cell r="K6149">
            <v>112.26</v>
          </cell>
          <cell r="L6149">
            <v>7.0515700000000001E-3</v>
          </cell>
          <cell r="M6149">
            <v>497.36</v>
          </cell>
          <cell r="N6149">
            <v>138.0384264602886</v>
          </cell>
          <cell r="O6149">
            <v>2.39</v>
          </cell>
          <cell r="P6149">
            <v>0</v>
          </cell>
          <cell r="Q6149">
            <v>2.39</v>
          </cell>
        </row>
        <row r="6150">
          <cell r="D6150" t="str">
            <v>13684-56-5</v>
          </cell>
          <cell r="E6150">
            <v>13684565</v>
          </cell>
          <cell r="F6150">
            <v>439</v>
          </cell>
          <cell r="G6150" t="str">
            <v>Pest_65</v>
          </cell>
          <cell r="H6150">
            <v>6107</v>
          </cell>
          <cell r="J6150">
            <v>300.32</v>
          </cell>
          <cell r="K6150">
            <v>119.92</v>
          </cell>
          <cell r="L6150">
            <v>1.5862700000000002E-4</v>
          </cell>
          <cell r="M6150">
            <v>12.861000000000001</v>
          </cell>
          <cell r="N6150">
            <v>1659.5869074375626</v>
          </cell>
          <cell r="O6150">
            <v>12.9</v>
          </cell>
          <cell r="P6150">
            <v>0</v>
          </cell>
          <cell r="Q6150">
            <v>12.9</v>
          </cell>
        </row>
        <row r="6151">
          <cell r="D6151" t="str">
            <v>1194-65-6</v>
          </cell>
          <cell r="E6151">
            <v>1194656</v>
          </cell>
          <cell r="F6151">
            <v>352</v>
          </cell>
          <cell r="G6151" t="str">
            <v>Reach_1672</v>
          </cell>
          <cell r="H6151">
            <v>6108</v>
          </cell>
          <cell r="J6151">
            <v>172.01</v>
          </cell>
          <cell r="K6151">
            <v>52.67</v>
          </cell>
          <cell r="L6151">
            <v>7.7580600000000013E-2</v>
          </cell>
          <cell r="M6151">
            <v>62.543999999999997</v>
          </cell>
          <cell r="N6151">
            <v>676.08297539198213</v>
          </cell>
          <cell r="O6151">
            <v>0</v>
          </cell>
          <cell r="P6151">
            <v>0</v>
          </cell>
          <cell r="Q6151">
            <v>0</v>
          </cell>
        </row>
        <row r="6152">
          <cell r="D6152" t="str">
            <v>1689-84-5</v>
          </cell>
          <cell r="E6152">
            <v>1689845</v>
          </cell>
          <cell r="F6152">
            <v>34</v>
          </cell>
          <cell r="G6152" t="str">
            <v>Pest_92</v>
          </cell>
          <cell r="H6152">
            <v>6109</v>
          </cell>
          <cell r="J6152">
            <v>276.93</v>
          </cell>
          <cell r="K6152">
            <v>119.5</v>
          </cell>
          <cell r="L6152">
            <v>3.0792300000000004E-4</v>
          </cell>
          <cell r="M6152">
            <v>119.57</v>
          </cell>
          <cell r="N6152">
            <v>2454.7089156850338</v>
          </cell>
          <cell r="O6152">
            <v>4.2</v>
          </cell>
          <cell r="P6152">
            <v>0</v>
          </cell>
          <cell r="Q6152">
            <v>4.2</v>
          </cell>
        </row>
        <row r="6153">
          <cell r="D6153" t="str">
            <v>1689-83-4</v>
          </cell>
          <cell r="E6153">
            <v>1689834</v>
          </cell>
          <cell r="F6153">
            <v>507</v>
          </cell>
          <cell r="G6153" t="str">
            <v>Pest_91</v>
          </cell>
          <cell r="H6153">
            <v>6110</v>
          </cell>
          <cell r="J6153">
            <v>370.91</v>
          </cell>
          <cell r="K6153">
            <v>134.99</v>
          </cell>
          <cell r="L6153">
            <v>1.83954E-5</v>
          </cell>
          <cell r="M6153">
            <v>128.34</v>
          </cell>
          <cell r="N6153">
            <v>8709.6358995608189</v>
          </cell>
          <cell r="O6153">
            <v>4.2</v>
          </cell>
          <cell r="P6153">
            <v>0</v>
          </cell>
          <cell r="Q6153">
            <v>4.2</v>
          </cell>
        </row>
        <row r="6154">
          <cell r="D6154" t="str">
            <v>13457-18-6</v>
          </cell>
          <cell r="E6154">
            <v>13457186</v>
          </cell>
          <cell r="F6154">
            <v>432</v>
          </cell>
          <cell r="G6154" t="str">
            <v>Pest_62</v>
          </cell>
          <cell r="H6154">
            <v>6111</v>
          </cell>
          <cell r="J6154">
            <v>373.37</v>
          </cell>
          <cell r="K6154">
            <v>87.73</v>
          </cell>
          <cell r="L6154">
            <v>3.0259100000000003E-5</v>
          </cell>
          <cell r="M6154">
            <v>23.753</v>
          </cell>
          <cell r="N6154">
            <v>6309.5734448019384</v>
          </cell>
          <cell r="O6154">
            <v>0</v>
          </cell>
          <cell r="P6154">
            <v>13</v>
          </cell>
          <cell r="Q6154">
            <v>0</v>
          </cell>
        </row>
        <row r="6155">
          <cell r="D6155" t="str">
            <v>36734-19-7</v>
          </cell>
          <cell r="E6155">
            <v>36734197</v>
          </cell>
          <cell r="F6155">
            <v>616</v>
          </cell>
          <cell r="G6155" t="str">
            <v>Pest_163</v>
          </cell>
          <cell r="H6155">
            <v>6112</v>
          </cell>
          <cell r="J6155">
            <v>330.17</v>
          </cell>
          <cell r="K6155">
            <v>233.57</v>
          </cell>
          <cell r="L6155">
            <v>2.01283E-8</v>
          </cell>
          <cell r="M6155">
            <v>99.415999999999997</v>
          </cell>
          <cell r="N6155">
            <v>707.94578438413873</v>
          </cell>
          <cell r="O6155">
            <v>12.99</v>
          </cell>
          <cell r="P6155">
            <v>0</v>
          </cell>
          <cell r="Q6155">
            <v>12.99</v>
          </cell>
        </row>
        <row r="6156">
          <cell r="D6156" t="str">
            <v>163515-14-8</v>
          </cell>
          <cell r="E6156">
            <v>163515148</v>
          </cell>
          <cell r="F6156">
            <v>502</v>
          </cell>
          <cell r="G6156" t="str">
            <v>Pest_88</v>
          </cell>
          <cell r="H6156">
            <v>6113</v>
          </cell>
          <cell r="J6156">
            <v>275.8</v>
          </cell>
          <cell r="K6156">
            <v>138.56</v>
          </cell>
          <cell r="L6156">
            <v>4.0123300000000006E-3</v>
          </cell>
          <cell r="M6156">
            <v>7060.3</v>
          </cell>
          <cell r="N6156">
            <v>371.53522909717265</v>
          </cell>
          <cell r="O6156">
            <v>0</v>
          </cell>
          <cell r="P6156">
            <v>0</v>
          </cell>
          <cell r="Q6156">
            <v>0</v>
          </cell>
        </row>
        <row r="6157">
          <cell r="D6157" t="str">
            <v>60-51-5</v>
          </cell>
          <cell r="E6157">
            <v>60515</v>
          </cell>
          <cell r="F6157">
            <v>753</v>
          </cell>
          <cell r="G6157" t="str">
            <v>Pest_204</v>
          </cell>
          <cell r="H6157">
            <v>6114</v>
          </cell>
          <cell r="J6157">
            <v>229.26</v>
          </cell>
          <cell r="K6157">
            <v>86.01</v>
          </cell>
          <cell r="L6157">
            <v>5.4919600000000006E-3</v>
          </cell>
          <cell r="M6157">
            <v>3049.3</v>
          </cell>
          <cell r="N6157">
            <v>5.2480746024977263</v>
          </cell>
          <cell r="O6157">
            <v>15.1</v>
          </cell>
          <cell r="P6157">
            <v>14</v>
          </cell>
          <cell r="Q6157">
            <v>0</v>
          </cell>
        </row>
        <row r="6158">
          <cell r="D6158" t="str">
            <v>1317-38-0</v>
          </cell>
          <cell r="E6158">
            <v>1317380</v>
          </cell>
          <cell r="F6158">
            <v>6421</v>
          </cell>
          <cell r="G6158" t="str">
            <v>Pest_309</v>
          </cell>
          <cell r="H6158">
            <v>6115</v>
          </cell>
          <cell r="Q6158">
            <v>14</v>
          </cell>
        </row>
        <row r="6159">
          <cell r="D6159" t="str">
            <v>20427-59-2</v>
          </cell>
          <cell r="E6159">
            <v>20427592</v>
          </cell>
          <cell r="F6159">
            <v>6420</v>
          </cell>
          <cell r="G6159" t="str">
            <v>Pest_308</v>
          </cell>
          <cell r="H6159">
            <v>6116</v>
          </cell>
          <cell r="Q6159">
            <v>14</v>
          </cell>
        </row>
        <row r="6160">
          <cell r="D6160" t="str">
            <v>1184-64-1</v>
          </cell>
          <cell r="E6160">
            <v>1184641</v>
          </cell>
          <cell r="F6160">
            <v>6251</v>
          </cell>
          <cell r="G6160" t="str">
            <v>Pest_306</v>
          </cell>
          <cell r="H6160">
            <v>6117</v>
          </cell>
          <cell r="J6160">
            <v>123.55</v>
          </cell>
          <cell r="K6160">
            <v>0</v>
          </cell>
          <cell r="L6160">
            <v>0</v>
          </cell>
          <cell r="M6160">
            <v>0</v>
          </cell>
          <cell r="N6160">
            <v>0</v>
          </cell>
          <cell r="O6160">
            <v>0</v>
          </cell>
          <cell r="P6160">
            <v>0</v>
          </cell>
          <cell r="Q6160">
            <v>0</v>
          </cell>
        </row>
        <row r="6161">
          <cell r="D6161" t="str">
            <v>10380-28-6</v>
          </cell>
          <cell r="E6161">
            <v>10380286</v>
          </cell>
          <cell r="F6161">
            <v>6302</v>
          </cell>
          <cell r="G6161" t="str">
            <v>Pest_389</v>
          </cell>
          <cell r="H6161">
            <v>6118</v>
          </cell>
          <cell r="J6161">
            <v>351.85</v>
          </cell>
          <cell r="K6161">
            <v>0</v>
          </cell>
          <cell r="L6161">
            <v>0</v>
          </cell>
          <cell r="M6161">
            <v>0</v>
          </cell>
          <cell r="N6161">
            <v>0</v>
          </cell>
          <cell r="O6161">
            <v>0</v>
          </cell>
          <cell r="P6161">
            <v>0</v>
          </cell>
          <cell r="Q6161">
            <v>0</v>
          </cell>
        </row>
        <row r="6162">
          <cell r="D6162" t="str">
            <v>4685-14-7</v>
          </cell>
          <cell r="E6162">
            <v>4685147</v>
          </cell>
          <cell r="F6162">
            <v>5085</v>
          </cell>
          <cell r="G6162" t="str">
            <v>Pest_391</v>
          </cell>
          <cell r="H6162">
            <v>6119</v>
          </cell>
          <cell r="J6162">
            <v>186.26</v>
          </cell>
          <cell r="K6162">
            <v>84.77</v>
          </cell>
          <cell r="L6162">
            <v>3.3058400000000002E-2</v>
          </cell>
          <cell r="M6162">
            <v>13859</v>
          </cell>
          <cell r="N6162">
            <v>0.27542287033381663</v>
          </cell>
          <cell r="O6162">
            <v>0</v>
          </cell>
          <cell r="P6162">
            <v>0</v>
          </cell>
          <cell r="Q6162">
            <v>0</v>
          </cell>
        </row>
        <row r="6163">
          <cell r="D6163" t="str">
            <v>2136-79-0</v>
          </cell>
          <cell r="E6163">
            <v>2136790</v>
          </cell>
          <cell r="F6163">
            <v>4873</v>
          </cell>
          <cell r="G6163" t="str">
            <v>Pest_303</v>
          </cell>
          <cell r="H6163">
            <v>6120</v>
          </cell>
          <cell r="J6163">
            <v>303.91000000000003</v>
          </cell>
          <cell r="K6163">
            <v>178.1</v>
          </cell>
          <cell r="L6163">
            <v>6.5183700000000006E-6</v>
          </cell>
          <cell r="M6163">
            <v>6.7615999999999996</v>
          </cell>
          <cell r="N6163">
            <v>134.89628825916537</v>
          </cell>
          <cell r="O6163">
            <v>1.65</v>
          </cell>
          <cell r="P6163">
            <v>0</v>
          </cell>
          <cell r="Q6163">
            <v>1.65</v>
          </cell>
        </row>
        <row r="6164">
          <cell r="D6164" t="str">
            <v>330-55-2</v>
          </cell>
          <cell r="E6164">
            <v>330552</v>
          </cell>
          <cell r="F6164">
            <v>602</v>
          </cell>
          <cell r="G6164" t="str">
            <v>Pest_150</v>
          </cell>
          <cell r="H6164">
            <v>6121</v>
          </cell>
          <cell r="J6164">
            <v>249.1</v>
          </cell>
          <cell r="K6164">
            <v>137.22999999999999</v>
          </cell>
          <cell r="L6164">
            <v>1.61293E-3</v>
          </cell>
          <cell r="M6164">
            <v>117.27</v>
          </cell>
          <cell r="N6164">
            <v>812.83051616409978</v>
          </cell>
          <cell r="O6164">
            <v>0</v>
          </cell>
          <cell r="P6164">
            <v>0</v>
          </cell>
          <cell r="Q6164">
            <v>0</v>
          </cell>
        </row>
        <row r="6165">
          <cell r="D6165" t="str">
            <v>57966-95-7</v>
          </cell>
          <cell r="E6165">
            <v>57966957</v>
          </cell>
          <cell r="F6165">
            <v>727</v>
          </cell>
          <cell r="G6165" t="str">
            <v>Pest_200</v>
          </cell>
          <cell r="H6165">
            <v>6122</v>
          </cell>
          <cell r="J6165">
            <v>198.19</v>
          </cell>
          <cell r="K6165">
            <v>188.44</v>
          </cell>
          <cell r="L6165">
            <v>2.94593E-6</v>
          </cell>
          <cell r="M6165">
            <v>36025</v>
          </cell>
          <cell r="N6165">
            <v>17378.008287493791</v>
          </cell>
          <cell r="O6165">
            <v>9.6999999999999993</v>
          </cell>
          <cell r="P6165">
            <v>16</v>
          </cell>
          <cell r="Q6165">
            <v>-2</v>
          </cell>
        </row>
        <row r="6166">
          <cell r="D6166" t="str">
            <v>73250-68-7</v>
          </cell>
          <cell r="E6166">
            <v>73250687</v>
          </cell>
          <cell r="F6166">
            <v>830</v>
          </cell>
          <cell r="G6166" t="str">
            <v>Pest_231</v>
          </cell>
          <cell r="H6166">
            <v>6123</v>
          </cell>
          <cell r="J6166">
            <v>298.37</v>
          </cell>
          <cell r="K6166">
            <v>191.72</v>
          </cell>
          <cell r="L6166">
            <v>3.8123800000000004E-6</v>
          </cell>
          <cell r="M6166">
            <v>17.553999999999998</v>
          </cell>
          <cell r="N6166">
            <v>630.95734448019323</v>
          </cell>
          <cell r="O6166">
            <v>0</v>
          </cell>
          <cell r="P6166">
            <v>12</v>
          </cell>
          <cell r="Q6166">
            <v>0</v>
          </cell>
        </row>
        <row r="6167">
          <cell r="D6167" t="str">
            <v>83164-33-4</v>
          </cell>
          <cell r="E6167">
            <v>83164334</v>
          </cell>
          <cell r="F6167">
            <v>951</v>
          </cell>
          <cell r="G6167" t="str">
            <v>Pest_250</v>
          </cell>
          <cell r="H6167">
            <v>6124</v>
          </cell>
          <cell r="J6167">
            <v>394.3</v>
          </cell>
          <cell r="K6167">
            <v>202.41</v>
          </cell>
          <cell r="L6167">
            <v>5.3453300000000009E-7</v>
          </cell>
          <cell r="M6167">
            <v>0.47800999999999999</v>
          </cell>
          <cell r="N6167">
            <v>3388.4415613920255</v>
          </cell>
          <cell r="O6167">
            <v>13.61</v>
          </cell>
          <cell r="P6167">
            <v>12</v>
          </cell>
          <cell r="Q6167">
            <v>2</v>
          </cell>
        </row>
        <row r="6168">
          <cell r="D6168" t="str">
            <v>139528-85-1</v>
          </cell>
          <cell r="E6168">
            <v>139528851</v>
          </cell>
          <cell r="F6168">
            <v>1922</v>
          </cell>
          <cell r="G6168" t="str">
            <v>Pest_70</v>
          </cell>
          <cell r="H6168">
            <v>6125</v>
          </cell>
          <cell r="J6168">
            <v>419.27</v>
          </cell>
          <cell r="K6168">
            <v>232.08</v>
          </cell>
          <cell r="L6168">
            <v>1.8662E-9</v>
          </cell>
          <cell r="M6168">
            <v>0.29410999999999998</v>
          </cell>
          <cell r="N6168">
            <v>2884.0315031266077</v>
          </cell>
          <cell r="O6168">
            <v>5.0199999999999996</v>
          </cell>
          <cell r="P6168">
            <v>12.28</v>
          </cell>
          <cell r="Q6168">
            <v>1.7200000000000006</v>
          </cell>
        </row>
        <row r="6169">
          <cell r="D6169" t="str">
            <v>98967-40-9</v>
          </cell>
          <cell r="E6169">
            <v>98967409</v>
          </cell>
          <cell r="F6169">
            <v>1081</v>
          </cell>
          <cell r="G6169" t="str">
            <v>Reach_4516</v>
          </cell>
          <cell r="H6169">
            <v>6126</v>
          </cell>
          <cell r="J6169">
            <v>325.3</v>
          </cell>
          <cell r="K6169">
            <v>190.02</v>
          </cell>
          <cell r="L6169">
            <v>2.0128300000000002E-7</v>
          </cell>
          <cell r="M6169">
            <v>291.85000000000002</v>
          </cell>
          <cell r="N6169">
            <v>31.622776601683803</v>
          </cell>
          <cell r="O6169">
            <v>5.0199999999999996</v>
          </cell>
          <cell r="P6169">
            <v>12</v>
          </cell>
          <cell r="Q6169">
            <v>2</v>
          </cell>
        </row>
        <row r="6170">
          <cell r="D6170" t="str">
            <v>142459-58-3</v>
          </cell>
          <cell r="E6170">
            <v>142459583</v>
          </cell>
          <cell r="F6170">
            <v>461</v>
          </cell>
          <cell r="G6170" t="str">
            <v>Pest_73</v>
          </cell>
          <cell r="H6170">
            <v>6127</v>
          </cell>
          <cell r="J6170">
            <v>363.34</v>
          </cell>
          <cell r="K6170">
            <v>181.37</v>
          </cell>
          <cell r="L6170">
            <v>5.6252600000000004E-5</v>
          </cell>
          <cell r="M6170">
            <v>2.5758000000000001</v>
          </cell>
          <cell r="N6170">
            <v>245.4708915685033</v>
          </cell>
          <cell r="O6170">
            <v>0</v>
          </cell>
          <cell r="P6170">
            <v>13</v>
          </cell>
          <cell r="Q6170">
            <v>0</v>
          </cell>
        </row>
        <row r="6171">
          <cell r="D6171" t="str">
            <v>7287-36-7</v>
          </cell>
          <cell r="E6171">
            <v>7287367</v>
          </cell>
          <cell r="F6171">
            <v>5040</v>
          </cell>
          <cell r="G6171" t="str">
            <v>Pest_379</v>
          </cell>
          <cell r="H6171">
            <v>6128</v>
          </cell>
          <cell r="J6171">
            <v>239.75</v>
          </cell>
          <cell r="K6171">
            <v>139.28</v>
          </cell>
          <cell r="L6171">
            <v>1.3996500000000001E-3</v>
          </cell>
          <cell r="M6171">
            <v>6.9013999999999998</v>
          </cell>
          <cell r="N6171">
            <v>12302.687708123816</v>
          </cell>
          <cell r="O6171">
            <v>13.19</v>
          </cell>
          <cell r="P6171">
            <v>14.06</v>
          </cell>
          <cell r="Q6171">
            <v>-6.0000000000000497E-2</v>
          </cell>
        </row>
        <row r="6172">
          <cell r="D6172" t="str">
            <v>145701-23-1</v>
          </cell>
          <cell r="E6172">
            <v>145701231</v>
          </cell>
          <cell r="F6172">
            <v>473</v>
          </cell>
          <cell r="G6172" t="str">
            <v>Pest_75</v>
          </cell>
          <cell r="H6172">
            <v>6129</v>
          </cell>
          <cell r="J6172">
            <v>360.3</v>
          </cell>
          <cell r="K6172">
            <v>194.4</v>
          </cell>
          <cell r="L6172">
            <v>5.7718899999999997E-7</v>
          </cell>
          <cell r="M6172">
            <v>9.4121000000000006</v>
          </cell>
          <cell r="N6172">
            <v>134.89628825916537</v>
          </cell>
          <cell r="O6172">
            <v>4.72</v>
          </cell>
          <cell r="P6172">
            <v>13</v>
          </cell>
          <cell r="Q6172">
            <v>1</v>
          </cell>
        </row>
        <row r="6173">
          <cell r="D6173" t="str">
            <v>115-32-2</v>
          </cell>
          <cell r="E6173">
            <v>115322</v>
          </cell>
          <cell r="F6173">
            <v>340</v>
          </cell>
          <cell r="G6173" t="str">
            <v>Pest_28</v>
          </cell>
          <cell r="H6173">
            <v>6130</v>
          </cell>
          <cell r="J6173">
            <v>370.49</v>
          </cell>
          <cell r="K6173">
            <v>148.32</v>
          </cell>
          <cell r="L6173">
            <v>9.184370000000001E-6</v>
          </cell>
          <cell r="M6173">
            <v>9.2835999999999995E-3</v>
          </cell>
          <cell r="N6173">
            <v>645654.22903465526</v>
          </cell>
          <cell r="O6173">
            <v>9.69</v>
          </cell>
          <cell r="P6173">
            <v>0</v>
          </cell>
          <cell r="Q6173">
            <v>9.69</v>
          </cell>
        </row>
        <row r="6174">
          <cell r="D6174" t="str">
            <v>90134-59-1</v>
          </cell>
          <cell r="E6174">
            <v>90134591</v>
          </cell>
          <cell r="F6174">
            <v>4953</v>
          </cell>
          <cell r="G6174" t="str">
            <v>Pest_349</v>
          </cell>
          <cell r="H6174">
            <v>6131</v>
          </cell>
          <cell r="J6174">
            <v>321.74</v>
          </cell>
          <cell r="K6174">
            <v>190.48</v>
          </cell>
          <cell r="L6174">
            <v>1.0370739999999999E-6</v>
          </cell>
          <cell r="M6174">
            <v>0.42970000000000003</v>
          </cell>
          <cell r="N6174">
            <v>1096.4781961431863</v>
          </cell>
          <cell r="O6174">
            <v>3.61</v>
          </cell>
          <cell r="P6174">
            <v>15.92</v>
          </cell>
          <cell r="Q6174">
            <v>-1.92</v>
          </cell>
        </row>
        <row r="6175">
          <cell r="D6175" t="str">
            <v>58667-63-3</v>
          </cell>
          <cell r="E6175">
            <v>58667633</v>
          </cell>
          <cell r="F6175">
            <v>4952</v>
          </cell>
          <cell r="G6175" t="str">
            <v>Pest_348</v>
          </cell>
          <cell r="H6175">
            <v>6132</v>
          </cell>
          <cell r="J6175">
            <v>321.74</v>
          </cell>
          <cell r="K6175">
            <v>190.48</v>
          </cell>
          <cell r="L6175">
            <v>1.0370739999999999E-6</v>
          </cell>
          <cell r="M6175">
            <v>0.42970000000000003</v>
          </cell>
          <cell r="N6175">
            <v>1096.4781961431863</v>
          </cell>
          <cell r="O6175">
            <v>3.61</v>
          </cell>
          <cell r="P6175">
            <v>15.92</v>
          </cell>
          <cell r="Q6175">
            <v>-1.92</v>
          </cell>
        </row>
        <row r="6176">
          <cell r="D6176" t="str">
            <v>23135-22-0</v>
          </cell>
          <cell r="E6176">
            <v>23135220</v>
          </cell>
          <cell r="F6176">
            <v>549</v>
          </cell>
          <cell r="G6176" t="str">
            <v>Pest_124</v>
          </cell>
          <cell r="H6176">
            <v>6133</v>
          </cell>
          <cell r="J6176">
            <v>219.27</v>
          </cell>
          <cell r="K6176">
            <v>94.99</v>
          </cell>
          <cell r="L6176">
            <v>7.8113800000000006E-3</v>
          </cell>
          <cell r="M6176">
            <v>18982</v>
          </cell>
          <cell r="N6176">
            <v>6.3095734448019317E-2</v>
          </cell>
          <cell r="O6176">
            <v>13.53</v>
          </cell>
          <cell r="P6176">
            <v>16</v>
          </cell>
          <cell r="Q6176">
            <v>-2</v>
          </cell>
        </row>
        <row r="6177">
          <cell r="D6177" t="str">
            <v>17804-35-2</v>
          </cell>
          <cell r="E6177">
            <v>17804352</v>
          </cell>
          <cell r="F6177">
            <v>513</v>
          </cell>
          <cell r="G6177" t="str">
            <v>Pest_98</v>
          </cell>
          <cell r="H6177">
            <v>6134</v>
          </cell>
          <cell r="J6177">
            <v>290.33</v>
          </cell>
          <cell r="K6177">
            <v>221.74</v>
          </cell>
          <cell r="L6177">
            <v>8.0513199999999999E-8</v>
          </cell>
          <cell r="M6177">
            <v>376.98</v>
          </cell>
          <cell r="N6177">
            <v>173.78008287493768</v>
          </cell>
          <cell r="O6177">
            <v>9.58</v>
          </cell>
          <cell r="P6177">
            <v>11</v>
          </cell>
          <cell r="Q6177">
            <v>3</v>
          </cell>
        </row>
        <row r="6178">
          <cell r="D6178" t="str">
            <v>23564-05-8</v>
          </cell>
          <cell r="E6178">
            <v>23564058</v>
          </cell>
          <cell r="F6178">
            <v>552</v>
          </cell>
          <cell r="G6178" t="str">
            <v>Pest_126</v>
          </cell>
          <cell r="H6178">
            <v>6135</v>
          </cell>
          <cell r="J6178">
            <v>342.4</v>
          </cell>
          <cell r="K6178">
            <v>185.26</v>
          </cell>
          <cell r="L6178">
            <v>1.3210030000000002E-6</v>
          </cell>
          <cell r="M6178">
            <v>103.72</v>
          </cell>
          <cell r="N6178">
            <v>12.58925411794168</v>
          </cell>
          <cell r="O6178">
            <v>7.29</v>
          </cell>
          <cell r="P6178">
            <v>13</v>
          </cell>
          <cell r="Q6178">
            <v>1</v>
          </cell>
        </row>
        <row r="6179">
          <cell r="D6179" t="str">
            <v>148-79-8</v>
          </cell>
          <cell r="E6179">
            <v>148798</v>
          </cell>
          <cell r="F6179">
            <v>476</v>
          </cell>
          <cell r="G6179" t="str">
            <v>Pest_77</v>
          </cell>
          <cell r="H6179">
            <v>6136</v>
          </cell>
          <cell r="J6179">
            <v>201.25</v>
          </cell>
          <cell r="K6179">
            <v>181.09</v>
          </cell>
          <cell r="L6179">
            <v>8.3045900000000009E-8</v>
          </cell>
          <cell r="M6179">
            <v>257.77999999999997</v>
          </cell>
          <cell r="N6179">
            <v>100</v>
          </cell>
          <cell r="O6179">
            <v>13.2</v>
          </cell>
          <cell r="P6179">
            <v>9</v>
          </cell>
          <cell r="Q6179">
            <v>5</v>
          </cell>
        </row>
        <row r="6180">
          <cell r="D6180" t="str">
            <v>3878-19-1</v>
          </cell>
          <cell r="E6180">
            <v>3878191</v>
          </cell>
          <cell r="F6180">
            <v>622</v>
          </cell>
          <cell r="G6180" t="str">
            <v>Pest_166</v>
          </cell>
          <cell r="H6180">
            <v>6137</v>
          </cell>
          <cell r="J6180">
            <v>184.2</v>
          </cell>
          <cell r="K6180">
            <v>148.61000000000001</v>
          </cell>
          <cell r="L6180">
            <v>6.1717900000000005E-7</v>
          </cell>
          <cell r="M6180">
            <v>449.37</v>
          </cell>
          <cell r="N6180">
            <v>234.42288153199232</v>
          </cell>
          <cell r="O6180">
            <v>13.2</v>
          </cell>
          <cell r="P6180">
            <v>11</v>
          </cell>
          <cell r="Q6180">
            <v>3</v>
          </cell>
        </row>
        <row r="6181">
          <cell r="D6181" t="str">
            <v>33693-04-8</v>
          </cell>
          <cell r="E6181">
            <v>33693048</v>
          </cell>
          <cell r="F6181">
            <v>606</v>
          </cell>
          <cell r="G6181" t="str">
            <v>Pest_155</v>
          </cell>
          <cell r="H6181">
            <v>6138</v>
          </cell>
          <cell r="J6181">
            <v>225.3</v>
          </cell>
          <cell r="K6181">
            <v>126.81</v>
          </cell>
          <cell r="L6181">
            <v>6.4783800000000006E-3</v>
          </cell>
          <cell r="M6181">
            <v>83.337999999999994</v>
          </cell>
          <cell r="N6181">
            <v>3981.0717055349769</v>
          </cell>
          <cell r="O6181">
            <v>0</v>
          </cell>
          <cell r="P6181">
            <v>10</v>
          </cell>
          <cell r="Q6181">
            <v>0</v>
          </cell>
        </row>
        <row r="6182">
          <cell r="D6182" t="str">
            <v>21725-46-2</v>
          </cell>
          <cell r="E6182">
            <v>21725462</v>
          </cell>
          <cell r="F6182">
            <v>535</v>
          </cell>
          <cell r="G6182" t="str">
            <v>Pest_116</v>
          </cell>
          <cell r="H6182">
            <v>6139</v>
          </cell>
          <cell r="J6182">
            <v>240.7</v>
          </cell>
          <cell r="K6182">
            <v>151.63</v>
          </cell>
          <cell r="L6182">
            <v>2.0261600000000003E-4</v>
          </cell>
          <cell r="M6182">
            <v>6.7542999999999997</v>
          </cell>
          <cell r="N6182">
            <v>323.59365692962825</v>
          </cell>
          <cell r="O6182">
            <v>0</v>
          </cell>
          <cell r="P6182">
            <v>13</v>
          </cell>
          <cell r="Q6182">
            <v>0</v>
          </cell>
        </row>
        <row r="6183">
          <cell r="D6183" t="str">
            <v>1912-26-1</v>
          </cell>
          <cell r="E6183">
            <v>1912261</v>
          </cell>
          <cell r="F6183">
            <v>518</v>
          </cell>
          <cell r="G6183" t="str">
            <v>Pest_105</v>
          </cell>
          <cell r="H6183">
            <v>6140</v>
          </cell>
          <cell r="J6183">
            <v>229.72</v>
          </cell>
          <cell r="K6183">
            <v>119.59</v>
          </cell>
          <cell r="L6183">
            <v>1.4129800000000001E-2</v>
          </cell>
          <cell r="M6183">
            <v>11.89</v>
          </cell>
          <cell r="N6183">
            <v>2754.228703338169</v>
          </cell>
          <cell r="O6183">
            <v>0</v>
          </cell>
          <cell r="P6183">
            <v>12</v>
          </cell>
          <cell r="Q6183">
            <v>0</v>
          </cell>
        </row>
        <row r="6184">
          <cell r="D6184" t="str">
            <v>139-40-2</v>
          </cell>
          <cell r="E6184">
            <v>139402</v>
          </cell>
          <cell r="F6184">
            <v>446</v>
          </cell>
          <cell r="G6184" t="str">
            <v>Reach_1144</v>
          </cell>
          <cell r="H6184">
            <v>6141</v>
          </cell>
          <cell r="J6184">
            <v>229.72</v>
          </cell>
          <cell r="K6184">
            <v>115.7</v>
          </cell>
          <cell r="L6184">
            <v>9.7175700000000007E-4</v>
          </cell>
          <cell r="M6184">
            <v>6.3704999999999998</v>
          </cell>
          <cell r="N6184">
            <v>1737.8008287493772</v>
          </cell>
          <cell r="O6184">
            <v>0</v>
          </cell>
          <cell r="P6184">
            <v>12</v>
          </cell>
          <cell r="Q6184">
            <v>0</v>
          </cell>
        </row>
        <row r="6185">
          <cell r="D6185" t="str">
            <v>49866-87-7</v>
          </cell>
          <cell r="E6185">
            <v>49866877</v>
          </cell>
          <cell r="F6185">
            <v>4903</v>
          </cell>
          <cell r="G6185" t="str">
            <v>Pest_326</v>
          </cell>
          <cell r="H6185">
            <v>6142</v>
          </cell>
          <cell r="J6185">
            <v>249.34</v>
          </cell>
          <cell r="K6185">
            <v>143.83000000000001</v>
          </cell>
          <cell r="L6185">
            <v>6.4783800000000008E-5</v>
          </cell>
          <cell r="M6185">
            <v>0.15984999999999999</v>
          </cell>
          <cell r="N6185">
            <v>5.1286138399136494</v>
          </cell>
          <cell r="O6185">
            <v>0</v>
          </cell>
          <cell r="P6185">
            <v>0</v>
          </cell>
          <cell r="Q6185">
            <v>0</v>
          </cell>
        </row>
        <row r="6186">
          <cell r="D6186" t="str">
            <v>29232-93-7</v>
          </cell>
          <cell r="E6186">
            <v>29232937</v>
          </cell>
          <cell r="F6186">
            <v>586</v>
          </cell>
          <cell r="G6186" t="str">
            <v>Pest_141</v>
          </cell>
          <cell r="H6186">
            <v>6143</v>
          </cell>
          <cell r="J6186">
            <v>305.33999999999997</v>
          </cell>
          <cell r="K6186">
            <v>89.53</v>
          </cell>
          <cell r="L6186">
            <v>5.0120800000000004E-3</v>
          </cell>
          <cell r="M6186">
            <v>11.037000000000001</v>
          </cell>
          <cell r="N6186">
            <v>10000</v>
          </cell>
          <cell r="O6186">
            <v>0</v>
          </cell>
          <cell r="P6186">
            <v>11</v>
          </cell>
          <cell r="Q6186">
            <v>0</v>
          </cell>
        </row>
        <row r="6187">
          <cell r="D6187" t="str">
            <v>2439-10-3</v>
          </cell>
          <cell r="E6187">
            <v>2439103</v>
          </cell>
          <cell r="F6187">
            <v>6262</v>
          </cell>
          <cell r="G6187" t="str">
            <v>Pest_336</v>
          </cell>
          <cell r="H6187">
            <v>6144</v>
          </cell>
          <cell r="J6187">
            <v>287.45</v>
          </cell>
          <cell r="K6187">
            <v>0</v>
          </cell>
          <cell r="L6187">
            <v>0</v>
          </cell>
          <cell r="M6187">
            <v>0</v>
          </cell>
          <cell r="N6187">
            <v>0</v>
          </cell>
          <cell r="O6187">
            <v>0</v>
          </cell>
          <cell r="P6187">
            <v>0</v>
          </cell>
          <cell r="Q6187">
            <v>0</v>
          </cell>
        </row>
        <row r="6188">
          <cell r="D6188" t="str">
            <v>55512-33-9</v>
          </cell>
          <cell r="E6188">
            <v>55512339</v>
          </cell>
          <cell r="F6188">
            <v>701</v>
          </cell>
          <cell r="G6188" t="str">
            <v>Pest_193</v>
          </cell>
          <cell r="H6188">
            <v>6145</v>
          </cell>
          <cell r="J6188">
            <v>378.92</v>
          </cell>
          <cell r="K6188">
            <v>220.3</v>
          </cell>
          <cell r="L6188">
            <v>1.3463300000000001E-6</v>
          </cell>
          <cell r="M6188">
            <v>8.6513000000000007E-3</v>
          </cell>
          <cell r="N6188">
            <v>537031.7963702539</v>
          </cell>
          <cell r="O6188">
            <v>0</v>
          </cell>
          <cell r="P6188">
            <v>11</v>
          </cell>
          <cell r="Q6188">
            <v>0</v>
          </cell>
        </row>
        <row r="6189">
          <cell r="D6189" t="str">
            <v>15545-48-9</v>
          </cell>
          <cell r="E6189">
            <v>15545489</v>
          </cell>
          <cell r="F6189">
            <v>32</v>
          </cell>
          <cell r="G6189" t="str">
            <v>Pest_82</v>
          </cell>
          <cell r="H6189">
            <v>6146</v>
          </cell>
          <cell r="J6189">
            <v>212.68</v>
          </cell>
          <cell r="K6189">
            <v>118.62</v>
          </cell>
          <cell r="L6189">
            <v>1.178372E-3</v>
          </cell>
          <cell r="M6189">
            <v>233.25</v>
          </cell>
          <cell r="N6189">
            <v>380.18939632056163</v>
          </cell>
          <cell r="O6189">
            <v>13.97</v>
          </cell>
          <cell r="P6189">
            <v>14.97</v>
          </cell>
          <cell r="Q6189">
            <v>-0.97000000000000064</v>
          </cell>
        </row>
        <row r="6190">
          <cell r="D6190" t="str">
            <v>188425-85-6</v>
          </cell>
          <cell r="E6190">
            <v>188425856</v>
          </cell>
          <cell r="F6190">
            <v>36</v>
          </cell>
          <cell r="G6190" t="str">
            <v>Pest_101</v>
          </cell>
          <cell r="H6190">
            <v>6147</v>
          </cell>
          <cell r="J6190">
            <v>343.21</v>
          </cell>
          <cell r="K6190">
            <v>221.73</v>
          </cell>
          <cell r="L6190">
            <v>9.1843700000000019E-9</v>
          </cell>
          <cell r="M6190">
            <v>5.2684000000000003E-3</v>
          </cell>
          <cell r="N6190">
            <v>10000</v>
          </cell>
          <cell r="O6190">
            <v>13.3</v>
          </cell>
          <cell r="P6190">
            <v>14.8</v>
          </cell>
          <cell r="Q6190">
            <v>-0.80000000000000071</v>
          </cell>
        </row>
        <row r="6191">
          <cell r="D6191" t="str">
            <v>2212-67-1</v>
          </cell>
          <cell r="E6191">
            <v>2212671</v>
          </cell>
          <cell r="F6191">
            <v>537</v>
          </cell>
          <cell r="G6191" t="str">
            <v>Pest_117</v>
          </cell>
          <cell r="H6191">
            <v>6148</v>
          </cell>
          <cell r="J6191">
            <v>187.31</v>
          </cell>
          <cell r="K6191">
            <v>69.58</v>
          </cell>
          <cell r="L6191">
            <v>0.27859699999999998</v>
          </cell>
          <cell r="M6191">
            <v>33.097999999999999</v>
          </cell>
          <cell r="N6191">
            <v>812.83051616409978</v>
          </cell>
          <cell r="O6191">
            <v>0</v>
          </cell>
          <cell r="P6191">
            <v>14</v>
          </cell>
          <cell r="Q6191">
            <v>0</v>
          </cell>
        </row>
        <row r="6192">
          <cell r="D6192" t="str">
            <v>104206-82-8</v>
          </cell>
          <cell r="E6192">
            <v>104206828</v>
          </cell>
          <cell r="F6192">
            <v>167</v>
          </cell>
          <cell r="G6192" t="str">
            <v>Pest_13</v>
          </cell>
          <cell r="H6192">
            <v>6149</v>
          </cell>
          <cell r="J6192">
            <v>339.32</v>
          </cell>
          <cell r="K6192">
            <v>217.5</v>
          </cell>
          <cell r="L6192">
            <v>1.7595600000000002E-8</v>
          </cell>
          <cell r="M6192">
            <v>798.5</v>
          </cell>
          <cell r="N6192">
            <v>30.902954325135919</v>
          </cell>
          <cell r="O6192">
            <v>2.65</v>
          </cell>
          <cell r="P6192">
            <v>0</v>
          </cell>
          <cell r="Q6192">
            <v>2.65</v>
          </cell>
        </row>
        <row r="6193">
          <cell r="D6193" t="str">
            <v>333-41-5</v>
          </cell>
          <cell r="E6193">
            <v>333415</v>
          </cell>
          <cell r="F6193">
            <v>47</v>
          </cell>
          <cell r="G6193" t="str">
            <v>Pest_152</v>
          </cell>
          <cell r="H6193">
            <v>6150</v>
          </cell>
          <cell r="J6193">
            <v>304.35000000000002</v>
          </cell>
          <cell r="K6193">
            <v>87.58</v>
          </cell>
          <cell r="L6193">
            <v>7.2381900000000002E-3</v>
          </cell>
          <cell r="M6193">
            <v>3.9047999999999998</v>
          </cell>
          <cell r="N6193">
            <v>7244.3596007499036</v>
          </cell>
          <cell r="O6193">
            <v>0</v>
          </cell>
          <cell r="P6193">
            <v>12.4</v>
          </cell>
          <cell r="Q6193">
            <v>0</v>
          </cell>
        </row>
        <row r="6194">
          <cell r="D6194" t="str">
            <v>759-94-4</v>
          </cell>
          <cell r="E6194">
            <v>759944</v>
          </cell>
          <cell r="F6194">
            <v>869</v>
          </cell>
          <cell r="G6194" t="str">
            <v>Reach_1529</v>
          </cell>
          <cell r="H6194">
            <v>6151</v>
          </cell>
          <cell r="J6194">
            <v>189.32</v>
          </cell>
          <cell r="K6194">
            <v>60.53</v>
          </cell>
          <cell r="L6194">
            <v>0.50120799999999999</v>
          </cell>
          <cell r="M6194">
            <v>162.07</v>
          </cell>
          <cell r="N6194">
            <v>1047.1285480509</v>
          </cell>
          <cell r="O6194">
            <v>0</v>
          </cell>
          <cell r="P6194">
            <v>14</v>
          </cell>
          <cell r="Q6194">
            <v>0</v>
          </cell>
        </row>
        <row r="6195">
          <cell r="D6195" t="str">
            <v>35256-85-0</v>
          </cell>
          <cell r="E6195">
            <v>35256850</v>
          </cell>
          <cell r="F6195">
            <v>5143</v>
          </cell>
          <cell r="G6195" t="str">
            <v>Pest_420</v>
          </cell>
          <cell r="H6195">
            <v>6152</v>
          </cell>
          <cell r="J6195">
            <v>233.36</v>
          </cell>
          <cell r="K6195">
            <v>95.58</v>
          </cell>
          <cell r="L6195">
            <v>6.1184700000000002E-2</v>
          </cell>
          <cell r="M6195">
            <v>21.515999999999998</v>
          </cell>
          <cell r="N6195">
            <v>3090.295432513592</v>
          </cell>
          <cell r="O6195">
            <v>0</v>
          </cell>
          <cell r="P6195">
            <v>14.8</v>
          </cell>
          <cell r="Q6195">
            <v>-0.80000000000000071</v>
          </cell>
        </row>
        <row r="6196">
          <cell r="D6196" t="str">
            <v>72178-02-0</v>
          </cell>
          <cell r="E6196">
            <v>72178020</v>
          </cell>
          <cell r="F6196">
            <v>824</v>
          </cell>
          <cell r="G6196" t="str">
            <v>Pest_226</v>
          </cell>
          <cell r="H6196">
            <v>6153</v>
          </cell>
          <cell r="J6196">
            <v>438.77</v>
          </cell>
          <cell r="K6196">
            <v>241.62</v>
          </cell>
          <cell r="L6196">
            <v>7.7980500000000008E-10</v>
          </cell>
          <cell r="M6196">
            <v>2.0213999999999999</v>
          </cell>
          <cell r="N6196">
            <v>2570.3957827688669</v>
          </cell>
          <cell r="O6196">
            <v>2.96</v>
          </cell>
          <cell r="P6196">
            <v>0</v>
          </cell>
          <cell r="Q6196">
            <v>2.96</v>
          </cell>
        </row>
        <row r="6197">
          <cell r="D6197" t="str">
            <v>119126-15-7</v>
          </cell>
          <cell r="E6197">
            <v>119126157</v>
          </cell>
          <cell r="F6197">
            <v>1684</v>
          </cell>
          <cell r="G6197" t="str">
            <v>Pest_33</v>
          </cell>
          <cell r="H6197">
            <v>6154</v>
          </cell>
          <cell r="J6197">
            <v>460.79</v>
          </cell>
          <cell r="K6197">
            <v>235.3</v>
          </cell>
          <cell r="L6197">
            <v>1.2503540000000001E-8</v>
          </cell>
          <cell r="M6197">
            <v>0.43955</v>
          </cell>
          <cell r="N6197">
            <v>28183.829312644593</v>
          </cell>
          <cell r="O6197">
            <v>14.7</v>
          </cell>
          <cell r="P6197">
            <v>14.43</v>
          </cell>
          <cell r="Q6197">
            <v>-0.42999999999999972</v>
          </cell>
        </row>
        <row r="6198">
          <cell r="D6198" t="str">
            <v>82558-50-7</v>
          </cell>
          <cell r="E6198">
            <v>82558507</v>
          </cell>
          <cell r="F6198">
            <v>946</v>
          </cell>
          <cell r="G6198" t="str">
            <v>Pest_246</v>
          </cell>
          <cell r="H6198">
            <v>6155</v>
          </cell>
          <cell r="J6198">
            <v>332.4</v>
          </cell>
          <cell r="K6198">
            <v>198.17</v>
          </cell>
          <cell r="L6198">
            <v>5.7052400000000011E-7</v>
          </cell>
          <cell r="M6198">
            <v>2.5687000000000002</v>
          </cell>
          <cell r="N6198">
            <v>9549.9258602143691</v>
          </cell>
          <cell r="O6198">
            <v>14.68</v>
          </cell>
          <cell r="P6198">
            <v>15</v>
          </cell>
          <cell r="Q6198">
            <v>-1</v>
          </cell>
        </row>
        <row r="6199">
          <cell r="D6199" t="str">
            <v>132-66-1</v>
          </cell>
          <cell r="E6199">
            <v>132661</v>
          </cell>
          <cell r="F6199">
            <v>5059</v>
          </cell>
          <cell r="G6199" t="str">
            <v>Pest_381</v>
          </cell>
          <cell r="H6199">
            <v>6156</v>
          </cell>
          <cell r="J6199">
            <v>291.31</v>
          </cell>
          <cell r="K6199">
            <v>227.46</v>
          </cell>
          <cell r="L6199">
            <v>1.2116970000000002E-8</v>
          </cell>
          <cell r="M6199">
            <v>18.475000000000001</v>
          </cell>
          <cell r="N6199">
            <v>2570.3957827688669</v>
          </cell>
          <cell r="O6199">
            <v>3.41</v>
          </cell>
          <cell r="P6199">
            <v>14.43</v>
          </cell>
          <cell r="Q6199">
            <v>-0.42999999999999972</v>
          </cell>
        </row>
        <row r="6200">
          <cell r="D6200" t="str">
            <v>5598-13-0</v>
          </cell>
          <cell r="E6200">
            <v>5598130</v>
          </cell>
          <cell r="F6200">
            <v>709</v>
          </cell>
          <cell r="G6200" t="str">
            <v>Pest_194</v>
          </cell>
          <cell r="H6200">
            <v>6157</v>
          </cell>
          <cell r="J6200">
            <v>322.54000000000002</v>
          </cell>
          <cell r="K6200">
            <v>84.08</v>
          </cell>
          <cell r="L6200">
            <v>9.5842700000000006E-3</v>
          </cell>
          <cell r="M6200">
            <v>1.4918</v>
          </cell>
          <cell r="N6200">
            <v>13489.628825916556</v>
          </cell>
          <cell r="O6200">
            <v>0</v>
          </cell>
          <cell r="P6200">
            <v>0</v>
          </cell>
          <cell r="Q6200">
            <v>0</v>
          </cell>
        </row>
        <row r="6201">
          <cell r="D6201" t="str">
            <v>534-52-1</v>
          </cell>
          <cell r="E6201">
            <v>534521</v>
          </cell>
          <cell r="F6201">
            <v>682</v>
          </cell>
          <cell r="G6201" t="str">
            <v>Reach_1332</v>
          </cell>
          <cell r="H6201">
            <v>6158</v>
          </cell>
          <cell r="J6201">
            <v>198.14</v>
          </cell>
          <cell r="K6201">
            <v>121.23</v>
          </cell>
          <cell r="L6201">
            <v>2.2661000000000003E-4</v>
          </cell>
          <cell r="M6201">
            <v>4674.1000000000004</v>
          </cell>
          <cell r="N6201">
            <v>186.20871366628685</v>
          </cell>
          <cell r="O6201">
            <v>4.2</v>
          </cell>
          <cell r="P6201">
            <v>0</v>
          </cell>
          <cell r="Q6201">
            <v>4.2</v>
          </cell>
        </row>
        <row r="6202">
          <cell r="D6202" t="str">
            <v>39196-18-4</v>
          </cell>
          <cell r="E6202">
            <v>39196184</v>
          </cell>
          <cell r="F6202">
            <v>623</v>
          </cell>
          <cell r="G6202" t="str">
            <v>Pest_167</v>
          </cell>
          <cell r="H6202">
            <v>6159</v>
          </cell>
          <cell r="J6202">
            <v>218.32</v>
          </cell>
          <cell r="K6202">
            <v>41.51</v>
          </cell>
          <cell r="L6202">
            <v>0.38257100000000005</v>
          </cell>
          <cell r="M6202">
            <v>404.47</v>
          </cell>
          <cell r="N6202">
            <v>144.54397707459285</v>
          </cell>
          <cell r="O6202">
            <v>13.72</v>
          </cell>
          <cell r="P6202">
            <v>15</v>
          </cell>
          <cell r="Q6202">
            <v>-1</v>
          </cell>
        </row>
        <row r="6203">
          <cell r="D6203" t="str">
            <v>116-06-3</v>
          </cell>
          <cell r="E6203">
            <v>116063</v>
          </cell>
          <cell r="F6203">
            <v>342</v>
          </cell>
          <cell r="G6203" t="str">
            <v>Pest_29</v>
          </cell>
          <cell r="H6203">
            <v>6160</v>
          </cell>
          <cell r="J6203">
            <v>190.27</v>
          </cell>
          <cell r="K6203">
            <v>28.81</v>
          </cell>
          <cell r="L6203">
            <v>0.64383900000000005</v>
          </cell>
          <cell r="M6203">
            <v>1942.9</v>
          </cell>
          <cell r="N6203">
            <v>22.908676527677738</v>
          </cell>
          <cell r="O6203">
            <v>13.72</v>
          </cell>
          <cell r="P6203">
            <v>15</v>
          </cell>
          <cell r="Q6203">
            <v>-1</v>
          </cell>
        </row>
        <row r="6204">
          <cell r="D6204" t="str">
            <v>13071-79-9</v>
          </cell>
          <cell r="E6204">
            <v>13071799</v>
          </cell>
          <cell r="F6204">
            <v>416</v>
          </cell>
          <cell r="G6204" t="str">
            <v>Pest_51</v>
          </cell>
          <cell r="H6204">
            <v>6161</v>
          </cell>
          <cell r="J6204">
            <v>288.43</v>
          </cell>
          <cell r="K6204">
            <v>13.79</v>
          </cell>
          <cell r="L6204">
            <v>4.6655000000000002E-2</v>
          </cell>
          <cell r="M6204">
            <v>2.3079999999999998</v>
          </cell>
          <cell r="N6204">
            <v>30902.954325135954</v>
          </cell>
          <cell r="O6204">
            <v>0</v>
          </cell>
          <cell r="P6204">
            <v>0</v>
          </cell>
          <cell r="Q6204">
            <v>0</v>
          </cell>
        </row>
        <row r="6205">
          <cell r="D6205" t="str">
            <v>69806-34-4</v>
          </cell>
          <cell r="E6205">
            <v>69806344</v>
          </cell>
          <cell r="F6205">
            <v>810</v>
          </cell>
          <cell r="G6205" t="str">
            <v>Pest_222</v>
          </cell>
          <cell r="H6205">
            <v>6162</v>
          </cell>
          <cell r="J6205">
            <v>361.7</v>
          </cell>
          <cell r="K6205">
            <v>175.67</v>
          </cell>
          <cell r="L6205">
            <v>5.3053400000000003E-5</v>
          </cell>
          <cell r="M6205">
            <v>8.8472000000000008</v>
          </cell>
          <cell r="N6205">
            <v>2398.8329190194918</v>
          </cell>
          <cell r="O6205">
            <v>3.08</v>
          </cell>
          <cell r="P6205">
            <v>14</v>
          </cell>
          <cell r="Q6205">
            <v>0</v>
          </cell>
        </row>
        <row r="6206">
          <cell r="D6206" t="str">
            <v>79241-46-6</v>
          </cell>
          <cell r="E6206">
            <v>79241466</v>
          </cell>
          <cell r="F6206">
            <v>4954</v>
          </cell>
          <cell r="G6206" t="str">
            <v>Pest_351</v>
          </cell>
          <cell r="H6206">
            <v>6163</v>
          </cell>
          <cell r="J6206">
            <v>383.37</v>
          </cell>
          <cell r="K6206">
            <v>149.02000000000001</v>
          </cell>
          <cell r="L6206">
            <v>8.8511200000000007E-4</v>
          </cell>
          <cell r="M6206">
            <v>0.60009999999999997</v>
          </cell>
          <cell r="N6206">
            <v>218776.16239495538</v>
          </cell>
          <cell r="O6206">
            <v>0</v>
          </cell>
          <cell r="P6206">
            <v>12.8</v>
          </cell>
          <cell r="Q6206">
            <v>0</v>
          </cell>
        </row>
        <row r="6207">
          <cell r="D6207" t="str">
            <v>950-37-8</v>
          </cell>
          <cell r="E6207">
            <v>950378</v>
          </cell>
          <cell r="F6207">
            <v>1025</v>
          </cell>
          <cell r="G6207" t="str">
            <v>Pest_268</v>
          </cell>
          <cell r="H6207">
            <v>6164</v>
          </cell>
          <cell r="J6207">
            <v>302.33</v>
          </cell>
          <cell r="K6207">
            <v>84.31</v>
          </cell>
          <cell r="L6207">
            <v>2.8792800000000001E-4</v>
          </cell>
          <cell r="M6207">
            <v>16.027999999999999</v>
          </cell>
          <cell r="N6207">
            <v>38.018939632056139</v>
          </cell>
          <cell r="O6207">
            <v>0</v>
          </cell>
          <cell r="P6207">
            <v>13</v>
          </cell>
          <cell r="Q6207">
            <v>0</v>
          </cell>
        </row>
        <row r="6208">
          <cell r="D6208" t="str">
            <v>2164-08-1</v>
          </cell>
          <cell r="E6208">
            <v>2164081</v>
          </cell>
          <cell r="F6208">
            <v>114</v>
          </cell>
          <cell r="G6208" t="str">
            <v>Pest_114</v>
          </cell>
          <cell r="H6208">
            <v>6165</v>
          </cell>
          <cell r="J6208">
            <v>234.3</v>
          </cell>
          <cell r="K6208">
            <v>188.07</v>
          </cell>
          <cell r="L6208">
            <v>4.0389900000000001E-8</v>
          </cell>
          <cell r="M6208">
            <v>158.33000000000001</v>
          </cell>
          <cell r="N6208">
            <v>549.54087385762534</v>
          </cell>
          <cell r="O6208">
            <v>10.1</v>
          </cell>
          <cell r="P6208">
            <v>0</v>
          </cell>
          <cell r="Q6208">
            <v>10.1</v>
          </cell>
        </row>
        <row r="6209">
          <cell r="D6209" t="str">
            <v>76578-12-6</v>
          </cell>
          <cell r="E6209">
            <v>76578126</v>
          </cell>
          <cell r="F6209">
            <v>5116</v>
          </cell>
          <cell r="G6209" t="str">
            <v>Pest_408</v>
          </cell>
          <cell r="H6209">
            <v>6166</v>
          </cell>
          <cell r="J6209">
            <v>344.76</v>
          </cell>
          <cell r="K6209">
            <v>209.74</v>
          </cell>
          <cell r="L6209">
            <v>5.718570000000001E-8</v>
          </cell>
          <cell r="M6209">
            <v>16.192</v>
          </cell>
          <cell r="N6209">
            <v>3715.352290971724</v>
          </cell>
          <cell r="O6209">
            <v>3.1</v>
          </cell>
          <cell r="P6209">
            <v>14.33</v>
          </cell>
          <cell r="Q6209">
            <v>-0.33000000000000007</v>
          </cell>
        </row>
        <row r="6210">
          <cell r="D6210" t="str">
            <v>95617-09-7</v>
          </cell>
          <cell r="E6210">
            <v>95617097</v>
          </cell>
          <cell r="F6210">
            <v>4947</v>
          </cell>
          <cell r="G6210" t="str">
            <v>Pest_342</v>
          </cell>
          <cell r="H6210">
            <v>6167</v>
          </cell>
          <cell r="J6210">
            <v>333.73</v>
          </cell>
          <cell r="K6210">
            <v>197.78</v>
          </cell>
          <cell r="L6210">
            <v>9.9841700000000009E-7</v>
          </cell>
          <cell r="M6210">
            <v>34.978000000000002</v>
          </cell>
          <cell r="N6210">
            <v>14791.083881682089</v>
          </cell>
          <cell r="O6210">
            <v>3.1</v>
          </cell>
          <cell r="P6210">
            <v>14.92</v>
          </cell>
          <cell r="Q6210">
            <v>-0.91999999999999993</v>
          </cell>
        </row>
        <row r="6211">
          <cell r="D6211" t="str">
            <v>111479-05-1</v>
          </cell>
          <cell r="E6211">
            <v>111479051</v>
          </cell>
          <cell r="F6211">
            <v>303</v>
          </cell>
          <cell r="G6211" t="str">
            <v>Pest_19</v>
          </cell>
          <cell r="H6211">
            <v>6168</v>
          </cell>
          <cell r="J6211">
            <v>443.89</v>
          </cell>
          <cell r="K6211">
            <v>227.97</v>
          </cell>
          <cell r="L6211">
            <v>2.18612E-7</v>
          </cell>
          <cell r="M6211">
            <v>0.21303</v>
          </cell>
          <cell r="N6211">
            <v>38904.514499428085</v>
          </cell>
          <cell r="O6211">
            <v>0</v>
          </cell>
          <cell r="P6211">
            <v>14</v>
          </cell>
          <cell r="Q6211">
            <v>0</v>
          </cell>
        </row>
        <row r="6212">
          <cell r="D6212" t="str">
            <v>113158-40-0</v>
          </cell>
          <cell r="E6212">
            <v>113158400</v>
          </cell>
          <cell r="F6212">
            <v>335</v>
          </cell>
          <cell r="G6212" t="str">
            <v>Pest_25</v>
          </cell>
          <cell r="H6212">
            <v>6169</v>
          </cell>
          <cell r="J6212">
            <v>333.73</v>
          </cell>
          <cell r="K6212">
            <v>197.78</v>
          </cell>
          <cell r="L6212">
            <v>9.9841700000000009E-7</v>
          </cell>
          <cell r="M6212">
            <v>34.978000000000002</v>
          </cell>
          <cell r="N6212">
            <v>14791.083881682089</v>
          </cell>
          <cell r="O6212">
            <v>3.1</v>
          </cell>
          <cell r="P6212">
            <v>15</v>
          </cell>
          <cell r="Q6212">
            <v>-1</v>
          </cell>
        </row>
        <row r="6213">
          <cell r="D6213" t="str">
            <v>69335-91-7</v>
          </cell>
          <cell r="E6213">
            <v>69335917</v>
          </cell>
          <cell r="F6213">
            <v>1112</v>
          </cell>
          <cell r="G6213" t="str">
            <v>Pest_350</v>
          </cell>
          <cell r="H6213">
            <v>6170</v>
          </cell>
          <cell r="J6213">
            <v>327.26</v>
          </cell>
          <cell r="K6213">
            <v>162.84</v>
          </cell>
          <cell r="L6213">
            <v>3.7457300000000005E-5</v>
          </cell>
          <cell r="M6213">
            <v>55.87</v>
          </cell>
          <cell r="N6213">
            <v>3801.8939632056172</v>
          </cell>
          <cell r="O6213">
            <v>3.09</v>
          </cell>
          <cell r="P6213">
            <v>13</v>
          </cell>
          <cell r="Q6213">
            <v>1</v>
          </cell>
        </row>
        <row r="6214">
          <cell r="D6214" t="str">
            <v>114420-56-3</v>
          </cell>
          <cell r="E6214">
            <v>114420563</v>
          </cell>
          <cell r="F6214">
            <v>4877</v>
          </cell>
          <cell r="G6214" t="str">
            <v>Pest_304</v>
          </cell>
          <cell r="H6214">
            <v>6171</v>
          </cell>
          <cell r="J6214">
            <v>311.7</v>
          </cell>
          <cell r="K6214">
            <v>172.83</v>
          </cell>
          <cell r="L6214">
            <v>1.4129800000000001E-5</v>
          </cell>
          <cell r="M6214">
            <v>49.454000000000001</v>
          </cell>
          <cell r="N6214">
            <v>416.86938347033572</v>
          </cell>
          <cell r="O6214">
            <v>3.08</v>
          </cell>
          <cell r="P6214">
            <v>13.66</v>
          </cell>
          <cell r="Q6214">
            <v>0.33999999999999986</v>
          </cell>
        </row>
        <row r="6215">
          <cell r="D6215" t="str">
            <v>100646-51-3</v>
          </cell>
          <cell r="E6215">
            <v>100646513</v>
          </cell>
          <cell r="F6215">
            <v>5117</v>
          </cell>
          <cell r="G6215" t="str">
            <v>Pest_409</v>
          </cell>
          <cell r="H6215">
            <v>6172</v>
          </cell>
          <cell r="J6215">
            <v>372.81</v>
          </cell>
          <cell r="K6215">
            <v>199.71</v>
          </cell>
          <cell r="L6215">
            <v>5.8652000000000002E-6</v>
          </cell>
          <cell r="M6215">
            <v>0.52222000000000002</v>
          </cell>
          <cell r="N6215">
            <v>22387.211385683382</v>
          </cell>
          <cell r="O6215">
            <v>0</v>
          </cell>
          <cell r="P6215">
            <v>14.34</v>
          </cell>
          <cell r="Q6215">
            <v>-0.33999999999999986</v>
          </cell>
        </row>
        <row r="6216">
          <cell r="D6216" t="str">
            <v>95977-29-0</v>
          </cell>
          <cell r="E6216">
            <v>95977290</v>
          </cell>
          <cell r="F6216">
            <v>4971</v>
          </cell>
          <cell r="G6216" t="str">
            <v>Pest_361</v>
          </cell>
          <cell r="H6216">
            <v>6173</v>
          </cell>
          <cell r="J6216">
            <v>361.7</v>
          </cell>
          <cell r="K6216">
            <v>172.11</v>
          </cell>
          <cell r="L6216">
            <v>1.4263100000000002E-5</v>
          </cell>
          <cell r="M6216">
            <v>8.8472000000000008</v>
          </cell>
          <cell r="N6216">
            <v>173780.0828749378</v>
          </cell>
          <cell r="O6216">
            <v>3.08</v>
          </cell>
          <cell r="P6216">
            <v>13.66</v>
          </cell>
          <cell r="Q6216">
            <v>0.33999999999999986</v>
          </cell>
        </row>
        <row r="6217">
          <cell r="D6217" t="str">
            <v>67747-09-5</v>
          </cell>
          <cell r="E6217">
            <v>67747095</v>
          </cell>
          <cell r="F6217">
            <v>797</v>
          </cell>
          <cell r="G6217" t="str">
            <v>Pest_217</v>
          </cell>
          <cell r="H6217">
            <v>6174</v>
          </cell>
          <cell r="J6217">
            <v>376.67</v>
          </cell>
          <cell r="K6217">
            <v>213.06</v>
          </cell>
          <cell r="L6217">
            <v>2.1328000000000001E-6</v>
          </cell>
          <cell r="M6217">
            <v>1.1539999999999999</v>
          </cell>
          <cell r="N6217">
            <v>13489.628825916556</v>
          </cell>
          <cell r="O6217">
            <v>0</v>
          </cell>
          <cell r="P6217">
            <v>8</v>
          </cell>
          <cell r="Q6217">
            <v>0</v>
          </cell>
        </row>
        <row r="6218">
          <cell r="D6218" t="str">
            <v>19622-08-3</v>
          </cell>
          <cell r="E6218">
            <v>19622083</v>
          </cell>
          <cell r="F6218">
            <v>5109</v>
          </cell>
          <cell r="G6218" t="str">
            <v>Pest_403</v>
          </cell>
          <cell r="H6218">
            <v>6175</v>
          </cell>
          <cell r="J6218">
            <v>190.31</v>
          </cell>
          <cell r="K6218">
            <v>108.57</v>
          </cell>
          <cell r="L6218">
            <v>4.3455799999999999E-3</v>
          </cell>
          <cell r="M6218">
            <v>3953.5</v>
          </cell>
          <cell r="N6218">
            <v>10.715193052376069</v>
          </cell>
          <cell r="O6218">
            <v>11.6</v>
          </cell>
          <cell r="P6218">
            <v>4.24</v>
          </cell>
          <cell r="Q6218">
            <v>9.76</v>
          </cell>
        </row>
        <row r="6219">
          <cell r="D6219" t="str">
            <v>140923-17-7</v>
          </cell>
          <cell r="E6219">
            <v>140923177</v>
          </cell>
          <cell r="F6219">
            <v>453</v>
          </cell>
          <cell r="G6219" t="str">
            <v>Pest_71</v>
          </cell>
          <cell r="H6219">
            <v>6176</v>
          </cell>
          <cell r="J6219">
            <v>320.44</v>
          </cell>
          <cell r="K6219">
            <v>176.9</v>
          </cell>
          <cell r="L6219">
            <v>2.7593100000000003E-6</v>
          </cell>
          <cell r="M6219">
            <v>11.339</v>
          </cell>
          <cell r="N6219">
            <v>2137.9620895022344</v>
          </cell>
          <cell r="O6219">
            <v>9.1199999999999992</v>
          </cell>
          <cell r="P6219">
            <v>15</v>
          </cell>
          <cell r="Q6219">
            <v>-1</v>
          </cell>
        </row>
        <row r="6220">
          <cell r="D6220" t="str">
            <v>42874-03-3</v>
          </cell>
          <cell r="E6220">
            <v>42874033</v>
          </cell>
          <cell r="F6220">
            <v>638</v>
          </cell>
          <cell r="G6220" t="str">
            <v>Pest_175</v>
          </cell>
          <cell r="H6220">
            <v>6177</v>
          </cell>
          <cell r="J6220">
            <v>361.7</v>
          </cell>
          <cell r="K6220">
            <v>156.08000000000001</v>
          </cell>
          <cell r="L6220">
            <v>3.0659000000000003E-3</v>
          </cell>
          <cell r="M6220">
            <v>0.28338999999999998</v>
          </cell>
          <cell r="N6220">
            <v>162181.00973589328</v>
          </cell>
          <cell r="O6220">
            <v>0</v>
          </cell>
          <cell r="P6220">
            <v>0</v>
          </cell>
          <cell r="Q6220">
            <v>0</v>
          </cell>
        </row>
        <row r="6221">
          <cell r="D6221" t="str">
            <v>470-90-6</v>
          </cell>
          <cell r="E6221">
            <v>470906</v>
          </cell>
          <cell r="F6221">
            <v>1098</v>
          </cell>
          <cell r="G6221" t="str">
            <v>Pest_301</v>
          </cell>
          <cell r="H6221">
            <v>6178</v>
          </cell>
          <cell r="J6221">
            <v>359.57</v>
          </cell>
          <cell r="K6221">
            <v>85.9</v>
          </cell>
          <cell r="L6221">
            <v>1.2543530000000002E-3</v>
          </cell>
          <cell r="M6221">
            <v>1.8069999999999999</v>
          </cell>
          <cell r="N6221">
            <v>14125.375446227561</v>
          </cell>
          <cell r="O6221">
            <v>0</v>
          </cell>
          <cell r="P6221">
            <v>0</v>
          </cell>
          <cell r="Q6221">
            <v>0</v>
          </cell>
        </row>
        <row r="6222">
          <cell r="D6222" t="str">
            <v>62-73-7</v>
          </cell>
          <cell r="E6222">
            <v>62737</v>
          </cell>
          <cell r="F6222">
            <v>4897</v>
          </cell>
          <cell r="G6222" t="str">
            <v>Pest_324</v>
          </cell>
          <cell r="H6222">
            <v>6179</v>
          </cell>
          <cell r="J6222">
            <v>220.98</v>
          </cell>
          <cell r="K6222">
            <v>18.07</v>
          </cell>
          <cell r="L6222">
            <v>8.4112300000000015</v>
          </cell>
          <cell r="M6222">
            <v>4262.1000000000004</v>
          </cell>
          <cell r="N6222">
            <v>3.9810717055349727</v>
          </cell>
          <cell r="O6222">
            <v>0</v>
          </cell>
          <cell r="P6222">
            <v>0</v>
          </cell>
          <cell r="Q6222">
            <v>0</v>
          </cell>
        </row>
        <row r="6223">
          <cell r="D6223" t="str">
            <v>122-14-5</v>
          </cell>
          <cell r="E6223">
            <v>122145</v>
          </cell>
          <cell r="F6223">
            <v>378</v>
          </cell>
          <cell r="G6223" t="str">
            <v>Pest_42</v>
          </cell>
          <cell r="H6223">
            <v>6180</v>
          </cell>
          <cell r="J6223">
            <v>277.24</v>
          </cell>
          <cell r="K6223">
            <v>85.77</v>
          </cell>
          <cell r="L6223">
            <v>1.0184120000000001E-2</v>
          </cell>
          <cell r="M6223">
            <v>38.354999999999997</v>
          </cell>
          <cell r="N6223">
            <v>1995.2623149688804</v>
          </cell>
          <cell r="O6223">
            <v>0</v>
          </cell>
          <cell r="P6223">
            <v>0</v>
          </cell>
          <cell r="Q6223">
            <v>0</v>
          </cell>
        </row>
        <row r="6224">
          <cell r="D6224" t="str">
            <v>13171-21-6</v>
          </cell>
          <cell r="E6224">
            <v>13171216</v>
          </cell>
          <cell r="F6224">
            <v>5093</v>
          </cell>
          <cell r="G6224" t="str">
            <v>Pest_394</v>
          </cell>
          <cell r="H6224">
            <v>6181</v>
          </cell>
          <cell r="J6224">
            <v>299.69</v>
          </cell>
          <cell r="K6224">
            <v>82.61</v>
          </cell>
          <cell r="L6224">
            <v>4.3989000000000007E-3</v>
          </cell>
          <cell r="M6224">
            <v>1595.3</v>
          </cell>
          <cell r="N6224">
            <v>23.988329190194907</v>
          </cell>
          <cell r="O6224">
            <v>0</v>
          </cell>
          <cell r="P6224">
            <v>0</v>
          </cell>
          <cell r="Q6224">
            <v>0</v>
          </cell>
        </row>
        <row r="6225">
          <cell r="D6225" t="str">
            <v>3383-96-8</v>
          </cell>
          <cell r="E6225">
            <v>3383968</v>
          </cell>
          <cell r="F6225">
            <v>5146</v>
          </cell>
          <cell r="G6225" t="str">
            <v>Pest_422</v>
          </cell>
          <cell r="H6225">
            <v>6182</v>
          </cell>
          <cell r="J6225">
            <v>466.47</v>
          </cell>
          <cell r="K6225">
            <v>85.97</v>
          </cell>
          <cell r="L6225">
            <v>1.0544030000000001E-5</v>
          </cell>
          <cell r="M6225">
            <v>1.5737999999999999E-2</v>
          </cell>
          <cell r="N6225">
            <v>1479108.3881682095</v>
          </cell>
          <cell r="O6225">
            <v>0</v>
          </cell>
          <cell r="P6225">
            <v>0</v>
          </cell>
          <cell r="Q6225">
            <v>0</v>
          </cell>
        </row>
        <row r="6226">
          <cell r="D6226" t="str">
            <v>34643-46-4</v>
          </cell>
          <cell r="E6226">
            <v>34643464</v>
          </cell>
          <cell r="F6226">
            <v>2711</v>
          </cell>
          <cell r="G6226" t="str">
            <v>Pest_159</v>
          </cell>
          <cell r="H6226">
            <v>6183</v>
          </cell>
          <cell r="J6226">
            <v>345.25</v>
          </cell>
          <cell r="K6226">
            <v>55.6</v>
          </cell>
          <cell r="L6226">
            <v>1.2530200000000001E-3</v>
          </cell>
          <cell r="M6226">
            <v>6.8131999999999998E-2</v>
          </cell>
          <cell r="N6226">
            <v>2187761.6239495561</v>
          </cell>
          <cell r="O6226">
            <v>0</v>
          </cell>
          <cell r="P6226">
            <v>0</v>
          </cell>
          <cell r="Q6226">
            <v>0</v>
          </cell>
        </row>
        <row r="6227">
          <cell r="D6227" t="str">
            <v>10311-84-9</v>
          </cell>
          <cell r="E6227">
            <v>10311849</v>
          </cell>
          <cell r="F6227">
            <v>4894</v>
          </cell>
          <cell r="G6227" t="str">
            <v>Pest_321</v>
          </cell>
          <cell r="H6227">
            <v>6184</v>
          </cell>
          <cell r="J6227">
            <v>393.85</v>
          </cell>
          <cell r="K6227">
            <v>90.27</v>
          </cell>
          <cell r="L6227">
            <v>4.6121799999999999E-6</v>
          </cell>
          <cell r="M6227">
            <v>1.7732000000000001</v>
          </cell>
          <cell r="N6227">
            <v>13803.842646028841</v>
          </cell>
          <cell r="O6227">
            <v>0</v>
          </cell>
          <cell r="P6227">
            <v>14.97</v>
          </cell>
          <cell r="Q6227">
            <v>-0.97000000000000064</v>
          </cell>
        </row>
        <row r="6228">
          <cell r="D6228" t="str">
            <v>732-11-6</v>
          </cell>
          <cell r="E6228">
            <v>732116</v>
          </cell>
          <cell r="F6228">
            <v>828</v>
          </cell>
          <cell r="G6228" t="str">
            <v>Pest_230</v>
          </cell>
          <cell r="H6228">
            <v>6185</v>
          </cell>
          <cell r="J6228">
            <v>317.32</v>
          </cell>
          <cell r="K6228">
            <v>90.27</v>
          </cell>
          <cell r="L6228">
            <v>4.1989499999999998E-6</v>
          </cell>
          <cell r="M6228">
            <v>65.739000000000004</v>
          </cell>
          <cell r="N6228">
            <v>301.99517204020168</v>
          </cell>
          <cell r="O6228">
            <v>0</v>
          </cell>
          <cell r="P6228">
            <v>14</v>
          </cell>
          <cell r="Q6228">
            <v>0</v>
          </cell>
        </row>
        <row r="6229">
          <cell r="D6229" t="str">
            <v>55-38-9</v>
          </cell>
          <cell r="E6229">
            <v>55389</v>
          </cell>
          <cell r="F6229">
            <v>699</v>
          </cell>
          <cell r="G6229" t="str">
            <v>Pest_192</v>
          </cell>
          <cell r="H6229">
            <v>6186</v>
          </cell>
          <cell r="J6229">
            <v>278.33</v>
          </cell>
          <cell r="K6229">
            <v>11.27</v>
          </cell>
          <cell r="L6229">
            <v>1.8395399999999999E-2</v>
          </cell>
          <cell r="M6229">
            <v>10.032</v>
          </cell>
          <cell r="N6229">
            <v>12022.644346174151</v>
          </cell>
          <cell r="O6229">
            <v>0</v>
          </cell>
          <cell r="P6229">
            <v>0</v>
          </cell>
          <cell r="Q6229">
            <v>0</v>
          </cell>
        </row>
        <row r="6230">
          <cell r="D6230" t="str">
            <v>6923-22-4</v>
          </cell>
          <cell r="E6230">
            <v>6923224</v>
          </cell>
          <cell r="F6230">
            <v>803</v>
          </cell>
          <cell r="G6230" t="str">
            <v>Pest_220</v>
          </cell>
          <cell r="H6230">
            <v>6187</v>
          </cell>
          <cell r="J6230">
            <v>223.17</v>
          </cell>
          <cell r="K6230">
            <v>87.72</v>
          </cell>
          <cell r="L6230">
            <v>3.7190700000000005E-3</v>
          </cell>
          <cell r="M6230">
            <v>34931</v>
          </cell>
          <cell r="N6230">
            <v>0.48977881936844614</v>
          </cell>
          <cell r="O6230">
            <v>10.95</v>
          </cell>
          <cell r="P6230">
            <v>0</v>
          </cell>
          <cell r="Q6230">
            <v>10.95</v>
          </cell>
        </row>
        <row r="6231">
          <cell r="D6231" t="str">
            <v>10265-92-6</v>
          </cell>
          <cell r="E6231">
            <v>10265926</v>
          </cell>
          <cell r="F6231">
            <v>153</v>
          </cell>
          <cell r="G6231" t="str">
            <v>Pest_9</v>
          </cell>
          <cell r="H6231">
            <v>6188</v>
          </cell>
          <cell r="J6231">
            <v>141.13</v>
          </cell>
          <cell r="K6231">
            <v>14.56</v>
          </cell>
          <cell r="L6231">
            <v>9.0644000000000009</v>
          </cell>
          <cell r="M6231">
            <v>129000</v>
          </cell>
          <cell r="N6231">
            <v>0.11748975549395291</v>
          </cell>
          <cell r="O6231">
            <v>0</v>
          </cell>
          <cell r="P6231">
            <v>0</v>
          </cell>
          <cell r="Q6231">
            <v>0</v>
          </cell>
        </row>
        <row r="6232">
          <cell r="D6232" t="str">
            <v>95465-99-9</v>
          </cell>
          <cell r="E6232">
            <v>95465999</v>
          </cell>
          <cell r="F6232">
            <v>1027</v>
          </cell>
          <cell r="G6232" t="str">
            <v>Pest_270</v>
          </cell>
          <cell r="H6232">
            <v>6189</v>
          </cell>
          <cell r="J6232">
            <v>270.39</v>
          </cell>
          <cell r="K6232">
            <v>33.4</v>
          </cell>
          <cell r="L6232">
            <v>4.4922100000000006E-2</v>
          </cell>
          <cell r="M6232">
            <v>5.5220000000000002</v>
          </cell>
          <cell r="N6232">
            <v>9549.9258602143691</v>
          </cell>
          <cell r="O6232">
            <v>0</v>
          </cell>
          <cell r="P6232">
            <v>0</v>
          </cell>
          <cell r="Q6232">
            <v>0</v>
          </cell>
        </row>
        <row r="6233">
          <cell r="D6233" t="str">
            <v>786-19-6</v>
          </cell>
          <cell r="E6233">
            <v>786196</v>
          </cell>
          <cell r="F6233">
            <v>898</v>
          </cell>
          <cell r="G6233" t="str">
            <v>Pest_237</v>
          </cell>
          <cell r="H6233">
            <v>6190</v>
          </cell>
          <cell r="J6233">
            <v>342.87</v>
          </cell>
          <cell r="K6233">
            <v>50.32</v>
          </cell>
          <cell r="L6233">
            <v>6.2517700000000009E-4</v>
          </cell>
          <cell r="M6233">
            <v>0.17737</v>
          </cell>
          <cell r="N6233">
            <v>275422.87033381703</v>
          </cell>
          <cell r="O6233">
            <v>0</v>
          </cell>
          <cell r="P6233">
            <v>0</v>
          </cell>
          <cell r="Q6233">
            <v>0</v>
          </cell>
        </row>
        <row r="6234">
          <cell r="D6234" t="str">
            <v>98886-44-3</v>
          </cell>
          <cell r="E6234">
            <v>98886443</v>
          </cell>
          <cell r="F6234">
            <v>5094</v>
          </cell>
          <cell r="G6234" t="str">
            <v>Pest_395</v>
          </cell>
          <cell r="H6234">
            <v>6191</v>
          </cell>
          <cell r="J6234">
            <v>283.35000000000002</v>
          </cell>
          <cell r="K6234">
            <v>87.16</v>
          </cell>
          <cell r="L6234">
            <v>7.7447300000000013E-4</v>
          </cell>
          <cell r="M6234">
            <v>95.292000000000002</v>
          </cell>
          <cell r="N6234">
            <v>295.12092266663893</v>
          </cell>
          <cell r="O6234">
            <v>0</v>
          </cell>
          <cell r="P6234">
            <v>0</v>
          </cell>
          <cell r="Q6234">
            <v>0</v>
          </cell>
        </row>
        <row r="6235">
          <cell r="D6235" t="str">
            <v>24934-91-6</v>
          </cell>
          <cell r="E6235">
            <v>24934916</v>
          </cell>
          <cell r="F6235">
            <v>564</v>
          </cell>
          <cell r="G6235" t="str">
            <v>Pest_132</v>
          </cell>
          <cell r="H6235">
            <v>6192</v>
          </cell>
          <cell r="J6235">
            <v>234.7</v>
          </cell>
          <cell r="K6235">
            <v>-25.23</v>
          </cell>
          <cell r="L6235">
            <v>0.50520700000000007</v>
          </cell>
          <cell r="M6235">
            <v>83.302999999999997</v>
          </cell>
          <cell r="N6235">
            <v>1096.4781961431863</v>
          </cell>
          <cell r="O6235">
            <v>0</v>
          </cell>
          <cell r="P6235">
            <v>0</v>
          </cell>
          <cell r="Q6235">
            <v>0</v>
          </cell>
        </row>
        <row r="6236">
          <cell r="D6236" t="str">
            <v>2642-71-9</v>
          </cell>
          <cell r="E6236">
            <v>2642719</v>
          </cell>
          <cell r="F6236">
            <v>40</v>
          </cell>
          <cell r="G6236" t="str">
            <v>Pest_137</v>
          </cell>
          <cell r="H6236">
            <v>6193</v>
          </cell>
          <cell r="J6236">
            <v>345.38</v>
          </cell>
          <cell r="K6236">
            <v>90.06</v>
          </cell>
          <cell r="L6236">
            <v>7.304840000000001E-6</v>
          </cell>
          <cell r="M6236">
            <v>2.5124</v>
          </cell>
          <cell r="N6236">
            <v>3235.9365692962833</v>
          </cell>
          <cell r="O6236">
            <v>0</v>
          </cell>
          <cell r="P6236">
            <v>14.4</v>
          </cell>
          <cell r="Q6236">
            <v>-0.40000000000000036</v>
          </cell>
        </row>
        <row r="6237">
          <cell r="D6237" t="str">
            <v>7786-34-7</v>
          </cell>
          <cell r="E6237">
            <v>7786347</v>
          </cell>
          <cell r="F6237">
            <v>5035</v>
          </cell>
          <cell r="G6237" t="str">
            <v>Pest_378</v>
          </cell>
          <cell r="H6237">
            <v>6194</v>
          </cell>
          <cell r="J6237">
            <v>224.15</v>
          </cell>
          <cell r="K6237">
            <v>28.06</v>
          </cell>
          <cell r="L6237">
            <v>0.47188200000000008</v>
          </cell>
          <cell r="M6237">
            <v>15892</v>
          </cell>
          <cell r="N6237">
            <v>5.7543993733715713</v>
          </cell>
          <cell r="O6237">
            <v>0</v>
          </cell>
          <cell r="P6237">
            <v>0</v>
          </cell>
          <cell r="Q6237">
            <v>0</v>
          </cell>
        </row>
        <row r="6238">
          <cell r="D6238" t="str">
            <v>298-04-4</v>
          </cell>
          <cell r="E6238">
            <v>298044</v>
          </cell>
          <cell r="F6238">
            <v>590</v>
          </cell>
          <cell r="G6238" t="str">
            <v>Pest_143</v>
          </cell>
          <cell r="H6238">
            <v>6195</v>
          </cell>
          <cell r="J6238">
            <v>274.39999999999998</v>
          </cell>
          <cell r="K6238">
            <v>6.94</v>
          </cell>
          <cell r="L6238">
            <v>4.6655000000000002E-2</v>
          </cell>
          <cell r="M6238">
            <v>12.938000000000001</v>
          </cell>
          <cell r="N6238">
            <v>11748.975549395318</v>
          </cell>
          <cell r="O6238">
            <v>0</v>
          </cell>
          <cell r="P6238">
            <v>0</v>
          </cell>
          <cell r="Q6238">
            <v>0</v>
          </cell>
        </row>
        <row r="6239">
          <cell r="D6239" t="str">
            <v>23560-59-0</v>
          </cell>
          <cell r="E6239">
            <v>23560590</v>
          </cell>
          <cell r="F6239">
            <v>551</v>
          </cell>
          <cell r="G6239" t="str">
            <v>Pest_125</v>
          </cell>
          <cell r="H6239">
            <v>6196</v>
          </cell>
          <cell r="J6239">
            <v>250.62</v>
          </cell>
          <cell r="K6239">
            <v>72.33</v>
          </cell>
          <cell r="L6239">
            <v>0.1234358</v>
          </cell>
          <cell r="M6239">
            <v>1663.5</v>
          </cell>
          <cell r="N6239">
            <v>25.703957827688647</v>
          </cell>
          <cell r="O6239">
            <v>0</v>
          </cell>
          <cell r="P6239">
            <v>0</v>
          </cell>
          <cell r="Q6239">
            <v>0</v>
          </cell>
        </row>
        <row r="6240">
          <cell r="D6240" t="str">
            <v>13194-48-4</v>
          </cell>
          <cell r="E6240">
            <v>13194484</v>
          </cell>
          <cell r="F6240">
            <v>4930</v>
          </cell>
          <cell r="G6240" t="str">
            <v>Pest_339</v>
          </cell>
          <cell r="H6240">
            <v>6197</v>
          </cell>
          <cell r="J6240">
            <v>242.34</v>
          </cell>
          <cell r="K6240">
            <v>42.23</v>
          </cell>
          <cell r="L6240">
            <v>7.7980500000000008E-2</v>
          </cell>
          <cell r="M6240">
            <v>50.094000000000001</v>
          </cell>
          <cell r="N6240">
            <v>1380.3842646028863</v>
          </cell>
          <cell r="O6240">
            <v>0</v>
          </cell>
          <cell r="P6240">
            <v>0</v>
          </cell>
          <cell r="Q6240">
            <v>0</v>
          </cell>
        </row>
        <row r="6241">
          <cell r="D6241" t="str">
            <v>22224-92-6</v>
          </cell>
          <cell r="E6241">
            <v>22224926</v>
          </cell>
          <cell r="F6241">
            <v>540</v>
          </cell>
          <cell r="G6241" t="str">
            <v>Pest_118</v>
          </cell>
          <cell r="H6241">
            <v>6198</v>
          </cell>
          <cell r="J6241">
            <v>303.36</v>
          </cell>
          <cell r="K6241">
            <v>84.78</v>
          </cell>
          <cell r="L6241">
            <v>1.1623760000000001E-3</v>
          </cell>
          <cell r="M6241">
            <v>21.600999999999999</v>
          </cell>
          <cell r="N6241">
            <v>1949.8445997580463</v>
          </cell>
          <cell r="O6241">
            <v>0</v>
          </cell>
          <cell r="P6241">
            <v>0</v>
          </cell>
          <cell r="Q6241">
            <v>0</v>
          </cell>
        </row>
        <row r="6242">
          <cell r="D6242" t="str">
            <v>13593-03-8</v>
          </cell>
          <cell r="E6242">
            <v>13593038</v>
          </cell>
          <cell r="F6242">
            <v>437</v>
          </cell>
          <cell r="G6242" t="str">
            <v>Pest_63</v>
          </cell>
          <cell r="H6242">
            <v>6199</v>
          </cell>
          <cell r="J6242">
            <v>298.3</v>
          </cell>
          <cell r="K6242">
            <v>85.89</v>
          </cell>
          <cell r="L6242">
            <v>1.1037240000000002E-3</v>
          </cell>
          <cell r="M6242">
            <v>13.522</v>
          </cell>
          <cell r="N6242">
            <v>1096.4781961431863</v>
          </cell>
          <cell r="O6242">
            <v>0</v>
          </cell>
          <cell r="P6242">
            <v>13</v>
          </cell>
          <cell r="Q6242">
            <v>0</v>
          </cell>
        </row>
        <row r="6243">
          <cell r="D6243" t="str">
            <v>944-22-9</v>
          </cell>
          <cell r="E6243">
            <v>944229</v>
          </cell>
          <cell r="F6243">
            <v>1023</v>
          </cell>
          <cell r="G6243" t="str">
            <v>Pest_267</v>
          </cell>
          <cell r="H6243">
            <v>6200</v>
          </cell>
          <cell r="J6243">
            <v>246.33</v>
          </cell>
          <cell r="K6243">
            <v>0.66</v>
          </cell>
          <cell r="L6243">
            <v>7.3315000000000005E-2</v>
          </cell>
          <cell r="M6243">
            <v>11.237</v>
          </cell>
          <cell r="N6243">
            <v>10471.285480509003</v>
          </cell>
          <cell r="O6243">
            <v>0</v>
          </cell>
          <cell r="P6243">
            <v>0</v>
          </cell>
          <cell r="Q6243">
            <v>0</v>
          </cell>
        </row>
        <row r="6244">
          <cell r="D6244" t="str">
            <v>640-15-3</v>
          </cell>
          <cell r="E6244">
            <v>640153</v>
          </cell>
          <cell r="F6244">
            <v>775</v>
          </cell>
          <cell r="G6244" t="str">
            <v>Pest_208</v>
          </cell>
          <cell r="H6244">
            <v>6201</v>
          </cell>
          <cell r="J6244">
            <v>246.35</v>
          </cell>
          <cell r="K6244">
            <v>-12.19</v>
          </cell>
          <cell r="L6244">
            <v>0.19728400000000001</v>
          </cell>
          <cell r="M6244">
            <v>78.058000000000007</v>
          </cell>
          <cell r="N6244">
            <v>1230.2687708123824</v>
          </cell>
          <cell r="O6244">
            <v>0</v>
          </cell>
          <cell r="P6244">
            <v>0</v>
          </cell>
          <cell r="Q6244">
            <v>0</v>
          </cell>
        </row>
        <row r="6245">
          <cell r="D6245" t="str">
            <v>1113-02-6</v>
          </cell>
          <cell r="E6245">
            <v>1113026</v>
          </cell>
          <cell r="F6245">
            <v>295</v>
          </cell>
          <cell r="G6245" t="str">
            <v>Pest_18</v>
          </cell>
          <cell r="H6245">
            <v>6202</v>
          </cell>
          <cell r="J6245">
            <v>213.19</v>
          </cell>
          <cell r="K6245">
            <v>87.02</v>
          </cell>
          <cell r="L6245">
            <v>8.0513200000000007E-3</v>
          </cell>
          <cell r="M6245">
            <v>35065</v>
          </cell>
          <cell r="N6245">
            <v>0.16218100973589297</v>
          </cell>
          <cell r="O6245">
            <v>14.01</v>
          </cell>
          <cell r="P6245">
            <v>15</v>
          </cell>
          <cell r="Q6245">
            <v>-1</v>
          </cell>
        </row>
        <row r="6246">
          <cell r="D6246" t="str">
            <v>563-12-2</v>
          </cell>
          <cell r="E6246">
            <v>563122</v>
          </cell>
          <cell r="F6246">
            <v>711</v>
          </cell>
          <cell r="G6246" t="str">
            <v>Pest_195</v>
          </cell>
          <cell r="H6246">
            <v>6203</v>
          </cell>
          <cell r="J6246">
            <v>384.48</v>
          </cell>
          <cell r="K6246">
            <v>15.89</v>
          </cell>
          <cell r="L6246">
            <v>4.7188200000000002E-4</v>
          </cell>
          <cell r="M6246">
            <v>0.2104</v>
          </cell>
          <cell r="N6246">
            <v>100000</v>
          </cell>
          <cell r="O6246">
            <v>0</v>
          </cell>
          <cell r="P6246">
            <v>0</v>
          </cell>
          <cell r="Q6246">
            <v>0</v>
          </cell>
        </row>
        <row r="6247">
          <cell r="D6247" t="str">
            <v>56-38-2</v>
          </cell>
          <cell r="E6247">
            <v>56382</v>
          </cell>
          <cell r="F6247">
            <v>713</v>
          </cell>
          <cell r="G6247" t="str">
            <v>Pest_196</v>
          </cell>
          <cell r="H6247">
            <v>6204</v>
          </cell>
          <cell r="J6247">
            <v>291.26</v>
          </cell>
          <cell r="K6247">
            <v>89.16</v>
          </cell>
          <cell r="L6247">
            <v>4.4522199999999998E-3</v>
          </cell>
          <cell r="M6247">
            <v>15.499000000000001</v>
          </cell>
          <cell r="N6247">
            <v>5370.3179637025269</v>
          </cell>
          <cell r="O6247">
            <v>0</v>
          </cell>
          <cell r="P6247">
            <v>0</v>
          </cell>
          <cell r="Q6247">
            <v>0</v>
          </cell>
        </row>
        <row r="6248">
          <cell r="D6248" t="str">
            <v>298-00-0</v>
          </cell>
          <cell r="E6248">
            <v>298000</v>
          </cell>
          <cell r="F6248">
            <v>5086</v>
          </cell>
          <cell r="G6248" t="str">
            <v>Pest_392</v>
          </cell>
          <cell r="H6248">
            <v>6205</v>
          </cell>
          <cell r="J6248">
            <v>263.20999999999998</v>
          </cell>
          <cell r="K6248">
            <v>79.69</v>
          </cell>
          <cell r="L6248">
            <v>1.5462800000000002E-2</v>
          </cell>
          <cell r="M6248">
            <v>94.120999999999995</v>
          </cell>
          <cell r="N6248">
            <v>562.34132519034927</v>
          </cell>
          <cell r="O6248">
            <v>0</v>
          </cell>
          <cell r="P6248">
            <v>0</v>
          </cell>
          <cell r="Q6248">
            <v>0</v>
          </cell>
        </row>
        <row r="6249">
          <cell r="D6249" t="str">
            <v>24017-47-8</v>
          </cell>
          <cell r="E6249">
            <v>24017478</v>
          </cell>
          <cell r="F6249">
            <v>557</v>
          </cell>
          <cell r="G6249" t="str">
            <v>Pest_129</v>
          </cell>
          <cell r="H6249">
            <v>6206</v>
          </cell>
          <cell r="J6249">
            <v>313.32</v>
          </cell>
          <cell r="K6249">
            <v>87.49</v>
          </cell>
          <cell r="L6249">
            <v>6.8116300000000004E-4</v>
          </cell>
          <cell r="M6249">
            <v>4.2930000000000001</v>
          </cell>
          <cell r="N6249">
            <v>2344.2288153199238</v>
          </cell>
          <cell r="O6249">
            <v>0</v>
          </cell>
          <cell r="P6249">
            <v>13</v>
          </cell>
          <cell r="Q6249">
            <v>0</v>
          </cell>
        </row>
        <row r="6250">
          <cell r="D6250" t="str">
            <v>121-75-5</v>
          </cell>
          <cell r="E6250">
            <v>121755</v>
          </cell>
          <cell r="F6250">
            <v>374</v>
          </cell>
          <cell r="G6250" t="str">
            <v>Pest_41</v>
          </cell>
          <cell r="H6250">
            <v>6207</v>
          </cell>
          <cell r="J6250">
            <v>330.36</v>
          </cell>
          <cell r="K6250">
            <v>-23.58</v>
          </cell>
          <cell r="L6250">
            <v>1.6529200000000001E-2</v>
          </cell>
          <cell r="M6250">
            <v>319.22000000000003</v>
          </cell>
          <cell r="N6250">
            <v>194.98445997580458</v>
          </cell>
          <cell r="O6250">
            <v>0</v>
          </cell>
          <cell r="P6250">
            <v>0</v>
          </cell>
          <cell r="Q6250">
            <v>0</v>
          </cell>
        </row>
        <row r="6251">
          <cell r="D6251" t="str">
            <v>3689-24-5</v>
          </cell>
          <cell r="E6251">
            <v>3689245</v>
          </cell>
          <cell r="F6251">
            <v>5137</v>
          </cell>
          <cell r="G6251" t="str">
            <v>Pest_417</v>
          </cell>
          <cell r="H6251">
            <v>6208</v>
          </cell>
          <cell r="J6251">
            <v>322.32</v>
          </cell>
          <cell r="K6251">
            <v>-32.32</v>
          </cell>
          <cell r="L6251">
            <v>1.8528699999999999E-2</v>
          </cell>
          <cell r="M6251">
            <v>6.1269</v>
          </cell>
          <cell r="N6251">
            <v>9549.9258602143691</v>
          </cell>
          <cell r="O6251">
            <v>0</v>
          </cell>
          <cell r="P6251">
            <v>0</v>
          </cell>
          <cell r="Q6251">
            <v>0</v>
          </cell>
        </row>
        <row r="6252">
          <cell r="D6252" t="str">
            <v>298-02-2</v>
          </cell>
          <cell r="E6252">
            <v>298022</v>
          </cell>
          <cell r="F6252">
            <v>589</v>
          </cell>
          <cell r="G6252" t="str">
            <v>Pest_142</v>
          </cell>
          <cell r="H6252">
            <v>6209</v>
          </cell>
          <cell r="J6252">
            <v>260.38</v>
          </cell>
          <cell r="K6252">
            <v>-2.4900000000000002</v>
          </cell>
          <cell r="L6252">
            <v>9.3976500000000004E-2</v>
          </cell>
          <cell r="M6252">
            <v>16.402999999999999</v>
          </cell>
          <cell r="N6252">
            <v>4168.6938347033583</v>
          </cell>
          <cell r="O6252">
            <v>0</v>
          </cell>
          <cell r="P6252">
            <v>0</v>
          </cell>
          <cell r="Q6252">
            <v>0</v>
          </cell>
        </row>
        <row r="6253">
          <cell r="D6253" t="str">
            <v>52-68-6</v>
          </cell>
          <cell r="E6253">
            <v>52686</v>
          </cell>
          <cell r="F6253">
            <v>677</v>
          </cell>
          <cell r="G6253" t="str">
            <v>Pest_183</v>
          </cell>
          <cell r="H6253">
            <v>6210</v>
          </cell>
          <cell r="J6253">
            <v>257.44</v>
          </cell>
          <cell r="K6253">
            <v>66.099999999999994</v>
          </cell>
          <cell r="L6253">
            <v>9.2510200000000022E-3</v>
          </cell>
          <cell r="M6253">
            <v>165000</v>
          </cell>
          <cell r="N6253">
            <v>2.6302679918953822</v>
          </cell>
          <cell r="O6253">
            <v>7.76</v>
          </cell>
          <cell r="P6253">
            <v>0</v>
          </cell>
          <cell r="Q6253">
            <v>7.76</v>
          </cell>
        </row>
        <row r="6254">
          <cell r="D6254" t="str">
            <v>41198-08-7</v>
          </cell>
          <cell r="E6254">
            <v>41198087</v>
          </cell>
          <cell r="F6254">
            <v>631</v>
          </cell>
          <cell r="G6254" t="str">
            <v>Reach_2738</v>
          </cell>
          <cell r="H6254">
            <v>6211</v>
          </cell>
          <cell r="J6254">
            <v>373.64</v>
          </cell>
          <cell r="K6254">
            <v>86.45</v>
          </cell>
          <cell r="L6254">
            <v>1.014413E-3</v>
          </cell>
          <cell r="M6254">
            <v>0.40758</v>
          </cell>
          <cell r="N6254">
            <v>66069.344800759733</v>
          </cell>
          <cell r="O6254">
            <v>0</v>
          </cell>
          <cell r="P6254">
            <v>0</v>
          </cell>
          <cell r="Q6254">
            <v>0</v>
          </cell>
        </row>
        <row r="6255">
          <cell r="D6255" t="str">
            <v>30560-19-1</v>
          </cell>
          <cell r="E6255">
            <v>30560191</v>
          </cell>
          <cell r="F6255">
            <v>596</v>
          </cell>
          <cell r="G6255" t="str">
            <v>Pest_147</v>
          </cell>
          <cell r="H6255">
            <v>6212</v>
          </cell>
          <cell r="J6255">
            <v>183.17</v>
          </cell>
          <cell r="K6255">
            <v>80.069999999999993</v>
          </cell>
          <cell r="L6255">
            <v>7.3315000000000012E-3</v>
          </cell>
          <cell r="M6255">
            <v>63588</v>
          </cell>
          <cell r="N6255">
            <v>0.12589254117941667</v>
          </cell>
          <cell r="O6255">
            <v>12.07</v>
          </cell>
          <cell r="P6255">
            <v>0</v>
          </cell>
          <cell r="Q6255">
            <v>12.07</v>
          </cell>
        </row>
        <row r="6256">
          <cell r="D6256" t="str">
            <v>300-76-5</v>
          </cell>
          <cell r="E6256">
            <v>300765</v>
          </cell>
          <cell r="F6256">
            <v>594</v>
          </cell>
          <cell r="G6256" t="str">
            <v>Pest_145</v>
          </cell>
          <cell r="H6256">
            <v>6213</v>
          </cell>
          <cell r="J6256">
            <v>380.8</v>
          </cell>
          <cell r="K6256">
            <v>76.37</v>
          </cell>
          <cell r="L6256">
            <v>5.6385900000000003E-2</v>
          </cell>
          <cell r="M6256">
            <v>41.209000000000003</v>
          </cell>
          <cell r="N6256">
            <v>39.810717055349755</v>
          </cell>
          <cell r="O6256">
            <v>0</v>
          </cell>
          <cell r="P6256">
            <v>0</v>
          </cell>
          <cell r="Q6256">
            <v>0</v>
          </cell>
        </row>
        <row r="6257">
          <cell r="D6257" t="str">
            <v>25311-71-1</v>
          </cell>
          <cell r="E6257">
            <v>25311711</v>
          </cell>
          <cell r="F6257">
            <v>567</v>
          </cell>
          <cell r="G6257" t="str">
            <v>Pest_133</v>
          </cell>
          <cell r="H6257">
            <v>6214</v>
          </cell>
          <cell r="J6257">
            <v>345.4</v>
          </cell>
          <cell r="K6257">
            <v>59.29</v>
          </cell>
          <cell r="L6257">
            <v>1.3996500000000001E-3</v>
          </cell>
          <cell r="M6257">
            <v>1.3261000000000001</v>
          </cell>
          <cell r="N6257">
            <v>25118.86431509586</v>
          </cell>
          <cell r="O6257">
            <v>0</v>
          </cell>
          <cell r="P6257">
            <v>0</v>
          </cell>
          <cell r="Q6257">
            <v>0</v>
          </cell>
        </row>
        <row r="6258">
          <cell r="D6258" t="str">
            <v>2540-82-1</v>
          </cell>
          <cell r="E6258">
            <v>2540821</v>
          </cell>
          <cell r="F6258">
            <v>569</v>
          </cell>
          <cell r="G6258" t="str">
            <v>Pest_134</v>
          </cell>
          <cell r="H6258">
            <v>6215</v>
          </cell>
          <cell r="J6258">
            <v>257.27</v>
          </cell>
          <cell r="K6258">
            <v>84.73</v>
          </cell>
          <cell r="L6258">
            <v>1.9461800000000003E-3</v>
          </cell>
          <cell r="M6258">
            <v>3112.2</v>
          </cell>
          <cell r="N6258">
            <v>18.197008586099841</v>
          </cell>
          <cell r="O6258">
            <v>0</v>
          </cell>
          <cell r="P6258">
            <v>14</v>
          </cell>
          <cell r="Q6258">
            <v>0</v>
          </cell>
        </row>
        <row r="6259">
          <cell r="D6259" t="str">
            <v>301-12-2</v>
          </cell>
          <cell r="E6259">
            <v>301122</v>
          </cell>
          <cell r="F6259">
            <v>595</v>
          </cell>
          <cell r="G6259" t="str">
            <v>Pest_146</v>
          </cell>
          <cell r="H6259">
            <v>6216</v>
          </cell>
          <cell r="J6259">
            <v>246.28</v>
          </cell>
          <cell r="K6259">
            <v>86.41</v>
          </cell>
          <cell r="L6259">
            <v>6.3717400000000014E-5</v>
          </cell>
          <cell r="M6259">
            <v>4067.5</v>
          </cell>
          <cell r="N6259">
            <v>19.498445997580465</v>
          </cell>
          <cell r="O6259">
            <v>0</v>
          </cell>
          <cell r="P6259">
            <v>0</v>
          </cell>
          <cell r="Q6259">
            <v>0</v>
          </cell>
        </row>
        <row r="6260">
          <cell r="D6260" t="str">
            <v>919-86-8</v>
          </cell>
          <cell r="E6260">
            <v>919868</v>
          </cell>
          <cell r="F6260">
            <v>1010</v>
          </cell>
          <cell r="G6260" t="str">
            <v>Pest_263</v>
          </cell>
          <cell r="H6260">
            <v>6217</v>
          </cell>
          <cell r="J6260">
            <v>230.29</v>
          </cell>
          <cell r="K6260">
            <v>40.08</v>
          </cell>
          <cell r="L6260">
            <v>0.15729400000000002</v>
          </cell>
          <cell r="M6260">
            <v>950.32</v>
          </cell>
          <cell r="N6260">
            <v>10.232929922807543</v>
          </cell>
          <cell r="O6260">
            <v>0</v>
          </cell>
          <cell r="P6260">
            <v>0</v>
          </cell>
          <cell r="Q6260">
            <v>0</v>
          </cell>
        </row>
        <row r="6261">
          <cell r="D6261" t="str">
            <v>2310-17-0</v>
          </cell>
          <cell r="E6261">
            <v>2310170</v>
          </cell>
          <cell r="F6261">
            <v>546</v>
          </cell>
          <cell r="G6261" t="str">
            <v>Pest_122</v>
          </cell>
          <cell r="H6261">
            <v>6218</v>
          </cell>
          <cell r="J6261">
            <v>367.81</v>
          </cell>
          <cell r="K6261">
            <v>88.99</v>
          </cell>
          <cell r="L6261">
            <v>1.5462800000000004E-5</v>
          </cell>
          <cell r="M6261">
            <v>0.30431000000000002</v>
          </cell>
          <cell r="N6261">
            <v>19498.445997580486</v>
          </cell>
          <cell r="O6261">
            <v>0</v>
          </cell>
          <cell r="P6261">
            <v>15</v>
          </cell>
          <cell r="Q6261">
            <v>-1</v>
          </cell>
        </row>
        <row r="6262">
          <cell r="D6262" t="str">
            <v>14816-18-3</v>
          </cell>
          <cell r="E6262">
            <v>14816183</v>
          </cell>
          <cell r="F6262">
            <v>475</v>
          </cell>
          <cell r="G6262" t="str">
            <v>Pest_76</v>
          </cell>
          <cell r="H6262">
            <v>6219</v>
          </cell>
          <cell r="J6262">
            <v>298.3</v>
          </cell>
          <cell r="K6262">
            <v>25.81</v>
          </cell>
          <cell r="L6262">
            <v>1.151712E-3</v>
          </cell>
          <cell r="M6262">
            <v>6.2605000000000004</v>
          </cell>
          <cell r="N6262">
            <v>24547.089156850321</v>
          </cell>
          <cell r="O6262">
            <v>0</v>
          </cell>
          <cell r="P6262">
            <v>0</v>
          </cell>
          <cell r="Q6262">
            <v>0</v>
          </cell>
        </row>
        <row r="6263">
          <cell r="D6263" t="str">
            <v>86-50-0</v>
          </cell>
          <cell r="E6263">
            <v>86500</v>
          </cell>
          <cell r="F6263">
            <v>972</v>
          </cell>
          <cell r="G6263" t="str">
            <v>Pest_258</v>
          </cell>
          <cell r="H6263">
            <v>6220</v>
          </cell>
          <cell r="J6263">
            <v>317.33</v>
          </cell>
          <cell r="K6263">
            <v>87.8</v>
          </cell>
          <cell r="L6263">
            <v>1.7728900000000002E-5</v>
          </cell>
          <cell r="M6263">
            <v>15.515000000000001</v>
          </cell>
          <cell r="N6263">
            <v>338.84415613920248</v>
          </cell>
          <cell r="O6263">
            <v>0</v>
          </cell>
          <cell r="P6263">
            <v>14</v>
          </cell>
          <cell r="Q6263">
            <v>0</v>
          </cell>
        </row>
        <row r="6264">
          <cell r="D6264" t="str">
            <v>2275-23-2</v>
          </cell>
          <cell r="E6264">
            <v>2275232</v>
          </cell>
          <cell r="F6264">
            <v>543</v>
          </cell>
          <cell r="G6264" t="str">
            <v>Pest_119</v>
          </cell>
          <cell r="H6264">
            <v>6221</v>
          </cell>
          <cell r="J6264">
            <v>287.33999999999997</v>
          </cell>
          <cell r="K6264">
            <v>84.95</v>
          </cell>
          <cell r="L6264">
            <v>1.8262100000000003E-4</v>
          </cell>
          <cell r="M6264">
            <v>1538.3</v>
          </cell>
          <cell r="N6264">
            <v>1.1481536214968828</v>
          </cell>
          <cell r="O6264">
            <v>13.71</v>
          </cell>
          <cell r="P6264">
            <v>15</v>
          </cell>
          <cell r="Q6264">
            <v>-1</v>
          </cell>
        </row>
        <row r="6265">
          <cell r="D6265" t="str">
            <v>14214-32-5</v>
          </cell>
          <cell r="E6265">
            <v>14214325</v>
          </cell>
          <cell r="F6265">
            <v>4902</v>
          </cell>
          <cell r="G6265" t="str">
            <v>Pest_325</v>
          </cell>
          <cell r="H6265">
            <v>6222</v>
          </cell>
          <cell r="J6265">
            <v>286.33</v>
          </cell>
          <cell r="K6265">
            <v>176.21</v>
          </cell>
          <cell r="L6265">
            <v>3.8523700000000002E-6</v>
          </cell>
          <cell r="M6265">
            <v>33.344000000000001</v>
          </cell>
          <cell r="N6265">
            <v>3311.3112148259115</v>
          </cell>
          <cell r="O6265">
            <v>14.31</v>
          </cell>
          <cell r="P6265">
            <v>13.86</v>
          </cell>
          <cell r="Q6265">
            <v>0.14000000000000057</v>
          </cell>
        </row>
        <row r="6266">
          <cell r="D6266" t="str">
            <v>555-37-3</v>
          </cell>
          <cell r="E6266">
            <v>555373</v>
          </cell>
          <cell r="F6266">
            <v>5063</v>
          </cell>
          <cell r="G6266" t="str">
            <v>Pest_382</v>
          </cell>
          <cell r="H6266">
            <v>6223</v>
          </cell>
          <cell r="J6266">
            <v>275.18</v>
          </cell>
          <cell r="K6266">
            <v>142.72999999999999</v>
          </cell>
          <cell r="L6266">
            <v>3.7057400000000003E-4</v>
          </cell>
          <cell r="M6266">
            <v>9.3419000000000008</v>
          </cell>
          <cell r="N6266">
            <v>14125.375446227561</v>
          </cell>
          <cell r="O6266">
            <v>13.76</v>
          </cell>
          <cell r="P6266">
            <v>15.63</v>
          </cell>
          <cell r="Q6266">
            <v>-1.6300000000000008</v>
          </cell>
        </row>
        <row r="6267">
          <cell r="D6267" t="str">
            <v>51707-55-2</v>
          </cell>
          <cell r="E6267">
            <v>51707552</v>
          </cell>
          <cell r="F6267">
            <v>5158</v>
          </cell>
          <cell r="G6267" t="str">
            <v>Pest_426</v>
          </cell>
          <cell r="H6267">
            <v>6224</v>
          </cell>
          <cell r="J6267">
            <v>220.26</v>
          </cell>
          <cell r="K6267">
            <v>175.9</v>
          </cell>
          <cell r="L6267">
            <v>9.0244100000000019E-6</v>
          </cell>
          <cell r="M6267">
            <v>1000.1</v>
          </cell>
          <cell r="N6267">
            <v>125.89254117941677</v>
          </cell>
          <cell r="O6267">
            <v>14.3</v>
          </cell>
          <cell r="P6267">
            <v>13.9</v>
          </cell>
          <cell r="Q6267">
            <v>9.9999999999999645E-2</v>
          </cell>
        </row>
        <row r="6268">
          <cell r="D6268" t="str">
            <v>2163-69-1</v>
          </cell>
          <cell r="E6268">
            <v>2163691</v>
          </cell>
          <cell r="F6268">
            <v>4880</v>
          </cell>
          <cell r="G6268" t="str">
            <v>Pest_315</v>
          </cell>
          <cell r="H6268">
            <v>6225</v>
          </cell>
          <cell r="J6268">
            <v>198.31</v>
          </cell>
          <cell r="K6268">
            <v>99.5</v>
          </cell>
          <cell r="L6268">
            <v>3.4258100000000005E-3</v>
          </cell>
          <cell r="M6268">
            <v>285.7</v>
          </cell>
          <cell r="N6268">
            <v>691.83097091893671</v>
          </cell>
          <cell r="O6268">
            <v>14.3</v>
          </cell>
          <cell r="P6268">
            <v>13.9</v>
          </cell>
          <cell r="Q6268">
            <v>9.9999999999999645E-2</v>
          </cell>
        </row>
        <row r="6269">
          <cell r="D6269" t="str">
            <v>150-68-5</v>
          </cell>
          <cell r="E6269">
            <v>150685</v>
          </cell>
          <cell r="F6269">
            <v>482</v>
          </cell>
          <cell r="G6269" t="str">
            <v>Pest_80</v>
          </cell>
          <cell r="H6269">
            <v>6226</v>
          </cell>
          <cell r="J6269">
            <v>198.66</v>
          </cell>
          <cell r="K6269">
            <v>107.43</v>
          </cell>
          <cell r="L6269">
            <v>1.2623510000000003E-3</v>
          </cell>
          <cell r="M6269">
            <v>413.92</v>
          </cell>
          <cell r="N6269">
            <v>107.15193052376065</v>
          </cell>
          <cell r="O6269">
            <v>14.09</v>
          </cell>
          <cell r="P6269">
            <v>15</v>
          </cell>
          <cell r="Q6269">
            <v>-1</v>
          </cell>
        </row>
        <row r="6270">
          <cell r="D6270" t="str">
            <v>2164-17-2</v>
          </cell>
          <cell r="E6270">
            <v>2164172</v>
          </cell>
          <cell r="F6270">
            <v>534</v>
          </cell>
          <cell r="G6270" t="str">
            <v>Pest_115</v>
          </cell>
          <cell r="H6270">
            <v>6227</v>
          </cell>
          <cell r="J6270">
            <v>232.21</v>
          </cell>
          <cell r="K6270">
            <v>96.34</v>
          </cell>
          <cell r="L6270">
            <v>3.7590600000000003E-3</v>
          </cell>
          <cell r="M6270">
            <v>122.57</v>
          </cell>
          <cell r="N6270">
            <v>223.87211385683412</v>
          </cell>
          <cell r="O6270">
            <v>13.89</v>
          </cell>
          <cell r="P6270">
            <v>15</v>
          </cell>
          <cell r="Q6270">
            <v>-1</v>
          </cell>
        </row>
        <row r="6271">
          <cell r="D6271" t="str">
            <v>1746-81-2</v>
          </cell>
          <cell r="E6271">
            <v>1746812</v>
          </cell>
          <cell r="F6271">
            <v>511</v>
          </cell>
          <cell r="G6271" t="str">
            <v>Pest_96</v>
          </cell>
          <cell r="H6271">
            <v>6228</v>
          </cell>
          <cell r="J6271">
            <v>214.65</v>
          </cell>
          <cell r="K6271">
            <v>118.43</v>
          </cell>
          <cell r="L6271">
            <v>5.9185200000000009E-3</v>
          </cell>
          <cell r="M6271">
            <v>208.31</v>
          </cell>
          <cell r="N6271">
            <v>181.9700858609983</v>
          </cell>
          <cell r="O6271">
            <v>0</v>
          </cell>
          <cell r="P6271">
            <v>0</v>
          </cell>
          <cell r="Q6271">
            <v>0</v>
          </cell>
        </row>
        <row r="6272">
          <cell r="D6272" t="str">
            <v>1929-88-0</v>
          </cell>
          <cell r="E6272">
            <v>1929880</v>
          </cell>
          <cell r="F6272">
            <v>522</v>
          </cell>
          <cell r="G6272" t="str">
            <v>Pest_109</v>
          </cell>
          <cell r="H6272">
            <v>6229</v>
          </cell>
          <cell r="J6272">
            <v>207.26</v>
          </cell>
          <cell r="K6272">
            <v>160.28</v>
          </cell>
          <cell r="L6272">
            <v>8.8777799999999996E-5</v>
          </cell>
          <cell r="M6272">
            <v>741.53</v>
          </cell>
          <cell r="N6272">
            <v>125.89254117941677</v>
          </cell>
          <cell r="O6272">
            <v>14.3</v>
          </cell>
          <cell r="P6272">
            <v>14</v>
          </cell>
          <cell r="Q6272">
            <v>0</v>
          </cell>
        </row>
        <row r="6273">
          <cell r="D6273" t="str">
            <v>19937-59-8</v>
          </cell>
          <cell r="E6273">
            <v>19937598</v>
          </cell>
          <cell r="F6273">
            <v>527</v>
          </cell>
          <cell r="G6273" t="str">
            <v>Pest_111</v>
          </cell>
          <cell r="H6273">
            <v>6230</v>
          </cell>
          <cell r="J6273">
            <v>228.68</v>
          </cell>
          <cell r="K6273">
            <v>129.46</v>
          </cell>
          <cell r="L6273">
            <v>1.0544030000000002E-3</v>
          </cell>
          <cell r="M6273">
            <v>349.36</v>
          </cell>
          <cell r="N6273">
            <v>128.82495516931343</v>
          </cell>
          <cell r="O6273">
            <v>14.21</v>
          </cell>
          <cell r="P6273">
            <v>14</v>
          </cell>
          <cell r="Q6273">
            <v>0</v>
          </cell>
        </row>
        <row r="6274">
          <cell r="D6274" t="str">
            <v>3060-89-7</v>
          </cell>
          <cell r="E6274">
            <v>3060897</v>
          </cell>
          <cell r="F6274">
            <v>598</v>
          </cell>
          <cell r="G6274" t="str">
            <v>Pest_148</v>
          </cell>
          <cell r="H6274">
            <v>6231</v>
          </cell>
          <cell r="J6274">
            <v>259.11</v>
          </cell>
          <cell r="K6274">
            <v>131.16</v>
          </cell>
          <cell r="L6274">
            <v>2.2261099999999999E-3</v>
          </cell>
          <cell r="M6274">
            <v>310.74</v>
          </cell>
          <cell r="N6274">
            <v>323.59365692962825</v>
          </cell>
          <cell r="O6274">
            <v>0</v>
          </cell>
          <cell r="P6274">
            <v>0</v>
          </cell>
          <cell r="Q6274">
            <v>0</v>
          </cell>
        </row>
        <row r="6275">
          <cell r="D6275" t="str">
            <v>34014-18-1</v>
          </cell>
          <cell r="E6275">
            <v>34014181</v>
          </cell>
          <cell r="F6275">
            <v>607</v>
          </cell>
          <cell r="G6275" t="str">
            <v>Pest_156</v>
          </cell>
          <cell r="H6275">
            <v>6232</v>
          </cell>
          <cell r="J6275">
            <v>228.32</v>
          </cell>
          <cell r="K6275">
            <v>163.19</v>
          </cell>
          <cell r="L6275">
            <v>5.8385400000000005E-5</v>
          </cell>
          <cell r="M6275">
            <v>180.94</v>
          </cell>
          <cell r="N6275">
            <v>60.255958607435822</v>
          </cell>
          <cell r="O6275">
            <v>14.3</v>
          </cell>
          <cell r="P6275">
            <v>13</v>
          </cell>
          <cell r="Q6275">
            <v>1</v>
          </cell>
        </row>
        <row r="6276">
          <cell r="D6276" t="str">
            <v>101-42-8</v>
          </cell>
          <cell r="E6276">
            <v>101428</v>
          </cell>
          <cell r="F6276">
            <v>147</v>
          </cell>
          <cell r="G6276" t="str">
            <v>Pest_6</v>
          </cell>
          <cell r="H6276">
            <v>6233</v>
          </cell>
          <cell r="J6276">
            <v>164.21</v>
          </cell>
          <cell r="K6276">
            <v>93.61</v>
          </cell>
          <cell r="L6276">
            <v>1.0210780000000001E-2</v>
          </cell>
          <cell r="M6276">
            <v>2618.3000000000002</v>
          </cell>
          <cell r="N6276">
            <v>23.988329190194907</v>
          </cell>
          <cell r="O6276">
            <v>14.3</v>
          </cell>
          <cell r="P6276">
            <v>14</v>
          </cell>
          <cell r="Q6276">
            <v>0</v>
          </cell>
        </row>
        <row r="6277">
          <cell r="D6277" t="str">
            <v>330-54-1</v>
          </cell>
          <cell r="E6277">
            <v>330541</v>
          </cell>
          <cell r="F6277">
            <v>46</v>
          </cell>
          <cell r="G6277" t="str">
            <v>Reach_1238</v>
          </cell>
          <cell r="H6277">
            <v>6234</v>
          </cell>
          <cell r="J6277">
            <v>233.1</v>
          </cell>
          <cell r="K6277">
            <v>126.39</v>
          </cell>
          <cell r="L6277">
            <v>6.1984500000000005E-4</v>
          </cell>
          <cell r="M6277">
            <v>63.509</v>
          </cell>
          <cell r="N6277">
            <v>467.7351412871983</v>
          </cell>
          <cell r="O6277">
            <v>13.76</v>
          </cell>
          <cell r="P6277">
            <v>15.63</v>
          </cell>
          <cell r="Q6277">
            <v>-1.6300000000000008</v>
          </cell>
        </row>
        <row r="6278">
          <cell r="D6278" t="str">
            <v>18691-97-9</v>
          </cell>
          <cell r="E6278">
            <v>18691979</v>
          </cell>
          <cell r="F6278">
            <v>515</v>
          </cell>
          <cell r="G6278" t="str">
            <v>Pest_100</v>
          </cell>
          <cell r="H6278">
            <v>6235</v>
          </cell>
          <cell r="J6278">
            <v>221.29</v>
          </cell>
          <cell r="K6278">
            <v>165.2</v>
          </cell>
          <cell r="L6278">
            <v>1.3729900000000001E-4</v>
          </cell>
          <cell r="M6278">
            <v>312.22000000000003</v>
          </cell>
          <cell r="N6278">
            <v>446.68359215096331</v>
          </cell>
          <cell r="O6278">
            <v>14.3</v>
          </cell>
          <cell r="P6278">
            <v>14</v>
          </cell>
          <cell r="Q6278">
            <v>0</v>
          </cell>
        </row>
        <row r="6279">
          <cell r="D6279" t="str">
            <v>13360-45-7</v>
          </cell>
          <cell r="E6279">
            <v>13360457</v>
          </cell>
          <cell r="F6279">
            <v>428</v>
          </cell>
          <cell r="G6279" t="str">
            <v>Pest_60</v>
          </cell>
          <cell r="H6279">
            <v>6236</v>
          </cell>
          <cell r="J6279">
            <v>293.56</v>
          </cell>
          <cell r="K6279">
            <v>141.36000000000001</v>
          </cell>
          <cell r="L6279">
            <v>7.7713900000000004E-4</v>
          </cell>
          <cell r="M6279">
            <v>61.024999999999999</v>
          </cell>
          <cell r="N6279">
            <v>1412.5375446227545</v>
          </cell>
          <cell r="O6279">
            <v>0</v>
          </cell>
          <cell r="P6279">
            <v>0</v>
          </cell>
          <cell r="Q6279">
            <v>0</v>
          </cell>
        </row>
        <row r="6280">
          <cell r="D6280" t="str">
            <v>34205-21-5</v>
          </cell>
          <cell r="E6280">
            <v>34205215</v>
          </cell>
          <cell r="F6280">
            <v>4905</v>
          </cell>
          <cell r="G6280" t="str">
            <v>Pest_328</v>
          </cell>
          <cell r="H6280">
            <v>6237</v>
          </cell>
          <cell r="J6280">
            <v>338.8</v>
          </cell>
          <cell r="K6280">
            <v>213.85</v>
          </cell>
          <cell r="L6280">
            <v>5.3853200000000003E-8</v>
          </cell>
          <cell r="M6280">
            <v>10.632999999999999</v>
          </cell>
          <cell r="N6280">
            <v>371.53522909717265</v>
          </cell>
          <cell r="O6280">
            <v>13.97</v>
          </cell>
          <cell r="P6280">
            <v>13.77</v>
          </cell>
          <cell r="Q6280">
            <v>0.23000000000000043</v>
          </cell>
        </row>
        <row r="6281">
          <cell r="D6281" t="str">
            <v>1929-77-7</v>
          </cell>
          <cell r="E6281">
            <v>1929777</v>
          </cell>
          <cell r="F6281">
            <v>521</v>
          </cell>
          <cell r="G6281" t="str">
            <v>Pest_108</v>
          </cell>
          <cell r="H6281">
            <v>6238</v>
          </cell>
          <cell r="J6281">
            <v>203.35</v>
          </cell>
          <cell r="K6281">
            <v>70.540000000000006</v>
          </cell>
          <cell r="L6281">
            <v>0.22661000000000001</v>
          </cell>
          <cell r="M6281">
            <v>80.679000000000002</v>
          </cell>
          <cell r="N6281">
            <v>3235.9365692962833</v>
          </cell>
          <cell r="O6281">
            <v>0</v>
          </cell>
          <cell r="P6281">
            <v>14</v>
          </cell>
          <cell r="Q6281">
            <v>0</v>
          </cell>
        </row>
        <row r="6282">
          <cell r="D6282" t="str">
            <v>1134-23-2</v>
          </cell>
          <cell r="E6282">
            <v>1134232</v>
          </cell>
          <cell r="F6282">
            <v>4878</v>
          </cell>
          <cell r="G6282" t="str">
            <v>Pest_314</v>
          </cell>
          <cell r="H6282">
            <v>6239</v>
          </cell>
          <cell r="J6282">
            <v>215.36</v>
          </cell>
          <cell r="K6282">
            <v>85.71</v>
          </cell>
          <cell r="L6282">
            <v>7.7580600000000013E-2</v>
          </cell>
          <cell r="M6282">
            <v>42.533999999999999</v>
          </cell>
          <cell r="N6282">
            <v>6456.5422903465615</v>
          </cell>
          <cell r="O6282">
            <v>0</v>
          </cell>
          <cell r="P6282">
            <v>14.4</v>
          </cell>
          <cell r="Q6282">
            <v>-0.40000000000000036</v>
          </cell>
        </row>
        <row r="6283">
          <cell r="D6283" t="str">
            <v>28249-77-6</v>
          </cell>
          <cell r="E6283">
            <v>28249776</v>
          </cell>
          <cell r="F6283">
            <v>580</v>
          </cell>
          <cell r="G6283" t="str">
            <v>Pest_138</v>
          </cell>
          <cell r="H6283">
            <v>6240</v>
          </cell>
          <cell r="J6283">
            <v>257.77999999999997</v>
          </cell>
          <cell r="K6283">
            <v>122.33</v>
          </cell>
          <cell r="L6283">
            <v>8.2646000000000004E-3</v>
          </cell>
          <cell r="M6283">
            <v>16.206</v>
          </cell>
          <cell r="N6283">
            <v>7943.2823472428154</v>
          </cell>
          <cell r="O6283">
            <v>0</v>
          </cell>
          <cell r="P6283">
            <v>15</v>
          </cell>
          <cell r="Q6283">
            <v>-1</v>
          </cell>
        </row>
        <row r="6284">
          <cell r="D6284" t="str">
            <v>2303-17-5</v>
          </cell>
          <cell r="E6284">
            <v>2303175</v>
          </cell>
          <cell r="F6284">
            <v>545</v>
          </cell>
          <cell r="G6284" t="str">
            <v>Pest_121</v>
          </cell>
          <cell r="H6284">
            <v>6241</v>
          </cell>
          <cell r="J6284">
            <v>304.67</v>
          </cell>
          <cell r="K6284">
            <v>95.64</v>
          </cell>
          <cell r="L6284">
            <v>2.4127300000000004E-2</v>
          </cell>
          <cell r="M6284">
            <v>4.4757999999999996</v>
          </cell>
          <cell r="N6284">
            <v>37153.522909717351</v>
          </cell>
          <cell r="O6284">
            <v>0</v>
          </cell>
          <cell r="P6284">
            <v>15</v>
          </cell>
          <cell r="Q6284">
            <v>-1</v>
          </cell>
        </row>
        <row r="6285">
          <cell r="D6285" t="str">
            <v>1702-17-6</v>
          </cell>
          <cell r="E6285">
            <v>1702176</v>
          </cell>
          <cell r="F6285">
            <v>509</v>
          </cell>
          <cell r="G6285" t="str">
            <v>Pest_94</v>
          </cell>
          <cell r="H6285">
            <v>6242</v>
          </cell>
          <cell r="J6285">
            <v>192</v>
          </cell>
          <cell r="K6285">
            <v>106.56</v>
          </cell>
          <cell r="L6285">
            <v>8.8511200000000005E-3</v>
          </cell>
          <cell r="M6285">
            <v>391.45</v>
          </cell>
          <cell r="N6285">
            <v>42.657951880159267</v>
          </cell>
          <cell r="O6285">
            <v>2.1</v>
          </cell>
          <cell r="P6285">
            <v>0</v>
          </cell>
          <cell r="Q6285">
            <v>2.1</v>
          </cell>
        </row>
        <row r="6286">
          <cell r="D6286" t="str">
            <v>84087-01-4</v>
          </cell>
          <cell r="E6286">
            <v>84087014</v>
          </cell>
          <cell r="F6286">
            <v>958</v>
          </cell>
          <cell r="G6286" t="str">
            <v>Pest_253</v>
          </cell>
          <cell r="H6286">
            <v>6243</v>
          </cell>
          <cell r="J6286">
            <v>242.06</v>
          </cell>
          <cell r="K6286">
            <v>151.41</v>
          </cell>
          <cell r="L6286">
            <v>5.2653500000000012E-6</v>
          </cell>
          <cell r="M6286">
            <v>58.156999999999996</v>
          </cell>
          <cell r="N6286">
            <v>933.25430079699197</v>
          </cell>
          <cell r="O6286">
            <v>2.38</v>
          </cell>
          <cell r="P6286">
            <v>14</v>
          </cell>
          <cell r="Q6286">
            <v>0</v>
          </cell>
        </row>
        <row r="6287">
          <cell r="D6287" t="str">
            <v>33089-61-1</v>
          </cell>
          <cell r="E6287">
            <v>33089611</v>
          </cell>
          <cell r="F6287">
            <v>603</v>
          </cell>
          <cell r="G6287" t="str">
            <v>Pest_151</v>
          </cell>
          <cell r="H6287">
            <v>6244</v>
          </cell>
          <cell r="J6287">
            <v>293.42</v>
          </cell>
          <cell r="K6287">
            <v>132.34</v>
          </cell>
          <cell r="L6287">
            <v>3.4658000000000003E-4</v>
          </cell>
          <cell r="M6287">
            <v>0.65076000000000001</v>
          </cell>
          <cell r="N6287">
            <v>354813.38923357555</v>
          </cell>
          <cell r="O6287">
            <v>0</v>
          </cell>
          <cell r="P6287">
            <v>10</v>
          </cell>
          <cell r="Q6287">
            <v>0</v>
          </cell>
        </row>
        <row r="6288">
          <cell r="D6288" t="str">
            <v>50594-66-6</v>
          </cell>
          <cell r="E6288">
            <v>50594666</v>
          </cell>
          <cell r="F6288">
            <v>4828</v>
          </cell>
          <cell r="G6288" t="str">
            <v>Pest_283</v>
          </cell>
          <cell r="H6288">
            <v>6245</v>
          </cell>
          <cell r="J6288">
            <v>361.66</v>
          </cell>
          <cell r="K6288">
            <v>185.94</v>
          </cell>
          <cell r="L6288">
            <v>5.2520200000000004E-6</v>
          </cell>
          <cell r="M6288">
            <v>1.0250999999999999</v>
          </cell>
          <cell r="N6288">
            <v>14791.083881682089</v>
          </cell>
          <cell r="O6288">
            <v>2.2000000000000002</v>
          </cell>
          <cell r="P6288">
            <v>0</v>
          </cell>
          <cell r="Q6288">
            <v>2.2000000000000002</v>
          </cell>
        </row>
        <row r="6289">
          <cell r="D6289" t="str">
            <v>77501-60-1</v>
          </cell>
          <cell r="E6289">
            <v>77501601</v>
          </cell>
          <cell r="F6289">
            <v>4959</v>
          </cell>
          <cell r="G6289" t="str">
            <v>Pest_354</v>
          </cell>
          <cell r="H6289">
            <v>6246</v>
          </cell>
          <cell r="J6289">
            <v>419.7</v>
          </cell>
          <cell r="K6289">
            <v>209</v>
          </cell>
          <cell r="L6289">
            <v>6.3850700000000004E-8</v>
          </cell>
          <cell r="M6289">
            <v>2.6324000000000001</v>
          </cell>
          <cell r="N6289">
            <v>5248.0746024977352</v>
          </cell>
          <cell r="O6289">
            <v>2.65</v>
          </cell>
          <cell r="P6289">
            <v>0</v>
          </cell>
          <cell r="Q6289">
            <v>2.65</v>
          </cell>
        </row>
        <row r="6290">
          <cell r="D6290" t="str">
            <v>42576-02-3</v>
          </cell>
          <cell r="E6290">
            <v>42576023</v>
          </cell>
          <cell r="F6290">
            <v>4851</v>
          </cell>
          <cell r="G6290" t="str">
            <v>Pest_293</v>
          </cell>
          <cell r="H6290">
            <v>6247</v>
          </cell>
          <cell r="J6290">
            <v>342.13</v>
          </cell>
          <cell r="K6290">
            <v>176.73</v>
          </cell>
          <cell r="L6290">
            <v>7.15821E-5</v>
          </cell>
          <cell r="M6290">
            <v>1.0036</v>
          </cell>
          <cell r="N6290">
            <v>14125.375446227561</v>
          </cell>
          <cell r="O6290">
            <v>0</v>
          </cell>
          <cell r="P6290">
            <v>0</v>
          </cell>
          <cell r="Q6290">
            <v>0</v>
          </cell>
        </row>
        <row r="6291">
          <cell r="D6291" t="str">
            <v>15457-05-3</v>
          </cell>
          <cell r="E6291">
            <v>15457053</v>
          </cell>
          <cell r="F6291">
            <v>4958</v>
          </cell>
          <cell r="G6291" t="str">
            <v>Pest_353</v>
          </cell>
          <cell r="H6291">
            <v>6248</v>
          </cell>
          <cell r="J6291">
            <v>328.2</v>
          </cell>
          <cell r="K6291">
            <v>150.36000000000001</v>
          </cell>
          <cell r="L6291">
            <v>2.7459800000000003E-4</v>
          </cell>
          <cell r="M6291">
            <v>1.6761999999999999</v>
          </cell>
          <cell r="N6291">
            <v>6456.5422903465615</v>
          </cell>
          <cell r="O6291">
            <v>0</v>
          </cell>
          <cell r="P6291">
            <v>0</v>
          </cell>
          <cell r="Q6291">
            <v>0</v>
          </cell>
        </row>
        <row r="6292">
          <cell r="D6292" t="str">
            <v>1563-66-2</v>
          </cell>
          <cell r="E6292">
            <v>1563662</v>
          </cell>
          <cell r="F6292">
            <v>491</v>
          </cell>
          <cell r="G6292" t="str">
            <v>Pest_84</v>
          </cell>
          <cell r="H6292">
            <v>6249</v>
          </cell>
          <cell r="J6292">
            <v>221.26</v>
          </cell>
          <cell r="K6292">
            <v>92.8</v>
          </cell>
          <cell r="L6292">
            <v>7.3848200000000003E-3</v>
          </cell>
          <cell r="M6292">
            <v>637.84</v>
          </cell>
          <cell r="N6292">
            <v>199.52623149688802</v>
          </cell>
          <cell r="O6292">
            <v>12.17</v>
          </cell>
          <cell r="P6292">
            <v>0</v>
          </cell>
          <cell r="Q6292">
            <v>12.17</v>
          </cell>
        </row>
        <row r="6293">
          <cell r="D6293" t="str">
            <v>5902-51-2</v>
          </cell>
          <cell r="E6293">
            <v>5902512</v>
          </cell>
          <cell r="F6293">
            <v>5149</v>
          </cell>
          <cell r="G6293" t="str">
            <v>Pest_424</v>
          </cell>
          <cell r="H6293">
            <v>6250</v>
          </cell>
          <cell r="J6293">
            <v>216.67</v>
          </cell>
          <cell r="K6293">
            <v>164.19</v>
          </cell>
          <cell r="L6293">
            <v>3.67908E-5</v>
          </cell>
          <cell r="M6293">
            <v>385.35</v>
          </cell>
          <cell r="N6293">
            <v>56.234132519034915</v>
          </cell>
          <cell r="O6293">
            <v>5.03</v>
          </cell>
          <cell r="P6293">
            <v>0</v>
          </cell>
          <cell r="Q6293">
            <v>5.03</v>
          </cell>
        </row>
        <row r="6294">
          <cell r="D6294" t="str">
            <v>314-40-9</v>
          </cell>
          <cell r="E6294">
            <v>314409</v>
          </cell>
          <cell r="F6294">
            <v>4864</v>
          </cell>
          <cell r="G6294" t="str">
            <v>Pest_294</v>
          </cell>
          <cell r="H6294">
            <v>6251</v>
          </cell>
          <cell r="J6294">
            <v>261.13</v>
          </cell>
          <cell r="K6294">
            <v>175.78</v>
          </cell>
          <cell r="L6294">
            <v>1.4663000000000002E-5</v>
          </cell>
          <cell r="M6294">
            <v>680.85</v>
          </cell>
          <cell r="N6294">
            <v>47.863009232263856</v>
          </cell>
          <cell r="O6294">
            <v>5.07</v>
          </cell>
          <cell r="P6294">
            <v>0</v>
          </cell>
          <cell r="Q6294">
            <v>5.07</v>
          </cell>
        </row>
        <row r="6295">
          <cell r="D6295" t="str">
            <v>13516-27-3</v>
          </cell>
          <cell r="E6295">
            <v>13516273</v>
          </cell>
          <cell r="F6295">
            <v>4970</v>
          </cell>
          <cell r="G6295" t="str">
            <v>Pest_360</v>
          </cell>
          <cell r="H6295">
            <v>6252</v>
          </cell>
          <cell r="J6295">
            <v>355.58</v>
          </cell>
          <cell r="K6295">
            <v>216.12</v>
          </cell>
          <cell r="L6295">
            <v>2.1594600000000004E-8</v>
          </cell>
          <cell r="M6295">
            <v>11.265000000000001</v>
          </cell>
          <cell r="N6295">
            <v>512.86138399136519</v>
          </cell>
          <cell r="O6295">
            <v>0</v>
          </cell>
          <cell r="P6295">
            <v>0</v>
          </cell>
          <cell r="Q6295">
            <v>0</v>
          </cell>
        </row>
        <row r="6296">
          <cell r="D6296" t="str">
            <v>82560-54-1</v>
          </cell>
          <cell r="E6296">
            <v>82560541</v>
          </cell>
          <cell r="F6296">
            <v>947</v>
          </cell>
          <cell r="G6296" t="str">
            <v>Pest_247</v>
          </cell>
          <cell r="H6296">
            <v>6253</v>
          </cell>
          <cell r="J6296">
            <v>410.54</v>
          </cell>
          <cell r="K6296">
            <v>163.99</v>
          </cell>
          <cell r="L6296">
            <v>9.2643500000000008E-5</v>
          </cell>
          <cell r="M6296">
            <v>2.9996</v>
          </cell>
          <cell r="N6296">
            <v>11481.536214968832</v>
          </cell>
          <cell r="O6296">
            <v>0</v>
          </cell>
          <cell r="P6296">
            <v>7</v>
          </cell>
          <cell r="Q6296">
            <v>0</v>
          </cell>
        </row>
        <row r="6297">
          <cell r="D6297" t="str">
            <v>62850-32-2</v>
          </cell>
          <cell r="E6297">
            <v>62850322</v>
          </cell>
          <cell r="F6297">
            <v>4946</v>
          </cell>
          <cell r="G6297" t="str">
            <v>Pest_341</v>
          </cell>
          <cell r="H6297">
            <v>6254</v>
          </cell>
          <cell r="J6297">
            <v>253.37</v>
          </cell>
          <cell r="K6297">
            <v>121.28</v>
          </cell>
          <cell r="L6297">
            <v>4.5455300000000008E-3</v>
          </cell>
          <cell r="M6297">
            <v>71.146000000000001</v>
          </cell>
          <cell r="N6297">
            <v>1905.4607179632485</v>
          </cell>
          <cell r="O6297">
            <v>0</v>
          </cell>
          <cell r="P6297">
            <v>14.43</v>
          </cell>
          <cell r="Q6297">
            <v>-0.42999999999999972</v>
          </cell>
        </row>
        <row r="6298">
          <cell r="D6298" t="str">
            <v>63-25-2</v>
          </cell>
          <cell r="E6298">
            <v>63252</v>
          </cell>
          <cell r="F6298">
            <v>76</v>
          </cell>
          <cell r="G6298" t="str">
            <v>Pest_206</v>
          </cell>
          <cell r="H6298">
            <v>6255</v>
          </cell>
          <cell r="J6298">
            <v>201.23</v>
          </cell>
          <cell r="K6298">
            <v>91.2</v>
          </cell>
          <cell r="L6298">
            <v>7.1048900000000009E-3</v>
          </cell>
          <cell r="M6298">
            <v>89.614999999999995</v>
          </cell>
          <cell r="N6298">
            <v>223.87211385683412</v>
          </cell>
          <cell r="O6298">
            <v>12.2</v>
          </cell>
          <cell r="P6298">
            <v>0</v>
          </cell>
          <cell r="Q6298">
            <v>12.2</v>
          </cell>
        </row>
        <row r="6299">
          <cell r="D6299" t="str">
            <v>34681-10-2</v>
          </cell>
          <cell r="E6299">
            <v>34681102</v>
          </cell>
          <cell r="F6299">
            <v>610</v>
          </cell>
          <cell r="G6299" t="str">
            <v>Pest_160</v>
          </cell>
          <cell r="H6299">
            <v>6256</v>
          </cell>
          <cell r="J6299">
            <v>190.27</v>
          </cell>
          <cell r="K6299">
            <v>13.75</v>
          </cell>
          <cell r="L6299">
            <v>3.0792299999999999</v>
          </cell>
          <cell r="M6299">
            <v>2523.1999999999998</v>
          </cell>
          <cell r="N6299">
            <v>16.218100973589298</v>
          </cell>
          <cell r="O6299">
            <v>13.72</v>
          </cell>
          <cell r="P6299">
            <v>15</v>
          </cell>
          <cell r="Q6299">
            <v>-1</v>
          </cell>
        </row>
        <row r="6300">
          <cell r="D6300" t="str">
            <v>72490-01-8</v>
          </cell>
          <cell r="E6300">
            <v>72490018</v>
          </cell>
          <cell r="F6300">
            <v>825</v>
          </cell>
          <cell r="G6300" t="str">
            <v>Pest_227</v>
          </cell>
          <cell r="H6300">
            <v>6257</v>
          </cell>
          <cell r="J6300">
            <v>301.33999999999997</v>
          </cell>
          <cell r="K6300">
            <v>143.44999999999999</v>
          </cell>
          <cell r="L6300">
            <v>5.9051900000000007E-4</v>
          </cell>
          <cell r="M6300">
            <v>10.050000000000001</v>
          </cell>
          <cell r="N6300">
            <v>17378.008287493791</v>
          </cell>
          <cell r="O6300">
            <v>11.1</v>
          </cell>
          <cell r="P6300">
            <v>0</v>
          </cell>
          <cell r="Q6300">
            <v>11.1</v>
          </cell>
        </row>
        <row r="6301">
          <cell r="D6301" t="str">
            <v>65907-30-4</v>
          </cell>
          <cell r="E6301">
            <v>65907304</v>
          </cell>
          <cell r="F6301">
            <v>3457</v>
          </cell>
          <cell r="G6301" t="str">
            <v>Pest_211</v>
          </cell>
          <cell r="H6301">
            <v>6258</v>
          </cell>
          <cell r="J6301">
            <v>382.48</v>
          </cell>
          <cell r="K6301">
            <v>155.16</v>
          </cell>
          <cell r="L6301">
            <v>2.3327500000000002E-4</v>
          </cell>
          <cell r="M6301">
            <v>38.011000000000003</v>
          </cell>
          <cell r="N6301">
            <v>26915.348039269167</v>
          </cell>
          <cell r="O6301">
            <v>0</v>
          </cell>
          <cell r="P6301">
            <v>0</v>
          </cell>
          <cell r="Q6301">
            <v>0</v>
          </cell>
        </row>
        <row r="6302">
          <cell r="D6302" t="str">
            <v>29973-13-5</v>
          </cell>
          <cell r="E6302">
            <v>29973135</v>
          </cell>
          <cell r="F6302">
            <v>593</v>
          </cell>
          <cell r="G6302" t="str">
            <v>Pest_144</v>
          </cell>
          <cell r="H6302">
            <v>6259</v>
          </cell>
          <cell r="J6302">
            <v>225.31</v>
          </cell>
          <cell r="K6302">
            <v>92.31</v>
          </cell>
          <cell r="L6302">
            <v>5.9585100000000009E-2</v>
          </cell>
          <cell r="M6302">
            <v>401.18</v>
          </cell>
          <cell r="N6302">
            <v>109.64781961431861</v>
          </cell>
          <cell r="O6302">
            <v>11.92</v>
          </cell>
          <cell r="P6302">
            <v>0</v>
          </cell>
          <cell r="Q6302">
            <v>11.92</v>
          </cell>
        </row>
        <row r="6303">
          <cell r="D6303" t="str">
            <v>23103-98-2</v>
          </cell>
          <cell r="E6303">
            <v>23103982</v>
          </cell>
          <cell r="F6303">
            <v>547</v>
          </cell>
          <cell r="G6303" t="str">
            <v>Pest_123</v>
          </cell>
          <cell r="H6303">
            <v>6260</v>
          </cell>
          <cell r="J6303">
            <v>238.29</v>
          </cell>
          <cell r="K6303">
            <v>112.43</v>
          </cell>
          <cell r="L6303">
            <v>1.4929600000000001E-2</v>
          </cell>
          <cell r="M6303">
            <v>793.47</v>
          </cell>
          <cell r="N6303">
            <v>25.118864315095799</v>
          </cell>
          <cell r="O6303">
            <v>0</v>
          </cell>
          <cell r="P6303">
            <v>10</v>
          </cell>
          <cell r="Q6303">
            <v>0</v>
          </cell>
        </row>
        <row r="6304">
          <cell r="D6304" t="str">
            <v>22781-23-3</v>
          </cell>
          <cell r="E6304">
            <v>22781233</v>
          </cell>
          <cell r="F6304">
            <v>544</v>
          </cell>
          <cell r="G6304" t="str">
            <v>Pest_120</v>
          </cell>
          <cell r="H6304">
            <v>6261</v>
          </cell>
          <cell r="J6304">
            <v>223.23</v>
          </cell>
          <cell r="K6304">
            <v>98.27</v>
          </cell>
          <cell r="L6304">
            <v>1.0317420000000001E-2</v>
          </cell>
          <cell r="M6304">
            <v>2512.8000000000002</v>
          </cell>
          <cell r="N6304">
            <v>354.81338923357566</v>
          </cell>
          <cell r="O6304">
            <v>12.07</v>
          </cell>
          <cell r="P6304">
            <v>0</v>
          </cell>
          <cell r="Q6304">
            <v>12.07</v>
          </cell>
        </row>
        <row r="6305">
          <cell r="D6305" t="str">
            <v>22259-30-9</v>
          </cell>
          <cell r="E6305">
            <v>22259309</v>
          </cell>
          <cell r="F6305">
            <v>4963</v>
          </cell>
          <cell r="G6305" t="str">
            <v>Pest_357</v>
          </cell>
          <cell r="H6305">
            <v>6262</v>
          </cell>
          <cell r="J6305">
            <v>221.26</v>
          </cell>
          <cell r="K6305">
            <v>88.33</v>
          </cell>
          <cell r="L6305">
            <v>1.3463300000000002E-3</v>
          </cell>
          <cell r="M6305">
            <v>1013.4</v>
          </cell>
          <cell r="N6305">
            <v>7.5857757502918375</v>
          </cell>
          <cell r="O6305">
            <v>12.2</v>
          </cell>
          <cell r="P6305">
            <v>6.4</v>
          </cell>
          <cell r="Q6305">
            <v>7.6</v>
          </cell>
        </row>
        <row r="6306">
          <cell r="D6306" t="str">
            <v>55285-14-8</v>
          </cell>
          <cell r="E6306">
            <v>55285148</v>
          </cell>
          <cell r="F6306">
            <v>696</v>
          </cell>
          <cell r="G6306" t="str">
            <v>Pest_190</v>
          </cell>
          <cell r="H6306">
            <v>6263</v>
          </cell>
          <cell r="J6306">
            <v>380.55</v>
          </cell>
          <cell r="K6306">
            <v>176.02</v>
          </cell>
          <cell r="L6306">
            <v>1.0637340000000001E-4</v>
          </cell>
          <cell r="M6306">
            <v>4.4783999999999997</v>
          </cell>
          <cell r="N6306">
            <v>371535.2290971732</v>
          </cell>
          <cell r="O6306">
            <v>0</v>
          </cell>
          <cell r="P6306">
            <v>6</v>
          </cell>
          <cell r="Q6306">
            <v>0</v>
          </cell>
        </row>
        <row r="6307">
          <cell r="D6307" t="str">
            <v>114-26-1</v>
          </cell>
          <cell r="E6307">
            <v>114261</v>
          </cell>
          <cell r="F6307">
            <v>337</v>
          </cell>
          <cell r="G6307" t="str">
            <v>Pest_26</v>
          </cell>
          <cell r="H6307">
            <v>6264</v>
          </cell>
          <cell r="J6307">
            <v>209.25</v>
          </cell>
          <cell r="K6307">
            <v>68.650000000000006</v>
          </cell>
          <cell r="L6307">
            <v>0.11317170000000001</v>
          </cell>
          <cell r="M6307">
            <v>779.35</v>
          </cell>
          <cell r="N6307">
            <v>79.432823472428197</v>
          </cell>
          <cell r="O6307">
            <v>12.17</v>
          </cell>
          <cell r="P6307">
            <v>0</v>
          </cell>
          <cell r="Q6307">
            <v>12.17</v>
          </cell>
        </row>
        <row r="6308">
          <cell r="D6308" t="str">
            <v>121552-61-2</v>
          </cell>
          <cell r="E6308">
            <v>121552612</v>
          </cell>
          <cell r="F6308">
            <v>371</v>
          </cell>
          <cell r="G6308" t="str">
            <v>Pest_40</v>
          </cell>
          <cell r="H6308">
            <v>6265</v>
          </cell>
          <cell r="J6308">
            <v>225.3</v>
          </cell>
          <cell r="K6308">
            <v>126.5</v>
          </cell>
          <cell r="L6308">
            <v>5.3053400000000004E-3</v>
          </cell>
          <cell r="M6308">
            <v>32.075000000000003</v>
          </cell>
          <cell r="N6308">
            <v>9772.3722095581161</v>
          </cell>
          <cell r="O6308">
            <v>0</v>
          </cell>
          <cell r="P6308">
            <v>10</v>
          </cell>
          <cell r="Q6308">
            <v>0</v>
          </cell>
        </row>
        <row r="6309">
          <cell r="D6309" t="str">
            <v>53112-28-0</v>
          </cell>
          <cell r="E6309">
            <v>53112280</v>
          </cell>
          <cell r="F6309">
            <v>681</v>
          </cell>
          <cell r="G6309" t="str">
            <v>Pest_186</v>
          </cell>
          <cell r="H6309">
            <v>6266</v>
          </cell>
          <cell r="J6309">
            <v>199.26</v>
          </cell>
          <cell r="K6309">
            <v>113.54</v>
          </cell>
          <cell r="L6309">
            <v>1.3729900000000001E-2</v>
          </cell>
          <cell r="M6309">
            <v>902.01</v>
          </cell>
          <cell r="N6309">
            <v>1548.8166189124822</v>
          </cell>
          <cell r="O6309">
            <v>0</v>
          </cell>
          <cell r="P6309">
            <v>10</v>
          </cell>
          <cell r="Q6309">
            <v>0</v>
          </cell>
        </row>
        <row r="6310">
          <cell r="D6310" t="str">
            <v>63284-71-9</v>
          </cell>
          <cell r="E6310">
            <v>63284719</v>
          </cell>
          <cell r="F6310">
            <v>773</v>
          </cell>
          <cell r="G6310" t="str">
            <v>Pest_207</v>
          </cell>
          <cell r="H6310">
            <v>6267</v>
          </cell>
          <cell r="J6310">
            <v>314.75</v>
          </cell>
          <cell r="K6310">
            <v>173.25</v>
          </cell>
          <cell r="L6310">
            <v>8.1979500000000004E-7</v>
          </cell>
          <cell r="M6310">
            <v>57.191000000000003</v>
          </cell>
          <cell r="N6310">
            <v>1479.1083881682086</v>
          </cell>
          <cell r="O6310">
            <v>13.29</v>
          </cell>
          <cell r="P6310">
            <v>12</v>
          </cell>
          <cell r="Q6310">
            <v>2</v>
          </cell>
        </row>
        <row r="6311">
          <cell r="D6311" t="str">
            <v>23947-60-6</v>
          </cell>
          <cell r="E6311">
            <v>23947606</v>
          </cell>
          <cell r="F6311">
            <v>555</v>
          </cell>
          <cell r="G6311" t="str">
            <v>Pest_127</v>
          </cell>
          <cell r="H6311">
            <v>6268</v>
          </cell>
          <cell r="J6311">
            <v>209.3</v>
          </cell>
          <cell r="K6311">
            <v>125.33</v>
          </cell>
          <cell r="L6311">
            <v>4.7721400000000006E-4</v>
          </cell>
          <cell r="M6311">
            <v>96.555999999999997</v>
          </cell>
          <cell r="N6311">
            <v>2511.8864315095811</v>
          </cell>
          <cell r="O6311">
            <v>11.1</v>
          </cell>
          <cell r="P6311">
            <v>9</v>
          </cell>
          <cell r="Q6311">
            <v>5</v>
          </cell>
        </row>
        <row r="6312">
          <cell r="D6312" t="str">
            <v>60168-88-9</v>
          </cell>
          <cell r="E6312">
            <v>60168889</v>
          </cell>
          <cell r="F6312">
            <v>747</v>
          </cell>
          <cell r="G6312" t="str">
            <v>Pest_202</v>
          </cell>
          <cell r="H6312">
            <v>6269</v>
          </cell>
          <cell r="J6312">
            <v>331.2</v>
          </cell>
          <cell r="K6312">
            <v>183.34</v>
          </cell>
          <cell r="L6312">
            <v>2.3194200000000003E-7</v>
          </cell>
          <cell r="M6312">
            <v>17.77</v>
          </cell>
          <cell r="N6312">
            <v>4168.6938347033583</v>
          </cell>
          <cell r="O6312">
            <v>13.11</v>
          </cell>
          <cell r="P6312">
            <v>12</v>
          </cell>
          <cell r="Q6312">
            <v>2</v>
          </cell>
        </row>
        <row r="6313">
          <cell r="D6313" t="str">
            <v>41483-43-6</v>
          </cell>
          <cell r="E6313">
            <v>41483436</v>
          </cell>
          <cell r="F6313">
            <v>633</v>
          </cell>
          <cell r="G6313" t="str">
            <v>Pest_174</v>
          </cell>
          <cell r="H6313">
            <v>6270</v>
          </cell>
          <cell r="J6313">
            <v>316.43</v>
          </cell>
          <cell r="K6313">
            <v>179.44</v>
          </cell>
          <cell r="L6313">
            <v>1.2743480000000003E-4</v>
          </cell>
          <cell r="M6313">
            <v>50.945999999999998</v>
          </cell>
          <cell r="N6313">
            <v>478.63009232263886</v>
          </cell>
          <cell r="O6313">
            <v>0</v>
          </cell>
          <cell r="P6313">
            <v>14</v>
          </cell>
          <cell r="Q6313">
            <v>0</v>
          </cell>
        </row>
        <row r="6314">
          <cell r="D6314" t="str">
            <v>10004-44-1</v>
          </cell>
          <cell r="E6314">
            <v>10004441</v>
          </cell>
          <cell r="F6314">
            <v>121</v>
          </cell>
          <cell r="G6314" t="str">
            <v>Pest_1</v>
          </cell>
          <cell r="H6314">
            <v>6271</v>
          </cell>
          <cell r="J6314">
            <v>99.09</v>
          </cell>
          <cell r="K6314">
            <v>66.52</v>
          </cell>
          <cell r="L6314">
            <v>0.88511200000000012</v>
          </cell>
          <cell r="M6314">
            <v>32446</v>
          </cell>
          <cell r="N6314">
            <v>0.57543993733715693</v>
          </cell>
          <cell r="O6314">
            <v>7</v>
          </cell>
          <cell r="P6314">
            <v>0</v>
          </cell>
          <cell r="Q6314">
            <v>7</v>
          </cell>
        </row>
        <row r="6315">
          <cell r="D6315" t="str">
            <v>55335-06-3</v>
          </cell>
          <cell r="E6315">
            <v>55335063</v>
          </cell>
          <cell r="F6315">
            <v>698</v>
          </cell>
          <cell r="G6315" t="str">
            <v>Pest_191</v>
          </cell>
          <cell r="H6315">
            <v>6272</v>
          </cell>
          <cell r="J6315">
            <v>256.47000000000003</v>
          </cell>
          <cell r="K6315">
            <v>135.19999999999999</v>
          </cell>
          <cell r="L6315">
            <v>7.7047400000000005E-4</v>
          </cell>
          <cell r="M6315">
            <v>3289.4</v>
          </cell>
          <cell r="N6315">
            <v>338.84415613920248</v>
          </cell>
          <cell r="O6315">
            <v>2.9</v>
          </cell>
          <cell r="P6315">
            <v>0</v>
          </cell>
          <cell r="Q6315">
            <v>2.9</v>
          </cell>
        </row>
        <row r="6316">
          <cell r="D6316" t="str">
            <v>69377-81-7</v>
          </cell>
          <cell r="E6316">
            <v>69377817</v>
          </cell>
          <cell r="F6316">
            <v>805</v>
          </cell>
          <cell r="G6316" t="str">
            <v>Pest_221</v>
          </cell>
          <cell r="H6316">
            <v>6273</v>
          </cell>
          <cell r="J6316">
            <v>255.03</v>
          </cell>
          <cell r="K6316">
            <v>154.36000000000001</v>
          </cell>
          <cell r="L6316">
            <v>2.58602E-5</v>
          </cell>
          <cell r="M6316">
            <v>822.91</v>
          </cell>
          <cell r="N6316">
            <v>14.791083881682074</v>
          </cell>
          <cell r="O6316">
            <v>2.9</v>
          </cell>
          <cell r="P6316">
            <v>16</v>
          </cell>
          <cell r="Q6316">
            <v>-2</v>
          </cell>
        </row>
        <row r="6317">
          <cell r="D6317" t="str">
            <v>131807-57-3</v>
          </cell>
          <cell r="E6317">
            <v>131807573</v>
          </cell>
          <cell r="F6317">
            <v>421</v>
          </cell>
          <cell r="G6317" t="str">
            <v>Pest_54</v>
          </cell>
          <cell r="H6317">
            <v>6274</v>
          </cell>
          <cell r="J6317">
            <v>374.4</v>
          </cell>
          <cell r="K6317">
            <v>254.21</v>
          </cell>
          <cell r="L6317">
            <v>1.2743480000000002E-9</v>
          </cell>
          <cell r="M6317">
            <v>2.0649000000000002</v>
          </cell>
          <cell r="N6317">
            <v>77624.711662869129</v>
          </cell>
          <cell r="O6317">
            <v>0</v>
          </cell>
          <cell r="P6317">
            <v>0</v>
          </cell>
          <cell r="Q6317">
            <v>0</v>
          </cell>
        </row>
        <row r="6318">
          <cell r="D6318" t="str">
            <v>77732-09-3</v>
          </cell>
          <cell r="E6318">
            <v>77732093</v>
          </cell>
          <cell r="F6318">
            <v>5080</v>
          </cell>
          <cell r="G6318" t="str">
            <v>Pest_388</v>
          </cell>
          <cell r="H6318">
            <v>6275</v>
          </cell>
          <cell r="J6318">
            <v>278.31</v>
          </cell>
          <cell r="K6318">
            <v>173.03</v>
          </cell>
          <cell r="L6318">
            <v>2.3194200000000002E-5</v>
          </cell>
          <cell r="M6318">
            <v>15702</v>
          </cell>
          <cell r="N6318">
            <v>25.118864315095799</v>
          </cell>
          <cell r="O6318">
            <v>0</v>
          </cell>
          <cell r="P6318">
            <v>0</v>
          </cell>
          <cell r="Q6318">
            <v>0</v>
          </cell>
        </row>
        <row r="6319">
          <cell r="D6319" t="str">
            <v>50471-44-8</v>
          </cell>
          <cell r="E6319">
            <v>50471448</v>
          </cell>
          <cell r="F6319">
            <v>661</v>
          </cell>
          <cell r="G6319" t="str">
            <v>Pest_178</v>
          </cell>
          <cell r="H6319">
            <v>6276</v>
          </cell>
          <cell r="J6319">
            <v>286.12</v>
          </cell>
          <cell r="K6319">
            <v>187.73</v>
          </cell>
          <cell r="L6319">
            <v>1.2090310000000001E-5</v>
          </cell>
          <cell r="M6319">
            <v>4191.5</v>
          </cell>
          <cell r="N6319">
            <v>1071.5193052376069</v>
          </cell>
          <cell r="O6319">
            <v>0</v>
          </cell>
          <cell r="P6319">
            <v>0</v>
          </cell>
          <cell r="Q6319">
            <v>0</v>
          </cell>
        </row>
        <row r="6320">
          <cell r="D6320" t="str">
            <v>67306-00-7</v>
          </cell>
          <cell r="E6320">
            <v>67306007</v>
          </cell>
          <cell r="F6320">
            <v>792</v>
          </cell>
          <cell r="G6320" t="str">
            <v>Pest_216</v>
          </cell>
          <cell r="H6320">
            <v>6277</v>
          </cell>
          <cell r="J6320">
            <v>273.45999999999998</v>
          </cell>
          <cell r="K6320">
            <v>103.81</v>
          </cell>
          <cell r="L6320">
            <v>2.9192700000000005E-2</v>
          </cell>
          <cell r="M6320">
            <v>4.6734999999999998</v>
          </cell>
          <cell r="N6320">
            <v>2630267.9918953842</v>
          </cell>
          <cell r="O6320">
            <v>0</v>
          </cell>
          <cell r="P6320">
            <v>4</v>
          </cell>
          <cell r="Q6320">
            <v>0</v>
          </cell>
        </row>
        <row r="6321">
          <cell r="D6321" t="str">
            <v>70630-17-0</v>
          </cell>
          <cell r="E6321">
            <v>70630170</v>
          </cell>
          <cell r="F6321">
            <v>1113</v>
          </cell>
          <cell r="G6321" t="str">
            <v>Pest_375</v>
          </cell>
          <cell r="H6321">
            <v>6278</v>
          </cell>
          <cell r="J6321">
            <v>279.33999999999997</v>
          </cell>
          <cell r="K6321">
            <v>130.49</v>
          </cell>
          <cell r="L6321">
            <v>3.7990500000000004E-3</v>
          </cell>
          <cell r="M6321">
            <v>10208</v>
          </cell>
          <cell r="N6321">
            <v>50.118723362727238</v>
          </cell>
          <cell r="O6321">
            <v>0</v>
          </cell>
          <cell r="P6321">
            <v>0</v>
          </cell>
          <cell r="Q6321">
            <v>0</v>
          </cell>
        </row>
        <row r="6322">
          <cell r="D6322" t="str">
            <v>10552-74-6</v>
          </cell>
          <cell r="E6322">
            <v>10552746</v>
          </cell>
          <cell r="F6322">
            <v>176</v>
          </cell>
          <cell r="G6322" t="str">
            <v>Pest_14</v>
          </cell>
          <cell r="H6322">
            <v>6279</v>
          </cell>
          <cell r="J6322">
            <v>295.29000000000002</v>
          </cell>
          <cell r="K6322">
            <v>94.33</v>
          </cell>
          <cell r="L6322">
            <v>5.1853699999999999E-3</v>
          </cell>
          <cell r="M6322">
            <v>14.026</v>
          </cell>
          <cell r="N6322">
            <v>1995.2623149688804</v>
          </cell>
          <cell r="O6322">
            <v>0</v>
          </cell>
          <cell r="P6322">
            <v>0</v>
          </cell>
          <cell r="Q6322">
            <v>0</v>
          </cell>
        </row>
        <row r="6323">
          <cell r="D6323" t="str">
            <v>101-05-3</v>
          </cell>
          <cell r="E6323">
            <v>101053</v>
          </cell>
          <cell r="F6323">
            <v>141</v>
          </cell>
          <cell r="G6323" t="str">
            <v>Pest_2</v>
          </cell>
          <cell r="H6323">
            <v>6280</v>
          </cell>
          <cell r="J6323">
            <v>275.52999999999997</v>
          </cell>
          <cell r="K6323">
            <v>149.41999999999999</v>
          </cell>
          <cell r="L6323">
            <v>3.2391900000000004E-4</v>
          </cell>
          <cell r="M6323">
            <v>7.7407000000000004</v>
          </cell>
          <cell r="N6323">
            <v>4365.1583224016631</v>
          </cell>
          <cell r="O6323">
            <v>0</v>
          </cell>
          <cell r="P6323">
            <v>11</v>
          </cell>
          <cell r="Q6323">
            <v>0</v>
          </cell>
        </row>
        <row r="6324">
          <cell r="D6324" t="str">
            <v>50864-67-0</v>
          </cell>
          <cell r="E6324">
            <v>50864670</v>
          </cell>
          <cell r="F6324">
            <v>6239</v>
          </cell>
          <cell r="G6324" t="str">
            <v>Pest_288</v>
          </cell>
          <cell r="H6324">
            <v>6281</v>
          </cell>
          <cell r="J6324">
            <v>169.42</v>
          </cell>
          <cell r="K6324">
            <v>0</v>
          </cell>
          <cell r="L6324">
            <v>0</v>
          </cell>
          <cell r="M6324">
            <v>0</v>
          </cell>
          <cell r="N6324">
            <v>0</v>
          </cell>
          <cell r="O6324">
            <v>0</v>
          </cell>
          <cell r="P6324">
            <v>0</v>
          </cell>
          <cell r="Q6324">
            <v>0</v>
          </cell>
        </row>
        <row r="6325">
          <cell r="D6325" t="str">
            <v>76-87-9</v>
          </cell>
          <cell r="E6325">
            <v>76879</v>
          </cell>
          <cell r="F6325">
            <v>1110</v>
          </cell>
          <cell r="G6325" t="str">
            <v>Pest_346</v>
          </cell>
          <cell r="H6325">
            <v>6282</v>
          </cell>
          <cell r="J6325">
            <v>367.01</v>
          </cell>
          <cell r="K6325">
            <v>131.1</v>
          </cell>
          <cell r="L6325">
            <v>1.5196200000000002E-6</v>
          </cell>
          <cell r="M6325">
            <v>0</v>
          </cell>
          <cell r="N6325">
            <v>2951.2092266663899</v>
          </cell>
          <cell r="O6325">
            <v>0</v>
          </cell>
          <cell r="P6325">
            <v>0</v>
          </cell>
          <cell r="Q6325">
            <v>0</v>
          </cell>
        </row>
        <row r="6326">
          <cell r="D6326" t="str">
            <v>2439-01-2</v>
          </cell>
          <cell r="E6326">
            <v>2439012</v>
          </cell>
          <cell r="F6326">
            <v>5114</v>
          </cell>
          <cell r="G6326" t="str">
            <v>Pest_406</v>
          </cell>
          <cell r="H6326">
            <v>6283</v>
          </cell>
          <cell r="J6326">
            <v>234.3</v>
          </cell>
          <cell r="K6326">
            <v>162.86000000000001</v>
          </cell>
          <cell r="L6326">
            <v>5.0520700000000006E-5</v>
          </cell>
          <cell r="M6326">
            <v>3.3321999999999998</v>
          </cell>
          <cell r="N6326">
            <v>2344.2288153199238</v>
          </cell>
          <cell r="O6326">
            <v>0</v>
          </cell>
          <cell r="P6326">
            <v>14.52</v>
          </cell>
          <cell r="Q6326">
            <v>-0.51999999999999957</v>
          </cell>
        </row>
        <row r="6327">
          <cell r="D6327" t="str">
            <v>126448-41-7</v>
          </cell>
          <cell r="E6327">
            <v>126448417</v>
          </cell>
          <cell r="F6327">
            <v>4827</v>
          </cell>
          <cell r="G6327" t="str">
            <v>Pest_282</v>
          </cell>
          <cell r="H6327">
            <v>6284</v>
          </cell>
          <cell r="J6327">
            <v>196.25</v>
          </cell>
          <cell r="K6327">
            <v>139.52000000000001</v>
          </cell>
          <cell r="L6327">
            <v>3.1458800000000003E-4</v>
          </cell>
          <cell r="M6327">
            <v>371.2</v>
          </cell>
          <cell r="N6327">
            <v>19.952623149688804</v>
          </cell>
          <cell r="O6327">
            <v>3.4</v>
          </cell>
          <cell r="P6327">
            <v>0</v>
          </cell>
          <cell r="Q6327">
            <v>3.4</v>
          </cell>
        </row>
        <row r="6328">
          <cell r="D6328" t="str">
            <v>900-95-8</v>
          </cell>
          <cell r="E6328">
            <v>900958</v>
          </cell>
          <cell r="F6328">
            <v>6427</v>
          </cell>
          <cell r="G6328" t="str">
            <v>Pest_345</v>
          </cell>
          <cell r="H6328">
            <v>6285</v>
          </cell>
          <cell r="Q6328">
            <v>14</v>
          </cell>
        </row>
        <row r="6329">
          <cell r="D6329" t="str">
            <v>118134-30-8</v>
          </cell>
          <cell r="E6329">
            <v>118134308</v>
          </cell>
          <cell r="F6329">
            <v>347</v>
          </cell>
          <cell r="G6329" t="str">
            <v>Pest_32</v>
          </cell>
          <cell r="H6329">
            <v>6286</v>
          </cell>
          <cell r="J6329">
            <v>297.48</v>
          </cell>
          <cell r="K6329">
            <v>105.8</v>
          </cell>
          <cell r="L6329">
            <v>3.2258600000000005E-2</v>
          </cell>
          <cell r="M6329">
            <v>53.793999999999997</v>
          </cell>
          <cell r="N6329">
            <v>323593.65692962846</v>
          </cell>
          <cell r="O6329">
            <v>0</v>
          </cell>
          <cell r="P6329">
            <v>5</v>
          </cell>
          <cell r="Q6329">
            <v>0</v>
          </cell>
        </row>
        <row r="6330">
          <cell r="D6330" t="str">
            <v>668-34-8</v>
          </cell>
          <cell r="E6330">
            <v>668348</v>
          </cell>
          <cell r="F6330">
            <v>790</v>
          </cell>
          <cell r="G6330" t="str">
            <v>Pest_214</v>
          </cell>
          <cell r="H6330">
            <v>6287</v>
          </cell>
          <cell r="J6330">
            <v>350.01</v>
          </cell>
          <cell r="K6330">
            <v>94.01</v>
          </cell>
          <cell r="L6330">
            <v>1.038407E-2</v>
          </cell>
          <cell r="M6330">
            <v>0</v>
          </cell>
          <cell r="N6330">
            <v>3801893.963205616</v>
          </cell>
          <cell r="O6330">
            <v>0</v>
          </cell>
          <cell r="P6330">
            <v>0</v>
          </cell>
          <cell r="Q6330">
            <v>0</v>
          </cell>
        </row>
        <row r="6331">
          <cell r="D6331" t="str">
            <v>101205-02-1</v>
          </cell>
          <cell r="E6331">
            <v>101205021</v>
          </cell>
          <cell r="F6331">
            <v>144</v>
          </cell>
          <cell r="G6331" t="str">
            <v>Pest_4</v>
          </cell>
          <cell r="H6331">
            <v>6288</v>
          </cell>
          <cell r="J6331">
            <v>325.47000000000003</v>
          </cell>
          <cell r="K6331">
            <v>172.34</v>
          </cell>
          <cell r="L6331">
            <v>5.1053900000000004E-7</v>
          </cell>
          <cell r="M6331">
            <v>14.24</v>
          </cell>
          <cell r="N6331">
            <v>7585.7757502918394</v>
          </cell>
          <cell r="O6331">
            <v>4.3499999999999996</v>
          </cell>
          <cell r="P6331">
            <v>0</v>
          </cell>
          <cell r="Q6331">
            <v>4.3499999999999996</v>
          </cell>
        </row>
        <row r="6332">
          <cell r="D6332" t="str">
            <v>41083-11-8</v>
          </cell>
          <cell r="E6332">
            <v>41083118</v>
          </cell>
          <cell r="F6332">
            <v>630</v>
          </cell>
          <cell r="G6332" t="str">
            <v>Pest_171</v>
          </cell>
          <cell r="H6332">
            <v>6289</v>
          </cell>
          <cell r="J6332">
            <v>436.21</v>
          </cell>
          <cell r="K6332">
            <v>154.30000000000001</v>
          </cell>
          <cell r="L6332">
            <v>5.158710000000001E-6</v>
          </cell>
          <cell r="M6332">
            <v>0</v>
          </cell>
          <cell r="N6332">
            <v>245470.89156850305</v>
          </cell>
          <cell r="O6332">
            <v>0</v>
          </cell>
          <cell r="P6332">
            <v>12</v>
          </cell>
          <cell r="Q6332">
            <v>0</v>
          </cell>
        </row>
        <row r="6333">
          <cell r="D6333" t="str">
            <v>13356-08-6</v>
          </cell>
          <cell r="E6333">
            <v>13356086</v>
          </cell>
          <cell r="F6333">
            <v>6426</v>
          </cell>
          <cell r="G6333" t="str">
            <v>Pest_340</v>
          </cell>
          <cell r="H6333">
            <v>6290</v>
          </cell>
          <cell r="Q6333">
            <v>14</v>
          </cell>
        </row>
        <row r="6334">
          <cell r="D6334" t="str">
            <v>13121-70-5</v>
          </cell>
          <cell r="E6334">
            <v>13121705</v>
          </cell>
          <cell r="F6334">
            <v>419</v>
          </cell>
          <cell r="G6334" t="str">
            <v>Pest_52</v>
          </cell>
          <cell r="H6334">
            <v>6291</v>
          </cell>
          <cell r="J6334">
            <v>385.16</v>
          </cell>
          <cell r="K6334">
            <v>141.33000000000001</v>
          </cell>
          <cell r="L6334">
            <v>2.7459800000000003E-7</v>
          </cell>
          <cell r="M6334">
            <v>0</v>
          </cell>
          <cell r="N6334">
            <v>4265795.1880159294</v>
          </cell>
          <cell r="O6334">
            <v>0</v>
          </cell>
          <cell r="P6334">
            <v>0</v>
          </cell>
          <cell r="Q6334">
            <v>0</v>
          </cell>
        </row>
        <row r="6335">
          <cell r="D6335" t="str">
            <v>101-21-3</v>
          </cell>
          <cell r="E6335">
            <v>101213</v>
          </cell>
          <cell r="F6335">
            <v>145</v>
          </cell>
          <cell r="G6335" t="str">
            <v>Pest_5</v>
          </cell>
          <cell r="H6335">
            <v>6292</v>
          </cell>
          <cell r="J6335">
            <v>213.66</v>
          </cell>
          <cell r="K6335">
            <v>64.92</v>
          </cell>
          <cell r="L6335">
            <v>0.45322000000000001</v>
          </cell>
          <cell r="M6335">
            <v>145.38</v>
          </cell>
          <cell r="N6335">
            <v>1995.2623149688804</v>
          </cell>
          <cell r="O6335">
            <v>13.2</v>
          </cell>
          <cell r="P6335">
            <v>0</v>
          </cell>
          <cell r="Q6335">
            <v>13.2</v>
          </cell>
        </row>
        <row r="6336">
          <cell r="D6336" t="str">
            <v>122-42-9</v>
          </cell>
          <cell r="E6336">
            <v>122429</v>
          </cell>
          <cell r="F6336">
            <v>5107</v>
          </cell>
          <cell r="G6336" t="str">
            <v>Pest_401</v>
          </cell>
          <cell r="H6336">
            <v>6293</v>
          </cell>
          <cell r="J6336">
            <v>179.22</v>
          </cell>
          <cell r="K6336">
            <v>35.979999999999997</v>
          </cell>
          <cell r="L6336">
            <v>0.63184200000000013</v>
          </cell>
          <cell r="M6336">
            <v>845.47</v>
          </cell>
          <cell r="N6336">
            <v>457.0881896148756</v>
          </cell>
          <cell r="O6336">
            <v>13.2</v>
          </cell>
          <cell r="P6336">
            <v>0</v>
          </cell>
          <cell r="Q6336">
            <v>13.2</v>
          </cell>
        </row>
        <row r="6337">
          <cell r="D6337" t="str">
            <v>1967-16-4</v>
          </cell>
          <cell r="E6337">
            <v>1967164</v>
          </cell>
          <cell r="F6337">
            <v>4870</v>
          </cell>
          <cell r="G6337" t="str">
            <v>Pest_300</v>
          </cell>
          <cell r="H6337">
            <v>6294</v>
          </cell>
          <cell r="J6337">
            <v>223.66</v>
          </cell>
          <cell r="K6337">
            <v>87.85</v>
          </cell>
          <cell r="L6337">
            <v>0.13996500000000001</v>
          </cell>
          <cell r="M6337">
            <v>9.4895999999999994</v>
          </cell>
          <cell r="N6337">
            <v>1047.1285480509</v>
          </cell>
          <cell r="O6337">
            <v>13.2</v>
          </cell>
          <cell r="P6337">
            <v>0</v>
          </cell>
          <cell r="Q6337">
            <v>13.2</v>
          </cell>
        </row>
        <row r="6338">
          <cell r="D6338" t="str">
            <v>84332-86-5</v>
          </cell>
          <cell r="E6338">
            <v>84332865</v>
          </cell>
          <cell r="F6338">
            <v>3860</v>
          </cell>
          <cell r="G6338" t="str">
            <v>Pest_255</v>
          </cell>
          <cell r="H6338">
            <v>6295</v>
          </cell>
          <cell r="J6338">
            <v>332.14</v>
          </cell>
          <cell r="K6338">
            <v>205.78</v>
          </cell>
          <cell r="L6338">
            <v>1.1703740000000002E-6</v>
          </cell>
          <cell r="M6338">
            <v>47.363</v>
          </cell>
          <cell r="N6338">
            <v>165.95869074375622</v>
          </cell>
          <cell r="O6338">
            <v>0</v>
          </cell>
          <cell r="P6338">
            <v>0</v>
          </cell>
          <cell r="Q6338">
            <v>0</v>
          </cell>
        </row>
        <row r="6339">
          <cell r="D6339" t="str">
            <v>72459-58-6</v>
          </cell>
          <cell r="E6339">
            <v>72459586</v>
          </cell>
          <cell r="F6339">
            <v>5175</v>
          </cell>
          <cell r="G6339" t="str">
            <v>Pest_429</v>
          </cell>
          <cell r="H6339">
            <v>6296</v>
          </cell>
          <cell r="J6339">
            <v>247.65</v>
          </cell>
          <cell r="K6339">
            <v>200.06</v>
          </cell>
          <cell r="L6339">
            <v>4.0123300000000003E-7</v>
          </cell>
          <cell r="M6339">
            <v>48.539000000000001</v>
          </cell>
          <cell r="N6339">
            <v>28.183829312644548</v>
          </cell>
          <cell r="O6339">
            <v>0</v>
          </cell>
          <cell r="P6339">
            <v>7.93</v>
          </cell>
          <cell r="Q6339">
            <v>0</v>
          </cell>
        </row>
        <row r="6340">
          <cell r="D6340" t="str">
            <v>161326-34-7</v>
          </cell>
          <cell r="E6340">
            <v>161326347</v>
          </cell>
          <cell r="F6340">
            <v>499</v>
          </cell>
          <cell r="G6340" t="str">
            <v>Pest_87</v>
          </cell>
          <cell r="H6340">
            <v>6297</v>
          </cell>
          <cell r="J6340">
            <v>311.41000000000003</v>
          </cell>
          <cell r="K6340">
            <v>199.85</v>
          </cell>
          <cell r="L6340">
            <v>2.5460299999999999E-7</v>
          </cell>
          <cell r="M6340">
            <v>0.76632999999999996</v>
          </cell>
          <cell r="N6340">
            <v>2818.3829312644561</v>
          </cell>
          <cell r="O6340">
            <v>0</v>
          </cell>
          <cell r="P6340">
            <v>6</v>
          </cell>
          <cell r="Q6340">
            <v>0</v>
          </cell>
        </row>
        <row r="6341">
          <cell r="D6341" t="str">
            <v>68505-69-1</v>
          </cell>
          <cell r="E6341">
            <v>68505691</v>
          </cell>
          <cell r="F6341">
            <v>4846</v>
          </cell>
          <cell r="G6341" t="str">
            <v>Pest_289</v>
          </cell>
          <cell r="H6341">
            <v>6298</v>
          </cell>
          <cell r="J6341">
            <v>256.32</v>
          </cell>
          <cell r="K6341">
            <v>133.81</v>
          </cell>
          <cell r="L6341">
            <v>8.6911599999999999E-3</v>
          </cell>
          <cell r="M6341">
            <v>171.67</v>
          </cell>
          <cell r="N6341">
            <v>630.95734448019323</v>
          </cell>
          <cell r="O6341">
            <v>0</v>
          </cell>
          <cell r="P6341">
            <v>0</v>
          </cell>
          <cell r="Q6341">
            <v>0</v>
          </cell>
        </row>
        <row r="6342">
          <cell r="D6342" t="str">
            <v>81777-89-1</v>
          </cell>
          <cell r="E6342">
            <v>81777891</v>
          </cell>
          <cell r="F6342">
            <v>941</v>
          </cell>
          <cell r="G6342" t="str">
            <v>Pest_244</v>
          </cell>
          <cell r="H6342">
            <v>6299</v>
          </cell>
          <cell r="J6342">
            <v>239.7</v>
          </cell>
          <cell r="K6342">
            <v>132.37</v>
          </cell>
          <cell r="L6342">
            <v>0.93443300000000007</v>
          </cell>
          <cell r="M6342">
            <v>330.09</v>
          </cell>
          <cell r="N6342">
            <v>724.43596007499025</v>
          </cell>
          <cell r="O6342">
            <v>0</v>
          </cell>
          <cell r="P6342">
            <v>0</v>
          </cell>
          <cell r="Q6342">
            <v>0</v>
          </cell>
        </row>
        <row r="6343">
          <cell r="D6343" t="str">
            <v>58810-48-3</v>
          </cell>
          <cell r="E6343">
            <v>58810483</v>
          </cell>
          <cell r="F6343">
            <v>5077</v>
          </cell>
          <cell r="G6343" t="str">
            <v>Pest_384</v>
          </cell>
          <cell r="H6343">
            <v>6300</v>
          </cell>
          <cell r="J6343">
            <v>281.74</v>
          </cell>
          <cell r="K6343">
            <v>164.66</v>
          </cell>
          <cell r="L6343">
            <v>7.304840000000001E-6</v>
          </cell>
          <cell r="M6343">
            <v>51.292999999999999</v>
          </cell>
          <cell r="N6343">
            <v>24.547089156850305</v>
          </cell>
          <cell r="O6343">
            <v>0</v>
          </cell>
          <cell r="P6343">
            <v>0</v>
          </cell>
          <cell r="Q6343">
            <v>0</v>
          </cell>
        </row>
        <row r="6344">
          <cell r="D6344" t="str">
            <v>57646-30-7</v>
          </cell>
          <cell r="E6344">
            <v>57646307</v>
          </cell>
          <cell r="F6344">
            <v>725</v>
          </cell>
          <cell r="G6344" t="str">
            <v>Pest_198</v>
          </cell>
          <cell r="H6344">
            <v>6301</v>
          </cell>
          <cell r="J6344">
            <v>301.33999999999997</v>
          </cell>
          <cell r="K6344">
            <v>150.43</v>
          </cell>
          <cell r="L6344">
            <v>2.8792800000000001E-4</v>
          </cell>
          <cell r="M6344">
            <v>267.24</v>
          </cell>
          <cell r="N6344">
            <v>501.18723362727269</v>
          </cell>
          <cell r="O6344">
            <v>0</v>
          </cell>
          <cell r="P6344">
            <v>16</v>
          </cell>
          <cell r="Q6344">
            <v>-2</v>
          </cell>
        </row>
        <row r="6345">
          <cell r="D6345" t="str">
            <v>57837-19-1</v>
          </cell>
          <cell r="E6345">
            <v>57837191</v>
          </cell>
          <cell r="F6345">
            <v>726</v>
          </cell>
          <cell r="G6345" t="str">
            <v>Pest_199</v>
          </cell>
          <cell r="H6345">
            <v>6302</v>
          </cell>
          <cell r="J6345">
            <v>279.33999999999997</v>
          </cell>
          <cell r="K6345">
            <v>130.49</v>
          </cell>
          <cell r="L6345">
            <v>3.7990500000000004E-3</v>
          </cell>
          <cell r="M6345">
            <v>10208</v>
          </cell>
          <cell r="N6345">
            <v>50.118723362727238</v>
          </cell>
          <cell r="O6345">
            <v>0</v>
          </cell>
          <cell r="P6345">
            <v>0</v>
          </cell>
          <cell r="Q6345">
            <v>0</v>
          </cell>
        </row>
        <row r="6346">
          <cell r="D6346" t="str">
            <v>26644-46-2</v>
          </cell>
          <cell r="E6346">
            <v>26644462</v>
          </cell>
          <cell r="F6346">
            <v>5180</v>
          </cell>
          <cell r="G6346" t="str">
            <v>Pest_433</v>
          </cell>
          <cell r="H6346">
            <v>6303</v>
          </cell>
          <cell r="J6346">
            <v>434.97</v>
          </cell>
          <cell r="K6346">
            <v>222.9</v>
          </cell>
          <cell r="L6346">
            <v>4.7321500000000005E-8</v>
          </cell>
          <cell r="M6346">
            <v>6.1753</v>
          </cell>
          <cell r="N6346">
            <v>104.71285480508998</v>
          </cell>
          <cell r="O6346">
            <v>10.37</v>
          </cell>
          <cell r="P6346">
            <v>11.75</v>
          </cell>
          <cell r="Q6346">
            <v>2.25</v>
          </cell>
        </row>
        <row r="6347">
          <cell r="D6347" t="str">
            <v>24691-80-3</v>
          </cell>
          <cell r="E6347">
            <v>24691803</v>
          </cell>
          <cell r="F6347">
            <v>562</v>
          </cell>
          <cell r="G6347" t="str">
            <v>Pest_131</v>
          </cell>
          <cell r="H6347">
            <v>6304</v>
          </cell>
          <cell r="J6347">
            <v>201.23</v>
          </cell>
          <cell r="K6347">
            <v>133.93</v>
          </cell>
          <cell r="L6347">
            <v>8.7044900000000014E-4</v>
          </cell>
          <cell r="M6347">
            <v>114.34</v>
          </cell>
          <cell r="N6347">
            <v>416.86938347033572</v>
          </cell>
          <cell r="O6347">
            <v>14.8</v>
          </cell>
          <cell r="P6347">
            <v>14</v>
          </cell>
          <cell r="Q6347">
            <v>0</v>
          </cell>
        </row>
        <row r="6348">
          <cell r="D6348" t="str">
            <v>55814-41-0</v>
          </cell>
          <cell r="E6348">
            <v>55814410</v>
          </cell>
          <cell r="F6348">
            <v>5018</v>
          </cell>
          <cell r="G6348" t="str">
            <v>Pest_373</v>
          </cell>
          <cell r="H6348">
            <v>6305</v>
          </cell>
          <cell r="J6348">
            <v>269.35000000000002</v>
          </cell>
          <cell r="K6348">
            <v>171.32</v>
          </cell>
          <cell r="L6348">
            <v>4.57219E-5</v>
          </cell>
          <cell r="M6348">
            <v>3.0428999999999999</v>
          </cell>
          <cell r="N6348">
            <v>17378.008287493791</v>
          </cell>
          <cell r="O6348">
            <v>14.69</v>
          </cell>
          <cell r="P6348">
            <v>13.05</v>
          </cell>
          <cell r="Q6348">
            <v>0.94999999999999929</v>
          </cell>
        </row>
        <row r="6349">
          <cell r="D6349" t="str">
            <v>71626-11-4</v>
          </cell>
          <cell r="E6349">
            <v>71626114</v>
          </cell>
          <cell r="F6349">
            <v>823</v>
          </cell>
          <cell r="G6349" t="str">
            <v>Pest_225</v>
          </cell>
          <cell r="H6349">
            <v>6306</v>
          </cell>
          <cell r="J6349">
            <v>325.41000000000003</v>
          </cell>
          <cell r="K6349">
            <v>166.16</v>
          </cell>
          <cell r="L6349">
            <v>3.8923600000000008E-5</v>
          </cell>
          <cell r="M6349">
            <v>1.8513999999999999</v>
          </cell>
          <cell r="N6349">
            <v>4897.7881936844633</v>
          </cell>
          <cell r="O6349">
            <v>0</v>
          </cell>
          <cell r="P6349">
            <v>15</v>
          </cell>
          <cell r="Q6349">
            <v>-1</v>
          </cell>
        </row>
        <row r="6350">
          <cell r="D6350" t="str">
            <v>156052-68-5</v>
          </cell>
          <cell r="E6350">
            <v>156052685</v>
          </cell>
          <cell r="F6350">
            <v>490</v>
          </cell>
          <cell r="G6350" t="str">
            <v>Pest_83</v>
          </cell>
          <cell r="H6350">
            <v>6307</v>
          </cell>
          <cell r="J6350">
            <v>336.65</v>
          </cell>
          <cell r="K6350">
            <v>191.62</v>
          </cell>
          <cell r="L6350">
            <v>8.74448E-7</v>
          </cell>
          <cell r="M6350">
            <v>1.5472999999999999</v>
          </cell>
          <cell r="N6350">
            <v>22387.211385683382</v>
          </cell>
          <cell r="O6350">
            <v>12.79</v>
          </cell>
          <cell r="P6350">
            <v>0</v>
          </cell>
          <cell r="Q6350">
            <v>12.79</v>
          </cell>
        </row>
        <row r="6351">
          <cell r="D6351" t="str">
            <v>66332-96-5</v>
          </cell>
          <cell r="E6351">
            <v>66332965</v>
          </cell>
          <cell r="F6351">
            <v>4961</v>
          </cell>
          <cell r="G6351" t="str">
            <v>Pest_356</v>
          </cell>
          <cell r="H6351">
            <v>6308</v>
          </cell>
          <cell r="J6351">
            <v>323.32</v>
          </cell>
          <cell r="K6351">
            <v>168.33</v>
          </cell>
          <cell r="L6351">
            <v>5.4386400000000005E-5</v>
          </cell>
          <cell r="M6351">
            <v>0.59736</v>
          </cell>
          <cell r="N6351">
            <v>44668.359215096389</v>
          </cell>
          <cell r="O6351">
            <v>12.59</v>
          </cell>
          <cell r="P6351">
            <v>14.67</v>
          </cell>
          <cell r="Q6351">
            <v>-0.66999999999999993</v>
          </cell>
        </row>
        <row r="6352">
          <cell r="D6352" t="str">
            <v>1085-98-9</v>
          </cell>
          <cell r="E6352">
            <v>1085989</v>
          </cell>
          <cell r="F6352">
            <v>241</v>
          </cell>
          <cell r="G6352" t="str">
            <v>Pest_17</v>
          </cell>
          <cell r="H6352">
            <v>6309</v>
          </cell>
          <cell r="J6352">
            <v>333.23</v>
          </cell>
          <cell r="K6352">
            <v>140.58000000000001</v>
          </cell>
          <cell r="L6352">
            <v>3.9590100000000004E-4</v>
          </cell>
          <cell r="M6352">
            <v>6.7125000000000004</v>
          </cell>
          <cell r="N6352">
            <v>524.80746024977293</v>
          </cell>
          <cell r="O6352">
            <v>0</v>
          </cell>
          <cell r="P6352">
            <v>0</v>
          </cell>
          <cell r="Q6352">
            <v>0</v>
          </cell>
        </row>
        <row r="6353">
          <cell r="D6353" t="str">
            <v>115-29-7</v>
          </cell>
          <cell r="E6353">
            <v>115297</v>
          </cell>
          <cell r="F6353">
            <v>4921</v>
          </cell>
          <cell r="G6353" t="str">
            <v>Pest_337</v>
          </cell>
          <cell r="H6353">
            <v>6310</v>
          </cell>
          <cell r="J6353">
            <v>406.93</v>
          </cell>
          <cell r="K6353">
            <v>166.48</v>
          </cell>
          <cell r="L6353">
            <v>1.6662500000000003E-4</v>
          </cell>
          <cell r="M6353">
            <v>7.5691999999999995E-2</v>
          </cell>
          <cell r="N6353">
            <v>3162.2776601683804</v>
          </cell>
          <cell r="O6353">
            <v>0</v>
          </cell>
          <cell r="P6353">
            <v>0</v>
          </cell>
          <cell r="Q6353">
            <v>0</v>
          </cell>
        </row>
        <row r="6354">
          <cell r="D6354" t="str">
            <v>116-29-0</v>
          </cell>
          <cell r="E6354">
            <v>116290</v>
          </cell>
          <cell r="F6354">
            <v>344</v>
          </cell>
          <cell r="G6354" t="str">
            <v>Pest_31</v>
          </cell>
          <cell r="H6354">
            <v>6311</v>
          </cell>
          <cell r="J6354">
            <v>356.05</v>
          </cell>
          <cell r="K6354">
            <v>173.71</v>
          </cell>
          <cell r="L6354">
            <v>1.3463300000000002E-5</v>
          </cell>
          <cell r="M6354">
            <v>2.3977999999999999E-2</v>
          </cell>
          <cell r="N6354">
            <v>151356.12484362084</v>
          </cell>
          <cell r="O6354">
            <v>0</v>
          </cell>
          <cell r="P6354">
            <v>0</v>
          </cell>
          <cell r="Q6354">
            <v>0</v>
          </cell>
        </row>
        <row r="6355">
          <cell r="D6355" t="str">
            <v>58-89-9</v>
          </cell>
          <cell r="E6355">
            <v>58899</v>
          </cell>
          <cell r="F6355">
            <v>68</v>
          </cell>
          <cell r="G6355" t="str">
            <v>Pest_367</v>
          </cell>
          <cell r="H6355">
            <v>6312</v>
          </cell>
          <cell r="J6355">
            <v>290.83</v>
          </cell>
          <cell r="K6355">
            <v>56.98</v>
          </cell>
          <cell r="L6355">
            <v>6.7449800000000018E-2</v>
          </cell>
          <cell r="M6355">
            <v>6.2739000000000003</v>
          </cell>
          <cell r="N6355">
            <v>18197.008586099837</v>
          </cell>
          <cell r="O6355">
            <v>0</v>
          </cell>
          <cell r="P6355">
            <v>0</v>
          </cell>
          <cell r="Q6355">
            <v>0</v>
          </cell>
        </row>
        <row r="6356">
          <cell r="D6356" t="str">
            <v>74051-80-2</v>
          </cell>
          <cell r="E6356">
            <v>74051802</v>
          </cell>
          <cell r="F6356">
            <v>834</v>
          </cell>
          <cell r="G6356" t="str">
            <v>Pest_232</v>
          </cell>
          <cell r="H6356">
            <v>6313</v>
          </cell>
          <cell r="J6356">
            <v>327.49</v>
          </cell>
          <cell r="K6356">
            <v>161.06</v>
          </cell>
          <cell r="L6356">
            <v>1.5062900000000002E-6</v>
          </cell>
          <cell r="M6356">
            <v>4.7786999999999997</v>
          </cell>
          <cell r="N6356">
            <v>9772.3722095581161</v>
          </cell>
          <cell r="O6356">
            <v>4.3499999999999996</v>
          </cell>
          <cell r="P6356">
            <v>0</v>
          </cell>
          <cell r="Q6356">
            <v>4.3499999999999996</v>
          </cell>
        </row>
        <row r="6357">
          <cell r="D6357" t="str">
            <v>99129-21-2</v>
          </cell>
          <cell r="E6357">
            <v>99129212</v>
          </cell>
          <cell r="F6357">
            <v>1084</v>
          </cell>
          <cell r="G6357" t="str">
            <v>Pest_275</v>
          </cell>
          <cell r="H6357">
            <v>6314</v>
          </cell>
          <cell r="J6357">
            <v>359.92</v>
          </cell>
          <cell r="K6357">
            <v>177.5</v>
          </cell>
          <cell r="L6357">
            <v>3.5457800000000004E-7</v>
          </cell>
          <cell r="M6357">
            <v>2.1154000000000002</v>
          </cell>
          <cell r="N6357">
            <v>16218.100973589309</v>
          </cell>
          <cell r="O6357">
            <v>4.32</v>
          </cell>
          <cell r="P6357">
            <v>0</v>
          </cell>
          <cell r="Q6357">
            <v>4.32</v>
          </cell>
        </row>
        <row r="6358">
          <cell r="D6358" t="str">
            <v>55635-13-7</v>
          </cell>
          <cell r="E6358">
            <v>55635137</v>
          </cell>
          <cell r="F6358">
            <v>6234</v>
          </cell>
          <cell r="G6358" t="str">
            <v>Pest_286</v>
          </cell>
          <cell r="H6358">
            <v>6315</v>
          </cell>
          <cell r="J6358">
            <v>345.37</v>
          </cell>
          <cell r="K6358">
            <v>0</v>
          </cell>
          <cell r="L6358">
            <v>0</v>
          </cell>
          <cell r="M6358">
            <v>0</v>
          </cell>
          <cell r="N6358">
            <v>0</v>
          </cell>
          <cell r="O6358">
            <v>0</v>
          </cell>
          <cell r="P6358">
            <v>0</v>
          </cell>
          <cell r="Q6358">
            <v>0</v>
          </cell>
        </row>
        <row r="6359">
          <cell r="D6359" t="str">
            <v>149979-41-9</v>
          </cell>
          <cell r="E6359">
            <v>149979419</v>
          </cell>
          <cell r="F6359">
            <v>5148</v>
          </cell>
          <cell r="G6359" t="str">
            <v>Pest_423</v>
          </cell>
          <cell r="H6359">
            <v>6316</v>
          </cell>
          <cell r="J6359">
            <v>341.84</v>
          </cell>
          <cell r="K6359">
            <v>172.99</v>
          </cell>
          <cell r="L6359">
            <v>1.62626E-8</v>
          </cell>
          <cell r="M6359">
            <v>32.929000000000002</v>
          </cell>
          <cell r="N6359">
            <v>1778.2794100389244</v>
          </cell>
          <cell r="O6359">
            <v>4.34</v>
          </cell>
          <cell r="P6359">
            <v>0</v>
          </cell>
          <cell r="Q6359">
            <v>4.34</v>
          </cell>
        </row>
        <row r="6360">
          <cell r="D6360" t="str">
            <v>87820-88-0</v>
          </cell>
          <cell r="E6360">
            <v>87820880</v>
          </cell>
          <cell r="F6360">
            <v>981</v>
          </cell>
          <cell r="G6360" t="str">
            <v>Pest_259</v>
          </cell>
          <cell r="H6360">
            <v>6317</v>
          </cell>
          <cell r="J6360">
            <v>329.44</v>
          </cell>
          <cell r="K6360">
            <v>180.61</v>
          </cell>
          <cell r="L6360">
            <v>4.9454300000000004E-8</v>
          </cell>
          <cell r="M6360">
            <v>1.3174999999999999</v>
          </cell>
          <cell r="N6360">
            <v>74131.024130091857</v>
          </cell>
          <cell r="O6360">
            <v>4.7</v>
          </cell>
          <cell r="P6360">
            <v>0</v>
          </cell>
          <cell r="Q6360">
            <v>4.7</v>
          </cell>
        </row>
        <row r="6361">
          <cell r="D6361" t="str">
            <v>68049-83-2</v>
          </cell>
          <cell r="E6361">
            <v>68049832</v>
          </cell>
          <cell r="F6361">
            <v>3505</v>
          </cell>
          <cell r="G6361" t="str">
            <v>Pest_218</v>
          </cell>
          <cell r="H6361">
            <v>6318</v>
          </cell>
          <cell r="J6361">
            <v>338.2</v>
          </cell>
          <cell r="K6361">
            <v>187.97</v>
          </cell>
          <cell r="L6361">
            <v>2.5593600000000002E-6</v>
          </cell>
          <cell r="M6361">
            <v>5.7836999999999996</v>
          </cell>
          <cell r="N6361">
            <v>64565.422903465565</v>
          </cell>
          <cell r="O6361">
            <v>0</v>
          </cell>
          <cell r="P6361">
            <v>0</v>
          </cell>
          <cell r="Q6361">
            <v>0</v>
          </cell>
        </row>
        <row r="6362">
          <cell r="D6362" t="str">
            <v>39807-15-3</v>
          </cell>
          <cell r="E6362">
            <v>39807153</v>
          </cell>
          <cell r="F6362">
            <v>626</v>
          </cell>
          <cell r="G6362" t="str">
            <v>Pest_169</v>
          </cell>
          <cell r="H6362">
            <v>6319</v>
          </cell>
          <cell r="J6362">
            <v>341.2</v>
          </cell>
          <cell r="K6362">
            <v>185.67</v>
          </cell>
          <cell r="L6362">
            <v>8.7978000000000007E-6</v>
          </cell>
          <cell r="M6362">
            <v>0.84918000000000005</v>
          </cell>
          <cell r="N6362">
            <v>12882.49551693136</v>
          </cell>
          <cell r="O6362">
            <v>0</v>
          </cell>
          <cell r="P6362">
            <v>14</v>
          </cell>
          <cell r="Q6362">
            <v>0</v>
          </cell>
        </row>
        <row r="6363">
          <cell r="D6363" t="str">
            <v>58138-08-2</v>
          </cell>
          <cell r="E6363">
            <v>58138082</v>
          </cell>
          <cell r="F6363">
            <v>5176</v>
          </cell>
          <cell r="G6363" t="str">
            <v>Pest_430</v>
          </cell>
          <cell r="H6363">
            <v>6320</v>
          </cell>
          <cell r="J6363">
            <v>320.43</v>
          </cell>
          <cell r="K6363">
            <v>106.56</v>
          </cell>
          <cell r="L6363">
            <v>5.1987000000000005E-2</v>
          </cell>
          <cell r="M6363">
            <v>0.60679000000000005</v>
          </cell>
          <cell r="N6363">
            <v>151356.12484362084</v>
          </cell>
          <cell r="O6363">
            <v>0</v>
          </cell>
          <cell r="P6363">
            <v>0</v>
          </cell>
          <cell r="Q6363">
            <v>0</v>
          </cell>
        </row>
        <row r="6364">
          <cell r="D6364" t="str">
            <v>61213-25-0</v>
          </cell>
          <cell r="E6364">
            <v>61213250</v>
          </cell>
          <cell r="F6364">
            <v>4960</v>
          </cell>
          <cell r="G6364" t="str">
            <v>Pest_355</v>
          </cell>
          <cell r="H6364">
            <v>6321</v>
          </cell>
          <cell r="J6364">
            <v>312.12</v>
          </cell>
          <cell r="K6364">
            <v>134.63999999999999</v>
          </cell>
          <cell r="L6364">
            <v>2.1861200000000002E-3</v>
          </cell>
          <cell r="M6364">
            <v>27.690999999999999</v>
          </cell>
          <cell r="N6364">
            <v>2818.3829312644561</v>
          </cell>
          <cell r="O6364">
            <v>0</v>
          </cell>
          <cell r="P6364">
            <v>0</v>
          </cell>
          <cell r="Q6364">
            <v>0</v>
          </cell>
        </row>
        <row r="6365">
          <cell r="D6365" t="str">
            <v>2797-51-5</v>
          </cell>
          <cell r="E6365">
            <v>2797515</v>
          </cell>
          <cell r="F6365">
            <v>5113</v>
          </cell>
          <cell r="G6365" t="str">
            <v>Pest_405</v>
          </cell>
          <cell r="H6365">
            <v>6322</v>
          </cell>
          <cell r="J6365">
            <v>207.62</v>
          </cell>
          <cell r="K6365">
            <v>126.18</v>
          </cell>
          <cell r="L6365">
            <v>2.2527700000000002E-4</v>
          </cell>
          <cell r="M6365">
            <v>41.530999999999999</v>
          </cell>
          <cell r="N6365">
            <v>31.622776601683803</v>
          </cell>
          <cell r="O6365">
            <v>0</v>
          </cell>
          <cell r="P6365">
            <v>11.01</v>
          </cell>
          <cell r="Q6365">
            <v>0</v>
          </cell>
        </row>
        <row r="6366">
          <cell r="D6366" t="str">
            <v>75-99-0</v>
          </cell>
          <cell r="E6366">
            <v>75990</v>
          </cell>
          <cell r="F6366">
            <v>4884</v>
          </cell>
          <cell r="G6366" t="str">
            <v>Pest_319</v>
          </cell>
          <cell r="H6366">
            <v>6323</v>
          </cell>
          <cell r="J6366">
            <v>142.97</v>
          </cell>
          <cell r="K6366">
            <v>23.14</v>
          </cell>
          <cell r="L6366">
            <v>89.311000000000007</v>
          </cell>
          <cell r="M6366">
            <v>74590</v>
          </cell>
          <cell r="N6366">
            <v>47.863009232263856</v>
          </cell>
          <cell r="O6366">
            <v>1.6</v>
          </cell>
          <cell r="P6366">
            <v>0</v>
          </cell>
          <cell r="Q6366">
            <v>1.6</v>
          </cell>
        </row>
        <row r="6367">
          <cell r="D6367" t="str">
            <v>19666-30-9</v>
          </cell>
          <cell r="E6367">
            <v>19666309</v>
          </cell>
          <cell r="F6367">
            <v>526</v>
          </cell>
          <cell r="G6367" t="str">
            <v>Pest_110</v>
          </cell>
          <cell r="H6367">
            <v>6324</v>
          </cell>
          <cell r="J6367">
            <v>345.23</v>
          </cell>
          <cell r="K6367">
            <v>178.65</v>
          </cell>
          <cell r="L6367">
            <v>4.5055400000000002E-5</v>
          </cell>
          <cell r="M6367">
            <v>1.1549</v>
          </cell>
          <cell r="N6367">
            <v>64565.422903465565</v>
          </cell>
          <cell r="O6367">
            <v>0</v>
          </cell>
          <cell r="P6367">
            <v>14</v>
          </cell>
          <cell r="Q6367">
            <v>0</v>
          </cell>
        </row>
        <row r="6368">
          <cell r="D6368" t="str">
            <v>3813-05-6</v>
          </cell>
          <cell r="E6368">
            <v>3813056</v>
          </cell>
          <cell r="F6368">
            <v>116</v>
          </cell>
          <cell r="G6368" t="str">
            <v>Pest_165</v>
          </cell>
          <cell r="H6368">
            <v>6325</v>
          </cell>
          <cell r="J6368">
            <v>243.67</v>
          </cell>
          <cell r="K6368">
            <v>175.09</v>
          </cell>
          <cell r="L6368">
            <v>6.3050900000000001E-6</v>
          </cell>
          <cell r="M6368">
            <v>1115.2</v>
          </cell>
          <cell r="N6368">
            <v>120.22644346174135</v>
          </cell>
          <cell r="O6368">
            <v>2.87</v>
          </cell>
          <cell r="P6368">
            <v>0</v>
          </cell>
          <cell r="Q6368">
            <v>2.87</v>
          </cell>
        </row>
        <row r="6369">
          <cell r="D6369" t="str">
            <v>650-51-1</v>
          </cell>
          <cell r="E6369">
            <v>650511</v>
          </cell>
          <cell r="F6369">
            <v>1230</v>
          </cell>
          <cell r="G6369" t="str">
            <v>Reach_1486</v>
          </cell>
          <cell r="H6369">
            <v>6326</v>
          </cell>
          <cell r="J6369">
            <v>185.37</v>
          </cell>
          <cell r="K6369">
            <v>0</v>
          </cell>
          <cell r="L6369">
            <v>0</v>
          </cell>
          <cell r="M6369">
            <v>0</v>
          </cell>
          <cell r="N6369">
            <v>0</v>
          </cell>
          <cell r="O6369">
            <v>0</v>
          </cell>
          <cell r="P6369">
            <v>0</v>
          </cell>
          <cell r="Q6369">
            <v>0</v>
          </cell>
        </row>
        <row r="6370">
          <cell r="D6370" t="str">
            <v>7784-46-5</v>
          </cell>
          <cell r="E6370">
            <v>7784465</v>
          </cell>
          <cell r="F6370">
            <v>6328</v>
          </cell>
          <cell r="G6370" t="str">
            <v>Pest_415</v>
          </cell>
          <cell r="H6370">
            <v>6327</v>
          </cell>
          <cell r="Q6370">
            <v>14</v>
          </cell>
        </row>
        <row r="6371">
          <cell r="D6371" t="str">
            <v>1420-07-1</v>
          </cell>
          <cell r="E6371">
            <v>1420071</v>
          </cell>
          <cell r="F6371">
            <v>4911</v>
          </cell>
          <cell r="G6371" t="str">
            <v>Pest_333</v>
          </cell>
          <cell r="H6371">
            <v>6328</v>
          </cell>
          <cell r="J6371">
            <v>240.22</v>
          </cell>
          <cell r="K6371">
            <v>139.35</v>
          </cell>
          <cell r="L6371">
            <v>1.62626E-4</v>
          </cell>
          <cell r="M6371">
            <v>205.22</v>
          </cell>
          <cell r="N6371">
            <v>4365.1583224016631</v>
          </cell>
          <cell r="O6371">
            <v>4.2</v>
          </cell>
          <cell r="P6371">
            <v>0</v>
          </cell>
          <cell r="Q6371">
            <v>4.2</v>
          </cell>
        </row>
        <row r="6372">
          <cell r="D6372" t="str">
            <v>96525-23-4</v>
          </cell>
          <cell r="E6372">
            <v>96525234</v>
          </cell>
          <cell r="F6372">
            <v>4150</v>
          </cell>
          <cell r="G6372" t="str">
            <v>Pest_272</v>
          </cell>
          <cell r="H6372">
            <v>6329</v>
          </cell>
          <cell r="J6372">
            <v>333.31</v>
          </cell>
          <cell r="K6372">
            <v>152.83000000000001</v>
          </cell>
          <cell r="L6372">
            <v>4.1989500000000002E-5</v>
          </cell>
          <cell r="M6372">
            <v>79.864000000000004</v>
          </cell>
          <cell r="N6372">
            <v>741.31024130091828</v>
          </cell>
          <cell r="O6372">
            <v>0</v>
          </cell>
          <cell r="P6372">
            <v>5.04</v>
          </cell>
          <cell r="Q6372">
            <v>0</v>
          </cell>
        </row>
        <row r="6373">
          <cell r="D6373" t="str">
            <v>27314-13-2</v>
          </cell>
          <cell r="E6373">
            <v>27314132</v>
          </cell>
          <cell r="F6373">
            <v>5073</v>
          </cell>
          <cell r="G6373" t="str">
            <v>Pest_383</v>
          </cell>
          <cell r="H6373">
            <v>6330</v>
          </cell>
          <cell r="J6373">
            <v>303.67</v>
          </cell>
          <cell r="K6373">
            <v>159.26</v>
          </cell>
          <cell r="L6373">
            <v>9.5309500000000013E-5</v>
          </cell>
          <cell r="M6373">
            <v>19.954000000000001</v>
          </cell>
          <cell r="N6373">
            <v>154.8816618912482</v>
          </cell>
          <cell r="O6373">
            <v>0</v>
          </cell>
          <cell r="P6373">
            <v>10.75</v>
          </cell>
          <cell r="Q6373">
            <v>0</v>
          </cell>
        </row>
        <row r="6374">
          <cell r="D6374" t="str">
            <v>126833-17-8</v>
          </cell>
          <cell r="E6374">
            <v>126833178</v>
          </cell>
          <cell r="F6374">
            <v>409</v>
          </cell>
          <cell r="G6374" t="str">
            <v>Pest_50</v>
          </cell>
          <cell r="H6374">
            <v>6331</v>
          </cell>
          <cell r="J6374">
            <v>302.2</v>
          </cell>
          <cell r="K6374">
            <v>187.76</v>
          </cell>
          <cell r="L6374">
            <v>2.6260100000000001E-7</v>
          </cell>
          <cell r="M6374">
            <v>1.2830999999999999</v>
          </cell>
          <cell r="N6374">
            <v>5248.0746024977352</v>
          </cell>
          <cell r="O6374">
            <v>7.7</v>
          </cell>
          <cell r="P6374">
            <v>0</v>
          </cell>
          <cell r="Q6374">
            <v>7.7</v>
          </cell>
        </row>
        <row r="6375">
          <cell r="D6375" t="str">
            <v>52315-07-8</v>
          </cell>
          <cell r="E6375">
            <v>52315078</v>
          </cell>
          <cell r="F6375">
            <v>1099</v>
          </cell>
          <cell r="G6375" t="str">
            <v>Pest_317</v>
          </cell>
          <cell r="H6375">
            <v>6332</v>
          </cell>
          <cell r="J6375">
            <v>416.31</v>
          </cell>
          <cell r="K6375">
            <v>82.07</v>
          </cell>
          <cell r="L6375">
            <v>1.7329000000000003E-5</v>
          </cell>
          <cell r="M6375">
            <v>5.9186000000000002E-2</v>
          </cell>
          <cell r="N6375">
            <v>2398832.9190194933</v>
          </cell>
          <cell r="O6375">
            <v>0</v>
          </cell>
          <cell r="P6375">
            <v>0</v>
          </cell>
          <cell r="Q6375">
            <v>0</v>
          </cell>
        </row>
        <row r="6376">
          <cell r="D6376" t="str">
            <v>68359-37-5</v>
          </cell>
          <cell r="E6376">
            <v>68359375</v>
          </cell>
          <cell r="F6376">
            <v>4849</v>
          </cell>
          <cell r="G6376" t="str">
            <v>Pest_292</v>
          </cell>
          <cell r="H6376">
            <v>6333</v>
          </cell>
          <cell r="J6376">
            <v>434.3</v>
          </cell>
          <cell r="K6376">
            <v>92.74</v>
          </cell>
          <cell r="L6376">
            <v>3.5057900000000002E-5</v>
          </cell>
          <cell r="M6376">
            <v>3.1691999999999998E-2</v>
          </cell>
          <cell r="N6376">
            <v>549540.87385762564</v>
          </cell>
          <cell r="O6376">
            <v>0</v>
          </cell>
          <cell r="P6376">
            <v>0</v>
          </cell>
          <cell r="Q6376">
            <v>0</v>
          </cell>
        </row>
        <row r="6377">
          <cell r="D6377" t="str">
            <v>83121-18-0</v>
          </cell>
          <cell r="E6377">
            <v>83121180</v>
          </cell>
          <cell r="F6377">
            <v>5144</v>
          </cell>
          <cell r="G6377" t="str">
            <v>Pest_421</v>
          </cell>
          <cell r="H6377">
            <v>6334</v>
          </cell>
          <cell r="J6377">
            <v>381.11</v>
          </cell>
          <cell r="K6377">
            <v>218.68</v>
          </cell>
          <cell r="L6377">
            <v>1.3183370000000002E-8</v>
          </cell>
          <cell r="M6377">
            <v>1.2933E-2</v>
          </cell>
          <cell r="N6377">
            <v>43651.583224016598</v>
          </cell>
          <cell r="O6377">
            <v>8.65</v>
          </cell>
          <cell r="P6377">
            <v>0</v>
          </cell>
          <cell r="Q6377">
            <v>8.65</v>
          </cell>
        </row>
        <row r="6378">
          <cell r="D6378" t="str">
            <v>86479-06-3</v>
          </cell>
          <cell r="E6378">
            <v>86479063</v>
          </cell>
          <cell r="F6378">
            <v>971</v>
          </cell>
          <cell r="G6378" t="str">
            <v>Pest_257</v>
          </cell>
          <cell r="H6378">
            <v>6335</v>
          </cell>
          <cell r="J6378">
            <v>461.15</v>
          </cell>
          <cell r="K6378">
            <v>231.09</v>
          </cell>
          <cell r="L6378">
            <v>4.6655000000000005E-9</v>
          </cell>
          <cell r="M6378">
            <v>4.0004999999999999E-4</v>
          </cell>
          <cell r="N6378">
            <v>436515.83224016649</v>
          </cell>
          <cell r="O6378">
            <v>7.6</v>
          </cell>
          <cell r="P6378">
            <v>0</v>
          </cell>
          <cell r="Q6378">
            <v>7.6</v>
          </cell>
        </row>
        <row r="6379">
          <cell r="D6379" t="str">
            <v>35367-38-5</v>
          </cell>
          <cell r="E6379">
            <v>35367385</v>
          </cell>
          <cell r="F6379">
            <v>612</v>
          </cell>
          <cell r="G6379" t="str">
            <v>Pest_161</v>
          </cell>
          <cell r="H6379">
            <v>6336</v>
          </cell>
          <cell r="J6379">
            <v>310.69</v>
          </cell>
          <cell r="K6379">
            <v>212.45</v>
          </cell>
          <cell r="L6379">
            <v>1.8128800000000002E-8</v>
          </cell>
          <cell r="M6379">
            <v>0.41685</v>
          </cell>
          <cell r="N6379">
            <v>3890.451449942811</v>
          </cell>
          <cell r="O6379">
            <v>8.65</v>
          </cell>
          <cell r="P6379">
            <v>0</v>
          </cell>
          <cell r="Q6379">
            <v>8.65</v>
          </cell>
        </row>
        <row r="6380">
          <cell r="D6380" t="str">
            <v>101463-69-8</v>
          </cell>
          <cell r="E6380">
            <v>101463698</v>
          </cell>
          <cell r="F6380">
            <v>148</v>
          </cell>
          <cell r="G6380" t="str">
            <v>Pest_7</v>
          </cell>
          <cell r="H6380">
            <v>6337</v>
          </cell>
          <cell r="J6380">
            <v>488.77</v>
          </cell>
          <cell r="K6380">
            <v>257.73</v>
          </cell>
          <cell r="L6380">
            <v>3.7324000000000005E-10</v>
          </cell>
          <cell r="M6380">
            <v>6.4700000000000001E-5</v>
          </cell>
          <cell r="N6380">
            <v>933254.30079699249</v>
          </cell>
          <cell r="O6380">
            <v>7.74</v>
          </cell>
          <cell r="P6380">
            <v>0</v>
          </cell>
          <cell r="Q6380">
            <v>7.74</v>
          </cell>
        </row>
        <row r="6381">
          <cell r="D6381" t="str">
            <v>64628-44-0</v>
          </cell>
          <cell r="E6381">
            <v>64628440</v>
          </cell>
          <cell r="F6381">
            <v>3441</v>
          </cell>
          <cell r="G6381" t="str">
            <v>Pest_209</v>
          </cell>
          <cell r="H6381">
            <v>6338</v>
          </cell>
          <cell r="J6381">
            <v>358.7</v>
          </cell>
          <cell r="K6381">
            <v>222.17</v>
          </cell>
          <cell r="L6381">
            <v>1.7995500000000001E-8</v>
          </cell>
          <cell r="M6381">
            <v>3.8344999999999997E-2</v>
          </cell>
          <cell r="N6381">
            <v>17378.008287493791</v>
          </cell>
          <cell r="O6381">
            <v>8.51</v>
          </cell>
          <cell r="P6381">
            <v>0</v>
          </cell>
          <cell r="Q6381">
            <v>8.51</v>
          </cell>
        </row>
        <row r="6382">
          <cell r="D6382" t="str">
            <v>103055-07-8</v>
          </cell>
          <cell r="E6382">
            <v>103055078</v>
          </cell>
          <cell r="F6382">
            <v>158</v>
          </cell>
          <cell r="G6382" t="str">
            <v>Pest_11</v>
          </cell>
          <cell r="H6382">
            <v>6339</v>
          </cell>
          <cell r="J6382">
            <v>511.15</v>
          </cell>
          <cell r="K6382">
            <v>232.15</v>
          </cell>
          <cell r="L6382">
            <v>1.1077230000000001E-8</v>
          </cell>
          <cell r="M6382">
            <v>3.43E-5</v>
          </cell>
          <cell r="N6382">
            <v>4073802.7780411378</v>
          </cell>
          <cell r="O6382">
            <v>7.54</v>
          </cell>
          <cell r="P6382">
            <v>0</v>
          </cell>
          <cell r="Q6382">
            <v>7.54</v>
          </cell>
        </row>
        <row r="6383">
          <cell r="D6383" t="str">
            <v>88283-41-4</v>
          </cell>
          <cell r="E6383">
            <v>88283414</v>
          </cell>
          <cell r="F6383">
            <v>5110</v>
          </cell>
          <cell r="G6383" t="str">
            <v>Pest_404</v>
          </cell>
          <cell r="H6383">
            <v>6340</v>
          </cell>
          <cell r="J6383">
            <v>295.17</v>
          </cell>
          <cell r="K6383">
            <v>125.87</v>
          </cell>
          <cell r="L6383">
            <v>26.126800000000003</v>
          </cell>
          <cell r="M6383">
            <v>65.052999999999997</v>
          </cell>
          <cell r="N6383">
            <v>15848.931924611146</v>
          </cell>
          <cell r="O6383">
            <v>0</v>
          </cell>
          <cell r="P6383">
            <v>9.36</v>
          </cell>
          <cell r="Q6383">
            <v>0</v>
          </cell>
        </row>
        <row r="6384">
          <cell r="D6384" t="str">
            <v>91465-08-6</v>
          </cell>
          <cell r="E6384">
            <v>91465086</v>
          </cell>
          <cell r="F6384">
            <v>5001</v>
          </cell>
          <cell r="G6384" t="str">
            <v>Pest_366</v>
          </cell>
          <cell r="H6384">
            <v>6341</v>
          </cell>
          <cell r="J6384">
            <v>449.86</v>
          </cell>
          <cell r="K6384">
            <v>68.66</v>
          </cell>
          <cell r="L6384">
            <v>8.491210000000001E-5</v>
          </cell>
          <cell r="M6384">
            <v>1.4355E-2</v>
          </cell>
          <cell r="N6384">
            <v>7079457.8438413814</v>
          </cell>
          <cell r="O6384">
            <v>0</v>
          </cell>
          <cell r="P6384">
            <v>0</v>
          </cell>
          <cell r="Q6384">
            <v>0</v>
          </cell>
        </row>
        <row r="6385">
          <cell r="D6385" t="str">
            <v>886-50-0</v>
          </cell>
          <cell r="E6385">
            <v>886500</v>
          </cell>
          <cell r="F6385">
            <v>104</v>
          </cell>
          <cell r="G6385" t="str">
            <v>Pest_260</v>
          </cell>
          <cell r="H6385">
            <v>6342</v>
          </cell>
          <cell r="J6385">
            <v>241.37</v>
          </cell>
          <cell r="K6385">
            <v>139.63999999999999</v>
          </cell>
          <cell r="L6385">
            <v>3.13255E-3</v>
          </cell>
          <cell r="M6385">
            <v>15.673</v>
          </cell>
          <cell r="N6385">
            <v>5888.4365535558973</v>
          </cell>
          <cell r="O6385">
            <v>0</v>
          </cell>
          <cell r="P6385">
            <v>9.9</v>
          </cell>
          <cell r="Q6385">
            <v>0</v>
          </cell>
        </row>
        <row r="6386">
          <cell r="D6386" t="str">
            <v>82657-04-3</v>
          </cell>
          <cell r="E6386">
            <v>82657043</v>
          </cell>
          <cell r="F6386">
            <v>948</v>
          </cell>
          <cell r="G6386" t="str">
            <v>Pest_248</v>
          </cell>
          <cell r="H6386">
            <v>6343</v>
          </cell>
          <cell r="J6386">
            <v>422.87</v>
          </cell>
          <cell r="K6386">
            <v>167.36</v>
          </cell>
          <cell r="L6386">
            <v>5.2120300000000003E-5</v>
          </cell>
          <cell r="M6386">
            <v>7.0838999999999997E-3</v>
          </cell>
          <cell r="N6386">
            <v>141253754.46227598</v>
          </cell>
          <cell r="O6386">
            <v>0</v>
          </cell>
          <cell r="P6386">
            <v>0</v>
          </cell>
          <cell r="Q6386">
            <v>0</v>
          </cell>
        </row>
        <row r="6387">
          <cell r="D6387" t="str">
            <v>51630-58-1</v>
          </cell>
          <cell r="E6387">
            <v>51630581</v>
          </cell>
          <cell r="F6387">
            <v>1111</v>
          </cell>
          <cell r="G6387" t="str">
            <v>Pest_347</v>
          </cell>
          <cell r="H6387">
            <v>6344</v>
          </cell>
          <cell r="J6387">
            <v>419.91</v>
          </cell>
          <cell r="K6387">
            <v>83.72</v>
          </cell>
          <cell r="L6387">
            <v>5.5186200000000005E-6</v>
          </cell>
          <cell r="M6387">
            <v>3.6326000000000002E-4</v>
          </cell>
          <cell r="N6387">
            <v>5754399.373371576</v>
          </cell>
          <cell r="O6387">
            <v>0</v>
          </cell>
          <cell r="P6387">
            <v>0</v>
          </cell>
          <cell r="Q6387">
            <v>0</v>
          </cell>
        </row>
        <row r="6388">
          <cell r="D6388" t="str">
            <v>52645-53-1</v>
          </cell>
          <cell r="E6388">
            <v>52645531</v>
          </cell>
          <cell r="F6388">
            <v>676</v>
          </cell>
          <cell r="G6388" t="str">
            <v>Pest_182</v>
          </cell>
          <cell r="H6388">
            <v>6345</v>
          </cell>
          <cell r="J6388">
            <v>391.29</v>
          </cell>
          <cell r="K6388">
            <v>164.97</v>
          </cell>
          <cell r="L6388">
            <v>1.1010580000000001E-4</v>
          </cell>
          <cell r="M6388">
            <v>0.10252</v>
          </cell>
          <cell r="N6388">
            <v>26915348.03926916</v>
          </cell>
          <cell r="O6388">
            <v>0</v>
          </cell>
          <cell r="P6388">
            <v>0</v>
          </cell>
          <cell r="Q6388">
            <v>0</v>
          </cell>
        </row>
        <row r="6389">
          <cell r="D6389" t="str">
            <v>70124-77-5</v>
          </cell>
          <cell r="E6389">
            <v>70124775</v>
          </cell>
          <cell r="F6389">
            <v>811</v>
          </cell>
          <cell r="G6389" t="str">
            <v>Pest_223</v>
          </cell>
          <cell r="H6389">
            <v>6346</v>
          </cell>
          <cell r="J6389">
            <v>451.47</v>
          </cell>
          <cell r="K6389">
            <v>75.209999999999994</v>
          </cell>
          <cell r="L6389">
            <v>1.1397150000000001E-5</v>
          </cell>
          <cell r="M6389">
            <v>3.2598000000000002E-3</v>
          </cell>
          <cell r="N6389">
            <v>3630780.5477010179</v>
          </cell>
          <cell r="O6389">
            <v>0</v>
          </cell>
          <cell r="P6389">
            <v>0</v>
          </cell>
          <cell r="Q6389">
            <v>0</v>
          </cell>
        </row>
        <row r="6390">
          <cell r="D6390" t="str">
            <v>39515-41-8</v>
          </cell>
          <cell r="E6390">
            <v>39515418</v>
          </cell>
          <cell r="F6390">
            <v>624</v>
          </cell>
          <cell r="G6390" t="str">
            <v>Pest_168</v>
          </cell>
          <cell r="H6390">
            <v>6347</v>
          </cell>
          <cell r="J6390">
            <v>349.43</v>
          </cell>
          <cell r="K6390">
            <v>63.96</v>
          </cell>
          <cell r="L6390">
            <v>4.1722900000000003E-4</v>
          </cell>
          <cell r="M6390">
            <v>0.57274999999999998</v>
          </cell>
          <cell r="N6390">
            <v>416869.38347033598</v>
          </cell>
          <cell r="O6390">
            <v>0</v>
          </cell>
          <cell r="P6390">
            <v>0</v>
          </cell>
          <cell r="Q6390">
            <v>0</v>
          </cell>
        </row>
        <row r="6391">
          <cell r="D6391" t="str">
            <v>66841-25-6</v>
          </cell>
          <cell r="E6391">
            <v>66841256</v>
          </cell>
          <cell r="F6391">
            <v>5167</v>
          </cell>
          <cell r="G6391" t="str">
            <v>Pest_427</v>
          </cell>
          <cell r="H6391">
            <v>6348</v>
          </cell>
          <cell r="J6391">
            <v>665.04</v>
          </cell>
          <cell r="K6391">
            <v>215.54</v>
          </cell>
          <cell r="L6391">
            <v>1.4663E-8</v>
          </cell>
          <cell r="M6391">
            <v>7.4800000000000002E-5</v>
          </cell>
          <cell r="N6391">
            <v>36307805.47701022</v>
          </cell>
          <cell r="O6391">
            <v>0</v>
          </cell>
          <cell r="P6391">
            <v>0</v>
          </cell>
          <cell r="Q6391">
            <v>0</v>
          </cell>
        </row>
        <row r="6392">
          <cell r="D6392" t="str">
            <v>79538-32-2</v>
          </cell>
          <cell r="E6392">
            <v>79538322</v>
          </cell>
          <cell r="F6392">
            <v>922</v>
          </cell>
          <cell r="G6392" t="str">
            <v>Pest_239</v>
          </cell>
          <cell r="H6392">
            <v>6349</v>
          </cell>
          <cell r="J6392">
            <v>418.74</v>
          </cell>
          <cell r="K6392">
            <v>105.7</v>
          </cell>
          <cell r="L6392">
            <v>3.9856700000000002E-2</v>
          </cell>
          <cell r="M6392">
            <v>3.4474999999999999E-2</v>
          </cell>
          <cell r="N6392">
            <v>15488166.189124851</v>
          </cell>
          <cell r="O6392">
            <v>0</v>
          </cell>
          <cell r="P6392">
            <v>0</v>
          </cell>
          <cell r="Q6392">
            <v>0</v>
          </cell>
        </row>
        <row r="6393">
          <cell r="D6393" t="str">
            <v>66230-04-4</v>
          </cell>
          <cell r="E6393">
            <v>66230044</v>
          </cell>
          <cell r="F6393">
            <v>786</v>
          </cell>
          <cell r="G6393" t="str">
            <v>Pest_212</v>
          </cell>
          <cell r="H6393">
            <v>6350</v>
          </cell>
          <cell r="J6393">
            <v>419.91</v>
          </cell>
          <cell r="K6393">
            <v>83.72</v>
          </cell>
          <cell r="L6393">
            <v>5.5186200000000005E-6</v>
          </cell>
          <cell r="M6393">
            <v>3.6326000000000002E-4</v>
          </cell>
          <cell r="N6393">
            <v>5754399.373371576</v>
          </cell>
          <cell r="O6393">
            <v>0</v>
          </cell>
          <cell r="P6393">
            <v>0</v>
          </cell>
          <cell r="Q6393">
            <v>0</v>
          </cell>
        </row>
        <row r="6394">
          <cell r="D6394" t="str">
            <v>52918-63-5</v>
          </cell>
          <cell r="E6394">
            <v>52918635</v>
          </cell>
          <cell r="F6394">
            <v>679</v>
          </cell>
          <cell r="G6394" t="str">
            <v>Pest_185</v>
          </cell>
          <cell r="H6394">
            <v>6351</v>
          </cell>
          <cell r="J6394">
            <v>505.22</v>
          </cell>
          <cell r="K6394">
            <v>139.52000000000001</v>
          </cell>
          <cell r="L6394">
            <v>1.1557110000000001E-6</v>
          </cell>
          <cell r="M6394">
            <v>9.8276000000000006E-3</v>
          </cell>
          <cell r="N6394">
            <v>1513561.2484362102</v>
          </cell>
          <cell r="O6394">
            <v>0</v>
          </cell>
          <cell r="P6394">
            <v>0</v>
          </cell>
          <cell r="Q6394">
            <v>0</v>
          </cell>
        </row>
        <row r="6395">
          <cell r="D6395" t="str">
            <v>102851-06-9</v>
          </cell>
          <cell r="E6395">
            <v>102851069</v>
          </cell>
          <cell r="F6395">
            <v>157</v>
          </cell>
          <cell r="G6395" t="str">
            <v>Pest_10</v>
          </cell>
          <cell r="H6395">
            <v>6352</v>
          </cell>
          <cell r="J6395">
            <v>502.92</v>
          </cell>
          <cell r="K6395">
            <v>156.16999999999999</v>
          </cell>
          <cell r="L6395">
            <v>2.6926600000000002E-6</v>
          </cell>
          <cell r="M6395">
            <v>1.1123000000000001E-3</v>
          </cell>
          <cell r="N6395">
            <v>6456542.2903465591</v>
          </cell>
          <cell r="O6395">
            <v>0</v>
          </cell>
          <cell r="P6395">
            <v>0</v>
          </cell>
          <cell r="Q6395">
            <v>0</v>
          </cell>
        </row>
        <row r="6396">
          <cell r="D6396" t="str">
            <v>67375-30-8</v>
          </cell>
          <cell r="E6396">
            <v>67375308</v>
          </cell>
          <cell r="F6396">
            <v>1108</v>
          </cell>
          <cell r="G6396" t="str">
            <v>Pest_287</v>
          </cell>
          <cell r="H6396">
            <v>6353</v>
          </cell>
          <cell r="J6396">
            <v>416.31</v>
          </cell>
          <cell r="K6396">
            <v>82.07</v>
          </cell>
          <cell r="L6396">
            <v>1.7329000000000003E-5</v>
          </cell>
          <cell r="M6396">
            <v>5.9186000000000002E-2</v>
          </cell>
          <cell r="N6396">
            <v>2398832.9190194933</v>
          </cell>
          <cell r="O6396">
            <v>0</v>
          </cell>
          <cell r="P6396">
            <v>0</v>
          </cell>
          <cell r="Q6396">
            <v>0</v>
          </cell>
        </row>
        <row r="6397">
          <cell r="D6397" t="str">
            <v>10453-86-8</v>
          </cell>
          <cell r="E6397">
            <v>10453868</v>
          </cell>
          <cell r="F6397">
            <v>1114</v>
          </cell>
          <cell r="G6397" t="str">
            <v>Pest_410</v>
          </cell>
          <cell r="H6397">
            <v>6354</v>
          </cell>
          <cell r="J6397">
            <v>338.45</v>
          </cell>
          <cell r="K6397">
            <v>146.28</v>
          </cell>
          <cell r="L6397">
            <v>7.0782300000000011E-4</v>
          </cell>
          <cell r="M6397">
            <v>0.27928999999999998</v>
          </cell>
          <cell r="N6397">
            <v>12882495.516931379</v>
          </cell>
          <cell r="O6397">
            <v>0</v>
          </cell>
          <cell r="P6397">
            <v>0</v>
          </cell>
          <cell r="Q6397">
            <v>0</v>
          </cell>
        </row>
        <row r="6398">
          <cell r="D6398" t="str">
            <v>101007-06-1</v>
          </cell>
          <cell r="E6398">
            <v>101007061</v>
          </cell>
          <cell r="F6398">
            <v>4829</v>
          </cell>
          <cell r="G6398" t="str">
            <v>Pest_284</v>
          </cell>
          <cell r="H6398">
            <v>6355</v>
          </cell>
          <cell r="J6398">
            <v>541.45000000000005</v>
          </cell>
          <cell r="K6398">
            <v>2.91</v>
          </cell>
          <cell r="L6398">
            <v>1.7595600000000001E-5</v>
          </cell>
          <cell r="M6398">
            <v>1.2634E-3</v>
          </cell>
          <cell r="N6398">
            <v>5370317.9637025446</v>
          </cell>
          <cell r="O6398">
            <v>0</v>
          </cell>
          <cell r="P6398">
            <v>0</v>
          </cell>
          <cell r="Q6398">
            <v>0</v>
          </cell>
        </row>
        <row r="6399">
          <cell r="D6399" t="str">
            <v>28434-01-7</v>
          </cell>
          <cell r="E6399">
            <v>28434017</v>
          </cell>
          <cell r="F6399">
            <v>581</v>
          </cell>
          <cell r="G6399" t="str">
            <v>Pest_139</v>
          </cell>
          <cell r="H6399">
            <v>6356</v>
          </cell>
          <cell r="J6399">
            <v>338.45</v>
          </cell>
          <cell r="K6399">
            <v>146.28</v>
          </cell>
          <cell r="L6399">
            <v>7.0782300000000011E-4</v>
          </cell>
          <cell r="M6399">
            <v>0.27928999999999998</v>
          </cell>
          <cell r="N6399">
            <v>12882495.516931379</v>
          </cell>
          <cell r="O6399">
            <v>0</v>
          </cell>
          <cell r="P6399">
            <v>0</v>
          </cell>
          <cell r="Q6399">
            <v>0</v>
          </cell>
        </row>
        <row r="6400">
          <cell r="D6400" t="str">
            <v>161050-58-4</v>
          </cell>
          <cell r="E6400">
            <v>161050584</v>
          </cell>
          <cell r="F6400">
            <v>5021</v>
          </cell>
          <cell r="G6400" t="str">
            <v>Pest_376</v>
          </cell>
          <cell r="H6400">
            <v>6357</v>
          </cell>
          <cell r="J6400">
            <v>368.48</v>
          </cell>
          <cell r="K6400">
            <v>230.86</v>
          </cell>
          <cell r="L6400">
            <v>4.6655000000000005E-9</v>
          </cell>
          <cell r="M6400">
            <v>0.67139000000000004</v>
          </cell>
          <cell r="N6400">
            <v>3019.9517204020176</v>
          </cell>
          <cell r="O6400">
            <v>0</v>
          </cell>
          <cell r="P6400">
            <v>0</v>
          </cell>
          <cell r="Q6400">
            <v>0</v>
          </cell>
        </row>
        <row r="6401">
          <cell r="D6401" t="str">
            <v>112410-23-8</v>
          </cell>
          <cell r="E6401">
            <v>112410238</v>
          </cell>
          <cell r="F6401">
            <v>328</v>
          </cell>
          <cell r="G6401" t="str">
            <v>Pest_23</v>
          </cell>
          <cell r="H6401">
            <v>6358</v>
          </cell>
          <cell r="J6401">
            <v>352.48</v>
          </cell>
          <cell r="K6401">
            <v>225.23</v>
          </cell>
          <cell r="L6401">
            <v>1.3729900000000002E-8</v>
          </cell>
          <cell r="M6401">
            <v>0.32832</v>
          </cell>
          <cell r="N6401">
            <v>41686.938347033625</v>
          </cell>
          <cell r="O6401">
            <v>0</v>
          </cell>
          <cell r="P6401">
            <v>0</v>
          </cell>
          <cell r="Q6401">
            <v>0</v>
          </cell>
        </row>
        <row r="6402">
          <cell r="D6402" t="str">
            <v>5234-68-4</v>
          </cell>
          <cell r="E6402">
            <v>5234684</v>
          </cell>
          <cell r="F6402">
            <v>673</v>
          </cell>
          <cell r="G6402" t="str">
            <v>Pest_181</v>
          </cell>
          <cell r="H6402">
            <v>6359</v>
          </cell>
          <cell r="J6402">
            <v>235.31</v>
          </cell>
          <cell r="K6402">
            <v>165.94</v>
          </cell>
          <cell r="L6402">
            <v>1.6929099999999999E-4</v>
          </cell>
          <cell r="M6402">
            <v>492.54</v>
          </cell>
          <cell r="N6402">
            <v>30.902954325135919</v>
          </cell>
          <cell r="O6402">
            <v>15.1</v>
          </cell>
          <cell r="P6402">
            <v>14</v>
          </cell>
          <cell r="Q6402">
            <v>0</v>
          </cell>
        </row>
        <row r="6403">
          <cell r="D6403" t="str">
            <v>834-12-8</v>
          </cell>
          <cell r="E6403">
            <v>834128</v>
          </cell>
          <cell r="F6403">
            <v>953</v>
          </cell>
          <cell r="G6403" t="str">
            <v>Reach_1562</v>
          </cell>
          <cell r="H6403">
            <v>6360</v>
          </cell>
          <cell r="J6403">
            <v>227.34</v>
          </cell>
          <cell r="K6403">
            <v>130.58000000000001</v>
          </cell>
          <cell r="L6403">
            <v>5.7319000000000007E-3</v>
          </cell>
          <cell r="M6403">
            <v>183.64</v>
          </cell>
          <cell r="N6403">
            <v>2089.2961308540398</v>
          </cell>
          <cell r="O6403">
            <v>0</v>
          </cell>
          <cell r="P6403">
            <v>10</v>
          </cell>
          <cell r="Q6403">
            <v>0</v>
          </cell>
        </row>
        <row r="6404">
          <cell r="D6404" t="str">
            <v>841-06-5</v>
          </cell>
          <cell r="E6404">
            <v>841065</v>
          </cell>
          <cell r="F6404">
            <v>959</v>
          </cell>
          <cell r="G6404" t="str">
            <v>Pest_254</v>
          </cell>
          <cell r="H6404">
            <v>6361</v>
          </cell>
          <cell r="J6404">
            <v>271.39</v>
          </cell>
          <cell r="K6404">
            <v>155.30000000000001</v>
          </cell>
          <cell r="L6404">
            <v>1.8262100000000003E-4</v>
          </cell>
          <cell r="M6404">
            <v>155.65</v>
          </cell>
          <cell r="N6404">
            <v>1096.4781961431863</v>
          </cell>
          <cell r="O6404">
            <v>0</v>
          </cell>
          <cell r="P6404">
            <v>10</v>
          </cell>
          <cell r="Q6404">
            <v>0</v>
          </cell>
        </row>
        <row r="6405">
          <cell r="D6405" t="str">
            <v>1014-69-3</v>
          </cell>
          <cell r="E6405">
            <v>1014693</v>
          </cell>
          <cell r="F6405">
            <v>149</v>
          </cell>
          <cell r="G6405" t="str">
            <v>Pest_8</v>
          </cell>
          <cell r="H6405">
            <v>6362</v>
          </cell>
          <cell r="J6405">
            <v>213.31</v>
          </cell>
          <cell r="K6405">
            <v>122.6</v>
          </cell>
          <cell r="L6405">
            <v>6.1451300000000013E-3</v>
          </cell>
          <cell r="M6405">
            <v>114.35</v>
          </cell>
          <cell r="N6405">
            <v>660.69344800759643</v>
          </cell>
          <cell r="O6405">
            <v>0</v>
          </cell>
          <cell r="P6405">
            <v>10</v>
          </cell>
          <cell r="Q6405">
            <v>0</v>
          </cell>
        </row>
        <row r="6406">
          <cell r="D6406" t="str">
            <v>123312-89-0</v>
          </cell>
          <cell r="E6406">
            <v>123312890</v>
          </cell>
          <cell r="F6406">
            <v>387</v>
          </cell>
          <cell r="G6406" t="str">
            <v>Pest_46</v>
          </cell>
          <cell r="H6406">
            <v>6363</v>
          </cell>
          <cell r="J6406">
            <v>217.24</v>
          </cell>
          <cell r="K6406">
            <v>178.72</v>
          </cell>
          <cell r="L6406">
            <v>1.8395400000000002E-6</v>
          </cell>
          <cell r="M6406">
            <v>8242.9</v>
          </cell>
          <cell r="N6406">
            <v>7.7624711662869199</v>
          </cell>
          <cell r="O6406">
            <v>0</v>
          </cell>
          <cell r="P6406">
            <v>10</v>
          </cell>
          <cell r="Q6406">
            <v>0</v>
          </cell>
        </row>
        <row r="6407">
          <cell r="D6407" t="str">
            <v>95266-40-3</v>
          </cell>
          <cell r="E6407">
            <v>95266403</v>
          </cell>
          <cell r="F6407">
            <v>1026</v>
          </cell>
          <cell r="G6407" t="str">
            <v>Pest_269</v>
          </cell>
          <cell r="H6407">
            <v>6364</v>
          </cell>
          <cell r="J6407">
            <v>252.27</v>
          </cell>
          <cell r="K6407">
            <v>147.05000000000001</v>
          </cell>
          <cell r="L6407">
            <v>1.6795799999999999E-5</v>
          </cell>
          <cell r="M6407">
            <v>480.34</v>
          </cell>
          <cell r="N6407">
            <v>4.2657951880159271</v>
          </cell>
          <cell r="O6407">
            <v>4.83</v>
          </cell>
          <cell r="P6407">
            <v>0</v>
          </cell>
          <cell r="Q6407">
            <v>4.83</v>
          </cell>
        </row>
        <row r="6408">
          <cell r="D6408" t="str">
            <v>120928-09-8</v>
          </cell>
          <cell r="E6408">
            <v>120928098</v>
          </cell>
          <cell r="F6408">
            <v>366</v>
          </cell>
          <cell r="G6408" t="str">
            <v>Pest_39</v>
          </cell>
          <cell r="H6408">
            <v>6365</v>
          </cell>
          <cell r="J6408">
            <v>306.41000000000003</v>
          </cell>
          <cell r="K6408">
            <v>170.49</v>
          </cell>
          <cell r="L6408">
            <v>9.690910000000001E-5</v>
          </cell>
          <cell r="M6408">
            <v>0.35926000000000002</v>
          </cell>
          <cell r="N6408">
            <v>575439.93733715697</v>
          </cell>
          <cell r="O6408">
            <v>0</v>
          </cell>
          <cell r="P6408">
            <v>11</v>
          </cell>
          <cell r="Q6408">
            <v>0</v>
          </cell>
        </row>
        <row r="6409">
          <cell r="D6409" t="str">
            <v>96489-71-3</v>
          </cell>
          <cell r="E6409">
            <v>96489713</v>
          </cell>
          <cell r="F6409">
            <v>1055</v>
          </cell>
          <cell r="G6409" t="str">
            <v>Pest_271</v>
          </cell>
          <cell r="H6409">
            <v>6366</v>
          </cell>
          <cell r="J6409">
            <v>364.94</v>
          </cell>
          <cell r="K6409">
            <v>196.23</v>
          </cell>
          <cell r="L6409">
            <v>3.9056900000000007E-6</v>
          </cell>
          <cell r="M6409">
            <v>8.4727999999999998E-2</v>
          </cell>
          <cell r="N6409">
            <v>295120.92266663886</v>
          </cell>
          <cell r="O6409">
            <v>0</v>
          </cell>
          <cell r="P6409">
            <v>0</v>
          </cell>
          <cell r="Q6409">
            <v>0</v>
          </cell>
        </row>
        <row r="6410">
          <cell r="D6410" t="str">
            <v>29104-30-1</v>
          </cell>
          <cell r="E6410" t="str">
            <v>29104301</v>
          </cell>
          <cell r="F6410">
            <v>4847</v>
          </cell>
          <cell r="G6410" t="str">
            <v>Pest_291</v>
          </cell>
          <cell r="H6410">
            <v>6367</v>
          </cell>
          <cell r="J6410">
            <v>363.8</v>
          </cell>
          <cell r="K6410">
            <v>163.29</v>
          </cell>
          <cell r="L6410">
            <v>5.4386400000000005E-5</v>
          </cell>
          <cell r="M6410">
            <v>0.88085999999999998</v>
          </cell>
          <cell r="N6410">
            <v>15848.931924611146</v>
          </cell>
          <cell r="O6410">
            <v>0</v>
          </cell>
          <cell r="P6410">
            <v>0</v>
          </cell>
          <cell r="Q6410">
            <v>0</v>
          </cell>
        </row>
        <row r="6411">
          <cell r="D6411" t="str">
            <v>18181-80-1</v>
          </cell>
          <cell r="E6411">
            <v>18181801</v>
          </cell>
          <cell r="F6411">
            <v>4865</v>
          </cell>
          <cell r="G6411" t="str">
            <v>Pest_295</v>
          </cell>
          <cell r="H6411">
            <v>6368</v>
          </cell>
          <cell r="J6411">
            <v>428.13</v>
          </cell>
          <cell r="K6411">
            <v>170.09</v>
          </cell>
          <cell r="L6411">
            <v>9.0110800000000005E-7</v>
          </cell>
          <cell r="M6411">
            <v>0.54195000000000004</v>
          </cell>
          <cell r="N6411">
            <v>79432.823472428237</v>
          </cell>
          <cell r="O6411">
            <v>9.9</v>
          </cell>
          <cell r="P6411">
            <v>0</v>
          </cell>
          <cell r="Q6411">
            <v>9.9</v>
          </cell>
        </row>
        <row r="6412">
          <cell r="D6412" t="str">
            <v>122453-73-0</v>
          </cell>
          <cell r="E6412">
            <v>122453730</v>
          </cell>
          <cell r="F6412">
            <v>380</v>
          </cell>
          <cell r="G6412" t="str">
            <v>Pest_44</v>
          </cell>
          <cell r="H6412">
            <v>6369</v>
          </cell>
          <cell r="J6412">
            <v>407.63</v>
          </cell>
          <cell r="K6412">
            <v>171.75</v>
          </cell>
          <cell r="L6412">
            <v>5.9585100000000007E-5</v>
          </cell>
          <cell r="M6412">
            <v>1.3896E-2</v>
          </cell>
          <cell r="N6412">
            <v>323593.65692962846</v>
          </cell>
          <cell r="O6412">
            <v>0</v>
          </cell>
          <cell r="P6412">
            <v>0</v>
          </cell>
          <cell r="Q6412">
            <v>0</v>
          </cell>
        </row>
        <row r="6413">
          <cell r="D6413" t="str">
            <v>80-33-1</v>
          </cell>
          <cell r="E6413">
            <v>80331</v>
          </cell>
          <cell r="F6413">
            <v>935</v>
          </cell>
          <cell r="G6413" t="str">
            <v>Pest_243</v>
          </cell>
          <cell r="H6413">
            <v>6370</v>
          </cell>
          <cell r="J6413">
            <v>303.16000000000003</v>
          </cell>
          <cell r="K6413">
            <v>149.35</v>
          </cell>
          <cell r="L6413">
            <v>2.5060400000000003E-4</v>
          </cell>
          <cell r="M6413">
            <v>5.0172999999999996</v>
          </cell>
          <cell r="N6413">
            <v>16218.100973589309</v>
          </cell>
          <cell r="O6413">
            <v>0</v>
          </cell>
          <cell r="P6413">
            <v>0</v>
          </cell>
          <cell r="Q6413">
            <v>0</v>
          </cell>
        </row>
        <row r="6414">
          <cell r="D6414" t="str">
            <v>113136-77-9</v>
          </cell>
          <cell r="E6414">
            <v>113136779</v>
          </cell>
          <cell r="F6414">
            <v>334</v>
          </cell>
          <cell r="G6414" t="str">
            <v>Pest_24</v>
          </cell>
          <cell r="H6414">
            <v>6371</v>
          </cell>
          <cell r="J6414">
            <v>274.10000000000002</v>
          </cell>
          <cell r="K6414">
            <v>186.83</v>
          </cell>
          <cell r="L6414">
            <v>1.7862200000000001E-6</v>
          </cell>
          <cell r="M6414">
            <v>48.399000000000001</v>
          </cell>
          <cell r="N6414">
            <v>69.183097091893657</v>
          </cell>
          <cell r="O6414">
            <v>3.38</v>
          </cell>
          <cell r="P6414">
            <v>0</v>
          </cell>
          <cell r="Q6414">
            <v>3.38</v>
          </cell>
        </row>
        <row r="6415">
          <cell r="D6415" t="str">
            <v>81335-37-7</v>
          </cell>
          <cell r="E6415">
            <v>81335377</v>
          </cell>
          <cell r="F6415">
            <v>4977</v>
          </cell>
          <cell r="G6415" t="str">
            <v>Pest_363</v>
          </cell>
          <cell r="H6415">
            <v>6372</v>
          </cell>
          <cell r="J6415">
            <v>311.33999999999997</v>
          </cell>
          <cell r="K6415">
            <v>263.64</v>
          </cell>
          <cell r="L6415">
            <v>4.5188700000000007E-11</v>
          </cell>
          <cell r="M6415">
            <v>4.3868999999999998</v>
          </cell>
          <cell r="N6415">
            <v>794.32823472428208</v>
          </cell>
          <cell r="O6415">
            <v>1.78</v>
          </cell>
          <cell r="P6415">
            <v>9.99</v>
          </cell>
          <cell r="Q6415">
            <v>1.78</v>
          </cell>
        </row>
        <row r="6416">
          <cell r="D6416" t="str">
            <v>824-39-5</v>
          </cell>
          <cell r="E6416">
            <v>824395</v>
          </cell>
          <cell r="F6416">
            <v>6326</v>
          </cell>
          <cell r="G6416" t="str">
            <v>Pest_413</v>
          </cell>
          <cell r="H6416">
            <v>6373</v>
          </cell>
          <cell r="J6416">
            <v>161.09</v>
          </cell>
          <cell r="K6416">
            <v>0</v>
          </cell>
          <cell r="L6416">
            <v>0</v>
          </cell>
          <cell r="M6416">
            <v>0</v>
          </cell>
          <cell r="N6416">
            <v>0</v>
          </cell>
          <cell r="O6416">
            <v>0</v>
          </cell>
          <cell r="P6416">
            <v>0</v>
          </cell>
          <cell r="Q6416">
            <v>0</v>
          </cell>
        </row>
        <row r="6417">
          <cell r="D6417" t="str">
            <v>67233-85-6</v>
          </cell>
          <cell r="E6417">
            <v>67233856</v>
          </cell>
          <cell r="F6417">
            <v>6324</v>
          </cell>
          <cell r="G6417" t="str">
            <v>Pest_412</v>
          </cell>
          <cell r="H6417">
            <v>6374</v>
          </cell>
          <cell r="J6417">
            <v>191.12</v>
          </cell>
          <cell r="K6417">
            <v>0</v>
          </cell>
          <cell r="L6417">
            <v>0</v>
          </cell>
          <cell r="M6417">
            <v>0</v>
          </cell>
          <cell r="N6417">
            <v>0</v>
          </cell>
          <cell r="O6417">
            <v>0</v>
          </cell>
          <cell r="P6417">
            <v>0</v>
          </cell>
          <cell r="Q6417">
            <v>0</v>
          </cell>
        </row>
        <row r="6418">
          <cell r="D6418" t="str">
            <v>15302-91-7</v>
          </cell>
          <cell r="E6418">
            <v>15302917</v>
          </cell>
          <cell r="F6418">
            <v>5017</v>
          </cell>
          <cell r="G6418" t="str">
            <v>Pest_372</v>
          </cell>
          <cell r="H6418">
            <v>6375</v>
          </cell>
          <cell r="J6418">
            <v>114.21</v>
          </cell>
          <cell r="K6418">
            <v>123.28</v>
          </cell>
          <cell r="L6418">
            <v>1.6795800000000002E-3</v>
          </cell>
          <cell r="M6418">
            <v>284000</v>
          </cell>
          <cell r="N6418">
            <v>0.15135612484362079</v>
          </cell>
          <cell r="O6418">
            <v>0</v>
          </cell>
          <cell r="P6418">
            <v>0</v>
          </cell>
          <cell r="Q6418">
            <v>0</v>
          </cell>
        </row>
        <row r="6419">
          <cell r="D6419" t="str">
            <v>16672-87-0</v>
          </cell>
          <cell r="E6419">
            <v>16672870</v>
          </cell>
          <cell r="F6419">
            <v>505</v>
          </cell>
          <cell r="G6419" t="str">
            <v>Pest_89</v>
          </cell>
          <cell r="H6419">
            <v>6376</v>
          </cell>
          <cell r="J6419">
            <v>144.49</v>
          </cell>
          <cell r="K6419">
            <v>34.64</v>
          </cell>
          <cell r="L6419">
            <v>2.11947E-3</v>
          </cell>
          <cell r="M6419">
            <v>195000</v>
          </cell>
          <cell r="N6419">
            <v>0.56234132519034907</v>
          </cell>
          <cell r="O6419">
            <v>2.0699999999999998</v>
          </cell>
          <cell r="P6419">
            <v>0</v>
          </cell>
          <cell r="Q6419">
            <v>2.0699999999999998</v>
          </cell>
        </row>
        <row r="6420">
          <cell r="D6420" t="str">
            <v>127277-53-6</v>
          </cell>
          <cell r="E6420">
            <v>127277536</v>
          </cell>
          <cell r="F6420">
            <v>6311</v>
          </cell>
          <cell r="G6420" t="str">
            <v>Pest_399</v>
          </cell>
          <cell r="H6420">
            <v>6377</v>
          </cell>
          <cell r="J6420">
            <v>462.47</v>
          </cell>
          <cell r="K6420">
            <v>0</v>
          </cell>
          <cell r="L6420">
            <v>0</v>
          </cell>
          <cell r="M6420">
            <v>0</v>
          </cell>
          <cell r="N6420">
            <v>0</v>
          </cell>
          <cell r="O6420">
            <v>0</v>
          </cell>
          <cell r="P6420">
            <v>0</v>
          </cell>
          <cell r="Q6420">
            <v>0</v>
          </cell>
        </row>
        <row r="6421">
          <cell r="D6421" t="str">
            <v>76738-62-0</v>
          </cell>
          <cell r="E6421">
            <v>76738620</v>
          </cell>
          <cell r="F6421">
            <v>5082</v>
          </cell>
          <cell r="G6421" t="str">
            <v>Pest_390</v>
          </cell>
          <cell r="H6421">
            <v>6378</v>
          </cell>
          <cell r="J6421">
            <v>293.8</v>
          </cell>
          <cell r="K6421">
            <v>150.11000000000001</v>
          </cell>
          <cell r="L6421">
            <v>2.2261100000000004E-6</v>
          </cell>
          <cell r="M6421">
            <v>38.764000000000003</v>
          </cell>
          <cell r="N6421">
            <v>2290.8676527677749</v>
          </cell>
          <cell r="O6421">
            <v>13.68</v>
          </cell>
          <cell r="P6421">
            <v>12.51</v>
          </cell>
          <cell r="Q6421">
            <v>1.4900000000000002</v>
          </cell>
        </row>
        <row r="6422">
          <cell r="D6422" t="str">
            <v>76608-88-3</v>
          </cell>
          <cell r="E6422">
            <v>76608883</v>
          </cell>
          <cell r="F6422">
            <v>5174</v>
          </cell>
          <cell r="G6422" t="str">
            <v>Pest_428</v>
          </cell>
          <cell r="H6422">
            <v>6379</v>
          </cell>
          <cell r="J6422">
            <v>263.39</v>
          </cell>
          <cell r="K6422">
            <v>134.24</v>
          </cell>
          <cell r="L6422">
            <v>1.9728400000000002E-5</v>
          </cell>
          <cell r="M6422">
            <v>127.83</v>
          </cell>
          <cell r="N6422">
            <v>4786.3009232263848</v>
          </cell>
          <cell r="O6422">
            <v>16</v>
          </cell>
          <cell r="P6422">
            <v>12.19</v>
          </cell>
          <cell r="Q6422">
            <v>1.8100000000000005</v>
          </cell>
        </row>
        <row r="6423">
          <cell r="D6423" t="str">
            <v>824-78-2</v>
          </cell>
          <cell r="E6423">
            <v>824782</v>
          </cell>
          <cell r="F6423">
            <v>6327</v>
          </cell>
          <cell r="G6423" t="str">
            <v>Pest_414</v>
          </cell>
          <cell r="H6423">
            <v>6380</v>
          </cell>
          <cell r="Q6423">
            <v>14</v>
          </cell>
        </row>
        <row r="6424">
          <cell r="D6424" t="str">
            <v>123-33-1</v>
          </cell>
          <cell r="E6424">
            <v>123331</v>
          </cell>
          <cell r="F6424">
            <v>389</v>
          </cell>
          <cell r="G6424" t="str">
            <v>Pest_47</v>
          </cell>
          <cell r="H6424">
            <v>6381</v>
          </cell>
          <cell r="J6424">
            <v>112.09</v>
          </cell>
          <cell r="K6424">
            <v>149.71</v>
          </cell>
          <cell r="L6424">
            <v>4.9054399999999999E-6</v>
          </cell>
          <cell r="M6424">
            <v>196000</v>
          </cell>
          <cell r="N6424">
            <v>0.12882495516931336</v>
          </cell>
          <cell r="O6424">
            <v>5.7</v>
          </cell>
          <cell r="P6424">
            <v>0</v>
          </cell>
          <cell r="Q6424">
            <v>5.7</v>
          </cell>
        </row>
        <row r="6425">
          <cell r="D6425" t="str">
            <v>122-88-3</v>
          </cell>
          <cell r="E6425">
            <v>122883</v>
          </cell>
          <cell r="F6425">
            <v>4795</v>
          </cell>
          <cell r="G6425" t="str">
            <v>Pest_280</v>
          </cell>
          <cell r="H6425">
            <v>6382</v>
          </cell>
          <cell r="J6425">
            <v>186.59</v>
          </cell>
          <cell r="K6425">
            <v>89</v>
          </cell>
          <cell r="L6425">
            <v>6.505040000000001E-3</v>
          </cell>
          <cell r="M6425">
            <v>2204.9</v>
          </cell>
          <cell r="N6425">
            <v>93.325430079699174</v>
          </cell>
          <cell r="O6425">
            <v>3.05</v>
          </cell>
          <cell r="P6425">
            <v>0</v>
          </cell>
          <cell r="Q6425">
            <v>3.05</v>
          </cell>
        </row>
        <row r="6426">
          <cell r="D6426" t="str">
            <v>420-04-2</v>
          </cell>
          <cell r="E6426">
            <v>420042</v>
          </cell>
          <cell r="F6426">
            <v>636</v>
          </cell>
          <cell r="G6426" t="str">
            <v>Reach_1268</v>
          </cell>
          <cell r="H6426">
            <v>6383</v>
          </cell>
          <cell r="J6426">
            <v>42.042999999999999</v>
          </cell>
          <cell r="K6426">
            <v>-36.07</v>
          </cell>
          <cell r="L6426">
            <v>1866.2000000000003</v>
          </cell>
          <cell r="M6426">
            <v>248000</v>
          </cell>
          <cell r="N6426">
            <v>0.15488166189124808</v>
          </cell>
          <cell r="O6426">
            <v>0</v>
          </cell>
          <cell r="P6426">
            <v>13</v>
          </cell>
          <cell r="Q6426">
            <v>0</v>
          </cell>
        </row>
        <row r="6427">
          <cell r="D6427" t="str">
            <v>119168-77-3</v>
          </cell>
          <cell r="E6427">
            <v>119168773</v>
          </cell>
          <cell r="F6427">
            <v>350</v>
          </cell>
          <cell r="G6427" t="str">
            <v>Pest_34</v>
          </cell>
          <cell r="H6427">
            <v>6384</v>
          </cell>
          <cell r="J6427">
            <v>333.87</v>
          </cell>
          <cell r="K6427">
            <v>200.71</v>
          </cell>
          <cell r="L6427">
            <v>7.318170000000001E-6</v>
          </cell>
          <cell r="M6427">
            <v>0.82435000000000003</v>
          </cell>
          <cell r="N6427">
            <v>575439.93733715697</v>
          </cell>
          <cell r="O6427">
            <v>13.42</v>
          </cell>
          <cell r="P6427">
            <v>15</v>
          </cell>
          <cell r="Q6427">
            <v>-1</v>
          </cell>
        </row>
        <row r="6428">
          <cell r="D6428" t="str">
            <v>120068-37-3</v>
          </cell>
          <cell r="E6428">
            <v>120068373</v>
          </cell>
          <cell r="F6428">
            <v>11</v>
          </cell>
          <cell r="G6428" t="str">
            <v>Pest_37</v>
          </cell>
          <cell r="H6428">
            <v>6385</v>
          </cell>
          <cell r="J6428">
            <v>437.15</v>
          </cell>
          <cell r="K6428">
            <v>208.66</v>
          </cell>
          <cell r="L6428">
            <v>5.0653999999999999E-10</v>
          </cell>
          <cell r="M6428">
            <v>1.7729999999999999E-2</v>
          </cell>
          <cell r="N6428">
            <v>13182.567385564091</v>
          </cell>
          <cell r="O6428">
            <v>0</v>
          </cell>
          <cell r="P6428">
            <v>0</v>
          </cell>
          <cell r="Q6428">
            <v>0</v>
          </cell>
        </row>
        <row r="6429">
          <cell r="D6429" t="str">
            <v>134098-61-6</v>
          </cell>
          <cell r="E6429">
            <v>134098616</v>
          </cell>
          <cell r="F6429">
            <v>429</v>
          </cell>
          <cell r="G6429" t="str">
            <v>Pest_61</v>
          </cell>
          <cell r="H6429">
            <v>6386</v>
          </cell>
          <cell r="J6429">
            <v>421.5</v>
          </cell>
          <cell r="K6429">
            <v>217.66</v>
          </cell>
          <cell r="L6429">
            <v>3.4524700000000002E-7</v>
          </cell>
          <cell r="M6429">
            <v>3.5992999999999997E-2</v>
          </cell>
          <cell r="N6429">
            <v>371535.2290971732</v>
          </cell>
          <cell r="O6429">
            <v>0</v>
          </cell>
          <cell r="P6429">
            <v>12</v>
          </cell>
          <cell r="Q6429">
            <v>0</v>
          </cell>
        </row>
        <row r="6430">
          <cell r="D6430" t="str">
            <v>131341-86-1</v>
          </cell>
          <cell r="E6430">
            <v>131341861</v>
          </cell>
          <cell r="F6430">
            <v>420</v>
          </cell>
          <cell r="G6430" t="str">
            <v>Pest_53</v>
          </cell>
          <cell r="H6430">
            <v>6387</v>
          </cell>
          <cell r="J6430">
            <v>248.19</v>
          </cell>
          <cell r="K6430">
            <v>143.41</v>
          </cell>
          <cell r="L6430">
            <v>4.1856200000000001E-5</v>
          </cell>
          <cell r="M6430">
            <v>13.595000000000001</v>
          </cell>
          <cell r="N6430">
            <v>6760.8297539198229</v>
          </cell>
          <cell r="O6430">
            <v>14.92</v>
          </cell>
          <cell r="P6430">
            <v>0</v>
          </cell>
          <cell r="Q6430">
            <v>14</v>
          </cell>
        </row>
        <row r="6431">
          <cell r="D6431" t="str">
            <v>78587-05-0</v>
          </cell>
          <cell r="E6431">
            <v>78587050</v>
          </cell>
          <cell r="F6431">
            <v>4974</v>
          </cell>
          <cell r="G6431" t="str">
            <v>Pest_362</v>
          </cell>
          <cell r="H6431">
            <v>6388</v>
          </cell>
          <cell r="J6431">
            <v>352.89</v>
          </cell>
          <cell r="K6431">
            <v>230.58</v>
          </cell>
          <cell r="L6431">
            <v>5.8385400000000005E-8</v>
          </cell>
          <cell r="M6431">
            <v>2.8778000000000001</v>
          </cell>
          <cell r="N6431">
            <v>371535.2290971732</v>
          </cell>
          <cell r="O6431">
            <v>13.98</v>
          </cell>
          <cell r="P6431">
            <v>14.15</v>
          </cell>
          <cell r="Q6431">
            <v>-0.15000000000000036</v>
          </cell>
        </row>
        <row r="6432">
          <cell r="D6432" t="str">
            <v>953030-84-7</v>
          </cell>
          <cell r="E6432">
            <v>953030847</v>
          </cell>
          <cell r="F6432">
            <v>4866</v>
          </cell>
          <cell r="G6432" t="str">
            <v>Pest_296</v>
          </cell>
          <cell r="H6432">
            <v>6389</v>
          </cell>
          <cell r="J6432">
            <v>305.45</v>
          </cell>
          <cell r="K6432">
            <v>151.81</v>
          </cell>
          <cell r="L6432">
            <v>1.1263850000000001E-4</v>
          </cell>
          <cell r="M6432">
            <v>0.20716999999999999</v>
          </cell>
          <cell r="N6432">
            <v>19952.623149688792</v>
          </cell>
          <cell r="O6432">
            <v>0</v>
          </cell>
          <cell r="P6432">
            <v>12.2</v>
          </cell>
          <cell r="Q6432">
            <v>0</v>
          </cell>
        </row>
        <row r="6433">
          <cell r="D6433" t="str">
            <v>113036-88-7</v>
          </cell>
          <cell r="E6433">
            <v>113036887</v>
          </cell>
          <cell r="F6433">
            <v>4955</v>
          </cell>
          <cell r="G6433" t="str">
            <v>Pest_352</v>
          </cell>
          <cell r="H6433">
            <v>6390</v>
          </cell>
          <cell r="J6433">
            <v>483.9</v>
          </cell>
          <cell r="K6433">
            <v>291.77999999999997</v>
          </cell>
          <cell r="L6433">
            <v>9.1310500000000004E-12</v>
          </cell>
          <cell r="M6433">
            <v>3.0509999999999999E-4</v>
          </cell>
          <cell r="N6433">
            <v>3162277.6601683851</v>
          </cell>
          <cell r="O6433">
            <v>8.58</v>
          </cell>
          <cell r="P6433">
            <v>0</v>
          </cell>
          <cell r="Q6433">
            <v>8.58</v>
          </cell>
        </row>
        <row r="6434">
          <cell r="D6434" t="str">
            <v>66215-27-8</v>
          </cell>
          <cell r="E6434">
            <v>66215278</v>
          </cell>
          <cell r="F6434">
            <v>4881</v>
          </cell>
          <cell r="G6434" t="str">
            <v>Pest_318</v>
          </cell>
          <cell r="H6434">
            <v>6391</v>
          </cell>
          <cell r="J6434">
            <v>166.19</v>
          </cell>
          <cell r="K6434">
            <v>140.86000000000001</v>
          </cell>
          <cell r="L6434">
            <v>1.54628E-4</v>
          </cell>
          <cell r="M6434">
            <v>78567</v>
          </cell>
          <cell r="N6434">
            <v>9.1201083935590983</v>
          </cell>
          <cell r="O6434">
            <v>0</v>
          </cell>
          <cell r="P6434">
            <v>8.6999999999999993</v>
          </cell>
          <cell r="Q6434">
            <v>0</v>
          </cell>
        </row>
        <row r="6435">
          <cell r="D6435" t="str">
            <v>37893-02-0</v>
          </cell>
          <cell r="E6435">
            <v>37893020</v>
          </cell>
          <cell r="F6435">
            <v>2810</v>
          </cell>
          <cell r="G6435" t="str">
            <v>Pest_164</v>
          </cell>
          <cell r="H6435">
            <v>6392</v>
          </cell>
          <cell r="J6435">
            <v>416.35</v>
          </cell>
          <cell r="K6435">
            <v>154.99</v>
          </cell>
          <cell r="L6435">
            <v>7.7447300000000013E-5</v>
          </cell>
          <cell r="M6435">
            <v>1.2212E-3</v>
          </cell>
          <cell r="N6435">
            <v>4570881.8961487599</v>
          </cell>
          <cell r="O6435">
            <v>0</v>
          </cell>
          <cell r="P6435">
            <v>9.02</v>
          </cell>
          <cell r="Q6435">
            <v>0</v>
          </cell>
        </row>
        <row r="6436">
          <cell r="D6436" t="str">
            <v>153719-23-4</v>
          </cell>
          <cell r="E6436">
            <v>153719234</v>
          </cell>
          <cell r="F6436">
            <v>487</v>
          </cell>
          <cell r="G6436" t="str">
            <v>Pest_81</v>
          </cell>
          <cell r="H6436">
            <v>6393</v>
          </cell>
          <cell r="J6436">
            <v>291.72000000000003</v>
          </cell>
          <cell r="K6436">
            <v>163.65</v>
          </cell>
          <cell r="L6436">
            <v>5.4386400000000005E-5</v>
          </cell>
          <cell r="M6436">
            <v>63.558999999999997</v>
          </cell>
          <cell r="N6436">
            <v>6.3095734448019343</v>
          </cell>
          <cell r="O6436">
            <v>0</v>
          </cell>
          <cell r="P6436">
            <v>12</v>
          </cell>
          <cell r="Q6436">
            <v>0</v>
          </cell>
        </row>
        <row r="6437">
          <cell r="D6437" t="str">
            <v>74738-17-3</v>
          </cell>
          <cell r="E6437">
            <v>74738173</v>
          </cell>
          <cell r="F6437">
            <v>4948</v>
          </cell>
          <cell r="G6437" t="str">
            <v>Pest_343</v>
          </cell>
          <cell r="H6437">
            <v>6394</v>
          </cell>
          <cell r="J6437">
            <v>237.09</v>
          </cell>
          <cell r="K6437">
            <v>139.13999999999999</v>
          </cell>
          <cell r="L6437">
            <v>1.8662E-4</v>
          </cell>
          <cell r="M6437">
            <v>12.375</v>
          </cell>
          <cell r="N6437">
            <v>3019.9517204020176</v>
          </cell>
          <cell r="O6437">
            <v>14.73</v>
          </cell>
          <cell r="P6437">
            <v>0</v>
          </cell>
          <cell r="Q6437">
            <v>14</v>
          </cell>
        </row>
        <row r="6438">
          <cell r="D6438" t="str">
            <v>135990-29-3</v>
          </cell>
          <cell r="E6438">
            <v>135990293</v>
          </cell>
          <cell r="F6438">
            <v>5179</v>
          </cell>
          <cell r="G6438" t="str">
            <v>Pest_432</v>
          </cell>
          <cell r="H6438">
            <v>6395</v>
          </cell>
          <cell r="J6438">
            <v>478.41</v>
          </cell>
          <cell r="K6438">
            <v>274.52999999999997</v>
          </cell>
          <cell r="L6438">
            <v>5.4519700000000011E-11</v>
          </cell>
          <cell r="M6438">
            <v>8.1264000000000003</v>
          </cell>
          <cell r="N6438">
            <v>1258.925411794168</v>
          </cell>
          <cell r="O6438">
            <v>2.0099999999999998</v>
          </cell>
          <cell r="P6438">
            <v>0</v>
          </cell>
          <cell r="Q6438">
            <v>2.0099999999999998</v>
          </cell>
        </row>
        <row r="6439">
          <cell r="D6439" t="str">
            <v>94125-34-5</v>
          </cell>
          <cell r="E6439">
            <v>94125345</v>
          </cell>
          <cell r="F6439">
            <v>1021</v>
          </cell>
          <cell r="G6439" t="str">
            <v>Pest_265</v>
          </cell>
          <cell r="H6439">
            <v>6396</v>
          </cell>
          <cell r="J6439">
            <v>419.39</v>
          </cell>
          <cell r="K6439">
            <v>230.76</v>
          </cell>
          <cell r="L6439">
            <v>1.7595600000000002E-8</v>
          </cell>
          <cell r="M6439">
            <v>0.50997999999999999</v>
          </cell>
          <cell r="N6439">
            <v>3630.7805477010188</v>
          </cell>
          <cell r="O6439">
            <v>3.9</v>
          </cell>
          <cell r="P6439">
            <v>0</v>
          </cell>
          <cell r="Q6439">
            <v>3.9</v>
          </cell>
        </row>
        <row r="6440">
          <cell r="D6440" t="str">
            <v>82097-50-5</v>
          </cell>
          <cell r="E6440">
            <v>82097505</v>
          </cell>
          <cell r="F6440">
            <v>944</v>
          </cell>
          <cell r="G6440" t="str">
            <v>Pest_245</v>
          </cell>
          <cell r="H6440">
            <v>6397</v>
          </cell>
          <cell r="J6440">
            <v>401.83</v>
          </cell>
          <cell r="K6440">
            <v>249.31</v>
          </cell>
          <cell r="L6440">
            <v>7.3714900000000008E-10</v>
          </cell>
          <cell r="M6440">
            <v>5.0986000000000002</v>
          </cell>
          <cell r="N6440">
            <v>275.42287033381683</v>
          </cell>
          <cell r="O6440">
            <v>4.59</v>
          </cell>
          <cell r="P6440">
            <v>0</v>
          </cell>
          <cell r="Q6440">
            <v>4.59</v>
          </cell>
        </row>
        <row r="6441">
          <cell r="D6441" t="str">
            <v>185119-76-0</v>
          </cell>
          <cell r="E6441">
            <v>185119760</v>
          </cell>
          <cell r="F6441">
            <v>4980</v>
          </cell>
          <cell r="G6441" t="str">
            <v>Pest_364</v>
          </cell>
          <cell r="H6441">
            <v>6398</v>
          </cell>
          <cell r="J6441">
            <v>493.24</v>
          </cell>
          <cell r="K6441">
            <v>279.69</v>
          </cell>
          <cell r="L6441">
            <v>1.078397E-12</v>
          </cell>
          <cell r="M6441">
            <v>1.9765999999999999</v>
          </cell>
          <cell r="N6441">
            <v>208.92961308540396</v>
          </cell>
          <cell r="O6441">
            <v>1.82</v>
          </cell>
          <cell r="P6441">
            <v>0</v>
          </cell>
          <cell r="Q6441">
            <v>1.82</v>
          </cell>
        </row>
        <row r="6442">
          <cell r="D6442" t="str">
            <v>150315-10-9</v>
          </cell>
          <cell r="E6442">
            <v>150315109</v>
          </cell>
          <cell r="F6442">
            <v>2009</v>
          </cell>
          <cell r="G6442" t="str">
            <v>Pest_79</v>
          </cell>
          <cell r="H6442">
            <v>6399</v>
          </cell>
          <cell r="J6442">
            <v>451.34</v>
          </cell>
          <cell r="K6442">
            <v>264.06</v>
          </cell>
          <cell r="L6442">
            <v>1.2810130000000001E-11</v>
          </cell>
          <cell r="M6442">
            <v>6.6886000000000001</v>
          </cell>
          <cell r="N6442">
            <v>4.1686938347033546</v>
          </cell>
          <cell r="O6442">
            <v>1.22</v>
          </cell>
          <cell r="P6442">
            <v>15.32</v>
          </cell>
          <cell r="Q6442">
            <v>-1.3200000000000003</v>
          </cell>
        </row>
        <row r="6443">
          <cell r="D6443" t="str">
            <v>113036-87-6</v>
          </cell>
          <cell r="E6443">
            <v>113036876</v>
          </cell>
          <cell r="F6443">
            <v>5103</v>
          </cell>
          <cell r="G6443" t="str">
            <v>Pest_397</v>
          </cell>
          <cell r="H6443">
            <v>6400</v>
          </cell>
          <cell r="J6443">
            <v>454.32</v>
          </cell>
          <cell r="K6443">
            <v>255.51</v>
          </cell>
          <cell r="L6443">
            <v>4.9054400000000001E-11</v>
          </cell>
          <cell r="M6443">
            <v>0.25614999999999999</v>
          </cell>
          <cell r="N6443">
            <v>36.307805477010156</v>
          </cell>
          <cell r="O6443">
            <v>2</v>
          </cell>
          <cell r="P6443">
            <v>0</v>
          </cell>
          <cell r="Q6443">
            <v>2</v>
          </cell>
        </row>
        <row r="6444">
          <cell r="D6444" t="str">
            <v>74223-64-6</v>
          </cell>
          <cell r="E6444">
            <v>74223646</v>
          </cell>
          <cell r="F6444">
            <v>836</v>
          </cell>
          <cell r="G6444" t="str">
            <v>Pest_234</v>
          </cell>
          <cell r="H6444">
            <v>6401</v>
          </cell>
          <cell r="J6444">
            <v>381.37</v>
          </cell>
          <cell r="K6444">
            <v>241.39</v>
          </cell>
          <cell r="L6444">
            <v>3.81238E-9</v>
          </cell>
          <cell r="M6444">
            <v>25.972000000000001</v>
          </cell>
          <cell r="N6444">
            <v>100</v>
          </cell>
          <cell r="O6444">
            <v>4.0599999999999996</v>
          </cell>
          <cell r="P6444">
            <v>0</v>
          </cell>
          <cell r="Q6444">
            <v>4.0599999999999996</v>
          </cell>
        </row>
        <row r="6445">
          <cell r="D6445" t="str">
            <v>122931-48-0</v>
          </cell>
          <cell r="E6445">
            <v>122931480</v>
          </cell>
          <cell r="F6445">
            <v>383</v>
          </cell>
          <cell r="G6445" t="str">
            <v>Pest_45</v>
          </cell>
          <cell r="H6445">
            <v>6402</v>
          </cell>
          <cell r="J6445">
            <v>431.45</v>
          </cell>
          <cell r="K6445">
            <v>273.19</v>
          </cell>
          <cell r="L6445">
            <v>4.3189199999999999E-11</v>
          </cell>
          <cell r="M6445">
            <v>2.3835999999999999</v>
          </cell>
          <cell r="N6445">
            <v>1.0715193052376064</v>
          </cell>
          <cell r="O6445">
            <v>3.98</v>
          </cell>
          <cell r="P6445">
            <v>13</v>
          </cell>
          <cell r="Q6445">
            <v>1</v>
          </cell>
        </row>
        <row r="6446">
          <cell r="D6446" t="str">
            <v>208465-21-8</v>
          </cell>
          <cell r="E6446">
            <v>208465218</v>
          </cell>
          <cell r="F6446">
            <v>5020</v>
          </cell>
          <cell r="G6446" t="str">
            <v>Pest_374</v>
          </cell>
          <cell r="H6446">
            <v>6403</v>
          </cell>
          <cell r="J6446">
            <v>503.51</v>
          </cell>
          <cell r="K6446">
            <v>303.85000000000002</v>
          </cell>
          <cell r="L6446">
            <v>2.2527700000000004E-14</v>
          </cell>
          <cell r="M6446">
            <v>11.768000000000001</v>
          </cell>
          <cell r="N6446">
            <v>6.3095734448019343</v>
          </cell>
          <cell r="O6446">
            <v>3.74</v>
          </cell>
          <cell r="P6446">
            <v>0</v>
          </cell>
          <cell r="Q6446">
            <v>3.74</v>
          </cell>
        </row>
        <row r="6447">
          <cell r="D6447" t="str">
            <v>120923-37-7</v>
          </cell>
          <cell r="E6447">
            <v>120923377</v>
          </cell>
          <cell r="F6447">
            <v>365</v>
          </cell>
          <cell r="G6447" t="str">
            <v>Pest_38</v>
          </cell>
          <cell r="H6447">
            <v>6404</v>
          </cell>
          <cell r="J6447">
            <v>369.38</v>
          </cell>
          <cell r="K6447">
            <v>236.61</v>
          </cell>
          <cell r="L6447">
            <v>7.0915600000000011E-9</v>
          </cell>
          <cell r="M6447">
            <v>834.47</v>
          </cell>
          <cell r="N6447">
            <v>5.1286138399136455E-2</v>
          </cell>
          <cell r="O6447">
            <v>3.9</v>
          </cell>
          <cell r="P6447">
            <v>12</v>
          </cell>
          <cell r="Q6447">
            <v>2</v>
          </cell>
        </row>
        <row r="6448">
          <cell r="D6448" t="str">
            <v>79277-27-3</v>
          </cell>
          <cell r="E6448">
            <v>79277273</v>
          </cell>
          <cell r="F6448">
            <v>918</v>
          </cell>
          <cell r="G6448" t="str">
            <v>Pest_238</v>
          </cell>
          <cell r="H6448">
            <v>6405</v>
          </cell>
          <cell r="J6448">
            <v>387.4</v>
          </cell>
          <cell r="K6448">
            <v>244.06</v>
          </cell>
          <cell r="L6448">
            <v>1.87953E-9</v>
          </cell>
          <cell r="M6448">
            <v>23.902999999999999</v>
          </cell>
          <cell r="N6448">
            <v>18.62087136662868</v>
          </cell>
          <cell r="O6448">
            <v>4.0599999999999996</v>
          </cell>
          <cell r="P6448">
            <v>0</v>
          </cell>
          <cell r="Q6448">
            <v>4.0599999999999996</v>
          </cell>
        </row>
        <row r="6449">
          <cell r="D6449" t="str">
            <v>173159-57-4</v>
          </cell>
          <cell r="E6449">
            <v>173159574</v>
          </cell>
          <cell r="F6449">
            <v>510</v>
          </cell>
          <cell r="G6449" t="str">
            <v>Pest_95</v>
          </cell>
          <cell r="H6449">
            <v>6406</v>
          </cell>
          <cell r="J6449">
            <v>452.45</v>
          </cell>
          <cell r="K6449">
            <v>314.58</v>
          </cell>
          <cell r="L6449">
            <v>3.9856700000000007E-15</v>
          </cell>
          <cell r="M6449">
            <v>975.74</v>
          </cell>
          <cell r="N6449">
            <v>0.15135612484362079</v>
          </cell>
          <cell r="O6449">
            <v>3.31</v>
          </cell>
          <cell r="P6449">
            <v>14</v>
          </cell>
          <cell r="Q6449">
            <v>0</v>
          </cell>
        </row>
        <row r="6450">
          <cell r="D6450" t="str">
            <v>111991-09-4</v>
          </cell>
          <cell r="E6450">
            <v>111991094</v>
          </cell>
          <cell r="F6450">
            <v>319</v>
          </cell>
          <cell r="G6450" t="str">
            <v>Pest_21</v>
          </cell>
          <cell r="H6450">
            <v>6407</v>
          </cell>
          <cell r="J6450">
            <v>410.42</v>
          </cell>
          <cell r="K6450">
            <v>266.24</v>
          </cell>
          <cell r="L6450">
            <v>2.6393400000000002E-10</v>
          </cell>
          <cell r="M6450">
            <v>1782.6</v>
          </cell>
          <cell r="N6450">
            <v>7.0794578438413788E-2</v>
          </cell>
          <cell r="O6450">
            <v>1.71</v>
          </cell>
          <cell r="P6450">
            <v>9</v>
          </cell>
          <cell r="Q6450">
            <v>1.71</v>
          </cell>
        </row>
        <row r="6451">
          <cell r="D6451" t="str">
            <v>104040-78-0</v>
          </cell>
          <cell r="E6451">
            <v>104040780</v>
          </cell>
          <cell r="F6451">
            <v>166</v>
          </cell>
          <cell r="G6451" t="str">
            <v>Pest_12</v>
          </cell>
          <cell r="H6451">
            <v>6408</v>
          </cell>
          <cell r="J6451">
            <v>407.33</v>
          </cell>
          <cell r="K6451">
            <v>225.55</v>
          </cell>
          <cell r="L6451">
            <v>1.7595600000000002E-8</v>
          </cell>
          <cell r="M6451">
            <v>7.4494999999999996</v>
          </cell>
          <cell r="N6451">
            <v>12.022644346174133</v>
          </cell>
          <cell r="O6451">
            <v>1.69</v>
          </cell>
          <cell r="P6451">
            <v>9</v>
          </cell>
          <cell r="Q6451">
            <v>1.69</v>
          </cell>
        </row>
        <row r="6452">
          <cell r="D6452" t="str">
            <v>83055-99-6</v>
          </cell>
          <cell r="E6452">
            <v>83055996</v>
          </cell>
          <cell r="F6452">
            <v>949</v>
          </cell>
          <cell r="G6452" t="str">
            <v>Pest_249</v>
          </cell>
          <cell r="H6452">
            <v>6409</v>
          </cell>
          <cell r="J6452">
            <v>410.41</v>
          </cell>
          <cell r="K6452">
            <v>249.9</v>
          </cell>
          <cell r="L6452">
            <v>6.6516700000000007E-10</v>
          </cell>
          <cell r="M6452">
            <v>8.3523999999999994</v>
          </cell>
          <cell r="N6452">
            <v>25.703957827688647</v>
          </cell>
          <cell r="O6452">
            <v>5.2</v>
          </cell>
          <cell r="P6452">
            <v>0</v>
          </cell>
          <cell r="Q6452">
            <v>5.2</v>
          </cell>
        </row>
        <row r="6453">
          <cell r="D6453" t="str">
            <v>64902-72-3</v>
          </cell>
          <cell r="E6453">
            <v>64902723</v>
          </cell>
          <cell r="F6453">
            <v>783</v>
          </cell>
          <cell r="G6453" t="str">
            <v>Pest_210</v>
          </cell>
          <cell r="H6453">
            <v>6410</v>
          </cell>
          <cell r="J6453">
            <v>357.78</v>
          </cell>
          <cell r="K6453">
            <v>227.06</v>
          </cell>
          <cell r="L6453">
            <v>1.62626E-8</v>
          </cell>
          <cell r="M6453">
            <v>7.8685999999999998</v>
          </cell>
          <cell r="N6453">
            <v>181.9700858609983</v>
          </cell>
          <cell r="O6453">
            <v>4.0599999999999996</v>
          </cell>
          <cell r="P6453">
            <v>0</v>
          </cell>
          <cell r="Q6453">
            <v>4.0599999999999996</v>
          </cell>
        </row>
        <row r="6454">
          <cell r="D6454" t="str">
            <v>141776-32-1</v>
          </cell>
          <cell r="E6454">
            <v>141776321</v>
          </cell>
          <cell r="F6454">
            <v>457</v>
          </cell>
          <cell r="G6454" t="str">
            <v>Pest_72</v>
          </cell>
          <cell r="H6454">
            <v>6411</v>
          </cell>
          <cell r="J6454">
            <v>470.49</v>
          </cell>
          <cell r="K6454">
            <v>317.7</v>
          </cell>
          <cell r="L6454">
            <v>6.5050400000000014E-14</v>
          </cell>
          <cell r="M6454">
            <v>0.73009999999999997</v>
          </cell>
          <cell r="N6454">
            <v>9.7723722095581103</v>
          </cell>
          <cell r="O6454">
            <v>3.81</v>
          </cell>
          <cell r="P6454">
            <v>15</v>
          </cell>
          <cell r="Q6454">
            <v>-1</v>
          </cell>
        </row>
        <row r="6455">
          <cell r="D6455" t="str">
            <v>101200-48-0</v>
          </cell>
          <cell r="E6455">
            <v>101200480</v>
          </cell>
          <cell r="F6455">
            <v>142</v>
          </cell>
          <cell r="G6455" t="str">
            <v>Pest_3</v>
          </cell>
          <cell r="H6455">
            <v>6412</v>
          </cell>
          <cell r="J6455">
            <v>395.4</v>
          </cell>
          <cell r="K6455">
            <v>246.31</v>
          </cell>
          <cell r="L6455">
            <v>3.5057900000000002E-9</v>
          </cell>
          <cell r="M6455">
            <v>9.0236000000000001</v>
          </cell>
          <cell r="N6455">
            <v>354.81338923357566</v>
          </cell>
          <cell r="O6455">
            <v>4.0599999999999996</v>
          </cell>
          <cell r="P6455">
            <v>0</v>
          </cell>
          <cell r="Q6455">
            <v>4.0599999999999996</v>
          </cell>
        </row>
        <row r="6456">
          <cell r="D6456" t="str">
            <v>126801-58-9</v>
          </cell>
          <cell r="E6456">
            <v>126801589</v>
          </cell>
          <cell r="F6456">
            <v>407</v>
          </cell>
          <cell r="G6456" t="str">
            <v>Pest_49</v>
          </cell>
          <cell r="H6456">
            <v>6413</v>
          </cell>
          <cell r="J6456">
            <v>398.4</v>
          </cell>
          <cell r="K6456">
            <v>243.52</v>
          </cell>
          <cell r="L6456">
            <v>4.5188700000000005E-9</v>
          </cell>
          <cell r="M6456">
            <v>5.3155000000000001</v>
          </cell>
          <cell r="N6456">
            <v>104.71285480508998</v>
          </cell>
          <cell r="O6456">
            <v>8.99</v>
          </cell>
          <cell r="P6456">
            <v>12</v>
          </cell>
          <cell r="Q6456">
            <v>2</v>
          </cell>
        </row>
        <row r="6457">
          <cell r="D6457" t="str">
            <v>80060-09-9</v>
          </cell>
          <cell r="E6457">
            <v>80060099</v>
          </cell>
          <cell r="F6457">
            <v>4893</v>
          </cell>
          <cell r="G6457" t="str">
            <v>Pest_320</v>
          </cell>
          <cell r="H6457">
            <v>6414</v>
          </cell>
          <cell r="J6457">
            <v>384.59</v>
          </cell>
          <cell r="K6457">
            <v>196.39</v>
          </cell>
          <cell r="L6457">
            <v>1.4263100000000001E-6</v>
          </cell>
          <cell r="M6457">
            <v>4.1758999999999998E-2</v>
          </cell>
          <cell r="N6457">
            <v>56234132.519034937</v>
          </cell>
          <cell r="O6457">
            <v>13</v>
          </cell>
          <cell r="P6457">
            <v>12.59</v>
          </cell>
          <cell r="Q6457">
            <v>1.4100000000000001</v>
          </cell>
        </row>
        <row r="6458">
          <cell r="D6458" t="str">
            <v>71751-41-2</v>
          </cell>
          <cell r="E6458">
            <v>71751412</v>
          </cell>
          <cell r="F6458">
            <v>1097</v>
          </cell>
          <cell r="G6458" t="str">
            <v>Pest_281</v>
          </cell>
          <cell r="H6458">
            <v>6415</v>
          </cell>
          <cell r="J6458">
            <v>873.09</v>
          </cell>
          <cell r="K6458">
            <v>349.84</v>
          </cell>
          <cell r="L6458">
            <v>1.3996500000000001E-28</v>
          </cell>
          <cell r="M6458">
            <v>3.3489000000000001E-4</v>
          </cell>
          <cell r="N6458">
            <v>24547.089156850321</v>
          </cell>
          <cell r="O6458">
            <v>12.75</v>
          </cell>
          <cell r="P6458">
            <v>0</v>
          </cell>
          <cell r="Q6458">
            <v>12.75</v>
          </cell>
        </row>
        <row r="6459">
          <cell r="D6459" t="str">
            <v>88805-35-0</v>
          </cell>
          <cell r="E6459">
            <v>88805350</v>
          </cell>
          <cell r="F6459">
            <v>5104</v>
          </cell>
          <cell r="G6459" t="str">
            <v>Pest_398</v>
          </cell>
          <cell r="H6459">
            <v>6416</v>
          </cell>
          <cell r="J6459">
            <v>212.2</v>
          </cell>
          <cell r="K6459">
            <v>142.06</v>
          </cell>
          <cell r="L6459">
            <v>2.3194200000000004E-4</v>
          </cell>
          <cell r="M6459">
            <v>193000</v>
          </cell>
          <cell r="N6459">
            <v>11.481536214968834</v>
          </cell>
          <cell r="O6459">
            <v>4.1900000000000004</v>
          </cell>
          <cell r="P6459">
            <v>0</v>
          </cell>
          <cell r="Q6459">
            <v>4.1900000000000004</v>
          </cell>
          <cell r="R6459">
            <v>3.5007433361613397E-6</v>
          </cell>
          <cell r="S6459">
            <v>3.5007433361613399E-7</v>
          </cell>
          <cell r="T6459">
            <v>1.1325934322874924E-6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8.bin"/><Relationship Id="rId7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Relationship Id="rId9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Relationship Id="rId9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4.bin"/><Relationship Id="rId13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29.bin"/><Relationship Id="rId7" Type="http://schemas.openxmlformats.org/officeDocument/2006/relationships/printerSettings" Target="../printerSettings/printerSettings33.bin"/><Relationship Id="rId12" Type="http://schemas.openxmlformats.org/officeDocument/2006/relationships/printerSettings" Target="../printerSettings/printerSettings38.bin"/><Relationship Id="rId17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28.bin"/><Relationship Id="rId16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11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1.bin"/><Relationship Id="rId15" Type="http://schemas.openxmlformats.org/officeDocument/2006/relationships/printerSettings" Target="../printerSettings/printerSettings41.bin"/><Relationship Id="rId10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0.bin"/><Relationship Id="rId9" Type="http://schemas.openxmlformats.org/officeDocument/2006/relationships/printerSettings" Target="../printerSettings/printerSettings35.bin"/><Relationship Id="rId1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29"/>
  <sheetViews>
    <sheetView topLeftCell="A7" zoomScaleNormal="100" workbookViewId="0">
      <selection activeCell="C20" sqref="C20"/>
    </sheetView>
  </sheetViews>
  <sheetFormatPr defaultColWidth="9.09765625" defaultRowHeight="12.75" customHeight="1" x14ac:dyDescent="0.3"/>
  <cols>
    <col min="1" max="1" width="3.59765625" style="2" customWidth="1"/>
    <col min="2" max="2" width="11.59765625" style="2" customWidth="1"/>
    <col min="3" max="3" width="12.59765625" style="2" bestFit="1" customWidth="1"/>
    <col min="4" max="15" width="11.59765625" style="2" customWidth="1"/>
    <col min="16" max="16384" width="9.09765625" style="2"/>
  </cols>
  <sheetData>
    <row r="2" spans="2:15" ht="12.75" customHeight="1" x14ac:dyDescent="0.35">
      <c r="B2" s="1" t="s">
        <v>2471</v>
      </c>
    </row>
    <row r="3" spans="2:15" ht="12.75" customHeight="1" x14ac:dyDescent="0.3">
      <c r="B3" s="664" t="str">
        <f>C27</f>
        <v>vs 4DIRECT</v>
      </c>
      <c r="C3" s="717" t="str">
        <f>B27</f>
        <v>7-10-2021</v>
      </c>
      <c r="E3" s="29"/>
      <c r="F3" s="3"/>
    </row>
    <row r="4" spans="2:15" ht="12.75" customHeight="1" x14ac:dyDescent="0.3">
      <c r="B4" s="258" t="s">
        <v>434</v>
      </c>
      <c r="C4" s="119"/>
    </row>
    <row r="5" spans="2:15" ht="12.75" customHeight="1" x14ac:dyDescent="0.3">
      <c r="B5" s="4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</row>
    <row r="6" spans="2:15" ht="12.75" customHeight="1" x14ac:dyDescent="0.3">
      <c r="B6" s="3" t="s">
        <v>1222</v>
      </c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5"/>
    </row>
    <row r="7" spans="2:15" ht="12.75" customHeight="1" x14ac:dyDescent="0.3">
      <c r="B7" s="118" t="s">
        <v>2575</v>
      </c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</row>
    <row r="8" spans="2:15" ht="12.75" customHeight="1" x14ac:dyDescent="0.3">
      <c r="B8" s="2" t="s">
        <v>2576</v>
      </c>
      <c r="O8" s="5"/>
    </row>
    <row r="9" spans="2:15" ht="12.75" customHeight="1" x14ac:dyDescent="0.3">
      <c r="B9" s="2" t="s">
        <v>2577</v>
      </c>
      <c r="O9" s="5"/>
    </row>
    <row r="10" spans="2:15" ht="12.75" customHeight="1" x14ac:dyDescent="0.3">
      <c r="B10" s="35" t="s">
        <v>2578</v>
      </c>
      <c r="D10" s="35"/>
      <c r="O10" s="5"/>
    </row>
    <row r="11" spans="2:15" ht="12.75" customHeight="1" x14ac:dyDescent="0.3">
      <c r="O11" s="5"/>
    </row>
    <row r="12" spans="2:15" ht="12.75" customHeight="1" x14ac:dyDescent="0.3">
      <c r="B12" s="3" t="s">
        <v>1243</v>
      </c>
      <c r="O12" s="5"/>
    </row>
    <row r="13" spans="2:15" ht="12.75" customHeight="1" x14ac:dyDescent="0.3">
      <c r="B13" s="38" t="s">
        <v>2487</v>
      </c>
      <c r="O13" s="5"/>
    </row>
    <row r="14" spans="2:15" ht="12.75" customHeight="1" x14ac:dyDescent="0.3">
      <c r="B14" s="38" t="s">
        <v>2488</v>
      </c>
      <c r="G14" s="257"/>
      <c r="H14" s="257"/>
      <c r="I14" s="257"/>
      <c r="J14" s="257"/>
      <c r="O14" s="5"/>
    </row>
    <row r="15" spans="2:15" ht="12.75" customHeight="1" x14ac:dyDescent="0.3">
      <c r="B15" s="38" t="s">
        <v>2489</v>
      </c>
      <c r="G15" s="257"/>
      <c r="H15" s="257"/>
      <c r="I15" s="257"/>
      <c r="J15" s="257"/>
      <c r="O15" s="5"/>
    </row>
    <row r="16" spans="2:15" ht="12.75" customHeight="1" x14ac:dyDescent="0.3">
      <c r="B16" s="38" t="s">
        <v>1770</v>
      </c>
      <c r="C16" s="257"/>
      <c r="D16" s="257"/>
      <c r="E16" s="257"/>
      <c r="F16" s="257"/>
      <c r="G16" s="257"/>
      <c r="H16" s="257"/>
      <c r="I16" s="257"/>
      <c r="J16" s="257"/>
      <c r="O16" s="5"/>
    </row>
    <row r="17" spans="2:15" ht="12.75" customHeight="1" x14ac:dyDescent="0.3">
      <c r="B17" s="38" t="s">
        <v>2455</v>
      </c>
      <c r="O17" s="5"/>
    </row>
    <row r="18" spans="2:15" ht="12.75" customHeight="1" x14ac:dyDescent="0.3">
      <c r="B18" s="38" t="s">
        <v>1712</v>
      </c>
      <c r="O18" s="5"/>
    </row>
    <row r="19" spans="2:15" ht="12.75" customHeight="1" x14ac:dyDescent="0.3">
      <c r="B19" s="2" t="s">
        <v>846</v>
      </c>
      <c r="O19" s="5"/>
    </row>
    <row r="20" spans="2:15" ht="12.75" customHeight="1" x14ac:dyDescent="0.3">
      <c r="O20" s="5"/>
    </row>
    <row r="21" spans="2:15" ht="12.75" customHeight="1" x14ac:dyDescent="0.3">
      <c r="B21" s="3" t="s">
        <v>1244</v>
      </c>
      <c r="O21" s="5"/>
    </row>
    <row r="22" spans="2:15" ht="12.75" customHeight="1" x14ac:dyDescent="0.3">
      <c r="B22" s="491">
        <v>34182</v>
      </c>
      <c r="C22" s="38" t="s">
        <v>204</v>
      </c>
      <c r="D22" s="38" t="s">
        <v>1345</v>
      </c>
      <c r="E22" s="38"/>
      <c r="F22" s="38"/>
      <c r="G22" s="38"/>
      <c r="H22" s="38"/>
      <c r="O22" s="5"/>
    </row>
    <row r="23" spans="2:15" ht="12.75" customHeight="1" x14ac:dyDescent="0.3">
      <c r="B23" s="491">
        <v>35462</v>
      </c>
      <c r="C23" s="38" t="s">
        <v>857</v>
      </c>
      <c r="D23" s="38" t="s">
        <v>1346</v>
      </c>
      <c r="E23" s="38"/>
      <c r="F23" s="38"/>
      <c r="G23" s="38"/>
      <c r="H23" s="38"/>
      <c r="O23" s="5"/>
    </row>
    <row r="24" spans="2:15" ht="12.75" customHeight="1" x14ac:dyDescent="0.3">
      <c r="B24" s="491">
        <v>38152</v>
      </c>
      <c r="C24" s="38" t="s">
        <v>577</v>
      </c>
      <c r="D24" s="38" t="s">
        <v>1347</v>
      </c>
      <c r="E24" s="38"/>
      <c r="F24" s="38"/>
      <c r="G24" s="38"/>
      <c r="H24" s="38"/>
      <c r="O24" s="5"/>
    </row>
    <row r="25" spans="2:15" ht="12.75" customHeight="1" x14ac:dyDescent="0.3">
      <c r="B25" s="491">
        <v>41804</v>
      </c>
      <c r="C25" s="38" t="s">
        <v>2023</v>
      </c>
      <c r="D25" s="38" t="s">
        <v>1713</v>
      </c>
      <c r="E25" s="38"/>
      <c r="F25" s="38"/>
      <c r="G25" s="38"/>
      <c r="H25" s="38"/>
      <c r="O25" s="5"/>
    </row>
    <row r="26" spans="2:15" ht="12.75" customHeight="1" x14ac:dyDescent="0.3">
      <c r="B26" s="491">
        <v>43736</v>
      </c>
      <c r="C26" s="38" t="s">
        <v>2190</v>
      </c>
      <c r="D26" s="38" t="s">
        <v>2486</v>
      </c>
      <c r="E26" s="38"/>
      <c r="F26" s="38"/>
      <c r="G26" s="38"/>
      <c r="H26" s="38"/>
    </row>
    <row r="27" spans="2:15" ht="12.75" customHeight="1" x14ac:dyDescent="0.3">
      <c r="B27" s="5" t="s">
        <v>2665</v>
      </c>
      <c r="C27" s="2" t="s">
        <v>2579</v>
      </c>
      <c r="D27" s="2" t="s">
        <v>2586</v>
      </c>
    </row>
    <row r="28" spans="2:15" ht="12.75" customHeight="1" x14ac:dyDescent="0.3">
      <c r="B28" s="5" t="s">
        <v>2664</v>
      </c>
      <c r="C28" s="2" t="s">
        <v>2579</v>
      </c>
      <c r="D28" s="2" t="s">
        <v>2663</v>
      </c>
    </row>
    <row r="29" spans="2:15" ht="12.75" customHeight="1" x14ac:dyDescent="0.3">
      <c r="B29" s="5" t="s">
        <v>2666</v>
      </c>
      <c r="C29" s="2" t="s">
        <v>2579</v>
      </c>
      <c r="D29" s="2" t="s">
        <v>2667</v>
      </c>
    </row>
  </sheetData>
  <phoneticPr fontId="9" type="noConversion"/>
  <hyperlinks>
    <hyperlink ref="B4" r:id="rId1" xr:uid="{00000000-0004-0000-0000-000000000000}"/>
    <hyperlink ref="B10" r:id="rId2" xr:uid="{EC121C33-0654-4E92-B16E-E58CD727359F}"/>
  </hyperlinks>
  <pageMargins left="0.75" right="0.75" top="1" bottom="1" header="0.5" footer="0.5"/>
  <pageSetup paperSize="9" scale="31"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95012-AB62-420D-B48B-8E06F291B6FA}">
  <dimension ref="A1:X12"/>
  <sheetViews>
    <sheetView workbookViewId="0"/>
  </sheetViews>
  <sheetFormatPr defaultColWidth="25.69921875" defaultRowHeight="13" x14ac:dyDescent="0.3"/>
  <sheetData>
    <row r="1" spans="1:24" x14ac:dyDescent="0.3">
      <c r="A1" t="s">
        <v>2583</v>
      </c>
      <c r="B1" t="s">
        <v>2668</v>
      </c>
    </row>
    <row r="2" spans="1:24" x14ac:dyDescent="0.3">
      <c r="A2" t="s">
        <v>2584</v>
      </c>
      <c r="B2">
        <v>4</v>
      </c>
    </row>
    <row r="3" spans="1:24" x14ac:dyDescent="0.3">
      <c r="A3" t="s">
        <v>2585</v>
      </c>
      <c r="B3">
        <v>0</v>
      </c>
    </row>
    <row r="5" spans="1:24" x14ac:dyDescent="0.3">
      <c r="A5" t="s">
        <v>2605</v>
      </c>
      <c r="B5" t="s">
        <v>2606</v>
      </c>
      <c r="C5" t="s">
        <v>2607</v>
      </c>
      <c r="D5" t="s">
        <v>2608</v>
      </c>
      <c r="E5" t="s">
        <v>2609</v>
      </c>
      <c r="F5" t="s">
        <v>2610</v>
      </c>
      <c r="J5" t="s">
        <v>2611</v>
      </c>
      <c r="K5" t="s">
        <v>2612</v>
      </c>
      <c r="L5" t="s">
        <v>2613</v>
      </c>
      <c r="N5" t="s">
        <v>2614</v>
      </c>
      <c r="O5" t="s">
        <v>2615</v>
      </c>
      <c r="P5" t="s">
        <v>2616</v>
      </c>
      <c r="R5" t="s">
        <v>2617</v>
      </c>
      <c r="S5" t="s">
        <v>2618</v>
      </c>
      <c r="T5" t="s">
        <v>2619</v>
      </c>
      <c r="V5" t="s">
        <v>2620</v>
      </c>
      <c r="W5" t="s">
        <v>2621</v>
      </c>
      <c r="X5" t="s">
        <v>2622</v>
      </c>
    </row>
    <row r="6" spans="1:24" x14ac:dyDescent="0.3">
      <c r="A6" t="e">
        <f ca="1">ModelRef(input!$I$134,2,0,0)</f>
        <v>#NAME?</v>
      </c>
      <c r="B6">
        <v>0</v>
      </c>
      <c r="C6">
        <v>3</v>
      </c>
      <c r="F6">
        <v>0</v>
      </c>
      <c r="J6" t="b">
        <v>1</v>
      </c>
      <c r="K6" t="s">
        <v>2624</v>
      </c>
      <c r="L6" t="e">
        <f ca="1">ModelRef(input!$I$134,2,0,0)+ModelRef(input!$I$134,3,0,-1)</f>
        <v>#NAME?</v>
      </c>
    </row>
    <row r="7" spans="1:24" x14ac:dyDescent="0.3">
      <c r="A7" t="e">
        <f ca="1">ModelRef(input!$I$119,2,0,0)</f>
        <v>#NAME?</v>
      </c>
      <c r="B7">
        <v>0</v>
      </c>
      <c r="C7">
        <v>3</v>
      </c>
      <c r="F7">
        <v>0</v>
      </c>
      <c r="J7" t="b">
        <v>1</v>
      </c>
      <c r="K7" t="s">
        <v>2623</v>
      </c>
      <c r="L7" t="e">
        <f ca="1">ModelRef(input!$I$119,2,0,0)+ModelRef(input!$I$119,3,0,-1)</f>
        <v>#NAME?</v>
      </c>
    </row>
    <row r="9" spans="1:24" x14ac:dyDescent="0.3">
      <c r="A9" t="s">
        <v>2625</v>
      </c>
      <c r="C9" t="s">
        <v>2626</v>
      </c>
      <c r="D9" t="s">
        <v>2627</v>
      </c>
      <c r="E9" t="s">
        <v>2628</v>
      </c>
    </row>
    <row r="10" spans="1:24" x14ac:dyDescent="0.3">
      <c r="A10">
        <f ca="1">substances!$N$33</f>
        <v>7877.4727183110881</v>
      </c>
      <c r="D10">
        <v>1</v>
      </c>
      <c r="E10" t="s">
        <v>2629</v>
      </c>
      <c r="F10">
        <v>0</v>
      </c>
      <c r="G10" t="s">
        <v>2630</v>
      </c>
      <c r="H10" t="s">
        <v>2626</v>
      </c>
      <c r="I10">
        <v>0</v>
      </c>
    </row>
    <row r="11" spans="1:24" x14ac:dyDescent="0.3">
      <c r="A11">
        <f ca="1">substances!$N$24</f>
        <v>1589.5769323132231</v>
      </c>
      <c r="D11">
        <v>1</v>
      </c>
      <c r="E11" t="s">
        <v>2631</v>
      </c>
      <c r="F11">
        <v>0</v>
      </c>
      <c r="G11" t="s">
        <v>2632</v>
      </c>
      <c r="H11" t="s">
        <v>2626</v>
      </c>
      <c r="I11">
        <v>0</v>
      </c>
    </row>
    <row r="12" spans="1:24" x14ac:dyDescent="0.3">
      <c r="A12">
        <f ca="1">substances!$N$13</f>
        <v>1182.4493817406239</v>
      </c>
      <c r="D12">
        <v>1</v>
      </c>
      <c r="E12" t="s">
        <v>2633</v>
      </c>
      <c r="F12">
        <v>0</v>
      </c>
      <c r="G12" t="s">
        <v>2634</v>
      </c>
      <c r="H12" t="s">
        <v>2626</v>
      </c>
      <c r="I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W172"/>
  <sheetViews>
    <sheetView tabSelected="1" zoomScaleNormal="100" workbookViewId="0">
      <selection activeCell="I7" sqref="I7"/>
    </sheetView>
  </sheetViews>
  <sheetFormatPr defaultColWidth="9.09765625" defaultRowHeight="12.75" customHeight="1" x14ac:dyDescent="0.3"/>
  <cols>
    <col min="1" max="5" width="1.59765625" customWidth="1"/>
    <col min="6" max="6" width="65.59765625" customWidth="1"/>
    <col min="7" max="7" width="22.59765625" style="58" customWidth="1"/>
    <col min="8" max="8" width="10.59765625" style="58" customWidth="1"/>
    <col min="9" max="9" width="9.59765625" style="181" customWidth="1"/>
    <col min="10" max="10" width="9.59765625" style="245" customWidth="1"/>
    <col min="11" max="11" width="9.59765625" style="179" customWidth="1"/>
    <col min="12" max="12" width="6.09765625" style="179" hidden="1" customWidth="1"/>
    <col min="13" max="13" width="6" style="179" hidden="1" customWidth="1"/>
    <col min="14" max="14" width="6.09765625" style="179" hidden="1" customWidth="1"/>
    <col min="15" max="15" width="6.59765625" style="179" hidden="1" customWidth="1"/>
    <col min="16" max="16" width="9.59765625" style="179" customWidth="1"/>
    <col min="18" max="18" width="67.09765625" style="58" customWidth="1"/>
    <col min="19" max="19" width="2.59765625" style="6" customWidth="1"/>
    <col min="20" max="16384" width="9.09765625" style="37"/>
  </cols>
  <sheetData>
    <row r="1" spans="1:19" s="36" customFormat="1" ht="12.75" customHeight="1" x14ac:dyDescent="0.35">
      <c r="A1" s="269" t="s">
        <v>1094</v>
      </c>
      <c r="B1" s="38"/>
      <c r="C1" s="38"/>
      <c r="D1" s="38"/>
      <c r="E1" s="38"/>
      <c r="F1" s="38"/>
      <c r="G1" s="38"/>
      <c r="H1" s="42"/>
      <c r="I1" s="161"/>
      <c r="J1" s="162"/>
      <c r="K1" s="162"/>
      <c r="L1" s="162"/>
      <c r="M1" s="162"/>
      <c r="N1" s="162"/>
      <c r="O1" s="162"/>
      <c r="P1" s="162"/>
      <c r="Q1" s="38"/>
      <c r="R1" s="42"/>
      <c r="S1" s="115"/>
    </row>
    <row r="2" spans="1:19" s="36" customFormat="1" ht="12.75" customHeight="1" x14ac:dyDescent="0.3">
      <c r="A2" s="32"/>
      <c r="B2" s="38"/>
      <c r="C2" s="38"/>
      <c r="D2" s="38"/>
      <c r="E2" s="38"/>
      <c r="F2" s="38"/>
      <c r="G2" s="38"/>
      <c r="H2" s="42"/>
      <c r="I2" s="161"/>
      <c r="J2" s="162"/>
      <c r="K2" s="162"/>
      <c r="L2" s="162"/>
      <c r="M2" s="162"/>
      <c r="N2" s="162"/>
      <c r="O2" s="162"/>
      <c r="P2" s="162"/>
      <c r="Q2" s="38"/>
      <c r="R2" s="42"/>
      <c r="S2" s="115"/>
    </row>
    <row r="3" spans="1:19" customFormat="1" ht="12.75" customHeight="1" x14ac:dyDescent="0.3">
      <c r="A3" s="67" t="s">
        <v>1739</v>
      </c>
      <c r="B3" s="66"/>
      <c r="C3" s="66"/>
      <c r="D3" s="66"/>
      <c r="E3" s="66"/>
      <c r="F3" s="66"/>
      <c r="G3" s="67" t="s">
        <v>969</v>
      </c>
      <c r="H3" s="67"/>
      <c r="I3" s="163" t="s">
        <v>748</v>
      </c>
      <c r="J3" s="242"/>
      <c r="K3" s="163" t="s">
        <v>747</v>
      </c>
      <c r="L3" s="163"/>
      <c r="M3" s="163"/>
      <c r="N3" s="163"/>
      <c r="O3" s="163"/>
      <c r="P3" s="163" t="s">
        <v>1353</v>
      </c>
      <c r="Q3" s="66"/>
      <c r="R3" s="67" t="s">
        <v>1366</v>
      </c>
      <c r="S3" s="107"/>
    </row>
    <row r="4" spans="1:19" s="36" customFormat="1" ht="12.75" customHeight="1" x14ac:dyDescent="0.3">
      <c r="A4" s="42"/>
      <c r="B4" s="38"/>
      <c r="C4" s="38"/>
      <c r="D4" s="38"/>
      <c r="E4" s="38"/>
      <c r="F4" s="38"/>
      <c r="G4" s="42"/>
      <c r="H4" s="42"/>
      <c r="I4" s="164"/>
      <c r="J4" s="165"/>
      <c r="K4" s="165"/>
      <c r="L4" s="165"/>
      <c r="M4" s="165"/>
      <c r="N4" s="165"/>
      <c r="O4" s="165"/>
      <c r="P4" s="165"/>
      <c r="Q4" s="38"/>
      <c r="R4" s="42"/>
      <c r="S4" s="114"/>
    </row>
    <row r="5" spans="1:19" s="36" customFormat="1" ht="26.9" customHeight="1" x14ac:dyDescent="0.3">
      <c r="A5" s="60" t="s">
        <v>1355</v>
      </c>
      <c r="B5" s="38"/>
      <c r="C5" s="38"/>
      <c r="D5" s="38"/>
      <c r="E5" s="38"/>
      <c r="F5" s="38"/>
      <c r="G5" s="62" t="s">
        <v>688</v>
      </c>
      <c r="H5" s="42"/>
      <c r="I5" s="251"/>
      <c r="J5" s="241"/>
      <c r="K5" s="166" t="s">
        <v>1654</v>
      </c>
      <c r="L5" s="390"/>
      <c r="M5" s="390"/>
      <c r="N5" s="390"/>
      <c r="O5" s="166"/>
      <c r="P5" s="167" t="str">
        <f>IF(ISBLANK(I6),IF(ISBLANK(I5),IF(J5="",K5,J5),I5),VLOOKUP(ChemRowNr,substances!A9:V87511,2,0))</f>
        <v>As(III)</v>
      </c>
      <c r="Q5" s="38"/>
      <c r="R5" s="733" t="s">
        <v>2604</v>
      </c>
      <c r="S5" s="114"/>
    </row>
    <row r="6" spans="1:19" s="36" customFormat="1" ht="12.75" customHeight="1" x14ac:dyDescent="0.3">
      <c r="A6" s="42"/>
      <c r="B6" s="38"/>
      <c r="C6" s="38"/>
      <c r="D6" s="38"/>
      <c r="E6" s="38"/>
      <c r="F6" s="38"/>
      <c r="G6" s="42" t="s">
        <v>1608</v>
      </c>
      <c r="H6" s="42"/>
      <c r="I6" s="250">
        <v>5</v>
      </c>
      <c r="J6" s="241"/>
      <c r="K6" s="72">
        <v>1</v>
      </c>
      <c r="L6" s="391"/>
      <c r="M6" s="38"/>
      <c r="N6" s="38"/>
      <c r="O6" s="446"/>
      <c r="P6" s="445">
        <f>IF(ISBLANK(I6),IF(ISBLANK(J6),K6,J6),I6)</f>
        <v>5</v>
      </c>
      <c r="Q6" s="38"/>
      <c r="R6" s="42" t="s">
        <v>2641</v>
      </c>
      <c r="S6" s="114"/>
    </row>
    <row r="7" spans="1:19" s="36" customFormat="1" ht="12.75" customHeight="1" x14ac:dyDescent="0.3">
      <c r="A7" s="42"/>
      <c r="B7" s="42"/>
      <c r="C7" s="42"/>
      <c r="D7" s="42"/>
      <c r="E7" s="42"/>
      <c r="F7" s="42"/>
      <c r="G7" s="42"/>
      <c r="H7" s="42"/>
      <c r="I7" s="42"/>
      <c r="J7" s="170"/>
      <c r="K7" s="159"/>
      <c r="L7" s="159"/>
      <c r="M7" s="159"/>
      <c r="N7" s="159"/>
      <c r="O7" s="159"/>
      <c r="P7" s="159"/>
      <c r="Q7" s="38"/>
      <c r="R7" s="106" t="s">
        <v>2659</v>
      </c>
      <c r="S7" s="108"/>
    </row>
    <row r="8" spans="1:19" s="36" customFormat="1" ht="26.9" customHeight="1" x14ac:dyDescent="0.3">
      <c r="A8" s="61" t="s">
        <v>804</v>
      </c>
      <c r="B8" s="61"/>
      <c r="C8" s="61"/>
      <c r="D8" s="61"/>
      <c r="E8" s="61"/>
      <c r="F8" s="61"/>
      <c r="G8" s="62" t="s">
        <v>1093</v>
      </c>
      <c r="H8" s="69"/>
      <c r="I8" s="658" t="s">
        <v>1655</v>
      </c>
      <c r="J8" s="241"/>
      <c r="K8" s="166" t="s">
        <v>1655</v>
      </c>
      <c r="L8" s="390"/>
      <c r="M8" s="390"/>
      <c r="N8" s="390"/>
      <c r="O8" s="166"/>
      <c r="P8" s="167" t="str">
        <f>IF(ISBLANK(I8),IF(J8=0,K8,J8),I8)</f>
        <v>default scenario</v>
      </c>
      <c r="Q8" s="38"/>
      <c r="R8" s="60"/>
      <c r="S8" s="108"/>
    </row>
    <row r="9" spans="1:19" s="36" customFormat="1" ht="12.75" customHeight="1" x14ac:dyDescent="0.3">
      <c r="A9" s="42"/>
      <c r="B9" s="38"/>
      <c r="C9" s="38"/>
      <c r="D9" s="38"/>
      <c r="E9" s="38"/>
      <c r="F9" s="38"/>
      <c r="G9" s="42"/>
      <c r="H9" s="42"/>
      <c r="I9" s="42"/>
      <c r="J9" s="165"/>
      <c r="K9" s="165"/>
      <c r="L9" s="165"/>
      <c r="M9" s="165"/>
      <c r="N9" s="165"/>
      <c r="O9" s="165"/>
      <c r="P9" s="165"/>
      <c r="Q9" s="38"/>
      <c r="R9" s="42"/>
      <c r="S9" s="108"/>
    </row>
    <row r="10" spans="1:19" s="36" customFormat="1" ht="26.9" customHeight="1" x14ac:dyDescent="0.3">
      <c r="A10" s="60" t="s">
        <v>1207</v>
      </c>
      <c r="B10" s="38"/>
      <c r="C10" s="38"/>
      <c r="D10" s="38"/>
      <c r="E10" s="38"/>
      <c r="F10" s="38"/>
      <c r="G10" s="62" t="s">
        <v>1208</v>
      </c>
      <c r="H10" s="42"/>
      <c r="I10" s="251"/>
      <c r="J10" s="241"/>
      <c r="K10" s="166" t="s">
        <v>1786</v>
      </c>
      <c r="L10" s="390"/>
      <c r="M10" s="390"/>
      <c r="N10" s="390"/>
      <c r="O10" s="166"/>
      <c r="P10" s="167" t="str">
        <f>IF(ISBLANK(I10),IF(ISBLANK(J10),K10,J10),I10)</f>
        <v>defaults only</v>
      </c>
      <c r="Q10" s="70"/>
      <c r="R10" s="60"/>
      <c r="S10" s="105"/>
    </row>
    <row r="11" spans="1:19" s="36" customFormat="1" ht="12.75" customHeight="1" x14ac:dyDescent="0.3">
      <c r="A11" s="38"/>
      <c r="B11" s="38"/>
      <c r="C11" s="38"/>
      <c r="D11" s="38"/>
      <c r="E11" s="38"/>
      <c r="F11" s="38"/>
      <c r="G11" s="42"/>
      <c r="H11" s="42"/>
      <c r="I11" s="171"/>
      <c r="J11" s="162"/>
      <c r="K11" s="162"/>
      <c r="L11" s="162"/>
      <c r="M11" s="162"/>
      <c r="N11" s="162"/>
      <c r="O11" s="162"/>
      <c r="P11" s="162"/>
      <c r="Q11" s="38"/>
      <c r="R11" s="42"/>
      <c r="S11" s="105"/>
    </row>
    <row r="12" spans="1:19" customFormat="1" ht="12.75" customHeight="1" x14ac:dyDescent="0.3">
      <c r="A12" s="67" t="s">
        <v>1732</v>
      </c>
      <c r="B12" s="66"/>
      <c r="C12" s="66"/>
      <c r="D12" s="66"/>
      <c r="E12" s="66"/>
      <c r="F12" s="66"/>
      <c r="G12" s="67" t="s">
        <v>969</v>
      </c>
      <c r="H12" s="67" t="s">
        <v>929</v>
      </c>
      <c r="I12" s="163" t="s">
        <v>748</v>
      </c>
      <c r="J12" s="163" t="s">
        <v>29</v>
      </c>
      <c r="K12" s="163" t="s">
        <v>747</v>
      </c>
      <c r="L12" s="163"/>
      <c r="M12" s="163"/>
      <c r="N12" s="163"/>
      <c r="O12" s="163"/>
      <c r="P12" s="163" t="s">
        <v>1353</v>
      </c>
      <c r="Q12" s="66"/>
      <c r="R12" s="67" t="s">
        <v>1366</v>
      </c>
      <c r="S12" s="105"/>
    </row>
    <row r="13" spans="1:19" s="36" customFormat="1" ht="12.75" customHeight="1" x14ac:dyDescent="0.3">
      <c r="A13" s="42"/>
      <c r="B13" s="38"/>
      <c r="C13" s="38"/>
      <c r="D13" s="38"/>
      <c r="E13" s="38"/>
      <c r="F13" s="38"/>
      <c r="G13" s="42"/>
      <c r="H13" s="42"/>
      <c r="I13" s="164"/>
      <c r="J13" s="165"/>
      <c r="K13" s="165"/>
      <c r="L13" s="165"/>
      <c r="M13" s="165"/>
      <c r="N13" s="165"/>
      <c r="O13" s="165"/>
      <c r="P13" s="165"/>
      <c r="Q13" s="38"/>
      <c r="R13" s="42"/>
      <c r="S13" s="108"/>
    </row>
    <row r="14" spans="1:19" s="36" customFormat="1" ht="12.75" customHeight="1" x14ac:dyDescent="0.3">
      <c r="A14" s="42"/>
      <c r="B14" s="60" t="s">
        <v>588</v>
      </c>
      <c r="C14" s="61"/>
      <c r="D14" s="61"/>
      <c r="E14" s="61"/>
      <c r="F14" s="61"/>
      <c r="G14" s="62" t="s">
        <v>399</v>
      </c>
      <c r="H14" s="60"/>
      <c r="I14" s="253"/>
      <c r="J14" s="249" t="str">
        <f>IF(HLOOKUP(CaseName,CaseData,ROW()-2,FALSE)="",IF(ISBLANK(VLOOKUP(ChemRowNr,SubstanceData,MATCH("ChemClass",substances!$3:$3,FALSE),FALSE)),"",VLOOKUP(ChemRowNr,SubstanceData,MATCH("ChemClass",substances!$3:$3,FALSE),FALSE)),HLOOKUP(CaseName,CaseData,ROW()-2,FALSE))</f>
        <v>Metal</v>
      </c>
      <c r="K14" s="498" t="str">
        <f>substances!F9</f>
        <v>acid</v>
      </c>
      <c r="L14" s="392"/>
      <c r="M14" s="396"/>
      <c r="N14" s="396"/>
      <c r="O14" s="396"/>
      <c r="P14" s="499" t="str">
        <f>IF(I14="",IF(J14="",K14,J14),I14)</f>
        <v>Metal</v>
      </c>
      <c r="Q14" s="42"/>
      <c r="R14" s="42"/>
      <c r="S14" s="108"/>
    </row>
    <row r="15" spans="1:19" s="36" customFormat="1" ht="12.75" customHeight="1" x14ac:dyDescent="0.3">
      <c r="A15" s="38"/>
      <c r="B15" s="42" t="s">
        <v>1092</v>
      </c>
      <c r="C15" s="38"/>
      <c r="D15" s="38"/>
      <c r="E15" s="38"/>
      <c r="F15" s="38"/>
      <c r="G15" s="43" t="s">
        <v>689</v>
      </c>
      <c r="H15" s="42" t="s">
        <v>1698</v>
      </c>
      <c r="I15" s="448"/>
      <c r="J15" s="449">
        <f>IF(HLOOKUP(CaseName,CaseData,ROW()-2,FALSE)="",IF(ISBLANK(VLOOKUP(ChemRowNr,SubstanceData,MATCH("MW",substances!$3:$3,FALSE),FALSE)),"",VLOOKUP(ChemRowNr,SubstanceData,MATCH("MW",substances!$3:$3,FALSE),FALSE)),HLOOKUP(CaseName,CaseData,ROW()-2,FALSE))</f>
        <v>74.921599999999998</v>
      </c>
      <c r="K15" s="450">
        <f>substances!H9</f>
        <v>212.2</v>
      </c>
      <c r="L15" s="393"/>
      <c r="M15" s="162"/>
      <c r="N15" s="162"/>
      <c r="O15" s="162"/>
      <c r="P15" s="169">
        <f>IF(ISBLANK(I15),IF(ISNUMBER(J15)=FALSE,K15/1000,J15/1000),I15/1000)</f>
        <v>7.4921600000000005E-2</v>
      </c>
      <c r="Q15" s="42" t="s">
        <v>1354</v>
      </c>
      <c r="R15" s="42"/>
      <c r="S15" s="105"/>
    </row>
    <row r="16" spans="1:19" s="36" customFormat="1" ht="12.75" customHeight="1" x14ac:dyDescent="0.3">
      <c r="A16" s="38"/>
      <c r="B16" s="42"/>
      <c r="C16" s="38"/>
      <c r="D16" s="38"/>
      <c r="E16" s="38"/>
      <c r="F16" s="38"/>
      <c r="G16" s="42"/>
      <c r="H16" s="42"/>
      <c r="I16" s="42"/>
      <c r="J16" s="243"/>
      <c r="K16" s="162"/>
      <c r="L16" s="162"/>
      <c r="M16" s="162"/>
      <c r="N16" s="162"/>
      <c r="O16" s="162"/>
      <c r="P16" s="162"/>
      <c r="Q16" s="38"/>
      <c r="R16" s="42"/>
      <c r="S16" s="108"/>
    </row>
    <row r="17" spans="1:19" s="36" customFormat="1" ht="12.75" customHeight="1" x14ac:dyDescent="0.3">
      <c r="A17" s="42"/>
      <c r="B17" s="42" t="s">
        <v>589</v>
      </c>
      <c r="C17" s="38"/>
      <c r="D17" s="38"/>
      <c r="E17" s="38"/>
      <c r="F17" s="38"/>
      <c r="G17" s="63" t="s">
        <v>1600</v>
      </c>
      <c r="H17" s="42" t="s">
        <v>28</v>
      </c>
      <c r="I17" s="252"/>
      <c r="J17" s="244">
        <f ca="1">IF(HLOOKUP(CaseName,CaseData,ROW()-2,FALSE)="",IF(ISBLANK(VLOOKUP(ChemRowNr,SubstanceData,MATCH("Ksw",substances!$3:$3,FALSE),FALSE)),"",VLOOKUP(ChemRowNr,SubstanceData,MATCH("Ksw",substances!$3:$3,FALSE),FALSE)),HLOOKUP(CaseName,CaseData,ROW()-2,FALSE))</f>
        <v>3352.7933408172421</v>
      </c>
      <c r="K17" s="168">
        <f ca="1">(VLOOKUP(ChemClass,QSARtable,7,FALSE))*CORG*RHOsolid/1000</f>
        <v>50.842588670210596</v>
      </c>
      <c r="L17" s="162"/>
      <c r="M17" s="162"/>
      <c r="N17" s="162"/>
      <c r="O17" s="162"/>
      <c r="P17" s="169">
        <f t="shared" ref="P17:P35" ca="1" si="0">IF(ISBLANK(I17), IF(ISNUMBER(J17)=FALSE, K17, J17), I17)</f>
        <v>3352.7933408172421</v>
      </c>
      <c r="Q17" s="42" t="s">
        <v>477</v>
      </c>
      <c r="R17" s="42" t="s">
        <v>23</v>
      </c>
      <c r="S17" s="108"/>
    </row>
    <row r="18" spans="1:19" ht="12.75" customHeight="1" x14ac:dyDescent="0.3">
      <c r="A18" s="42"/>
      <c r="B18" s="42" t="s">
        <v>590</v>
      </c>
      <c r="C18" s="38"/>
      <c r="D18" s="38"/>
      <c r="E18" s="38"/>
      <c r="F18" s="38"/>
      <c r="G18" s="63" t="s">
        <v>591</v>
      </c>
      <c r="H18" s="42" t="s">
        <v>28</v>
      </c>
      <c r="I18" s="252"/>
      <c r="J18" s="244" t="str">
        <f>IF(HLOOKUP(CaseName,CaseData,ROW()-2,FALSE)="","",HLOOKUP(CaseName,CaseData,ROW()-2,FALSE))</f>
        <v/>
      </c>
      <c r="K18" s="168">
        <f ca="1">(VLOOKUP(ChemClass,QSARtable,8,FALSE))*CORG*RHOsolid/1000</f>
        <v>50.842588670210596</v>
      </c>
      <c r="L18" s="162"/>
      <c r="M18" s="162"/>
      <c r="N18" s="162"/>
      <c r="O18" s="162"/>
      <c r="P18" s="169">
        <f t="shared" ca="1" si="0"/>
        <v>50.842588670210596</v>
      </c>
      <c r="Q18" s="42" t="s">
        <v>477</v>
      </c>
      <c r="R18" s="42"/>
      <c r="S18" s="108"/>
    </row>
    <row r="19" spans="1:19" s="36" customFormat="1" ht="12.75" customHeight="1" x14ac:dyDescent="0.3">
      <c r="A19" s="42"/>
      <c r="B19" s="42" t="s">
        <v>1592</v>
      </c>
      <c r="C19" s="64"/>
      <c r="D19" s="38"/>
      <c r="E19" s="38"/>
      <c r="F19" s="38"/>
      <c r="G19" s="63" t="s">
        <v>1601</v>
      </c>
      <c r="H19" s="42" t="s">
        <v>28</v>
      </c>
      <c r="I19" s="252"/>
      <c r="J19" s="244">
        <f>IF(HLOOKUP(CaseName,CaseData,ROW()-2,FALSE)="",IF(ISBLANK(VLOOKUP(ChemRowNr,SubstanceData,MATCH("Kaw",substances!$3:$3,FALSE),FALSE)),"",VLOOKUP(ChemRowNr,SubstanceData,MATCH("Kaw",substances!$3:$3,FALSE),FALSE)),HLOOKUP(CaseName,CaseData,ROW()-2,FALSE))</f>
        <v>9.9999999999999995E-21</v>
      </c>
      <c r="K19" s="168">
        <f>VLOOKUP(ChemClass,QSARtable,9,FALSE)</f>
        <v>9.9999999999999995E-21</v>
      </c>
      <c r="L19" s="162"/>
      <c r="M19" s="162"/>
      <c r="N19" s="162"/>
      <c r="O19" s="162"/>
      <c r="P19" s="169">
        <f t="shared" si="0"/>
        <v>9.9999999999999995E-21</v>
      </c>
      <c r="Q19" s="42" t="s">
        <v>477</v>
      </c>
      <c r="R19" s="42"/>
      <c r="S19" s="108"/>
    </row>
    <row r="20" spans="1:19" s="36" customFormat="1" ht="12.75" customHeight="1" x14ac:dyDescent="0.3">
      <c r="A20" s="38"/>
      <c r="B20" s="38"/>
      <c r="C20" s="42" t="s">
        <v>1593</v>
      </c>
      <c r="D20" s="38"/>
      <c r="E20" s="38"/>
      <c r="F20" s="38"/>
      <c r="G20" s="43" t="s">
        <v>476</v>
      </c>
      <c r="H20" s="42" t="s">
        <v>28</v>
      </c>
      <c r="I20" s="252"/>
      <c r="J20" s="451" t="str">
        <f>IF(HLOOKUP(CaseName,CaseData,ROW()-2,FALSE)="",IF(ISBLANK(VLOOKUP(ChemRowNr,SubstanceData,MATCH("Kow",substances!$3:$3,FALSE),FALSE)),"",VLOOKUP(ChemRowNr,SubstanceData,MATCH("Kow",substances!$3:$3,FALSE),FALSE)),HLOOKUP(CaseName,CaseData,ROW()-2,FALSE))</f>
        <v/>
      </c>
      <c r="K20" s="168">
        <f>substances!M9</f>
        <v>11.481536214968834</v>
      </c>
      <c r="L20" s="162"/>
      <c r="M20" s="162"/>
      <c r="N20" s="162"/>
      <c r="O20" s="162"/>
      <c r="P20" s="169">
        <f t="shared" si="0"/>
        <v>11.481536214968834</v>
      </c>
      <c r="Q20" s="42" t="s">
        <v>477</v>
      </c>
      <c r="R20" s="42"/>
      <c r="S20" s="108"/>
    </row>
    <row r="21" spans="1:19" s="36" customFormat="1" ht="12.75" customHeight="1" x14ac:dyDescent="0.3">
      <c r="A21" s="38"/>
      <c r="B21" s="38"/>
      <c r="C21" s="42" t="s">
        <v>1594</v>
      </c>
      <c r="D21" s="38"/>
      <c r="E21" s="38"/>
      <c r="F21" s="38"/>
      <c r="G21" s="43" t="s">
        <v>1602</v>
      </c>
      <c r="H21" s="42" t="s">
        <v>28</v>
      </c>
      <c r="I21" s="252"/>
      <c r="J21" s="244" t="str">
        <f>IF(HLOOKUP(CaseName,CaseData,ROW()-2,FALSE)="","",HLOOKUP(CaseName,CaseData,ROW()-2,FALSE))</f>
        <v/>
      </c>
      <c r="K21" s="174">
        <f>10^(LOG(Kow)-3.5)</f>
        <v>3.630780547701014E-3</v>
      </c>
      <c r="L21" s="175"/>
      <c r="M21" s="175"/>
      <c r="N21" s="175"/>
      <c r="O21" s="175"/>
      <c r="P21" s="169">
        <f t="shared" si="0"/>
        <v>3.630780547701014E-3</v>
      </c>
      <c r="Q21" s="42" t="s">
        <v>477</v>
      </c>
      <c r="R21" s="42"/>
      <c r="S21" s="108"/>
    </row>
    <row r="22" spans="1:19" s="36" customFormat="1" ht="12.75" customHeight="1" x14ac:dyDescent="0.3">
      <c r="A22" s="38"/>
      <c r="B22" s="38"/>
      <c r="C22" s="42" t="s">
        <v>602</v>
      </c>
      <c r="D22" s="38"/>
      <c r="E22" s="38"/>
      <c r="F22" s="38"/>
      <c r="G22" s="305" t="s">
        <v>2478</v>
      </c>
      <c r="H22" s="42"/>
      <c r="I22" s="252"/>
      <c r="J22" s="451" t="str">
        <f>IF(HLOOKUP(CaseName,CaseData,ROW()-2,FALSE)="",IF(ISBLANK(VLOOKUP(ChemRowNr,SubstanceData,MATCH("pKa",substances!$3:$3,FALSE),FALSE)),"",VLOOKUP(ChemRowNr,SubstanceData,MATCH("pKa",substances!$3:$3,FALSE),FALSE)),HLOOKUP(CaseName,CaseData,ROW()-2,FALSE))</f>
        <v/>
      </c>
      <c r="K22" s="301">
        <f>substances!G6</f>
        <v>14</v>
      </c>
      <c r="L22" s="162"/>
      <c r="M22" s="162"/>
      <c r="N22" s="162"/>
      <c r="O22" s="162"/>
      <c r="P22" s="169">
        <f>IF(ISBLANK(I22), IF(ISNUMBER(J22)=FALSE, K22, J22), I22)</f>
        <v>14</v>
      </c>
      <c r="Q22" s="64" t="s">
        <v>477</v>
      </c>
      <c r="R22" s="305" t="s">
        <v>2477</v>
      </c>
      <c r="S22" s="108"/>
    </row>
    <row r="23" spans="1:19" s="36" customFormat="1" ht="12.75" customHeight="1" x14ac:dyDescent="0.3">
      <c r="A23" s="38"/>
      <c r="B23" s="38"/>
      <c r="C23" s="42" t="s">
        <v>1699</v>
      </c>
      <c r="D23" s="38"/>
      <c r="E23" s="38"/>
      <c r="F23" s="38"/>
      <c r="G23" s="43" t="s">
        <v>601</v>
      </c>
      <c r="H23" s="42" t="s">
        <v>28</v>
      </c>
      <c r="I23" s="252"/>
      <c r="J23" s="244" t="str">
        <f t="shared" ref="J23:J38" si="1">IF(HLOOKUP(CaseName,CaseData,ROW()-2,FALSE)="","",HLOOKUP(CaseName,CaseData,ROW()-2,FALSE))</f>
        <v/>
      </c>
      <c r="K23" s="168">
        <f>IF(ChemClass="Acid",1/(1+10^(7-pKa)),IF(ChemClass="Base",1/(1+10^(pKa-7)),1))*Kow + (1-IF(ChemClass="Acid",1/(1+10^(7-pKa)),IF(ChemClass="Base",1/(1+10^(pKa-7)),1)))*Kow.alt</f>
        <v>11.481536214968834</v>
      </c>
      <c r="L23" s="162"/>
      <c r="M23" s="162"/>
      <c r="N23" s="162"/>
      <c r="O23" s="162"/>
      <c r="P23" s="169">
        <f t="shared" si="0"/>
        <v>11.481536214968834</v>
      </c>
      <c r="Q23" s="42" t="s">
        <v>477</v>
      </c>
      <c r="R23" s="42" t="s">
        <v>207</v>
      </c>
      <c r="S23" s="108"/>
    </row>
    <row r="24" spans="1:19" s="36" customFormat="1" ht="12.75" customHeight="1" x14ac:dyDescent="0.3">
      <c r="A24" s="3"/>
      <c r="B24" s="38"/>
      <c r="C24" s="38" t="s">
        <v>642</v>
      </c>
      <c r="D24" s="38"/>
      <c r="E24" s="38"/>
      <c r="F24" s="38"/>
      <c r="G24" s="42" t="s">
        <v>616</v>
      </c>
      <c r="H24" s="42" t="s">
        <v>28</v>
      </c>
      <c r="I24" s="252"/>
      <c r="J24" s="244" t="str">
        <f t="shared" si="1"/>
        <v/>
      </c>
      <c r="K24" s="174">
        <f>IF(ChemClass="Acid",1/(1+10^(pH.aerw-pKa)),IF(ChemClass="Base",1/(1+10^(pKa-pH.aerw)),1))</f>
        <v>1</v>
      </c>
      <c r="L24" s="175"/>
      <c r="M24" s="175"/>
      <c r="N24" s="175"/>
      <c r="O24" s="175"/>
      <c r="P24" s="173">
        <f t="shared" si="0"/>
        <v>1</v>
      </c>
      <c r="Q24" s="39" t="s">
        <v>477</v>
      </c>
      <c r="R24" s="42"/>
      <c r="S24" s="108"/>
    </row>
    <row r="25" spans="1:19" s="36" customFormat="1" ht="12.75" customHeight="1" x14ac:dyDescent="0.3">
      <c r="A25" s="3"/>
      <c r="B25" s="38"/>
      <c r="C25" s="38" t="s">
        <v>596</v>
      </c>
      <c r="D25" s="38"/>
      <c r="E25" s="38"/>
      <c r="F25" s="38"/>
      <c r="G25" s="42" t="s">
        <v>592</v>
      </c>
      <c r="H25" s="42" t="s">
        <v>28</v>
      </c>
      <c r="I25" s="252"/>
      <c r="J25" s="244" t="str">
        <f t="shared" si="1"/>
        <v/>
      </c>
      <c r="K25" s="174">
        <f>IF(ChemClass="Acid",1/(1+10^(pH.w1-pKa)),IF(ChemClass="Base",1/(1+10^(pKa-pH.w1)),1))</f>
        <v>1</v>
      </c>
      <c r="L25" s="175"/>
      <c r="M25" s="175"/>
      <c r="N25" s="175"/>
      <c r="O25" s="175"/>
      <c r="P25" s="173">
        <f t="shared" si="0"/>
        <v>1</v>
      </c>
      <c r="Q25" s="39" t="s">
        <v>477</v>
      </c>
      <c r="R25" s="42"/>
      <c r="S25" s="108"/>
    </row>
    <row r="26" spans="1:19" s="36" customFormat="1" ht="12.75" customHeight="1" x14ac:dyDescent="0.3">
      <c r="A26" s="3"/>
      <c r="B26" s="38"/>
      <c r="C26" s="38" t="s">
        <v>643</v>
      </c>
      <c r="D26" s="38"/>
      <c r="E26" s="38"/>
      <c r="F26" s="38"/>
      <c r="G26" s="42" t="s">
        <v>594</v>
      </c>
      <c r="H26" s="42" t="s">
        <v>28</v>
      </c>
      <c r="I26" s="252"/>
      <c r="J26" s="244" t="str">
        <f t="shared" si="1"/>
        <v/>
      </c>
      <c r="K26" s="174">
        <f>IF(ChemClass="Acid",1/(1+10^(pH.w1-0.6-pKa)),IF(ChemClass="Base",1/(1+10^(pKa-4.5)),1))</f>
        <v>1</v>
      </c>
      <c r="L26" s="175"/>
      <c r="M26" s="175"/>
      <c r="N26" s="175"/>
      <c r="O26" s="175"/>
      <c r="P26" s="173">
        <f t="shared" si="0"/>
        <v>1</v>
      </c>
      <c r="Q26" s="39"/>
      <c r="R26" s="42"/>
      <c r="S26" s="108"/>
    </row>
    <row r="27" spans="1:19" s="36" customFormat="1" ht="12.75" customHeight="1" x14ac:dyDescent="0.3">
      <c r="A27" s="3"/>
      <c r="B27" s="38"/>
      <c r="C27" s="38" t="s">
        <v>597</v>
      </c>
      <c r="D27" s="38"/>
      <c r="E27" s="38"/>
      <c r="F27" s="38"/>
      <c r="G27" s="42" t="s">
        <v>593</v>
      </c>
      <c r="H27" s="42" t="s">
        <v>28</v>
      </c>
      <c r="I27" s="252"/>
      <c r="J27" s="244" t="str">
        <f t="shared" si="1"/>
        <v/>
      </c>
      <c r="K27" s="174">
        <f>IF(ChemClass="Acid",1/(1+10^(pH.w2-pKa)),IF(ChemClass="Base",1/(1+10^(pKa-pH.w2)),1))</f>
        <v>1</v>
      </c>
      <c r="L27" s="175"/>
      <c r="M27" s="175"/>
      <c r="N27" s="175"/>
      <c r="O27" s="175"/>
      <c r="P27" s="173">
        <f t="shared" si="0"/>
        <v>1</v>
      </c>
      <c r="Q27" s="39" t="s">
        <v>477</v>
      </c>
      <c r="R27" s="42"/>
      <c r="S27" s="108"/>
    </row>
    <row r="28" spans="1:19" s="36" customFormat="1" ht="12.75" customHeight="1" x14ac:dyDescent="0.3">
      <c r="A28" s="3"/>
      <c r="B28" s="38"/>
      <c r="C28" s="38" t="s">
        <v>644</v>
      </c>
      <c r="D28" s="38"/>
      <c r="E28" s="38"/>
      <c r="F28" s="38"/>
      <c r="G28" s="42" t="s">
        <v>595</v>
      </c>
      <c r="H28" s="42"/>
      <c r="I28" s="252"/>
      <c r="J28" s="244" t="str">
        <f t="shared" si="1"/>
        <v/>
      </c>
      <c r="K28" s="174">
        <f>IF(ChemClass="Acid",1/(1+10^(pH.w2-0.6-pKa)),IF(ChemClass="Base",1/(1+10^(pKa-4.5)),1))</f>
        <v>1</v>
      </c>
      <c r="L28" s="175"/>
      <c r="M28" s="175"/>
      <c r="N28" s="175"/>
      <c r="O28" s="175"/>
      <c r="P28" s="173">
        <f t="shared" si="0"/>
        <v>1</v>
      </c>
      <c r="Q28" s="39"/>
      <c r="R28" s="42"/>
      <c r="S28" s="108"/>
    </row>
    <row r="29" spans="1:19" s="36" customFormat="1" ht="12.75" customHeight="1" x14ac:dyDescent="0.3">
      <c r="A29" s="3"/>
      <c r="B29" s="38"/>
      <c r="C29" s="38" t="s">
        <v>645</v>
      </c>
      <c r="D29" s="38"/>
      <c r="E29" s="38"/>
      <c r="F29" s="38"/>
      <c r="G29" s="42" t="s">
        <v>598</v>
      </c>
      <c r="H29" s="42" t="s">
        <v>28</v>
      </c>
      <c r="I29" s="252"/>
      <c r="J29" s="244" t="str">
        <f t="shared" si="1"/>
        <v/>
      </c>
      <c r="K29" s="174">
        <f>IF(ChemClass="Acid",1/(1+10^(pH.s1-0.6-pKa)),IF(ChemClass="Base",1/(1+10^(pKa-4.5)),1))</f>
        <v>1</v>
      </c>
      <c r="L29" s="175"/>
      <c r="M29" s="175"/>
      <c r="N29" s="175"/>
      <c r="O29" s="175"/>
      <c r="P29" s="173">
        <f t="shared" si="0"/>
        <v>1</v>
      </c>
      <c r="Q29" s="39" t="s">
        <v>477</v>
      </c>
      <c r="R29" s="42"/>
      <c r="S29" s="108"/>
    </row>
    <row r="30" spans="1:19" s="36" customFormat="1" ht="12.75" customHeight="1" x14ac:dyDescent="0.3">
      <c r="A30" s="3"/>
      <c r="B30" s="38"/>
      <c r="C30" s="38" t="s">
        <v>646</v>
      </c>
      <c r="D30" s="38"/>
      <c r="E30" s="38"/>
      <c r="F30" s="38"/>
      <c r="G30" s="42" t="s">
        <v>639</v>
      </c>
      <c r="H30" s="42" t="s">
        <v>28</v>
      </c>
      <c r="I30" s="252"/>
      <c r="J30" s="244" t="str">
        <f t="shared" si="1"/>
        <v/>
      </c>
      <c r="K30" s="174">
        <f>IF(ChemClass="Acid",1/(1+10^(pH.s1-pKa)),IF(ChemClass="Base",1/(1+10^(pKa-pH.s1)),1))</f>
        <v>1</v>
      </c>
      <c r="L30" s="175"/>
      <c r="M30" s="175"/>
      <c r="N30" s="175"/>
      <c r="O30" s="175"/>
      <c r="P30" s="173">
        <f t="shared" si="0"/>
        <v>1</v>
      </c>
      <c r="Q30" s="39" t="s">
        <v>477</v>
      </c>
      <c r="R30" s="42"/>
      <c r="S30" s="108"/>
    </row>
    <row r="31" spans="1:19" s="36" customFormat="1" ht="12.75" customHeight="1" x14ac:dyDescent="0.3">
      <c r="A31" s="3"/>
      <c r="B31" s="38"/>
      <c r="C31" s="38" t="s">
        <v>647</v>
      </c>
      <c r="D31" s="38"/>
      <c r="E31" s="38"/>
      <c r="F31" s="38"/>
      <c r="G31" s="42" t="s">
        <v>599</v>
      </c>
      <c r="H31" s="42" t="s">
        <v>28</v>
      </c>
      <c r="I31" s="252"/>
      <c r="J31" s="244" t="str">
        <f t="shared" si="1"/>
        <v/>
      </c>
      <c r="K31" s="174">
        <f>IF(ChemClass="Acid",1/(1+10^(pH.s2-0.6-pKa)),IF(ChemClass="Base",1/(1+10^(pKa-4.5)),1))</f>
        <v>1</v>
      </c>
      <c r="L31" s="175"/>
      <c r="M31" s="175"/>
      <c r="N31" s="175"/>
      <c r="O31" s="175"/>
      <c r="P31" s="173">
        <f t="shared" si="0"/>
        <v>1</v>
      </c>
      <c r="Q31" s="39" t="s">
        <v>477</v>
      </c>
      <c r="R31" s="42"/>
      <c r="S31" s="108"/>
    </row>
    <row r="32" spans="1:19" s="36" customFormat="1" ht="12.75" customHeight="1" x14ac:dyDescent="0.3">
      <c r="A32" s="3"/>
      <c r="B32" s="38"/>
      <c r="C32" s="38" t="s">
        <v>648</v>
      </c>
      <c r="D32" s="38"/>
      <c r="E32" s="38"/>
      <c r="F32" s="38"/>
      <c r="G32" s="42" t="s">
        <v>640</v>
      </c>
      <c r="H32" s="42" t="s">
        <v>28</v>
      </c>
      <c r="I32" s="252"/>
      <c r="J32" s="244" t="str">
        <f t="shared" si="1"/>
        <v/>
      </c>
      <c r="K32" s="174">
        <f>IF(ChemClass="Acid",1/(1+10^(pH.s2-pKa)),IF(ChemClass="Base",1/(1+10^(pKa-pH.s2)),1))</f>
        <v>1</v>
      </c>
      <c r="L32" s="175"/>
      <c r="M32" s="175"/>
      <c r="N32" s="175"/>
      <c r="O32" s="175"/>
      <c r="P32" s="173">
        <f t="shared" si="0"/>
        <v>1</v>
      </c>
      <c r="Q32" s="39" t="s">
        <v>477</v>
      </c>
      <c r="R32" s="42"/>
      <c r="S32" s="108"/>
    </row>
    <row r="33" spans="1:19" s="36" customFormat="1" ht="12.75" customHeight="1" x14ac:dyDescent="0.3">
      <c r="A33" s="3"/>
      <c r="B33" s="38"/>
      <c r="C33" s="38" t="s">
        <v>649</v>
      </c>
      <c r="D33" s="38"/>
      <c r="E33" s="38"/>
      <c r="F33" s="38"/>
      <c r="G33" s="42" t="s">
        <v>600</v>
      </c>
      <c r="H33" s="42" t="s">
        <v>28</v>
      </c>
      <c r="I33" s="252"/>
      <c r="J33" s="244" t="str">
        <f t="shared" si="1"/>
        <v/>
      </c>
      <c r="K33" s="174">
        <f>IF(ChemClass="Acid",1/(1+10^(pH.s3-0.6-pKa)),IF(ChemClass="Base",1/(1+10^(pKa-4.5)),1))</f>
        <v>1</v>
      </c>
      <c r="L33" s="175"/>
      <c r="M33" s="175"/>
      <c r="N33" s="175"/>
      <c r="O33" s="175"/>
      <c r="P33" s="173">
        <f t="shared" si="0"/>
        <v>1</v>
      </c>
      <c r="Q33" s="39" t="s">
        <v>477</v>
      </c>
      <c r="R33" s="42"/>
      <c r="S33" s="108"/>
    </row>
    <row r="34" spans="1:19" s="36" customFormat="1" ht="12.75" customHeight="1" x14ac:dyDescent="0.3">
      <c r="A34" s="3"/>
      <c r="B34" s="38"/>
      <c r="C34" s="38" t="s">
        <v>650</v>
      </c>
      <c r="D34" s="38"/>
      <c r="E34" s="38"/>
      <c r="F34" s="38"/>
      <c r="G34" s="42" t="s">
        <v>641</v>
      </c>
      <c r="H34" s="42" t="s">
        <v>28</v>
      </c>
      <c r="I34" s="252"/>
      <c r="J34" s="244" t="str">
        <f t="shared" si="1"/>
        <v/>
      </c>
      <c r="K34" s="174">
        <f>IF(ChemClass="Acid",1/(1+10^(pH.s3-pKa)),IF(ChemClass="Base",1/(1+10^(pKa-pH.s3)),1))</f>
        <v>1</v>
      </c>
      <c r="L34" s="175"/>
      <c r="M34" s="175"/>
      <c r="N34" s="175"/>
      <c r="O34" s="175"/>
      <c r="P34" s="173">
        <f t="shared" si="0"/>
        <v>1</v>
      </c>
      <c r="Q34" s="39" t="s">
        <v>477</v>
      </c>
      <c r="R34" s="42"/>
      <c r="S34" s="108"/>
    </row>
    <row r="35" spans="1:19" s="36" customFormat="1" ht="12.75" customHeight="1" x14ac:dyDescent="0.3">
      <c r="A35" s="38"/>
      <c r="B35" s="38"/>
      <c r="C35" s="38" t="s">
        <v>1595</v>
      </c>
      <c r="D35" s="38"/>
      <c r="E35" s="38"/>
      <c r="F35" s="38"/>
      <c r="G35" s="65" t="s">
        <v>690</v>
      </c>
      <c r="H35" s="38" t="s">
        <v>478</v>
      </c>
      <c r="I35" s="252"/>
      <c r="J35" s="244" t="str">
        <f>IF(HLOOKUP(CaseName,CaseData,ROW()-2,FALSE)="",IF(ISBLANK(VLOOKUP(ChemRowNr,SubstanceData,MATCH("Pvap25",substances!$3:$3,FALSE),FALSE)),"",VLOOKUP(ChemRowNr,SubstanceData,MATCH("Pvap25",substances!$3:$3,FALSE),FALSE)),HLOOKUP(CaseName,CaseData,ROW()-2,FALSE))</f>
        <v/>
      </c>
      <c r="K35" s="168">
        <f>substances!J9</f>
        <v>2.3194200000000004E-4</v>
      </c>
      <c r="L35" s="162"/>
      <c r="M35" s="162"/>
      <c r="N35" s="162"/>
      <c r="O35" s="162"/>
      <c r="P35" s="169">
        <f t="shared" si="0"/>
        <v>2.3194200000000004E-4</v>
      </c>
      <c r="Q35" s="38" t="s">
        <v>479</v>
      </c>
      <c r="R35" s="42"/>
      <c r="S35" s="108"/>
    </row>
    <row r="36" spans="1:19" s="36" customFormat="1" ht="12.75" customHeight="1" x14ac:dyDescent="0.3">
      <c r="A36" s="38"/>
      <c r="B36" s="42"/>
      <c r="C36" s="42" t="s">
        <v>1096</v>
      </c>
      <c r="D36" s="38"/>
      <c r="E36" s="38"/>
      <c r="F36" s="38"/>
      <c r="G36" s="43" t="s">
        <v>691</v>
      </c>
      <c r="H36" s="42" t="s">
        <v>1672</v>
      </c>
      <c r="I36" s="252"/>
      <c r="J36" s="244" t="str">
        <f t="shared" si="1"/>
        <v/>
      </c>
      <c r="K36" s="168">
        <f>-3.82*LN(IF(Tm&gt;298,Pvap25*EXP(-6.79*(1-Tm/298)),Pvap25))+70</f>
        <v>91.780813429308154</v>
      </c>
      <c r="L36" s="162"/>
      <c r="M36" s="162"/>
      <c r="N36" s="162"/>
      <c r="O36" s="162"/>
      <c r="P36" s="169">
        <f>IF(ISBLANK(I36),IF(ISNUMBER(J36)=FALSE,K36*1000,J36*1000),I36*1000)</f>
        <v>91780.813429308153</v>
      </c>
      <c r="Q36" s="64" t="s">
        <v>1390</v>
      </c>
      <c r="R36" s="305"/>
      <c r="S36" s="108"/>
    </row>
    <row r="37" spans="1:19" s="36" customFormat="1" ht="12.75" customHeight="1" x14ac:dyDescent="0.3">
      <c r="A37" s="38"/>
      <c r="B37" s="42"/>
      <c r="C37" s="42" t="s">
        <v>1700</v>
      </c>
      <c r="D37" s="38"/>
      <c r="E37" s="38"/>
      <c r="F37" s="38"/>
      <c r="G37" s="43" t="s">
        <v>2191</v>
      </c>
      <c r="H37" s="42" t="s">
        <v>1678</v>
      </c>
      <c r="I37" s="252"/>
      <c r="J37" s="244" t="str">
        <f>IF(HLOOKUP(CaseName,CaseData,ROW()-2,FALSE)="",IF(ISBLANK(VLOOKUP(ChemRowNr,SubstanceData,MATCH("Sol25",substances!$3:$3,FALSE),FALSE)),"",VLOOKUP(ChemRowNr,SubstanceData,MATCH("Sol25",substances!$3:$3,FALSE),FALSE)),HLOOKUP(CaseName,CaseData,ROW()-2,FALSE))</f>
        <v/>
      </c>
      <c r="K37" s="168">
        <f>10^(LOG(Kow)*-1.214+0.85)*(Molweight*1000000)</f>
        <v>27401.039796120687</v>
      </c>
      <c r="L37" s="162"/>
      <c r="M37" s="162"/>
      <c r="N37" s="162"/>
      <c r="O37" s="162"/>
      <c r="P37" s="169">
        <f>IF(ISBLANK(I37),IF(ISNUMBER(J37)=FALSE,K37/(1000*Molweight),J37/(1000*Molweight)),I37/(1000*Molweight))</f>
        <v>365.72950652576412</v>
      </c>
      <c r="Q37" s="42" t="s">
        <v>1391</v>
      </c>
      <c r="R37" s="42"/>
      <c r="S37" s="108"/>
    </row>
    <row r="38" spans="1:19" s="36" customFormat="1" ht="12.75" customHeight="1" x14ac:dyDescent="0.3">
      <c r="A38" s="38"/>
      <c r="B38" s="42"/>
      <c r="C38" s="42" t="s">
        <v>1097</v>
      </c>
      <c r="D38" s="38"/>
      <c r="E38" s="38"/>
      <c r="F38" s="38"/>
      <c r="G38" s="43" t="s">
        <v>931</v>
      </c>
      <c r="H38" s="42" t="s">
        <v>1672</v>
      </c>
      <c r="I38" s="252"/>
      <c r="J38" s="244" t="str">
        <f t="shared" si="1"/>
        <v/>
      </c>
      <c r="K38" s="168">
        <v>10</v>
      </c>
      <c r="L38" s="162"/>
      <c r="M38" s="162"/>
      <c r="N38" s="162"/>
      <c r="O38" s="162"/>
      <c r="P38" s="169">
        <f>IF(ISBLANK(I38),IF(ISNUMBER(J38)=FALSE,K38*1000,J38*1000),I38*1000)</f>
        <v>10000</v>
      </c>
      <c r="Q38" s="64" t="s">
        <v>1390</v>
      </c>
      <c r="R38" s="42"/>
      <c r="S38" s="108"/>
    </row>
    <row r="39" spans="1:19" s="36" customFormat="1" ht="12.75" customHeight="1" x14ac:dyDescent="0.3">
      <c r="A39" s="38"/>
      <c r="B39" s="38"/>
      <c r="C39" s="38" t="s">
        <v>1357</v>
      </c>
      <c r="D39" s="38"/>
      <c r="E39" s="38"/>
      <c r="F39" s="38"/>
      <c r="G39" s="65" t="s">
        <v>1356</v>
      </c>
      <c r="H39" s="38" t="s">
        <v>1792</v>
      </c>
      <c r="I39" s="272"/>
      <c r="J39" s="244" t="str">
        <f>IF(HLOOKUP(CaseName,CaseData,ROW()-2,FALSE)="",IF(ISBLANK(VLOOKUP(ChemRowNr,SubstanceData,MATCH("Tm",substances!$3:$3,FALSE),FALSE)),"",VLOOKUP(ChemRowNr,SubstanceData,MATCH("Tm",substances!$3:$3,FALSE),FALSE)),HLOOKUP(CaseName,CaseData,ROW()-2,FALSE))</f>
        <v/>
      </c>
      <c r="K39" s="168">
        <f>substances!I9</f>
        <v>142.06</v>
      </c>
      <c r="L39" s="162"/>
      <c r="M39" s="162"/>
      <c r="N39" s="162"/>
      <c r="O39" s="162"/>
      <c r="P39" s="169">
        <f>IF(ISBLANK(I39),IF(ISNUMBER(J39)=FALSE,K39+273,J39+273),I39+273)</f>
        <v>415.06</v>
      </c>
      <c r="Q39" s="38" t="s">
        <v>582</v>
      </c>
      <c r="R39" s="42"/>
      <c r="S39" s="108"/>
    </row>
    <row r="40" spans="1:19" s="36" customFormat="1" ht="12.75" customHeight="1" x14ac:dyDescent="0.3">
      <c r="A40" s="38"/>
      <c r="B40" s="42"/>
      <c r="C40" s="38"/>
      <c r="D40" s="38"/>
      <c r="E40" s="38"/>
      <c r="F40" s="38"/>
      <c r="G40" s="42"/>
      <c r="H40" s="42"/>
      <c r="I40" s="42"/>
      <c r="J40" s="162"/>
      <c r="K40" s="162"/>
      <c r="L40" s="162"/>
      <c r="M40" s="162"/>
      <c r="N40" s="162"/>
      <c r="O40" s="162"/>
      <c r="P40" s="162"/>
      <c r="Q40" s="38"/>
      <c r="R40" s="42"/>
      <c r="S40" s="108"/>
    </row>
    <row r="41" spans="1:19" ht="12.75" customHeight="1" x14ac:dyDescent="0.3">
      <c r="A41" s="38"/>
      <c r="B41" s="149" t="s">
        <v>1734</v>
      </c>
      <c r="C41" s="150"/>
      <c r="D41" s="150"/>
      <c r="E41" s="150"/>
      <c r="F41" s="150"/>
      <c r="G41" s="151"/>
      <c r="H41" s="147"/>
      <c r="I41" s="176" t="s">
        <v>1735</v>
      </c>
      <c r="J41" s="176" t="s">
        <v>1736</v>
      </c>
      <c r="K41" s="176" t="s">
        <v>1737</v>
      </c>
      <c r="L41" s="176"/>
      <c r="M41" s="176"/>
      <c r="N41" s="176"/>
      <c r="O41" s="176"/>
      <c r="P41" s="176" t="s">
        <v>1738</v>
      </c>
      <c r="Q41" s="147"/>
      <c r="R41" s="42"/>
      <c r="S41" s="108"/>
    </row>
    <row r="42" spans="1:19" ht="12.75" customHeight="1" x14ac:dyDescent="0.3">
      <c r="A42" s="38"/>
      <c r="B42" s="145"/>
      <c r="C42" s="145" t="s">
        <v>614</v>
      </c>
      <c r="D42" s="145"/>
      <c r="E42" s="145"/>
      <c r="F42" s="145"/>
      <c r="G42" s="145"/>
      <c r="H42" s="145"/>
      <c r="I42" s="146">
        <f>1.26*Kow^0.81</f>
        <v>9.09851562247378</v>
      </c>
      <c r="J42" s="146">
        <f>1.26*Kow^0.81</f>
        <v>9.09851562247378</v>
      </c>
      <c r="K42" s="146">
        <f>IF(Pvap25&gt;100000,(100000/SOLw25)/(8.314*298),(Pvap25/SOLw25)/(8.314*298))</f>
        <v>2.5597238410757771E-10</v>
      </c>
      <c r="L42" s="146"/>
      <c r="M42" s="146"/>
      <c r="N42" s="146"/>
      <c r="O42" s="146"/>
      <c r="P42" s="146">
        <f>IF(Pvap25&gt;100000,(100000/SOLw25)/(8.314*298),(Pvap25/SOLw25)/(8.314*298))</f>
        <v>2.5597238410757771E-10</v>
      </c>
      <c r="Q42" s="145" t="s">
        <v>477</v>
      </c>
      <c r="R42" s="42"/>
      <c r="S42" s="108"/>
    </row>
    <row r="43" spans="1:19" ht="12.75" customHeight="1" x14ac:dyDescent="0.3">
      <c r="A43" s="38"/>
      <c r="B43" s="145"/>
      <c r="C43" s="145" t="s">
        <v>612</v>
      </c>
      <c r="D43" s="145"/>
      <c r="E43" s="145"/>
      <c r="F43" s="145"/>
      <c r="G43" s="145"/>
      <c r="H43" s="145"/>
      <c r="I43" s="146">
        <f>10^(0.54*LOG(Kow)+1.11)</f>
        <v>48.128242186760289</v>
      </c>
      <c r="J43" s="146">
        <f>10^(0.11*LOG(Kow)+1.54)</f>
        <v>45.352371345144554</v>
      </c>
      <c r="K43" s="146">
        <f>IF(Pvap25&gt;100000,(100000/SOLw25)/(8.314*298),(Pvap25/SOLw25)/(8.314*298))</f>
        <v>2.5597238410757771E-10</v>
      </c>
      <c r="L43" s="146"/>
      <c r="M43" s="146"/>
      <c r="N43" s="146"/>
      <c r="O43" s="146"/>
      <c r="P43" s="146">
        <v>0</v>
      </c>
      <c r="Q43" s="145" t="s">
        <v>477</v>
      </c>
      <c r="R43" s="42"/>
      <c r="S43" s="108"/>
    </row>
    <row r="44" spans="1:19" ht="12.75" customHeight="1" x14ac:dyDescent="0.3">
      <c r="A44" s="38"/>
      <c r="B44" s="145"/>
      <c r="C44" s="145" t="s">
        <v>613</v>
      </c>
      <c r="D44" s="145"/>
      <c r="E44" s="145"/>
      <c r="F44" s="145"/>
      <c r="G44" s="145"/>
      <c r="H44" s="145"/>
      <c r="I44" s="146">
        <f>10^(0.37*LOG(Kow)+1.7)</f>
        <v>123.65167393491731</v>
      </c>
      <c r="J44" s="146">
        <f>10^(pKa^0.65*(Kow/(1+Kow))^0.14)</f>
        <v>312043.82782556937</v>
      </c>
      <c r="K44" s="146">
        <f>IF(Pvap25&gt;100000,(100000/SOLw25)/(8.314*298),(Pvap25/SOLw25)/(8.314*298))</f>
        <v>2.5597238410757771E-10</v>
      </c>
      <c r="L44" s="146"/>
      <c r="M44" s="146"/>
      <c r="N44" s="146"/>
      <c r="O44" s="146"/>
      <c r="P44" s="146">
        <v>0</v>
      </c>
      <c r="Q44" s="145" t="s">
        <v>477</v>
      </c>
      <c r="R44" s="42"/>
      <c r="S44" s="108"/>
    </row>
    <row r="45" spans="1:19" ht="12.75" customHeight="1" x14ac:dyDescent="0.3">
      <c r="A45" s="38"/>
      <c r="B45" s="145"/>
      <c r="C45" s="145" t="s">
        <v>1607</v>
      </c>
      <c r="D45" s="145"/>
      <c r="E45" s="145"/>
      <c r="F45" s="145"/>
      <c r="G45" s="145"/>
      <c r="H45" s="145"/>
      <c r="I45" s="146">
        <v>1000</v>
      </c>
      <c r="J45" s="146">
        <v>1000</v>
      </c>
      <c r="K45" s="146">
        <v>9.9999999999999995E-21</v>
      </c>
      <c r="L45" s="146"/>
      <c r="M45" s="146"/>
      <c r="N45" s="146"/>
      <c r="O45" s="146"/>
      <c r="P45" s="146">
        <v>9.9999999999999995E-21</v>
      </c>
      <c r="Q45" s="145" t="s">
        <v>477</v>
      </c>
      <c r="R45" s="42"/>
      <c r="S45" s="108"/>
    </row>
    <row r="46" spans="1:19" ht="12.75" customHeight="1" x14ac:dyDescent="0.3">
      <c r="A46" s="38"/>
      <c r="B46" s="145"/>
      <c r="C46" s="145" t="s">
        <v>651</v>
      </c>
      <c r="D46" s="145"/>
      <c r="E46" s="145"/>
      <c r="F46" s="145"/>
      <c r="G46" s="145"/>
      <c r="H46" s="145"/>
      <c r="I46" s="146">
        <f>1.26*Kow^0.81</f>
        <v>9.09851562247378</v>
      </c>
      <c r="J46" s="146">
        <f>1.26*Kow^0.81</f>
        <v>9.09851562247378</v>
      </c>
      <c r="K46" s="146">
        <f t="shared" ref="K46:K64" si="2">IF(Pvap25&gt;100000,(100000/SOLw25)/(8.314*298),(Pvap25/SOLw25)/(8.314*298))</f>
        <v>2.5597238410757771E-10</v>
      </c>
      <c r="L46" s="146"/>
      <c r="M46" s="146"/>
      <c r="N46" s="146"/>
      <c r="O46" s="146"/>
      <c r="P46" s="146">
        <f t="shared" ref="P46:P64" si="3">IF(Pvap25&gt;100000,(100000/SOLw25)/(8.314*298),(Pvap25/SOLw25)/(8.314*298))</f>
        <v>2.5597238410757771E-10</v>
      </c>
      <c r="Q46" s="145" t="s">
        <v>477</v>
      </c>
      <c r="R46" s="42"/>
      <c r="S46" s="108"/>
    </row>
    <row r="47" spans="1:19" ht="12.75" customHeight="1" x14ac:dyDescent="0.3">
      <c r="A47" s="38"/>
      <c r="B47" s="145"/>
      <c r="C47" s="145" t="s">
        <v>381</v>
      </c>
      <c r="D47" s="145"/>
      <c r="E47" s="145"/>
      <c r="F47" s="145"/>
      <c r="G47" s="145"/>
      <c r="H47" s="145"/>
      <c r="I47" s="146">
        <f>10.47*Kow^0.52</f>
        <v>37.251750169605089</v>
      </c>
      <c r="J47" s="146">
        <f>10.47*Kow^0.52</f>
        <v>37.251750169605089</v>
      </c>
      <c r="K47" s="146">
        <f t="shared" si="2"/>
        <v>2.5597238410757771E-10</v>
      </c>
      <c r="L47" s="146"/>
      <c r="M47" s="146"/>
      <c r="N47" s="146"/>
      <c r="O47" s="146"/>
      <c r="P47" s="146">
        <f t="shared" si="3"/>
        <v>2.5597238410757771E-10</v>
      </c>
      <c r="Q47" s="145" t="s">
        <v>477</v>
      </c>
      <c r="R47" s="42"/>
      <c r="S47" s="108"/>
    </row>
    <row r="48" spans="1:19" ht="12.75" customHeight="1" x14ac:dyDescent="0.3">
      <c r="A48" s="38"/>
      <c r="B48" s="145"/>
      <c r="C48" s="145" t="s">
        <v>382</v>
      </c>
      <c r="D48" s="145"/>
      <c r="E48" s="145"/>
      <c r="F48" s="145"/>
      <c r="G48" s="145"/>
      <c r="H48" s="145"/>
      <c r="I48" s="146">
        <f>7.94*Kow^0.63</f>
        <v>36.950515565700044</v>
      </c>
      <c r="J48" s="146">
        <f>7.94*Kow^0.63</f>
        <v>36.950515565700044</v>
      </c>
      <c r="K48" s="146">
        <f t="shared" si="2"/>
        <v>2.5597238410757771E-10</v>
      </c>
      <c r="L48" s="146"/>
      <c r="M48" s="146"/>
      <c r="N48" s="146"/>
      <c r="O48" s="146"/>
      <c r="P48" s="146">
        <f t="shared" si="3"/>
        <v>2.5597238410757771E-10</v>
      </c>
      <c r="Q48" s="145" t="s">
        <v>477</v>
      </c>
      <c r="R48" s="42"/>
      <c r="S48" s="108"/>
    </row>
    <row r="49" spans="1:19" ht="12.75" customHeight="1" x14ac:dyDescent="0.3">
      <c r="A49" s="38"/>
      <c r="B49" s="145"/>
      <c r="C49" s="145" t="s">
        <v>383</v>
      </c>
      <c r="D49" s="145"/>
      <c r="E49" s="145"/>
      <c r="F49" s="145"/>
      <c r="G49" s="145"/>
      <c r="H49" s="145"/>
      <c r="I49" s="146">
        <f>12.3*Kow^0.47</f>
        <v>38.735138347108119</v>
      </c>
      <c r="J49" s="146">
        <f>12.3*Kow^0.47</f>
        <v>38.735138347108119</v>
      </c>
      <c r="K49" s="146">
        <f t="shared" si="2"/>
        <v>2.5597238410757771E-10</v>
      </c>
      <c r="L49" s="146"/>
      <c r="M49" s="146"/>
      <c r="N49" s="146"/>
      <c r="O49" s="146"/>
      <c r="P49" s="146">
        <f t="shared" si="3"/>
        <v>2.5597238410757771E-10</v>
      </c>
      <c r="Q49" s="145" t="s">
        <v>477</v>
      </c>
      <c r="R49" s="42"/>
      <c r="S49" s="108"/>
    </row>
    <row r="50" spans="1:19" ht="12.75" customHeight="1" x14ac:dyDescent="0.3">
      <c r="A50" s="38"/>
      <c r="B50" s="145"/>
      <c r="C50" s="145" t="s">
        <v>384</v>
      </c>
      <c r="D50" s="145"/>
      <c r="E50" s="145"/>
      <c r="F50" s="145"/>
      <c r="G50" s="145"/>
      <c r="H50" s="145"/>
      <c r="I50" s="146">
        <f>3.16*Kow^0.47</f>
        <v>9.9514664371432229</v>
      </c>
      <c r="J50" s="146">
        <f>3.16*Kow^0.47</f>
        <v>9.9514664371432229</v>
      </c>
      <c r="K50" s="146">
        <f t="shared" si="2"/>
        <v>2.5597238410757771E-10</v>
      </c>
      <c r="L50" s="146"/>
      <c r="M50" s="146"/>
      <c r="N50" s="146"/>
      <c r="O50" s="146"/>
      <c r="P50" s="146">
        <f t="shared" si="3"/>
        <v>2.5597238410757771E-10</v>
      </c>
      <c r="Q50" s="145" t="s">
        <v>477</v>
      </c>
      <c r="R50" s="42"/>
      <c r="S50" s="108"/>
    </row>
    <row r="51" spans="1:19" ht="12.75" customHeight="1" x14ac:dyDescent="0.3">
      <c r="A51" s="38"/>
      <c r="B51" s="145"/>
      <c r="C51" s="145" t="s">
        <v>385</v>
      </c>
      <c r="D51" s="145"/>
      <c r="E51" s="145"/>
      <c r="F51" s="145"/>
      <c r="G51" s="145"/>
      <c r="H51" s="145"/>
      <c r="I51" s="146">
        <f>13.18*Kow^0.4</f>
        <v>34.987701306837614</v>
      </c>
      <c r="J51" s="146">
        <f>13.18*Kow^0.4</f>
        <v>34.987701306837614</v>
      </c>
      <c r="K51" s="146">
        <f t="shared" si="2"/>
        <v>2.5597238410757771E-10</v>
      </c>
      <c r="L51" s="146"/>
      <c r="M51" s="146"/>
      <c r="N51" s="146"/>
      <c r="O51" s="146"/>
      <c r="P51" s="146">
        <f t="shared" si="3"/>
        <v>2.5597238410757771E-10</v>
      </c>
      <c r="Q51" s="145" t="s">
        <v>477</v>
      </c>
      <c r="R51" s="42"/>
      <c r="S51" s="108"/>
    </row>
    <row r="52" spans="1:19" ht="12.75" customHeight="1" x14ac:dyDescent="0.3">
      <c r="A52" s="38"/>
      <c r="B52" s="145"/>
      <c r="C52" s="145" t="s">
        <v>386</v>
      </c>
      <c r="D52" s="145"/>
      <c r="E52" s="145"/>
      <c r="F52" s="145"/>
      <c r="G52" s="145"/>
      <c r="H52" s="145"/>
      <c r="I52" s="146">
        <f>3.16*Kow^0.39</f>
        <v>8.1862891917037466</v>
      </c>
      <c r="J52" s="146">
        <f>3.16*Kow^0.39</f>
        <v>8.1862891917037466</v>
      </c>
      <c r="K52" s="146">
        <f t="shared" si="2"/>
        <v>2.5597238410757771E-10</v>
      </c>
      <c r="L52" s="146"/>
      <c r="M52" s="146"/>
      <c r="N52" s="146"/>
      <c r="O52" s="146"/>
      <c r="P52" s="146">
        <f t="shared" si="3"/>
        <v>2.5597238410757771E-10</v>
      </c>
      <c r="Q52" s="145" t="s">
        <v>477</v>
      </c>
      <c r="R52" s="42"/>
      <c r="S52" s="108"/>
    </row>
    <row r="53" spans="1:19" ht="12.75" customHeight="1" x14ac:dyDescent="0.3">
      <c r="A53" s="38"/>
      <c r="B53" s="145"/>
      <c r="C53" s="145" t="s">
        <v>387</v>
      </c>
      <c r="D53" s="145"/>
      <c r="E53" s="145"/>
      <c r="F53" s="145"/>
      <c r="G53" s="145"/>
      <c r="H53" s="145"/>
      <c r="I53" s="146">
        <f>17.78*Kow^0.33</f>
        <v>39.786135431786057</v>
      </c>
      <c r="J53" s="146">
        <f>17.78*Kow^0.33</f>
        <v>39.786135431786057</v>
      </c>
      <c r="K53" s="146">
        <f t="shared" si="2"/>
        <v>2.5597238410757771E-10</v>
      </c>
      <c r="L53" s="146"/>
      <c r="M53" s="146"/>
      <c r="N53" s="146"/>
      <c r="O53" s="146"/>
      <c r="P53" s="146">
        <f t="shared" si="3"/>
        <v>2.5597238410757771E-10</v>
      </c>
      <c r="Q53" s="145" t="s">
        <v>477</v>
      </c>
      <c r="R53" s="42"/>
      <c r="S53" s="108"/>
    </row>
    <row r="54" spans="1:19" ht="12.75" customHeight="1" x14ac:dyDescent="0.3">
      <c r="A54" s="38"/>
      <c r="B54" s="145"/>
      <c r="C54" s="145" t="s">
        <v>388</v>
      </c>
      <c r="D54" s="145"/>
      <c r="E54" s="145"/>
      <c r="F54" s="145"/>
      <c r="G54" s="145"/>
      <c r="H54" s="145"/>
      <c r="I54" s="146">
        <f>7.08*Kow^0.62</f>
        <v>32.153870454384887</v>
      </c>
      <c r="J54" s="146">
        <f>7.08*Kow^0.62</f>
        <v>32.153870454384887</v>
      </c>
      <c r="K54" s="146">
        <f t="shared" si="2"/>
        <v>2.5597238410757771E-10</v>
      </c>
      <c r="L54" s="146"/>
      <c r="M54" s="146"/>
      <c r="N54" s="146"/>
      <c r="O54" s="146"/>
      <c r="P54" s="146">
        <f t="shared" si="3"/>
        <v>2.5597238410757771E-10</v>
      </c>
      <c r="Q54" s="145" t="s">
        <v>477</v>
      </c>
      <c r="R54" s="42"/>
      <c r="S54" s="108"/>
    </row>
    <row r="55" spans="1:19" ht="12.75" customHeight="1" x14ac:dyDescent="0.3">
      <c r="A55" s="38"/>
      <c r="B55" s="145"/>
      <c r="C55" s="145" t="s">
        <v>389</v>
      </c>
      <c r="D55" s="145"/>
      <c r="E55" s="145"/>
      <c r="F55" s="145"/>
      <c r="G55" s="145"/>
      <c r="H55" s="145"/>
      <c r="I55" s="146">
        <f>13.8*Kow^0.37</f>
        <v>34.0470184755521</v>
      </c>
      <c r="J55" s="146">
        <f>13.8*Kow^0.37</f>
        <v>34.0470184755521</v>
      </c>
      <c r="K55" s="146">
        <f t="shared" si="2"/>
        <v>2.5597238410757771E-10</v>
      </c>
      <c r="L55" s="146"/>
      <c r="M55" s="146"/>
      <c r="N55" s="146"/>
      <c r="O55" s="146"/>
      <c r="P55" s="146">
        <f t="shared" si="3"/>
        <v>2.5597238410757771E-10</v>
      </c>
      <c r="Q55" s="145" t="s">
        <v>477</v>
      </c>
      <c r="R55" s="42"/>
      <c r="S55" s="108"/>
    </row>
    <row r="56" spans="1:19" ht="12.75" customHeight="1" x14ac:dyDescent="0.3">
      <c r="A56" s="38"/>
      <c r="B56" s="145"/>
      <c r="C56" s="145" t="s">
        <v>390</v>
      </c>
      <c r="D56" s="145"/>
      <c r="E56" s="145"/>
      <c r="F56" s="145"/>
      <c r="G56" s="145"/>
      <c r="H56" s="145"/>
      <c r="I56" s="146">
        <f>83.18*Kow^0.38</f>
        <v>210.2901428526016</v>
      </c>
      <c r="J56" s="146">
        <f>83.18*Kow^0.38</f>
        <v>210.2901428526016</v>
      </c>
      <c r="K56" s="146">
        <f t="shared" si="2"/>
        <v>2.5597238410757771E-10</v>
      </c>
      <c r="L56" s="146"/>
      <c r="M56" s="146"/>
      <c r="N56" s="146"/>
      <c r="O56" s="146"/>
      <c r="P56" s="146">
        <f t="shared" si="3"/>
        <v>2.5597238410757771E-10</v>
      </c>
      <c r="Q56" s="145" t="s">
        <v>477</v>
      </c>
      <c r="R56" s="42"/>
      <c r="S56" s="108"/>
    </row>
    <row r="57" spans="1:19" ht="12.75" customHeight="1" x14ac:dyDescent="0.3">
      <c r="A57" s="38"/>
      <c r="B57" s="145"/>
      <c r="C57" s="145" t="s">
        <v>391</v>
      </c>
      <c r="D57" s="145"/>
      <c r="E57" s="145"/>
      <c r="F57" s="145"/>
      <c r="G57" s="145"/>
      <c r="H57" s="145"/>
      <c r="I57" s="146">
        <f>11.22*Kow^0.49</f>
        <v>37.101618626030429</v>
      </c>
      <c r="J57" s="146">
        <f>11.22*Kow^0.49</f>
        <v>37.101618626030429</v>
      </c>
      <c r="K57" s="146">
        <f t="shared" si="2"/>
        <v>2.5597238410757771E-10</v>
      </c>
      <c r="L57" s="146"/>
      <c r="M57" s="146"/>
      <c r="N57" s="146"/>
      <c r="O57" s="146"/>
      <c r="P57" s="146">
        <f t="shared" si="3"/>
        <v>2.5597238410757771E-10</v>
      </c>
      <c r="Q57" s="145" t="s">
        <v>477</v>
      </c>
      <c r="R57" s="42"/>
      <c r="S57" s="108"/>
    </row>
    <row r="58" spans="1:19" ht="12.75" customHeight="1" x14ac:dyDescent="0.3">
      <c r="A58" s="38"/>
      <c r="B58" s="145"/>
      <c r="C58" s="145" t="s">
        <v>392</v>
      </c>
      <c r="D58" s="145"/>
      <c r="E58" s="145"/>
      <c r="F58" s="145"/>
      <c r="G58" s="145"/>
      <c r="H58" s="145"/>
      <c r="I58" s="146">
        <f>3.55*Kow^0.77</f>
        <v>23.250288868064509</v>
      </c>
      <c r="J58" s="146">
        <f>3.55*Kow^0.77</f>
        <v>23.250288868064509</v>
      </c>
      <c r="K58" s="146">
        <f t="shared" si="2"/>
        <v>2.5597238410757771E-10</v>
      </c>
      <c r="L58" s="146"/>
      <c r="M58" s="146"/>
      <c r="N58" s="146"/>
      <c r="O58" s="146"/>
      <c r="P58" s="146">
        <f t="shared" si="3"/>
        <v>2.5597238410757771E-10</v>
      </c>
      <c r="Q58" s="145" t="s">
        <v>477</v>
      </c>
      <c r="R58" s="42"/>
      <c r="S58" s="108"/>
    </row>
    <row r="59" spans="1:19" ht="12.75" customHeight="1" x14ac:dyDescent="0.3">
      <c r="A59" s="38"/>
      <c r="B59" s="145"/>
      <c r="C59" s="145" t="s">
        <v>393</v>
      </c>
      <c r="D59" s="145"/>
      <c r="E59" s="145"/>
      <c r="F59" s="145"/>
      <c r="G59" s="145"/>
      <c r="H59" s="145"/>
      <c r="I59" s="146">
        <f>2.09*Kow^0.6</f>
        <v>9.039539068631683</v>
      </c>
      <c r="J59" s="146">
        <f>2.09*Kow^0.6</f>
        <v>9.039539068631683</v>
      </c>
      <c r="K59" s="146">
        <f t="shared" si="2"/>
        <v>2.5597238410757771E-10</v>
      </c>
      <c r="L59" s="146"/>
      <c r="M59" s="146"/>
      <c r="N59" s="146"/>
      <c r="O59" s="146"/>
      <c r="P59" s="146">
        <f t="shared" si="3"/>
        <v>2.5597238410757771E-10</v>
      </c>
      <c r="Q59" s="145" t="s">
        <v>477</v>
      </c>
      <c r="R59" s="42"/>
      <c r="S59" s="108"/>
    </row>
    <row r="60" spans="1:19" ht="12.75" customHeight="1" x14ac:dyDescent="0.3">
      <c r="A60" s="38"/>
      <c r="B60" s="145"/>
      <c r="C60" s="145" t="s">
        <v>394</v>
      </c>
      <c r="D60" s="145"/>
      <c r="E60" s="145"/>
      <c r="F60" s="145"/>
      <c r="G60" s="145"/>
      <c r="H60" s="145"/>
      <c r="I60" s="146">
        <f>12.02*Kow^0.57</f>
        <v>48.31750137301804</v>
      </c>
      <c r="J60" s="146">
        <f>12.02*Kow^0.57</f>
        <v>48.31750137301804</v>
      </c>
      <c r="K60" s="146">
        <f t="shared" si="2"/>
        <v>2.5597238410757771E-10</v>
      </c>
      <c r="L60" s="146"/>
      <c r="M60" s="146"/>
      <c r="N60" s="146"/>
      <c r="O60" s="146"/>
      <c r="P60" s="146">
        <f t="shared" si="3"/>
        <v>2.5597238410757771E-10</v>
      </c>
      <c r="Q60" s="145" t="s">
        <v>477</v>
      </c>
      <c r="R60" s="42"/>
      <c r="S60" s="108"/>
    </row>
    <row r="61" spans="1:19" ht="12.75" customHeight="1" x14ac:dyDescent="0.3">
      <c r="A61" s="38"/>
      <c r="B61" s="145"/>
      <c r="C61" s="145" t="s">
        <v>395</v>
      </c>
      <c r="D61" s="145"/>
      <c r="E61" s="145"/>
      <c r="F61" s="145"/>
      <c r="G61" s="145"/>
      <c r="H61" s="145"/>
      <c r="I61" s="146">
        <f>11.22*Kow^0.49</f>
        <v>37.101618626030429</v>
      </c>
      <c r="J61" s="146">
        <f>11.22*Kow^0.49</f>
        <v>37.101618626030429</v>
      </c>
      <c r="K61" s="146">
        <f t="shared" si="2"/>
        <v>2.5597238410757771E-10</v>
      </c>
      <c r="L61" s="146"/>
      <c r="M61" s="146"/>
      <c r="N61" s="146"/>
      <c r="O61" s="146"/>
      <c r="P61" s="146">
        <f t="shared" si="3"/>
        <v>2.5597238410757771E-10</v>
      </c>
      <c r="Q61" s="145" t="s">
        <v>477</v>
      </c>
      <c r="R61" s="42"/>
      <c r="S61" s="108"/>
    </row>
    <row r="62" spans="1:19" ht="12.75" customHeight="1" x14ac:dyDescent="0.3">
      <c r="A62" s="38"/>
      <c r="B62" s="145"/>
      <c r="C62" s="145" t="s">
        <v>396</v>
      </c>
      <c r="D62" s="145"/>
      <c r="E62" s="145"/>
      <c r="F62" s="145"/>
      <c r="G62" s="145"/>
      <c r="H62" s="145"/>
      <c r="I62" s="146">
        <f>14.79*Kow^0.49</f>
        <v>48.906679097949201</v>
      </c>
      <c r="J62" s="146">
        <f>14.79*Kow^0.49</f>
        <v>48.906679097949201</v>
      </c>
      <c r="K62" s="146">
        <f t="shared" si="2"/>
        <v>2.5597238410757771E-10</v>
      </c>
      <c r="L62" s="146"/>
      <c r="M62" s="146"/>
      <c r="N62" s="146"/>
      <c r="O62" s="146"/>
      <c r="P62" s="146">
        <f t="shared" si="3"/>
        <v>2.5597238410757771E-10</v>
      </c>
      <c r="Q62" s="145" t="s">
        <v>477</v>
      </c>
      <c r="R62" s="42"/>
      <c r="S62" s="108"/>
    </row>
    <row r="63" spans="1:19" ht="12.75" customHeight="1" x14ac:dyDescent="0.3">
      <c r="A63" s="38"/>
      <c r="B63" s="145"/>
      <c r="C63" s="145" t="s">
        <v>397</v>
      </c>
      <c r="D63" s="145"/>
      <c r="E63" s="145"/>
      <c r="F63" s="145"/>
      <c r="G63" s="145"/>
      <c r="H63" s="145"/>
      <c r="I63" s="146">
        <f>31.62*Kow^0.3</f>
        <v>65.760009246218871</v>
      </c>
      <c r="J63" s="146">
        <f>31.62*Kow^0.3</f>
        <v>65.760009246218871</v>
      </c>
      <c r="K63" s="146">
        <f t="shared" si="2"/>
        <v>2.5597238410757771E-10</v>
      </c>
      <c r="L63" s="146"/>
      <c r="M63" s="146"/>
      <c r="N63" s="146"/>
      <c r="O63" s="146"/>
      <c r="P63" s="146">
        <f t="shared" si="3"/>
        <v>2.5597238410757771E-10</v>
      </c>
      <c r="Q63" s="145" t="s">
        <v>477</v>
      </c>
      <c r="R63" s="42"/>
      <c r="S63" s="108"/>
    </row>
    <row r="64" spans="1:19" ht="12.75" customHeight="1" x14ac:dyDescent="0.3">
      <c r="A64" s="38"/>
      <c r="B64" s="147"/>
      <c r="C64" s="147" t="s">
        <v>398</v>
      </c>
      <c r="D64" s="147"/>
      <c r="E64" s="147"/>
      <c r="F64" s="147"/>
      <c r="G64" s="147"/>
      <c r="H64" s="147"/>
      <c r="I64" s="148">
        <f>25.7*Kow^0.47</f>
        <v>80.934394757778747</v>
      </c>
      <c r="J64" s="148">
        <f>25.7*Kow^0.47</f>
        <v>80.934394757778747</v>
      </c>
      <c r="K64" s="148">
        <f t="shared" si="2"/>
        <v>2.5597238410757771E-10</v>
      </c>
      <c r="L64" s="148"/>
      <c r="M64" s="148"/>
      <c r="N64" s="148"/>
      <c r="O64" s="148"/>
      <c r="P64" s="148">
        <f t="shared" si="3"/>
        <v>2.5597238410757771E-10</v>
      </c>
      <c r="Q64" s="147" t="s">
        <v>477</v>
      </c>
      <c r="R64" s="42"/>
      <c r="S64" s="108"/>
    </row>
    <row r="65" spans="1:22" s="36" customFormat="1" ht="12.75" customHeight="1" x14ac:dyDescent="0.3">
      <c r="A65" s="38"/>
      <c r="B65" s="42"/>
      <c r="C65" s="38"/>
      <c r="D65" s="38"/>
      <c r="E65" s="38"/>
      <c r="F65" s="38"/>
      <c r="G65" s="42"/>
      <c r="H65" s="42"/>
      <c r="I65" s="171"/>
      <c r="J65" s="162"/>
      <c r="K65" s="162"/>
      <c r="L65" s="162"/>
      <c r="M65" s="162"/>
      <c r="N65" s="162"/>
      <c r="O65" s="162"/>
      <c r="P65" s="162"/>
      <c r="Q65" s="38"/>
      <c r="R65" s="42"/>
      <c r="S65" s="108"/>
    </row>
    <row r="66" spans="1:22" s="36" customFormat="1" ht="12.75" customHeight="1" x14ac:dyDescent="0.3">
      <c r="A66" s="38"/>
      <c r="B66" s="42" t="s">
        <v>1701</v>
      </c>
      <c r="C66" s="38"/>
      <c r="D66" s="64"/>
      <c r="E66" s="38"/>
      <c r="F66" s="38"/>
      <c r="G66" s="63" t="s">
        <v>926</v>
      </c>
      <c r="H66" s="42" t="s">
        <v>1673</v>
      </c>
      <c r="I66" s="252"/>
      <c r="J66" s="244">
        <f>IF(HLOOKUP(CaseName,CaseData,ROW()-2,FALSE)="",IF(ISBLANK(VLOOKUP(ChemRowNr,SubstanceData,MATCH("kdeg(air)",substances!$3:$3,FALSE),FALSE)),"",VLOOKUP(ChemRowNr,SubstanceData,MATCH("kdeg(air)",substances!$3:$3,FALSE),FALSE)),HLOOKUP(CaseName,CaseData,ROW()-2,FALSE))</f>
        <v>9.9999999999999995E-21</v>
      </c>
      <c r="K66" s="168">
        <f>C.OHrad*k0.OHrad*EXP(-Ea.OHrad/(8.314*298))</f>
        <v>3.5063474584268925E-6</v>
      </c>
      <c r="L66" s="393"/>
      <c r="M66" s="162"/>
      <c r="N66" s="162"/>
      <c r="O66" s="162"/>
      <c r="P66" s="169">
        <f>IF(ISBLANK(I66), IF(ISNUMBER(J66)=FALSE, K66, J66), I66)</f>
        <v>9.9999999999999995E-21</v>
      </c>
      <c r="Q66" s="42" t="s">
        <v>108</v>
      </c>
      <c r="R66" s="42"/>
      <c r="S66" s="108"/>
    </row>
    <row r="67" spans="1:22" s="36" customFormat="1" ht="12.75" customHeight="1" x14ac:dyDescent="0.3">
      <c r="A67" s="42"/>
      <c r="B67" s="38"/>
      <c r="C67" s="42" t="s">
        <v>1098</v>
      </c>
      <c r="D67" s="38"/>
      <c r="E67" s="38"/>
      <c r="F67" s="38"/>
      <c r="G67" s="43" t="s">
        <v>1304</v>
      </c>
      <c r="H67" s="42" t="s">
        <v>1668</v>
      </c>
      <c r="I67" s="252"/>
      <c r="J67" s="244" t="str">
        <f>IF(HLOOKUP(CaseName,CaseData,ROW()-2,FALSE)="","",HLOOKUP(CaseName,CaseData,ROW()-2,FALSE))</f>
        <v/>
      </c>
      <c r="K67" s="168">
        <v>500000</v>
      </c>
      <c r="L67" s="393"/>
      <c r="M67" s="162"/>
      <c r="N67" s="162"/>
      <c r="O67" s="162"/>
      <c r="P67" s="169">
        <f>IF(ISBLANK(I67), IF(ISNUMBER(J67)=FALSE, K67, J67), I67)</f>
        <v>500000</v>
      </c>
      <c r="Q67" s="42" t="s">
        <v>925</v>
      </c>
      <c r="R67" s="42"/>
      <c r="S67" s="108"/>
    </row>
    <row r="68" spans="1:22" s="36" customFormat="1" ht="12.75" customHeight="1" x14ac:dyDescent="0.3">
      <c r="A68" s="42"/>
      <c r="B68" s="38"/>
      <c r="C68" s="42" t="s">
        <v>1099</v>
      </c>
      <c r="D68" s="38"/>
      <c r="E68" s="38"/>
      <c r="F68" s="38"/>
      <c r="G68" s="43" t="s">
        <v>932</v>
      </c>
      <c r="H68" s="42" t="s">
        <v>1674</v>
      </c>
      <c r="I68" s="252"/>
      <c r="J68" s="244" t="str">
        <f>IF(HLOOKUP(CaseName,CaseData,ROW()-2,FALSE)="","",HLOOKUP(CaseName,CaseData,ROW()-2,FALSE))</f>
        <v/>
      </c>
      <c r="K68" s="168">
        <v>7.8999999999999999E-11</v>
      </c>
      <c r="L68" s="393"/>
      <c r="M68" s="162"/>
      <c r="N68" s="162"/>
      <c r="O68" s="162"/>
      <c r="P68" s="169">
        <f>IF(ISBLANK(I68), IF(ISNUMBER(J68)=FALSE, K68, J68), I68)</f>
        <v>7.8999999999999999E-11</v>
      </c>
      <c r="Q68" s="42" t="s">
        <v>924</v>
      </c>
      <c r="R68" s="42"/>
      <c r="S68" s="108"/>
    </row>
    <row r="69" spans="1:22" s="36" customFormat="1" ht="12.75" customHeight="1" x14ac:dyDescent="0.3">
      <c r="A69" s="42"/>
      <c r="B69" s="38"/>
      <c r="C69" s="42" t="s">
        <v>37</v>
      </c>
      <c r="D69" s="38"/>
      <c r="E69" s="38"/>
      <c r="F69" s="38"/>
      <c r="G69" s="43" t="s">
        <v>930</v>
      </c>
      <c r="H69" s="42" t="s">
        <v>1389</v>
      </c>
      <c r="I69" s="252"/>
      <c r="J69" s="244" t="str">
        <f>IF(HLOOKUP(CaseName,CaseData,ROW()-2,FALSE)="","",HLOOKUP(CaseName,CaseData,ROW()-2,FALSE))</f>
        <v/>
      </c>
      <c r="K69" s="168">
        <v>6</v>
      </c>
      <c r="L69" s="393"/>
      <c r="M69" s="162"/>
      <c r="N69" s="162"/>
      <c r="O69" s="162"/>
      <c r="P69" s="169">
        <f>IF(ISBLANK(I69),IF(ISNUMBER(J69)=FALSE,K69*1000,J69*1000),I69*1000)</f>
        <v>6000</v>
      </c>
      <c r="Q69" s="42" t="s">
        <v>1390</v>
      </c>
      <c r="R69" s="42"/>
      <c r="S69" s="108"/>
    </row>
    <row r="70" spans="1:22" s="36" customFormat="1" ht="12.75" customHeight="1" x14ac:dyDescent="0.3">
      <c r="A70" s="38"/>
      <c r="B70" s="42" t="s">
        <v>1702</v>
      </c>
      <c r="C70" s="38"/>
      <c r="D70" s="64"/>
      <c r="E70" s="38"/>
      <c r="F70" s="38"/>
      <c r="G70" s="63" t="s">
        <v>188</v>
      </c>
      <c r="H70" s="42" t="s">
        <v>1673</v>
      </c>
      <c r="I70" s="252"/>
      <c r="J70" s="244">
        <f>IF(HLOOKUP(CaseName,CaseData,ROW()-2,FALSE)="",IF(ISBLANK(VLOOKUP(ChemRowNr,SubstanceData,MATCH("kdeg(water)",substances!$3:$3,FALSE),FALSE)),"",VLOOKUP(ChemRowNr,SubstanceData,MATCH("kdeg(water)",substances!$3:$3,FALSE),FALSE)),HLOOKUP(CaseName,CaseData,ROW()-2,FALSE))</f>
        <v>9.9999999999999995E-21</v>
      </c>
      <c r="K70" s="168">
        <f>IF(Biodeg="r",LN(2)/15*Q.10^(13/10),IF(Biodeg="r-",LN(2)/50*Q.10^(13/10),IF(Biodeg="i",LN(2)/150*Q.10^(13/10),1E-20)))/(3600*24)</f>
        <v>1.316920183599007E-7</v>
      </c>
      <c r="L70" s="393"/>
      <c r="M70" s="162"/>
      <c r="N70" s="162"/>
      <c r="O70" s="162"/>
      <c r="P70" s="169">
        <f t="shared" ref="P70:P75" si="4">IF(ISBLANK(I70), IF(ISNUMBER(J70)=FALSE, K70, J70), I70)</f>
        <v>9.9999999999999995E-21</v>
      </c>
      <c r="Q70" s="42" t="s">
        <v>108</v>
      </c>
      <c r="R70" s="484"/>
      <c r="S70" s="108"/>
    </row>
    <row r="71" spans="1:22" s="36" customFormat="1" ht="12.75" customHeight="1" x14ac:dyDescent="0.3">
      <c r="A71" s="38"/>
      <c r="B71" s="38"/>
      <c r="C71" s="42" t="s">
        <v>1105</v>
      </c>
      <c r="D71" s="38"/>
      <c r="E71" s="38"/>
      <c r="F71" s="38"/>
      <c r="G71" s="43" t="s">
        <v>759</v>
      </c>
      <c r="H71" s="42" t="s">
        <v>1290</v>
      </c>
      <c r="I71" s="252"/>
      <c r="J71" s="244"/>
      <c r="K71" s="485" t="s">
        <v>1291</v>
      </c>
      <c r="L71" s="394"/>
      <c r="M71" s="175"/>
      <c r="N71" s="175"/>
      <c r="O71" s="175"/>
      <c r="P71" s="173" t="str">
        <f t="shared" si="4"/>
        <v>i</v>
      </c>
      <c r="Q71" s="38"/>
      <c r="R71" s="42"/>
      <c r="S71" s="108"/>
    </row>
    <row r="72" spans="1:22" s="36" customFormat="1" ht="12.75" customHeight="1" x14ac:dyDescent="0.3">
      <c r="A72" s="38"/>
      <c r="B72" s="38"/>
      <c r="C72" s="42" t="s">
        <v>758</v>
      </c>
      <c r="D72" s="64"/>
      <c r="E72" s="38"/>
      <c r="F72" s="38"/>
      <c r="G72" s="42" t="s">
        <v>15</v>
      </c>
      <c r="H72" s="42" t="s">
        <v>1667</v>
      </c>
      <c r="I72" s="252"/>
      <c r="J72" s="244" t="str">
        <f>IF(HLOOKUP(CaseName,CaseData,ROW()-2,FALSE)="","",HLOOKUP(CaseName,CaseData,ROW()-2,FALSE))</f>
        <v/>
      </c>
      <c r="K72" s="168">
        <v>40000</v>
      </c>
      <c r="L72" s="393"/>
      <c r="M72" s="162"/>
      <c r="N72" s="162"/>
      <c r="O72" s="162"/>
      <c r="P72" s="169">
        <f t="shared" si="4"/>
        <v>40000</v>
      </c>
      <c r="Q72" s="42" t="s">
        <v>725</v>
      </c>
      <c r="R72" s="42"/>
      <c r="S72" s="108"/>
    </row>
    <row r="73" spans="1:22" s="36" customFormat="1" ht="12.75" customHeight="1" x14ac:dyDescent="0.3">
      <c r="A73" s="38"/>
      <c r="B73" s="38"/>
      <c r="C73" s="38" t="s">
        <v>1703</v>
      </c>
      <c r="D73" s="38"/>
      <c r="E73" s="38"/>
      <c r="F73" s="38"/>
      <c r="G73" s="42" t="s">
        <v>259</v>
      </c>
      <c r="H73" s="42" t="s">
        <v>28</v>
      </c>
      <c r="I73" s="252"/>
      <c r="J73" s="244" t="str">
        <f>IF(HLOOKUP(CaseName,CaseData,ROW()-2,FALSE)="","",HLOOKUP(CaseName,CaseData,ROW()-2,FALSE))</f>
        <v/>
      </c>
      <c r="K73" s="168">
        <v>2</v>
      </c>
      <c r="L73" s="393"/>
      <c r="M73" s="162"/>
      <c r="N73" s="162"/>
      <c r="O73" s="162"/>
      <c r="P73" s="169">
        <f t="shared" si="4"/>
        <v>2</v>
      </c>
      <c r="Q73" s="42" t="s">
        <v>477</v>
      </c>
      <c r="R73" s="42"/>
      <c r="S73" s="108"/>
    </row>
    <row r="74" spans="1:22" s="36" customFormat="1" ht="12.75" customHeight="1" x14ac:dyDescent="0.3">
      <c r="A74" s="38"/>
      <c r="B74" s="42" t="s">
        <v>1704</v>
      </c>
      <c r="C74" s="64"/>
      <c r="D74" s="64"/>
      <c r="E74" s="38"/>
      <c r="F74" s="38"/>
      <c r="G74" s="63" t="s">
        <v>927</v>
      </c>
      <c r="H74" s="42" t="s">
        <v>1673</v>
      </c>
      <c r="I74" s="252"/>
      <c r="J74" s="244">
        <f>IF(HLOOKUP(CaseName,CaseData,ROW()-2,FALSE)="",IF(ISBLANK(VLOOKUP(ChemRowNr,SubstanceData,MATCH("kdeg(sed)",substances!$3:$3,FALSE),FALSE)),"",VLOOKUP(ChemRowNr,SubstanceData,MATCH("kdeg(sed)",substances!$3:$3,FALSE),FALSE)),HLOOKUP(CaseName,CaseData,ROW()-2,FALSE))</f>
        <v>9.9999999999999995E-21</v>
      </c>
      <c r="K74" s="168">
        <f ca="1"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93"/>
      <c r="M74" s="162"/>
      <c r="N74" s="162"/>
      <c r="O74" s="162"/>
      <c r="P74" s="169">
        <f t="shared" si="4"/>
        <v>9.9999999999999995E-21</v>
      </c>
      <c r="Q74" s="42" t="s">
        <v>108</v>
      </c>
      <c r="R74" s="42"/>
      <c r="S74" s="108"/>
    </row>
    <row r="75" spans="1:22" s="36" customFormat="1" ht="12.75" customHeight="1" x14ac:dyDescent="0.3">
      <c r="A75" s="38"/>
      <c r="B75" s="42" t="s">
        <v>1705</v>
      </c>
      <c r="C75" s="64"/>
      <c r="D75" s="64"/>
      <c r="E75" s="38"/>
      <c r="F75" s="38"/>
      <c r="G75" s="63" t="s">
        <v>928</v>
      </c>
      <c r="H75" s="42" t="s">
        <v>1673</v>
      </c>
      <c r="I75" s="252"/>
      <c r="J75" s="244">
        <f>IF(HLOOKUP(CaseName,CaseData,ROW()-2,FALSE)="",IF(ISBLANK(VLOOKUP(ChemRowNr,SubstanceData,MATCH("kdeg(soil)",substances!$3:$3,FALSE),FALSE)),"",VLOOKUP(ChemRowNr,SubstanceData,MATCH("kdeg(soil)",substances!$3:$3,FALSE),FALSE)),HLOOKUP(CaseName,CaseData,ROW()-2,FALSE))</f>
        <v>9.9999999999999995E-21</v>
      </c>
      <c r="K75" s="168">
        <f ca="1"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93"/>
      <c r="M75" s="162"/>
      <c r="N75" s="162"/>
      <c r="O75" s="162"/>
      <c r="P75" s="169">
        <f t="shared" si="4"/>
        <v>9.9999999999999995E-21</v>
      </c>
      <c r="Q75" s="42" t="s">
        <v>108</v>
      </c>
      <c r="R75" s="42"/>
      <c r="S75" s="108"/>
    </row>
    <row r="76" spans="1:22" s="36" customFormat="1" ht="12.75" customHeight="1" x14ac:dyDescent="0.3">
      <c r="A76" s="38"/>
      <c r="B76" s="42"/>
      <c r="C76" s="64"/>
      <c r="D76" s="64"/>
      <c r="E76" s="38"/>
      <c r="F76" s="38"/>
      <c r="G76" s="63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108"/>
    </row>
    <row r="77" spans="1:22" s="36" customFormat="1" ht="12.75" customHeight="1" x14ac:dyDescent="0.3">
      <c r="A77" s="66" t="s">
        <v>2403</v>
      </c>
      <c r="B77" s="66"/>
      <c r="C77" s="66"/>
      <c r="D77" s="66"/>
      <c r="E77" s="66"/>
      <c r="F77" s="66"/>
      <c r="G77" s="67" t="s">
        <v>969</v>
      </c>
      <c r="H77" s="67" t="s">
        <v>929</v>
      </c>
      <c r="I77" s="163" t="s">
        <v>748</v>
      </c>
      <c r="J77" s="483" t="s">
        <v>29</v>
      </c>
      <c r="K77" s="163" t="s">
        <v>747</v>
      </c>
      <c r="L77" s="163" t="s">
        <v>2388</v>
      </c>
      <c r="M77" s="163" t="s">
        <v>2389</v>
      </c>
      <c r="N77" s="472" t="s">
        <v>2413</v>
      </c>
      <c r="O77" s="472"/>
      <c r="P77" s="163" t="s">
        <v>1353</v>
      </c>
      <c r="Q77" s="66"/>
      <c r="R77" s="67" t="s">
        <v>1366</v>
      </c>
      <c r="S77" s="108"/>
    </row>
    <row r="78" spans="1:22" s="36" customFormat="1" ht="12.75" customHeight="1" x14ac:dyDescent="0.3">
      <c r="A78" s="380"/>
      <c r="B78" s="380"/>
      <c r="C78" s="380"/>
      <c r="D78" s="380"/>
      <c r="E78" s="379"/>
      <c r="F78" s="379"/>
      <c r="G78" s="382"/>
      <c r="H78" s="306"/>
      <c r="I78" s="164"/>
      <c r="J78" s="387"/>
      <c r="K78" s="387"/>
      <c r="L78" s="387"/>
      <c r="M78" s="387"/>
      <c r="N78" s="473"/>
      <c r="O78" s="473"/>
      <c r="P78" s="387"/>
      <c r="Q78" s="384"/>
      <c r="R78" s="42"/>
      <c r="S78" s="108"/>
    </row>
    <row r="79" spans="1:22" s="36" customFormat="1" ht="12.75" customHeight="1" x14ac:dyDescent="0.3">
      <c r="A79" s="398" t="s">
        <v>2428</v>
      </c>
      <c r="B79" s="384"/>
      <c r="C79" s="384"/>
      <c r="D79" s="384"/>
      <c r="E79" s="384"/>
      <c r="F79" s="384"/>
      <c r="G79" s="306"/>
      <c r="H79" s="306"/>
      <c r="I79" s="171"/>
      <c r="J79" s="162"/>
      <c r="K79" s="162"/>
      <c r="L79" s="162"/>
      <c r="M79" s="162"/>
      <c r="N79" s="471"/>
      <c r="O79" s="471"/>
      <c r="P79" s="162"/>
      <c r="Q79" s="38"/>
      <c r="R79" s="489"/>
      <c r="S79" s="108"/>
    </row>
    <row r="80" spans="1:22" s="36" customFormat="1" ht="12.75" customHeight="1" x14ac:dyDescent="0.3">
      <c r="A80" s="306"/>
      <c r="B80" s="306" t="s">
        <v>968</v>
      </c>
      <c r="C80" s="384"/>
      <c r="D80" s="384"/>
      <c r="E80" s="384"/>
      <c r="F80" s="384"/>
      <c r="G80" s="399" t="s">
        <v>2429</v>
      </c>
      <c r="H80" s="380" t="s">
        <v>2412</v>
      </c>
      <c r="I80" s="252">
        <v>1.0000000000000001E-5</v>
      </c>
      <c r="J80" s="338"/>
      <c r="K80" s="452"/>
      <c r="L80" s="395"/>
      <c r="M80" s="395"/>
      <c r="N80" s="474"/>
      <c r="O80" s="474"/>
      <c r="P80" s="169">
        <f>IF(ISBLANK(I80),IF(ISNUMBER(J80)=FALSE,K80*1000/(Molweight*3600*24*365),J80*1000/(Molweight*3600*24*365)),I80*1000/(Molweight*3600*24*365))</f>
        <v>4.2323965296742981E-9</v>
      </c>
      <c r="Q80" s="42" t="s">
        <v>710</v>
      </c>
      <c r="R80" s="489"/>
      <c r="S80" s="108"/>
      <c r="V80"/>
    </row>
    <row r="81" spans="1:22" s="36" customFormat="1" ht="12.75" customHeight="1" x14ac:dyDescent="0.3">
      <c r="A81" s="306"/>
      <c r="B81" s="306" t="s">
        <v>2404</v>
      </c>
      <c r="C81" s="384"/>
      <c r="D81" s="384"/>
      <c r="E81" s="384"/>
      <c r="F81" s="384"/>
      <c r="G81" s="399" t="s">
        <v>2430</v>
      </c>
      <c r="H81" s="380" t="s">
        <v>2412</v>
      </c>
      <c r="I81" s="252">
        <v>1.0000000000000001E-5</v>
      </c>
      <c r="J81" s="338"/>
      <c r="K81" s="452"/>
      <c r="L81" s="395"/>
      <c r="M81" s="395"/>
      <c r="N81" s="474"/>
      <c r="O81" s="474"/>
      <c r="P81" s="169">
        <f>IF(ISBLANK(I81),IF(ISNUMBER(J81)=FALSE,K81*1000/(Molweight*3600*24*365),J81*1000/(Molweight*3600*24*365)),I81*1000/(Molweight*3600*24*365))</f>
        <v>4.2323965296742981E-9</v>
      </c>
      <c r="Q81" s="42" t="s">
        <v>710</v>
      </c>
      <c r="R81" s="489"/>
      <c r="S81" s="108"/>
      <c r="V81"/>
    </row>
    <row r="82" spans="1:22" s="36" customFormat="1" ht="12.75" customHeight="1" x14ac:dyDescent="0.3">
      <c r="A82" s="306"/>
      <c r="B82" s="306" t="s">
        <v>1087</v>
      </c>
      <c r="C82" s="384"/>
      <c r="D82" s="384"/>
      <c r="E82" s="384"/>
      <c r="F82" s="384"/>
      <c r="G82" s="399" t="s">
        <v>2431</v>
      </c>
      <c r="H82" s="380" t="s">
        <v>2412</v>
      </c>
      <c r="I82" s="252">
        <v>1.0000000000000001E-5</v>
      </c>
      <c r="J82" s="338"/>
      <c r="K82" s="452"/>
      <c r="L82" s="395"/>
      <c r="M82" s="395"/>
      <c r="N82" s="474"/>
      <c r="O82" s="474"/>
      <c r="P82" s="169">
        <f>IF(ISBLANK(I82),IF(ISNUMBER(J82)=FALSE,K82*1000/(Molweight*3600*24*365),J82*1000/(Molweight*3600*24*365)),I82*1000/(Molweight*3600*24*365))</f>
        <v>4.2323965296742981E-9</v>
      </c>
      <c r="Q82" s="42" t="s">
        <v>710</v>
      </c>
      <c r="R82" s="489"/>
      <c r="S82" s="108"/>
      <c r="V82"/>
    </row>
    <row r="83" spans="1:22" s="36" customFormat="1" ht="12.75" customHeight="1" x14ac:dyDescent="0.3">
      <c r="A83" s="50" t="s">
        <v>2405</v>
      </c>
      <c r="B83" s="38"/>
      <c r="C83" s="38"/>
      <c r="D83" s="38"/>
      <c r="E83" s="38"/>
      <c r="F83" s="38"/>
      <c r="G83" s="42"/>
      <c r="H83" s="42"/>
      <c r="I83" s="171"/>
      <c r="J83" s="162"/>
      <c r="K83" s="162"/>
      <c r="L83" s="162"/>
      <c r="M83" s="162"/>
      <c r="N83" s="471"/>
      <c r="O83" s="471"/>
      <c r="P83" s="162"/>
      <c r="Q83" s="38"/>
      <c r="R83" s="489"/>
      <c r="S83" s="108"/>
      <c r="V83"/>
    </row>
    <row r="84" spans="1:22" s="36" customFormat="1" ht="12.75" customHeight="1" x14ac:dyDescent="0.3">
      <c r="A84" s="42"/>
      <c r="B84" s="42" t="s">
        <v>968</v>
      </c>
      <c r="C84" s="38"/>
      <c r="D84" s="38"/>
      <c r="E84" s="38"/>
      <c r="F84" s="38"/>
      <c r="G84" s="43" t="s">
        <v>694</v>
      </c>
      <c r="H84" s="380" t="s">
        <v>2412</v>
      </c>
      <c r="I84" s="252">
        <v>0.01</v>
      </c>
      <c r="J84" s="338"/>
      <c r="K84" s="452"/>
      <c r="L84" s="395"/>
      <c r="M84" s="395"/>
      <c r="N84" s="475"/>
      <c r="O84" s="475"/>
      <c r="P84" s="169">
        <f t="shared" ref="P84:P90" si="5">IF(ISBLANK(I84),IF(ISNUMBER(J84)=FALSE,K84*1000/(Molweight*3600*24*365),J84*1000/(Molweight*3600*24*365)),I84*1000/(Molweight*3600*24*365))</f>
        <v>4.2323965296742974E-6</v>
      </c>
      <c r="Q84" s="42" t="s">
        <v>710</v>
      </c>
      <c r="R84" s="489"/>
      <c r="S84" s="108"/>
      <c r="V84"/>
    </row>
    <row r="85" spans="1:22" s="36" customFormat="1" ht="12.75" customHeight="1" x14ac:dyDescent="0.3">
      <c r="A85" s="42"/>
      <c r="B85" s="42" t="s">
        <v>1696</v>
      </c>
      <c r="C85" s="38"/>
      <c r="D85" s="38"/>
      <c r="E85" s="38"/>
      <c r="F85" s="38"/>
      <c r="G85" s="43" t="s">
        <v>1695</v>
      </c>
      <c r="H85" s="380" t="s">
        <v>2412</v>
      </c>
      <c r="I85" s="252"/>
      <c r="J85" s="338"/>
      <c r="K85" s="168">
        <v>0</v>
      </c>
      <c r="L85" s="162"/>
      <c r="M85" s="162"/>
      <c r="N85" s="471"/>
      <c r="O85" s="471"/>
      <c r="P85" s="169">
        <f t="shared" si="5"/>
        <v>0</v>
      </c>
      <c r="Q85" s="42" t="s">
        <v>710</v>
      </c>
      <c r="R85" s="489"/>
      <c r="S85" s="108"/>
      <c r="V85"/>
    </row>
    <row r="86" spans="1:22" s="36" customFormat="1" ht="12.75" customHeight="1" x14ac:dyDescent="0.3">
      <c r="A86" s="42"/>
      <c r="B86" s="42" t="s">
        <v>1598</v>
      </c>
      <c r="C86" s="38"/>
      <c r="D86" s="38"/>
      <c r="E86" s="38"/>
      <c r="F86" s="38"/>
      <c r="G86" s="43" t="s">
        <v>693</v>
      </c>
      <c r="H86" s="380" t="s">
        <v>2412</v>
      </c>
      <c r="I86" s="252">
        <v>0.01</v>
      </c>
      <c r="J86" s="338"/>
      <c r="K86" s="452"/>
      <c r="L86" s="395"/>
      <c r="M86" s="395"/>
      <c r="N86" s="475"/>
      <c r="O86" s="475"/>
      <c r="P86" s="169">
        <f t="shared" si="5"/>
        <v>4.2323965296742974E-6</v>
      </c>
      <c r="Q86" s="42" t="s">
        <v>710</v>
      </c>
      <c r="R86" s="489"/>
      <c r="S86" s="108"/>
      <c r="V86"/>
    </row>
    <row r="87" spans="1:22" s="36" customFormat="1" ht="12.75" customHeight="1" x14ac:dyDescent="0.3">
      <c r="A87" s="42"/>
      <c r="B87" s="42" t="s">
        <v>1599</v>
      </c>
      <c r="C87" s="38"/>
      <c r="D87" s="38"/>
      <c r="E87" s="38"/>
      <c r="F87" s="38"/>
      <c r="G87" s="43" t="s">
        <v>695</v>
      </c>
      <c r="H87" s="380" t="s">
        <v>2412</v>
      </c>
      <c r="I87" s="252"/>
      <c r="J87" s="338"/>
      <c r="K87" s="168">
        <v>0</v>
      </c>
      <c r="L87" s="162"/>
      <c r="M87" s="162"/>
      <c r="N87" s="471"/>
      <c r="O87" s="471"/>
      <c r="P87" s="169">
        <f t="shared" si="5"/>
        <v>0</v>
      </c>
      <c r="Q87" s="42" t="s">
        <v>710</v>
      </c>
      <c r="R87" s="489"/>
      <c r="S87" s="108"/>
      <c r="V87"/>
    </row>
    <row r="88" spans="1:22" s="36" customFormat="1" ht="12.75" customHeight="1" x14ac:dyDescent="0.3">
      <c r="A88" s="42"/>
      <c r="B88" s="42" t="s">
        <v>1194</v>
      </c>
      <c r="C88" s="38"/>
      <c r="D88" s="38"/>
      <c r="E88" s="38"/>
      <c r="F88" s="38"/>
      <c r="G88" s="43" t="s">
        <v>696</v>
      </c>
      <c r="H88" s="380" t="s">
        <v>2412</v>
      </c>
      <c r="I88" s="252">
        <v>0.01</v>
      </c>
      <c r="J88" s="338"/>
      <c r="K88" s="168">
        <v>0</v>
      </c>
      <c r="L88" s="162"/>
      <c r="M88" s="162"/>
      <c r="N88" s="471"/>
      <c r="O88" s="471"/>
      <c r="P88" s="169">
        <f t="shared" si="5"/>
        <v>4.2323965296742974E-6</v>
      </c>
      <c r="Q88" s="42" t="s">
        <v>710</v>
      </c>
      <c r="R88" s="489"/>
      <c r="S88" s="108"/>
      <c r="V88"/>
    </row>
    <row r="89" spans="1:22" s="36" customFormat="1" ht="12.75" customHeight="1" x14ac:dyDescent="0.3">
      <c r="A89" s="42"/>
      <c r="B89" s="42" t="s">
        <v>966</v>
      </c>
      <c r="C89" s="38"/>
      <c r="D89" s="38"/>
      <c r="E89" s="38"/>
      <c r="F89" s="38"/>
      <c r="G89" s="43" t="s">
        <v>1168</v>
      </c>
      <c r="H89" s="380" t="s">
        <v>2412</v>
      </c>
      <c r="I89" s="252">
        <v>0.01</v>
      </c>
      <c r="J89" s="338"/>
      <c r="K89" s="301"/>
      <c r="L89" s="162"/>
      <c r="M89" s="162"/>
      <c r="N89" s="471"/>
      <c r="O89" s="471"/>
      <c r="P89" s="169">
        <f t="shared" si="5"/>
        <v>4.2323965296742974E-6</v>
      </c>
      <c r="Q89" s="42" t="s">
        <v>710</v>
      </c>
      <c r="R89" s="489"/>
      <c r="S89" s="108"/>
      <c r="V89"/>
    </row>
    <row r="90" spans="1:22" s="36" customFormat="1" ht="12.75" customHeight="1" x14ac:dyDescent="0.3">
      <c r="A90" s="42"/>
      <c r="B90" s="42" t="s">
        <v>967</v>
      </c>
      <c r="C90" s="38"/>
      <c r="D90" s="38"/>
      <c r="E90" s="38"/>
      <c r="F90" s="38"/>
      <c r="G90" s="43" t="s">
        <v>1169</v>
      </c>
      <c r="H90" s="380" t="s">
        <v>2412</v>
      </c>
      <c r="I90" s="252">
        <v>0.01</v>
      </c>
      <c r="J90" s="338"/>
      <c r="K90" s="168">
        <v>0</v>
      </c>
      <c r="L90" s="395"/>
      <c r="M90" s="395"/>
      <c r="N90" s="475"/>
      <c r="O90" s="475"/>
      <c r="P90" s="169">
        <f t="shared" si="5"/>
        <v>4.2323965296742974E-6</v>
      </c>
      <c r="Q90" s="42" t="s">
        <v>710</v>
      </c>
      <c r="R90" s="489"/>
      <c r="S90" s="108"/>
      <c r="V90"/>
    </row>
    <row r="91" spans="1:22" s="36" customFormat="1" ht="12.75" customHeight="1" x14ac:dyDescent="0.3">
      <c r="A91" s="50" t="s">
        <v>2406</v>
      </c>
      <c r="B91" s="38"/>
      <c r="C91" s="38"/>
      <c r="D91" s="38"/>
      <c r="E91" s="38"/>
      <c r="F91" s="38"/>
      <c r="G91" s="68"/>
      <c r="H91" s="42"/>
      <c r="I91" s="252"/>
      <c r="J91" s="387"/>
      <c r="K91" s="387"/>
      <c r="L91" s="387"/>
      <c r="M91" s="162"/>
      <c r="N91" s="471"/>
      <c r="O91" s="471"/>
      <c r="P91" s="162"/>
      <c r="Q91" s="38"/>
      <c r="R91" s="489"/>
      <c r="S91" s="108"/>
      <c r="V91"/>
    </row>
    <row r="92" spans="1:22" s="36" customFormat="1" ht="12.75" customHeight="1" x14ac:dyDescent="0.3">
      <c r="A92" s="42"/>
      <c r="B92" s="42" t="s">
        <v>968</v>
      </c>
      <c r="C92" s="38"/>
      <c r="D92" s="38"/>
      <c r="E92" s="38"/>
      <c r="F92" s="38"/>
      <c r="G92" s="43" t="s">
        <v>1175</v>
      </c>
      <c r="H92" s="380" t="s">
        <v>2412</v>
      </c>
      <c r="I92" s="252">
        <v>0.01</v>
      </c>
      <c r="J92" s="338"/>
      <c r="K92" s="301"/>
      <c r="L92" s="388"/>
      <c r="M92" s="388"/>
      <c r="N92" s="421"/>
      <c r="O92" s="421"/>
      <c r="P92" s="169">
        <f t="shared" ref="P92:P98" si="6">IF(ISBLANK(I92),IF(ISNUMBER(J92)=FALSE,K92*1000/(Molweight*3600*24*365),J92*1000/(Molweight*3600*24*365)),I92*1000/(Molweight*3600*24*365))</f>
        <v>4.2323965296742974E-6</v>
      </c>
      <c r="Q92" s="42" t="s">
        <v>710</v>
      </c>
      <c r="R92" s="489"/>
      <c r="S92" s="108"/>
      <c r="V92"/>
    </row>
    <row r="93" spans="1:22" s="36" customFormat="1" ht="12.75" customHeight="1" x14ac:dyDescent="0.3">
      <c r="A93" s="42"/>
      <c r="B93" s="42" t="s">
        <v>1696</v>
      </c>
      <c r="C93" s="38"/>
      <c r="D93" s="38"/>
      <c r="E93" s="38"/>
      <c r="F93" s="38"/>
      <c r="G93" s="43" t="s">
        <v>1697</v>
      </c>
      <c r="H93" s="380" t="s">
        <v>2412</v>
      </c>
      <c r="I93" s="252">
        <v>0.01</v>
      </c>
      <c r="J93" s="338"/>
      <c r="K93" s="168">
        <v>0</v>
      </c>
      <c r="L93" s="162"/>
      <c r="M93" s="162"/>
      <c r="N93" s="471"/>
      <c r="O93" s="471"/>
      <c r="P93" s="169">
        <f t="shared" si="6"/>
        <v>4.2323965296742974E-6</v>
      </c>
      <c r="Q93" s="42" t="s">
        <v>1693</v>
      </c>
      <c r="R93" s="489"/>
      <c r="S93" s="108"/>
      <c r="V93"/>
    </row>
    <row r="94" spans="1:22" s="36" customFormat="1" ht="12.75" customHeight="1" x14ac:dyDescent="0.3">
      <c r="A94" s="42"/>
      <c r="B94" s="42" t="s">
        <v>1598</v>
      </c>
      <c r="C94" s="38"/>
      <c r="D94" s="38"/>
      <c r="E94" s="38"/>
      <c r="F94" s="38"/>
      <c r="G94" s="43" t="s">
        <v>1170</v>
      </c>
      <c r="H94" s="380" t="s">
        <v>2412</v>
      </c>
      <c r="I94" s="252">
        <v>0.01</v>
      </c>
      <c r="J94" s="338"/>
      <c r="K94" s="301"/>
      <c r="L94" s="388"/>
      <c r="M94" s="388"/>
      <c r="N94" s="421"/>
      <c r="O94" s="421"/>
      <c r="P94" s="169">
        <f t="shared" si="6"/>
        <v>4.2323965296742974E-6</v>
      </c>
      <c r="Q94" s="42" t="s">
        <v>710</v>
      </c>
      <c r="R94" s="489"/>
      <c r="S94" s="108"/>
      <c r="V94"/>
    </row>
    <row r="95" spans="1:22" s="36" customFormat="1" ht="12.75" customHeight="1" x14ac:dyDescent="0.3">
      <c r="A95" s="42"/>
      <c r="B95" s="42" t="s">
        <v>1599</v>
      </c>
      <c r="C95" s="38"/>
      <c r="D95" s="38"/>
      <c r="E95" s="38"/>
      <c r="F95" s="38"/>
      <c r="G95" s="43" t="s">
        <v>1171</v>
      </c>
      <c r="H95" s="380" t="s">
        <v>2412</v>
      </c>
      <c r="I95" s="252">
        <v>0.01</v>
      </c>
      <c r="J95" s="338"/>
      <c r="K95" s="168">
        <v>0</v>
      </c>
      <c r="L95" s="162"/>
      <c r="M95" s="162"/>
      <c r="N95" s="471"/>
      <c r="O95" s="471"/>
      <c r="P95" s="169">
        <f t="shared" si="6"/>
        <v>4.2323965296742974E-6</v>
      </c>
      <c r="Q95" s="42" t="s">
        <v>710</v>
      </c>
      <c r="R95" s="489"/>
      <c r="S95" s="108"/>
      <c r="V95"/>
    </row>
    <row r="96" spans="1:22" s="36" customFormat="1" ht="12.75" customHeight="1" x14ac:dyDescent="0.3">
      <c r="A96" s="42"/>
      <c r="B96" s="42" t="s">
        <v>1194</v>
      </c>
      <c r="C96" s="38"/>
      <c r="D96" s="38"/>
      <c r="E96" s="38"/>
      <c r="F96" s="38"/>
      <c r="G96" s="43" t="s">
        <v>1172</v>
      </c>
      <c r="H96" s="380" t="s">
        <v>2412</v>
      </c>
      <c r="I96" s="252">
        <v>0.01</v>
      </c>
      <c r="J96" s="338"/>
      <c r="K96" s="168">
        <v>0</v>
      </c>
      <c r="L96" s="162"/>
      <c r="M96" s="162"/>
      <c r="N96" s="471"/>
      <c r="O96" s="471"/>
      <c r="P96" s="169">
        <f t="shared" si="6"/>
        <v>4.2323965296742974E-6</v>
      </c>
      <c r="Q96" s="42" t="s">
        <v>710</v>
      </c>
      <c r="R96" s="489"/>
      <c r="S96" s="108"/>
      <c r="V96"/>
    </row>
    <row r="97" spans="1:23" s="36" customFormat="1" ht="12.75" customHeight="1" x14ac:dyDescent="0.3">
      <c r="A97" s="42"/>
      <c r="B97" s="42" t="s">
        <v>966</v>
      </c>
      <c r="C97" s="38"/>
      <c r="D97" s="38"/>
      <c r="E97" s="38"/>
      <c r="F97" s="38"/>
      <c r="G97" s="43" t="s">
        <v>1173</v>
      </c>
      <c r="H97" s="380" t="s">
        <v>2412</v>
      </c>
      <c r="I97" s="252">
        <v>0.01</v>
      </c>
      <c r="J97" s="338"/>
      <c r="K97" s="301"/>
      <c r="L97" s="162"/>
      <c r="M97" s="162"/>
      <c r="N97" s="471"/>
      <c r="O97" s="471"/>
      <c r="P97" s="169">
        <f t="shared" si="6"/>
        <v>4.2323965296742974E-6</v>
      </c>
      <c r="Q97" s="42" t="s">
        <v>710</v>
      </c>
      <c r="R97" s="489"/>
      <c r="S97" s="108"/>
      <c r="V97"/>
    </row>
    <row r="98" spans="1:23" s="36" customFormat="1" ht="12.75" customHeight="1" x14ac:dyDescent="0.3">
      <c r="A98" s="42"/>
      <c r="B98" s="42" t="s">
        <v>967</v>
      </c>
      <c r="C98" s="38"/>
      <c r="D98" s="38"/>
      <c r="E98" s="38"/>
      <c r="F98" s="38"/>
      <c r="G98" s="43" t="s">
        <v>1174</v>
      </c>
      <c r="H98" s="380" t="s">
        <v>2412</v>
      </c>
      <c r="I98" s="252">
        <v>0.01</v>
      </c>
      <c r="J98" s="338"/>
      <c r="K98" s="168">
        <v>0</v>
      </c>
      <c r="L98" s="388"/>
      <c r="M98" s="388"/>
      <c r="N98" s="421"/>
      <c r="O98" s="421"/>
      <c r="P98" s="169">
        <f t="shared" si="6"/>
        <v>4.2323965296742974E-6</v>
      </c>
      <c r="Q98" s="42" t="s">
        <v>710</v>
      </c>
      <c r="R98" s="489"/>
      <c r="S98" s="108"/>
      <c r="V98"/>
    </row>
    <row r="99" spans="1:23" s="36" customFormat="1" ht="12.75" customHeight="1" x14ac:dyDescent="0.3">
      <c r="A99" s="50" t="s">
        <v>2407</v>
      </c>
      <c r="B99" s="38"/>
      <c r="C99" s="38"/>
      <c r="D99" s="38"/>
      <c r="E99" s="38"/>
      <c r="F99" s="38"/>
      <c r="G99" s="68"/>
      <c r="H99" s="42"/>
      <c r="I99" s="252"/>
      <c r="J99" s="387"/>
      <c r="K99" s="387"/>
      <c r="L99" s="387"/>
      <c r="M99" s="162"/>
      <c r="N99" s="471"/>
      <c r="O99" s="471"/>
      <c r="P99" s="162"/>
      <c r="Q99" s="38"/>
      <c r="R99" s="489"/>
      <c r="S99" s="108"/>
      <c r="V99"/>
    </row>
    <row r="100" spans="1:23" s="36" customFormat="1" ht="12.75" customHeight="1" x14ac:dyDescent="0.3">
      <c r="A100" s="42"/>
      <c r="B100" s="42" t="s">
        <v>968</v>
      </c>
      <c r="C100" s="38"/>
      <c r="D100" s="38"/>
      <c r="E100" s="38"/>
      <c r="F100" s="38"/>
      <c r="G100" s="43" t="s">
        <v>1176</v>
      </c>
      <c r="H100" s="380" t="s">
        <v>2412</v>
      </c>
      <c r="I100" s="252">
        <v>0</v>
      </c>
      <c r="J100" s="338"/>
      <c r="K100" s="168">
        <v>0</v>
      </c>
      <c r="L100" s="162"/>
      <c r="M100" s="162"/>
      <c r="N100" s="471"/>
      <c r="O100" s="471"/>
      <c r="P100" s="169">
        <f>IF(ISBLANK(I100),IF(ISNUMBER(J100)=FALSE,K100*1000/(Molweight*3600*24*365),J100*1000/(Molweight*3600*24*365)),I100*1000/(Molweight*3600*24*365))</f>
        <v>0</v>
      </c>
      <c r="Q100" s="42" t="s">
        <v>710</v>
      </c>
      <c r="R100" s="489"/>
      <c r="S100" s="108"/>
      <c r="V100"/>
    </row>
    <row r="101" spans="1:23" s="36" customFormat="1" ht="12.75" customHeight="1" x14ac:dyDescent="0.3">
      <c r="A101" s="42"/>
      <c r="B101" s="42" t="s">
        <v>1242</v>
      </c>
      <c r="C101" s="38"/>
      <c r="D101" s="38"/>
      <c r="E101" s="38"/>
      <c r="F101" s="38"/>
      <c r="G101" s="43" t="s">
        <v>684</v>
      </c>
      <c r="H101" s="380" t="s">
        <v>2412</v>
      </c>
      <c r="I101" s="252"/>
      <c r="J101" s="338"/>
      <c r="K101" s="168">
        <v>0</v>
      </c>
      <c r="L101" s="162"/>
      <c r="M101" s="162"/>
      <c r="N101" s="471"/>
      <c r="O101" s="471"/>
      <c r="P101" s="169">
        <f>IF(ISBLANK(I101),IF(ISNUMBER(J101)=FALSE,K101*1000/(Molweight*3600*24*365),J101*1000/(Molweight*3600*24*365)),I101*1000/(Molweight*3600*24*365))</f>
        <v>0</v>
      </c>
      <c r="Q101" s="42" t="s">
        <v>710</v>
      </c>
      <c r="R101" s="489"/>
      <c r="S101" s="108"/>
      <c r="V101"/>
    </row>
    <row r="102" spans="1:23" s="36" customFormat="1" ht="12.75" customHeight="1" x14ac:dyDescent="0.3">
      <c r="A102" s="42"/>
      <c r="B102" s="42" t="s">
        <v>1087</v>
      </c>
      <c r="C102" s="38"/>
      <c r="D102" s="38"/>
      <c r="E102" s="38"/>
      <c r="F102" s="38"/>
      <c r="G102" s="43" t="s">
        <v>1382</v>
      </c>
      <c r="H102" s="380" t="s">
        <v>2412</v>
      </c>
      <c r="I102" s="252"/>
      <c r="J102" s="338"/>
      <c r="K102" s="168">
        <v>0</v>
      </c>
      <c r="L102" s="162"/>
      <c r="M102" s="162"/>
      <c r="N102" s="471"/>
      <c r="O102" s="471"/>
      <c r="P102" s="169">
        <f>IF(ISBLANK(I102),IF(ISNUMBER(J102)=FALSE,K102*1000/(Molweight*3600*24*365),J102*1000/(Molweight*3600*24*365)),I102*1000/(Molweight*3600*24*365))</f>
        <v>0</v>
      </c>
      <c r="Q102" s="38" t="s">
        <v>710</v>
      </c>
      <c r="R102" s="489"/>
      <c r="S102" s="108"/>
      <c r="V102"/>
    </row>
    <row r="103" spans="1:23" s="36" customFormat="1" ht="12.75" customHeight="1" x14ac:dyDescent="0.3">
      <c r="A103" s="3" t="s">
        <v>2408</v>
      </c>
      <c r="B103" s="42"/>
      <c r="C103" s="38"/>
      <c r="D103" s="38"/>
      <c r="E103" s="38"/>
      <c r="F103" s="38"/>
      <c r="G103" s="68"/>
      <c r="H103" s="42"/>
      <c r="I103" s="252">
        <v>0</v>
      </c>
      <c r="J103" s="387"/>
      <c r="K103" s="387"/>
      <c r="L103" s="387"/>
      <c r="M103" s="162"/>
      <c r="N103" s="471"/>
      <c r="O103" s="471"/>
      <c r="P103" s="162"/>
      <c r="Q103" s="38"/>
      <c r="R103" s="489"/>
      <c r="S103" s="108"/>
      <c r="V103"/>
      <c r="W103"/>
    </row>
    <row r="104" spans="1:23" s="36" customFormat="1" ht="12.75" customHeight="1" x14ac:dyDescent="0.3">
      <c r="A104" s="42"/>
      <c r="B104" s="42" t="s">
        <v>968</v>
      </c>
      <c r="C104" s="38"/>
      <c r="D104" s="38"/>
      <c r="E104" s="38"/>
      <c r="F104" s="38"/>
      <c r="G104" s="43" t="s">
        <v>1177</v>
      </c>
      <c r="H104" s="380" t="s">
        <v>2412</v>
      </c>
      <c r="I104" s="252">
        <v>0</v>
      </c>
      <c r="J104" s="338"/>
      <c r="K104" s="168">
        <v>0</v>
      </c>
      <c r="L104" s="162"/>
      <c r="M104" s="162"/>
      <c r="N104" s="471"/>
      <c r="O104" s="471"/>
      <c r="P104" s="169">
        <f>IF(ISBLANK(I104),IF(ISNUMBER(J104)=FALSE,K104*1000/(Molweight*3600*24*365),J104*1000/(Molweight*3600*24*365)),I104*1000/(Molweight*3600*24*365))</f>
        <v>0</v>
      </c>
      <c r="Q104" s="42" t="s">
        <v>710</v>
      </c>
      <c r="R104" s="489"/>
      <c r="S104" s="108"/>
      <c r="V104"/>
      <c r="W104"/>
    </row>
    <row r="105" spans="1:23" s="36" customFormat="1" ht="12.75" customHeight="1" x14ac:dyDescent="0.3">
      <c r="A105" s="42"/>
      <c r="B105" s="42" t="s">
        <v>1242</v>
      </c>
      <c r="C105" s="38"/>
      <c r="D105" s="38"/>
      <c r="E105" s="38"/>
      <c r="F105" s="38"/>
      <c r="G105" s="43" t="s">
        <v>685</v>
      </c>
      <c r="H105" s="380" t="s">
        <v>2412</v>
      </c>
      <c r="I105" s="252"/>
      <c r="J105" s="338"/>
      <c r="K105" s="168">
        <v>0</v>
      </c>
      <c r="L105" s="162"/>
      <c r="M105" s="162"/>
      <c r="N105" s="471"/>
      <c r="O105" s="471"/>
      <c r="P105" s="169">
        <f>IF(ISBLANK(I105),IF(ISNUMBER(J105)=FALSE,K105*1000/(Molweight*3600*24*365),J105*1000/(Molweight*3600*24*365)),I105*1000/(Molweight*3600*24*365))</f>
        <v>0</v>
      </c>
      <c r="Q105" s="42" t="s">
        <v>710</v>
      </c>
      <c r="R105" s="489"/>
      <c r="S105" s="108"/>
      <c r="V105"/>
      <c r="W105"/>
    </row>
    <row r="106" spans="1:23" s="36" customFormat="1" ht="12.75" customHeight="1" x14ac:dyDescent="0.3">
      <c r="A106" s="42"/>
      <c r="B106" s="42" t="s">
        <v>1087</v>
      </c>
      <c r="C106" s="38"/>
      <c r="D106" s="38"/>
      <c r="E106" s="38"/>
      <c r="F106" s="38"/>
      <c r="G106" s="43" t="s">
        <v>1381</v>
      </c>
      <c r="H106" s="380" t="s">
        <v>2412</v>
      </c>
      <c r="I106" s="252"/>
      <c r="J106" s="338"/>
      <c r="K106" s="168">
        <v>0</v>
      </c>
      <c r="L106" s="162"/>
      <c r="M106" s="162"/>
      <c r="N106" s="471"/>
      <c r="O106" s="471"/>
      <c r="P106" s="169">
        <f>IF(ISBLANK(I106),IF(ISNUMBER(J106)=FALSE,K106*1000/(Molweight*3600*24*365),J106*1000/(Molweight*3600*24*365)),I106*1000/(Molweight*3600*24*365))</f>
        <v>0</v>
      </c>
      <c r="Q106" s="38" t="s">
        <v>710</v>
      </c>
      <c r="R106" s="489"/>
      <c r="S106" s="108"/>
      <c r="V106"/>
      <c r="W106"/>
    </row>
    <row r="107" spans="1:23" s="36" customFormat="1" ht="12.75" customHeight="1" x14ac:dyDescent="0.3">
      <c r="A107" s="50" t="s">
        <v>2409</v>
      </c>
      <c r="B107" s="38"/>
      <c r="C107" s="38"/>
      <c r="D107" s="38"/>
      <c r="E107" s="38"/>
      <c r="F107" s="38"/>
      <c r="G107" s="68"/>
      <c r="H107" s="42"/>
      <c r="I107" s="252">
        <v>0</v>
      </c>
      <c r="J107" s="387"/>
      <c r="K107" s="387"/>
      <c r="L107" s="387"/>
      <c r="M107" s="162"/>
      <c r="N107" s="471"/>
      <c r="O107" s="471"/>
      <c r="P107" s="162"/>
      <c r="Q107" s="38"/>
      <c r="R107" s="489"/>
      <c r="S107" s="108"/>
      <c r="V107"/>
      <c r="W107"/>
    </row>
    <row r="108" spans="1:23" s="36" customFormat="1" ht="12.75" customHeight="1" x14ac:dyDescent="0.3">
      <c r="A108" s="42"/>
      <c r="B108" s="42" t="s">
        <v>968</v>
      </c>
      <c r="C108" s="38"/>
      <c r="D108" s="38"/>
      <c r="E108" s="38"/>
      <c r="F108" s="38"/>
      <c r="G108" s="43" t="s">
        <v>1383</v>
      </c>
      <c r="H108" s="380" t="s">
        <v>2412</v>
      </c>
      <c r="I108" s="252"/>
      <c r="J108" s="338"/>
      <c r="K108" s="168">
        <v>0</v>
      </c>
      <c r="L108" s="162"/>
      <c r="M108" s="162"/>
      <c r="N108" s="471"/>
      <c r="O108" s="471"/>
      <c r="P108" s="169">
        <f>IF(ISBLANK(I108),IF(ISNUMBER(J108)=FALSE,K108*1000/(Molweight*3600*24*365),J108*1000/(Molweight*3600*24*365)),I108*1000/(Molweight*3600*24*365))</f>
        <v>0</v>
      </c>
      <c r="Q108" s="42" t="s">
        <v>710</v>
      </c>
      <c r="R108" s="489"/>
      <c r="S108" s="108"/>
      <c r="V108"/>
      <c r="W108"/>
    </row>
    <row r="109" spans="1:23" s="36" customFormat="1" ht="12.75" customHeight="1" x14ac:dyDescent="0.3">
      <c r="A109" s="42"/>
      <c r="B109" s="42" t="s">
        <v>1242</v>
      </c>
      <c r="C109" s="38"/>
      <c r="D109" s="38"/>
      <c r="E109" s="38"/>
      <c r="F109" s="38"/>
      <c r="G109" s="43" t="s">
        <v>686</v>
      </c>
      <c r="H109" s="380" t="s">
        <v>2412</v>
      </c>
      <c r="I109" s="252"/>
      <c r="J109" s="338"/>
      <c r="K109" s="168">
        <v>0</v>
      </c>
      <c r="L109" s="162"/>
      <c r="M109" s="162"/>
      <c r="N109" s="471"/>
      <c r="O109" s="471"/>
      <c r="P109" s="169">
        <f>IF(ISBLANK(I109),IF(ISNUMBER(J109)=FALSE,K109*1000/(Molweight*3600*24*365),J109*1000/(Molweight*3600*24*365)),I109*1000/(Molweight*3600*24*365))</f>
        <v>0</v>
      </c>
      <c r="Q109" s="42" t="s">
        <v>710</v>
      </c>
      <c r="R109" s="489"/>
      <c r="S109" s="108"/>
      <c r="V109"/>
      <c r="W109"/>
    </row>
    <row r="110" spans="1:23" s="36" customFormat="1" ht="12.75" customHeight="1" x14ac:dyDescent="0.3">
      <c r="A110" s="42"/>
      <c r="B110" s="42" t="s">
        <v>1087</v>
      </c>
      <c r="C110" s="38"/>
      <c r="D110" s="38"/>
      <c r="E110" s="38"/>
      <c r="F110" s="38"/>
      <c r="G110" s="43" t="s">
        <v>1384</v>
      </c>
      <c r="H110" s="380" t="s">
        <v>2412</v>
      </c>
      <c r="I110" s="252"/>
      <c r="J110" s="338"/>
      <c r="K110" s="168">
        <v>0</v>
      </c>
      <c r="L110" s="162"/>
      <c r="M110" s="162"/>
      <c r="N110" s="471"/>
      <c r="O110" s="471"/>
      <c r="P110" s="169">
        <f>IF(ISBLANK(I110),IF(ISNUMBER(J110)=FALSE,K110*1000/(Molweight*3600*24*365),J110*1000/(Molweight*3600*24*365)),I110*1000/(Molweight*3600*24*365))</f>
        <v>0</v>
      </c>
      <c r="Q110" s="38" t="s">
        <v>710</v>
      </c>
      <c r="R110" s="489"/>
      <c r="S110" s="108"/>
      <c r="V110"/>
      <c r="W110"/>
    </row>
    <row r="111" spans="1:23" s="36" customFormat="1" ht="12.75" customHeight="1" x14ac:dyDescent="0.3">
      <c r="A111" s="42"/>
      <c r="B111" s="42"/>
      <c r="C111" s="38"/>
      <c r="D111" s="38"/>
      <c r="E111" s="38"/>
      <c r="F111" s="38"/>
      <c r="G111" s="43"/>
      <c r="H111" s="380"/>
      <c r="I111" s="380"/>
      <c r="J111" s="380"/>
      <c r="K111" s="380"/>
      <c r="L111" s="380"/>
      <c r="M111" s="380"/>
      <c r="N111" s="380"/>
      <c r="O111" s="380"/>
      <c r="P111" s="380"/>
      <c r="Q111" s="38"/>
      <c r="R111" s="42"/>
      <c r="S111" s="108"/>
      <c r="V111"/>
      <c r="W111"/>
    </row>
    <row r="112" spans="1:23" customFormat="1" ht="12.75" customHeight="1" x14ac:dyDescent="0.3">
      <c r="A112" s="67" t="s">
        <v>1733</v>
      </c>
      <c r="B112" s="66"/>
      <c r="C112" s="66"/>
      <c r="D112" s="66"/>
      <c r="E112" s="66"/>
      <c r="F112" s="66"/>
      <c r="G112" s="67" t="s">
        <v>969</v>
      </c>
      <c r="H112" s="67" t="s">
        <v>929</v>
      </c>
      <c r="I112" s="163" t="s">
        <v>748</v>
      </c>
      <c r="J112" s="163" t="s">
        <v>29</v>
      </c>
      <c r="K112" s="163" t="s">
        <v>747</v>
      </c>
      <c r="L112" s="163"/>
      <c r="M112" s="163"/>
      <c r="N112" s="163"/>
      <c r="O112" s="163"/>
      <c r="P112" s="163" t="s">
        <v>1353</v>
      </c>
      <c r="Q112" s="66"/>
      <c r="R112" s="67" t="s">
        <v>1366</v>
      </c>
      <c r="S112" s="108"/>
      <c r="T112" s="36"/>
      <c r="U112" s="36"/>
    </row>
    <row r="113" spans="1:23" s="36" customFormat="1" ht="12.75" customHeight="1" x14ac:dyDescent="0.3">
      <c r="A113" s="42"/>
      <c r="B113" s="38"/>
      <c r="C113" s="38"/>
      <c r="D113" s="38"/>
      <c r="E113" s="38"/>
      <c r="F113" s="38"/>
      <c r="G113" s="42"/>
      <c r="H113" s="42"/>
      <c r="I113" s="164"/>
      <c r="J113" s="165"/>
      <c r="K113" s="165"/>
      <c r="L113" s="165"/>
      <c r="M113" s="165"/>
      <c r="N113" s="165"/>
      <c r="O113" s="165"/>
      <c r="P113" s="165"/>
      <c r="Q113" s="38"/>
      <c r="R113" s="42"/>
      <c r="S113" s="108"/>
      <c r="V113"/>
      <c r="W113"/>
    </row>
    <row r="114" spans="1:23" s="36" customFormat="1" ht="12.75" customHeight="1" x14ac:dyDescent="0.3">
      <c r="A114" s="400" t="s">
        <v>2435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42"/>
      <c r="S114" s="108"/>
      <c r="V114"/>
      <c r="W114"/>
    </row>
    <row r="115" spans="1:23" s="36" customFormat="1" ht="12.75" customHeight="1" x14ac:dyDescent="0.3">
      <c r="A115" s="384"/>
      <c r="B115" s="384" t="s">
        <v>669</v>
      </c>
      <c r="C115" s="384"/>
      <c r="D115" s="384"/>
      <c r="E115" s="384"/>
      <c r="F115" s="384"/>
      <c r="G115" s="384" t="s">
        <v>2436</v>
      </c>
      <c r="H115" s="397" t="s">
        <v>2394</v>
      </c>
      <c r="I115" s="253">
        <v>16</v>
      </c>
      <c r="J115" s="338"/>
      <c r="K115" s="168">
        <v>25</v>
      </c>
      <c r="L115" s="393"/>
      <c r="M115" s="162"/>
      <c r="N115" s="162"/>
      <c r="O115" s="384"/>
      <c r="P115" s="169">
        <f>IF(ISBLANK(I115), IF(ISNUMBER(J115)=FALSE,K115*1000000,J115*1000000),I115*1000000)</f>
        <v>16000000</v>
      </c>
      <c r="Q115" s="42" t="s">
        <v>1519</v>
      </c>
      <c r="R115" s="42"/>
      <c r="S115" s="108"/>
      <c r="V115"/>
      <c r="W115"/>
    </row>
    <row r="116" spans="1:23" s="36" customFormat="1" ht="12.75" customHeight="1" x14ac:dyDescent="0.3">
      <c r="A116" s="384"/>
      <c r="B116" s="384" t="s">
        <v>2410</v>
      </c>
      <c r="C116" s="384"/>
      <c r="D116" s="384"/>
      <c r="E116" s="384"/>
      <c r="F116" s="384"/>
      <c r="G116" s="384" t="s">
        <v>2437</v>
      </c>
      <c r="H116" s="384" t="s">
        <v>477</v>
      </c>
      <c r="I116" s="253">
        <v>0.08</v>
      </c>
      <c r="J116" s="338"/>
      <c r="K116" s="168">
        <v>0.01</v>
      </c>
      <c r="L116" s="393"/>
      <c r="M116" s="162"/>
      <c r="N116" s="162"/>
      <c r="O116" s="384"/>
      <c r="P116" s="169">
        <f>IF(ISBLANK(I116), IF(ISNUMBER(J116)=FALSE,K116,J116),I116)</f>
        <v>0.08</v>
      </c>
      <c r="Q116" s="42" t="s">
        <v>477</v>
      </c>
      <c r="R116" s="42" t="s">
        <v>2602</v>
      </c>
      <c r="S116" s="108"/>
    </row>
    <row r="117" spans="1:23" s="36" customFormat="1" ht="12.75" customHeight="1" x14ac:dyDescent="0.3">
      <c r="A117" s="384"/>
      <c r="B117" s="384" t="s">
        <v>2564</v>
      </c>
      <c r="C117" s="384"/>
      <c r="D117" s="384"/>
      <c r="E117" s="384"/>
      <c r="F117" s="384"/>
      <c r="G117" s="384" t="s">
        <v>2438</v>
      </c>
      <c r="H117" s="384" t="s">
        <v>477</v>
      </c>
      <c r="I117" s="253">
        <v>0.92</v>
      </c>
      <c r="J117" s="338"/>
      <c r="K117" s="168">
        <v>0.6</v>
      </c>
      <c r="L117" s="393"/>
      <c r="M117" s="162"/>
      <c r="N117" s="162"/>
      <c r="O117" s="384"/>
      <c r="P117" s="169">
        <f>IF(ISBLANK(I117), IF(ISNUMBER(J117)=FALSE,K117,J117),I117)</f>
        <v>0.92</v>
      </c>
      <c r="Q117" s="42" t="s">
        <v>477</v>
      </c>
      <c r="R117" s="42">
        <f>SUM(P116:P117)</f>
        <v>1</v>
      </c>
      <c r="S117" s="108"/>
    </row>
    <row r="118" spans="1:23" s="36" customFormat="1" ht="12.75" customHeight="1" x14ac:dyDescent="0.3">
      <c r="A118" s="384"/>
      <c r="B118" s="384" t="s">
        <v>949</v>
      </c>
      <c r="C118" s="384"/>
      <c r="D118" s="384"/>
      <c r="E118" s="384"/>
      <c r="F118" s="384"/>
      <c r="G118" s="384" t="s">
        <v>2598</v>
      </c>
      <c r="H118" s="38" t="s">
        <v>1679</v>
      </c>
      <c r="I118" s="253">
        <f ca="1">Correlations!B11</f>
        <v>12.774370555063886</v>
      </c>
      <c r="J118" s="338"/>
      <c r="K118" s="168">
        <v>12</v>
      </c>
      <c r="L118" s="393"/>
      <c r="M118" s="162"/>
      <c r="N118" s="162"/>
      <c r="O118" s="384"/>
      <c r="P118" s="169">
        <f ca="1">IF(ISBLANK(I118), IF(ISNUMBER(J118)=FALSE,K118+273,J118+273),I118+273)</f>
        <v>285.77437055506391</v>
      </c>
      <c r="Q118" s="42"/>
      <c r="R118" s="42"/>
      <c r="S118" s="108"/>
    </row>
    <row r="119" spans="1:23" s="36" customFormat="1" ht="12.75" customHeight="1" x14ac:dyDescent="0.3">
      <c r="A119" s="384"/>
      <c r="B119" s="384" t="s">
        <v>2411</v>
      </c>
      <c r="C119" s="384"/>
      <c r="D119" s="384"/>
      <c r="E119" s="384"/>
      <c r="F119" s="384"/>
      <c r="G119" s="384" t="s">
        <v>2439</v>
      </c>
      <c r="H119" s="384" t="s">
        <v>713</v>
      </c>
      <c r="I119" s="253" cm="1">
        <f t="array" aca="1" ref="I119" ca="1">_xll.RiskPert(1,3,15,_xll.RiskName(G119))</f>
        <v>2.4994320664324232</v>
      </c>
      <c r="J119" s="338"/>
      <c r="K119" s="168">
        <v>3</v>
      </c>
      <c r="L119" s="393"/>
      <c r="M119" s="162"/>
      <c r="N119" s="162"/>
      <c r="O119" s="384"/>
      <c r="P119" s="169">
        <f ca="1">IF(ISBLANK(I119), IF(ISNUMBER(J119)=FALSE,K119,J119),I119)</f>
        <v>2.4994320664324232</v>
      </c>
      <c r="Q119" s="42" t="s">
        <v>714</v>
      </c>
      <c r="R119" s="42"/>
      <c r="S119" s="108"/>
    </row>
    <row r="120" spans="1:23" s="36" customFormat="1" ht="12.75" customHeight="1" x14ac:dyDescent="0.3">
      <c r="A120" s="384"/>
      <c r="B120" s="384" t="s">
        <v>952</v>
      </c>
      <c r="C120" s="384"/>
      <c r="D120" s="384"/>
      <c r="E120" s="384"/>
      <c r="F120" s="384"/>
      <c r="G120" s="384" t="s">
        <v>2440</v>
      </c>
      <c r="H120" s="384" t="s">
        <v>477</v>
      </c>
      <c r="I120" s="253"/>
      <c r="J120" s="338"/>
      <c r="K120" s="168">
        <v>0.25</v>
      </c>
      <c r="L120" s="393"/>
      <c r="M120" s="162"/>
      <c r="N120" s="162"/>
      <c r="O120" s="384"/>
      <c r="P120" s="169">
        <f>IF(ISBLANK(I120), IF(ISNUMBER(J120)=FALSE,K120,J120),I120)</f>
        <v>0.25</v>
      </c>
      <c r="Q120" s="42" t="s">
        <v>477</v>
      </c>
      <c r="R120" s="42"/>
      <c r="S120" s="108"/>
    </row>
    <row r="121" spans="1:23" s="36" customFormat="1" ht="12.75" customHeight="1" x14ac:dyDescent="0.3">
      <c r="A121" s="42"/>
      <c r="B121" s="38"/>
      <c r="C121" s="38"/>
      <c r="D121" s="38"/>
      <c r="E121" s="38"/>
      <c r="F121" s="38"/>
      <c r="G121" s="42"/>
      <c r="H121" s="42"/>
      <c r="I121" s="164"/>
      <c r="J121" s="165"/>
      <c r="K121" s="165"/>
      <c r="L121" s="165"/>
      <c r="M121" s="165"/>
      <c r="N121" s="165"/>
      <c r="O121" s="165"/>
      <c r="P121" s="165"/>
      <c r="Q121" s="38"/>
      <c r="R121" s="42"/>
      <c r="S121" s="108"/>
    </row>
    <row r="122" spans="1:23" s="36" customFormat="1" ht="12.75" customHeight="1" x14ac:dyDescent="0.3">
      <c r="A122" s="3" t="s">
        <v>1372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42"/>
      <c r="S122" s="108"/>
    </row>
    <row r="123" spans="1:23" s="36" customFormat="1" ht="12.75" customHeight="1" x14ac:dyDescent="0.3">
      <c r="A123" s="38"/>
      <c r="B123" s="38" t="s">
        <v>669</v>
      </c>
      <c r="C123" s="38"/>
      <c r="D123" s="38"/>
      <c r="E123" s="38"/>
      <c r="F123" s="38"/>
      <c r="G123" s="38" t="s">
        <v>1393</v>
      </c>
      <c r="H123" s="64" t="s">
        <v>1666</v>
      </c>
      <c r="I123" s="253">
        <v>220</v>
      </c>
      <c r="J123" s="338"/>
      <c r="K123" s="168">
        <v>228570</v>
      </c>
      <c r="L123" s="393"/>
      <c r="M123" s="162"/>
      <c r="N123" s="162"/>
      <c r="O123" s="162"/>
      <c r="P123" s="169">
        <f>IF(ISBLANK(I123), IF(ISNUMBER(J123)=FALSE,K123*1000000,J123*1000000),I123*1000000)</f>
        <v>220000000</v>
      </c>
      <c r="Q123" s="42" t="s">
        <v>1519</v>
      </c>
      <c r="R123" s="42"/>
      <c r="S123" s="108"/>
    </row>
    <row r="124" spans="1:23" s="36" customFormat="1" ht="12.75" customHeight="1" x14ac:dyDescent="0.3">
      <c r="A124" s="38"/>
      <c r="B124" s="38" t="s">
        <v>670</v>
      </c>
      <c r="C124" s="38"/>
      <c r="D124" s="38"/>
      <c r="E124" s="38"/>
      <c r="F124" s="38"/>
      <c r="G124" s="38" t="s">
        <v>1394</v>
      </c>
      <c r="H124" s="64" t="s">
        <v>1666</v>
      </c>
      <c r="I124" s="706">
        <v>9.9999999999999995E-21</v>
      </c>
      <c r="J124" s="338"/>
      <c r="K124" s="168">
        <v>1000</v>
      </c>
      <c r="L124" s="393"/>
      <c r="M124" s="162"/>
      <c r="N124" s="162"/>
      <c r="O124" s="162"/>
      <c r="P124" s="169">
        <f>IF(ISBLANK(I124), IF(ISNUMBER(J124)=FALSE,K124*1000000,J124*1000000),I124*1000000)</f>
        <v>1E-14</v>
      </c>
      <c r="Q124" s="42" t="s">
        <v>1519</v>
      </c>
      <c r="R124" s="42"/>
      <c r="S124" s="108"/>
    </row>
    <row r="125" spans="1:23" s="36" customFormat="1" ht="12.75" customHeight="1" x14ac:dyDescent="0.3">
      <c r="A125" s="38"/>
      <c r="B125" s="38" t="s">
        <v>302</v>
      </c>
      <c r="C125" s="38"/>
      <c r="D125" s="38"/>
      <c r="E125" s="38"/>
      <c r="F125" s="38"/>
      <c r="G125" s="38" t="s">
        <v>303</v>
      </c>
      <c r="H125" s="38" t="s">
        <v>28</v>
      </c>
      <c r="I125" s="706">
        <v>9.9999999999999995E-21</v>
      </c>
      <c r="J125" s="338"/>
      <c r="K125" s="168">
        <v>2.5000000000000001E-3</v>
      </c>
      <c r="L125" s="393"/>
      <c r="M125" s="162"/>
      <c r="N125" s="162"/>
      <c r="O125" s="162"/>
      <c r="P125" s="169">
        <f>IF(ISBLANK(I125), IF(ISNUMBER(J125)=FALSE,K125,J125),I125)</f>
        <v>9.9999999999999995E-21</v>
      </c>
      <c r="Q125" s="42" t="s">
        <v>477</v>
      </c>
      <c r="R125" s="42" t="s">
        <v>2602</v>
      </c>
      <c r="S125" s="108"/>
    </row>
    <row r="126" spans="1:23" s="36" customFormat="1" ht="12.75" customHeight="1" x14ac:dyDescent="0.3">
      <c r="A126" s="38"/>
      <c r="B126" s="38" t="s">
        <v>671</v>
      </c>
      <c r="C126" s="38"/>
      <c r="D126" s="38"/>
      <c r="E126" s="38"/>
      <c r="F126" s="38"/>
      <c r="G126" s="38" t="s">
        <v>675</v>
      </c>
      <c r="H126" s="38" t="s">
        <v>28</v>
      </c>
      <c r="I126" s="253">
        <v>0.24</v>
      </c>
      <c r="J126" s="338"/>
      <c r="K126" s="168">
        <v>2.75E-2</v>
      </c>
      <c r="L126" s="393"/>
      <c r="M126" s="162"/>
      <c r="N126" s="162"/>
      <c r="O126" s="162"/>
      <c r="P126" s="169">
        <f>IF(ISBLANK(I126), IF(ISNUMBER(J126)=FALSE,K126,J126),I126)</f>
        <v>0.24</v>
      </c>
      <c r="Q126" s="42" t="s">
        <v>477</v>
      </c>
      <c r="R126" s="42">
        <f>SUM(P125:P129)</f>
        <v>1</v>
      </c>
      <c r="S126" s="108"/>
    </row>
    <row r="127" spans="1:23" s="36" customFormat="1" ht="12.75" customHeight="1" x14ac:dyDescent="0.3">
      <c r="A127" s="38"/>
      <c r="B127" s="38" t="s">
        <v>672</v>
      </c>
      <c r="C127" s="38"/>
      <c r="D127" s="38"/>
      <c r="E127" s="38"/>
      <c r="F127" s="38"/>
      <c r="G127" s="38" t="s">
        <v>676</v>
      </c>
      <c r="H127" s="38" t="s">
        <v>28</v>
      </c>
      <c r="I127" s="253">
        <v>9.9999999999999995E-21</v>
      </c>
      <c r="J127" s="338"/>
      <c r="K127" s="168">
        <v>0.27</v>
      </c>
      <c r="L127" s="393"/>
      <c r="M127" s="162"/>
      <c r="N127" s="162"/>
      <c r="O127" s="162"/>
      <c r="P127" s="169">
        <f t="shared" ref="P127:P137" si="7">IF(ISBLANK(I127), IF(ISNUMBER(J127)=FALSE,K127,J127),I127)</f>
        <v>9.9999999999999995E-21</v>
      </c>
      <c r="Q127" s="42" t="s">
        <v>477</v>
      </c>
      <c r="R127" s="42"/>
      <c r="S127" s="108"/>
    </row>
    <row r="128" spans="1:23" s="36" customFormat="1" ht="12.75" customHeight="1" x14ac:dyDescent="0.3">
      <c r="A128" s="38"/>
      <c r="B128" s="38" t="s">
        <v>673</v>
      </c>
      <c r="C128" s="38"/>
      <c r="D128" s="38"/>
      <c r="E128" s="38"/>
      <c r="F128" s="38"/>
      <c r="G128" s="38" t="s">
        <v>1411</v>
      </c>
      <c r="H128" s="38" t="s">
        <v>28</v>
      </c>
      <c r="I128" s="253">
        <v>0.18</v>
      </c>
      <c r="J128" s="338"/>
      <c r="K128" s="168">
        <v>0.6</v>
      </c>
      <c r="L128" s="393"/>
      <c r="M128" s="162"/>
      <c r="N128" s="162"/>
      <c r="O128" s="162"/>
      <c r="P128" s="169">
        <f t="shared" si="7"/>
        <v>0.18</v>
      </c>
      <c r="Q128" s="42" t="s">
        <v>477</v>
      </c>
      <c r="R128" s="42"/>
      <c r="S128" s="108"/>
    </row>
    <row r="129" spans="1:19" s="36" customFormat="1" ht="12.75" customHeight="1" x14ac:dyDescent="0.3">
      <c r="A129" s="38"/>
      <c r="B129" s="38" t="s">
        <v>674</v>
      </c>
      <c r="C129" s="38"/>
      <c r="D129" s="38"/>
      <c r="E129" s="38"/>
      <c r="F129" s="38"/>
      <c r="G129" s="38" t="s">
        <v>1412</v>
      </c>
      <c r="H129" s="38" t="s">
        <v>28</v>
      </c>
      <c r="I129" s="253">
        <v>0.57999999999999996</v>
      </c>
      <c r="J129" s="338"/>
      <c r="K129" s="168">
        <v>0.1</v>
      </c>
      <c r="L129" s="393"/>
      <c r="M129" s="162"/>
      <c r="N129" s="162"/>
      <c r="O129" s="162"/>
      <c r="P129" s="169">
        <f t="shared" si="7"/>
        <v>0.57999999999999996</v>
      </c>
      <c r="Q129" s="42" t="s">
        <v>477</v>
      </c>
      <c r="R129" s="42"/>
      <c r="S129" s="108"/>
    </row>
    <row r="130" spans="1:19" s="36" customFormat="1" ht="12.75" customHeight="1" x14ac:dyDescent="0.3">
      <c r="A130" s="38"/>
      <c r="B130" s="38" t="s">
        <v>949</v>
      </c>
      <c r="C130" s="38"/>
      <c r="D130" s="38"/>
      <c r="E130" s="38"/>
      <c r="F130" s="38"/>
      <c r="G130" s="38" t="s">
        <v>102</v>
      </c>
      <c r="H130" s="38" t="s">
        <v>1679</v>
      </c>
      <c r="I130" s="253">
        <f ca="1">Correlations!B12</f>
        <v>26.144339001823425</v>
      </c>
      <c r="J130" s="338"/>
      <c r="K130" s="168">
        <v>12</v>
      </c>
      <c r="L130" s="393"/>
      <c r="M130" s="162"/>
      <c r="N130" s="162"/>
      <c r="O130" s="162"/>
      <c r="P130" s="169">
        <f ca="1">IF(ISBLANK(I130), IF(ISNUMBER(J130)=FALSE,K130+273,J130+273),I130+273)</f>
        <v>299.14433900182343</v>
      </c>
      <c r="Q130" s="42" t="s">
        <v>582</v>
      </c>
      <c r="R130" s="42"/>
      <c r="S130" s="108"/>
    </row>
    <row r="131" spans="1:19" s="36" customFormat="1" ht="12.75" customHeight="1" x14ac:dyDescent="0.3">
      <c r="A131" s="38"/>
      <c r="B131" s="38" t="s">
        <v>950</v>
      </c>
      <c r="C131" s="38"/>
      <c r="D131" s="38"/>
      <c r="E131" s="38"/>
      <c r="F131" s="38"/>
      <c r="G131" s="38" t="s">
        <v>101</v>
      </c>
      <c r="H131" s="38" t="s">
        <v>1517</v>
      </c>
      <c r="I131" s="253">
        <f ca="1">Correlations!B7</f>
        <v>1.3489437362390282</v>
      </c>
      <c r="J131" s="338"/>
      <c r="K131" s="168">
        <v>3</v>
      </c>
      <c r="L131" s="393"/>
      <c r="M131" s="162"/>
      <c r="N131" s="162"/>
      <c r="O131" s="162"/>
      <c r="P131" s="169">
        <f t="shared" ca="1" si="7"/>
        <v>1.3489437362390282</v>
      </c>
      <c r="Q131" s="42" t="s">
        <v>1517</v>
      </c>
      <c r="R131" s="42"/>
      <c r="S131" s="108"/>
    </row>
    <row r="132" spans="1:19" s="36" customFormat="1" ht="12.75" customHeight="1" x14ac:dyDescent="0.3">
      <c r="A132" s="38"/>
      <c r="B132" s="38" t="s">
        <v>953</v>
      </c>
      <c r="C132" s="38"/>
      <c r="D132" s="38"/>
      <c r="E132" s="38"/>
      <c r="F132" s="38"/>
      <c r="G132" s="38" t="s">
        <v>114</v>
      </c>
      <c r="H132" s="38" t="s">
        <v>1591</v>
      </c>
      <c r="I132" s="253">
        <f ca="1">Correlations!B17</f>
        <v>1510.6734618231249</v>
      </c>
      <c r="J132" s="338"/>
      <c r="K132" s="168">
        <v>700</v>
      </c>
      <c r="L132" s="393"/>
      <c r="M132" s="162"/>
      <c r="N132" s="162"/>
      <c r="O132" s="162"/>
      <c r="P132" s="169">
        <f ca="1">IF(ISBLANK(I132),IF(ISNUMBER(J132)=FALSE,K132/1000/(3600*24*365),J132/1000/(3600*24*365)),I132/1000/(3600*24*365))</f>
        <v>4.7903141229804821E-8</v>
      </c>
      <c r="Q132" s="42" t="s">
        <v>1517</v>
      </c>
      <c r="R132" s="42"/>
      <c r="S132" s="108"/>
    </row>
    <row r="133" spans="1:19" s="36" customFormat="1" ht="12.75" customHeight="1" x14ac:dyDescent="0.3">
      <c r="A133" s="38"/>
      <c r="B133" s="38" t="s">
        <v>305</v>
      </c>
      <c r="C133" s="38"/>
      <c r="D133" s="38"/>
      <c r="E133" s="38"/>
      <c r="F133" s="38"/>
      <c r="G133" s="38" t="s">
        <v>306</v>
      </c>
      <c r="H133" s="38" t="s">
        <v>713</v>
      </c>
      <c r="I133" s="253"/>
      <c r="J133" s="338"/>
      <c r="K133" s="168">
        <v>100</v>
      </c>
      <c r="L133" s="393"/>
      <c r="M133" s="162"/>
      <c r="N133" s="162"/>
      <c r="O133" s="162"/>
      <c r="P133" s="169">
        <f>IF(ISBLANK(I133), IF(ISNUMBER(J133)=FALSE,K133,J133),I133)</f>
        <v>100</v>
      </c>
      <c r="Q133" s="42" t="s">
        <v>714</v>
      </c>
      <c r="R133" s="42"/>
      <c r="S133" s="108"/>
    </row>
    <row r="134" spans="1:19" s="36" customFormat="1" ht="12.75" customHeight="1" x14ac:dyDescent="0.3">
      <c r="A134" s="38"/>
      <c r="B134" s="38" t="s">
        <v>954</v>
      </c>
      <c r="C134" s="38"/>
      <c r="D134" s="38"/>
      <c r="E134" s="38"/>
      <c r="F134" s="38"/>
      <c r="G134" s="38" t="s">
        <v>1413</v>
      </c>
      <c r="H134" s="38" t="s">
        <v>713</v>
      </c>
      <c r="I134" s="253" cm="1">
        <f t="array" aca="1" ref="I134" ca="1">_xll.RiskPert(1,3,5,_xll.RiskName(G134),_xll.RiskStatic(2.6))</f>
        <v>2.216512663873031</v>
      </c>
      <c r="J134" s="338"/>
      <c r="K134" s="168">
        <v>3</v>
      </c>
      <c r="L134" s="393"/>
      <c r="M134" s="162"/>
      <c r="N134" s="162"/>
      <c r="O134" s="162"/>
      <c r="P134" s="169">
        <f t="shared" ca="1" si="7"/>
        <v>2.216512663873031</v>
      </c>
      <c r="Q134" s="42" t="s">
        <v>714</v>
      </c>
      <c r="R134" s="42"/>
      <c r="S134" s="108"/>
    </row>
    <row r="135" spans="1:19" s="36" customFormat="1" ht="12.75" customHeight="1" x14ac:dyDescent="0.3">
      <c r="A135" s="38"/>
      <c r="B135" s="38" t="s">
        <v>4</v>
      </c>
      <c r="C135" s="38"/>
      <c r="D135" s="38"/>
      <c r="E135" s="38"/>
      <c r="F135" s="38"/>
      <c r="G135" s="38" t="s">
        <v>5</v>
      </c>
      <c r="H135" s="38" t="s">
        <v>28</v>
      </c>
      <c r="I135" s="253"/>
      <c r="J135" s="338"/>
      <c r="K135" s="168">
        <v>0</v>
      </c>
      <c r="L135" s="393"/>
      <c r="M135" s="162"/>
      <c r="N135" s="162"/>
      <c r="O135" s="162"/>
      <c r="P135" s="169">
        <f t="shared" si="7"/>
        <v>0</v>
      </c>
      <c r="Q135" s="42" t="s">
        <v>477</v>
      </c>
      <c r="R135" s="42"/>
      <c r="S135" s="108"/>
    </row>
    <row r="136" spans="1:19" s="36" customFormat="1" ht="12.75" customHeight="1" x14ac:dyDescent="0.3">
      <c r="A136" s="38"/>
      <c r="B136" s="38" t="s">
        <v>952</v>
      </c>
      <c r="C136" s="38"/>
      <c r="D136" s="38"/>
      <c r="E136" s="38"/>
      <c r="F136" s="38"/>
      <c r="G136" s="38" t="s">
        <v>1415</v>
      </c>
      <c r="H136" s="38" t="s">
        <v>28</v>
      </c>
      <c r="I136" s="253"/>
      <c r="J136" s="338"/>
      <c r="K136" s="168">
        <v>0.25</v>
      </c>
      <c r="L136" s="393"/>
      <c r="M136" s="162"/>
      <c r="N136" s="162"/>
      <c r="O136" s="162"/>
      <c r="P136" s="169">
        <f t="shared" si="7"/>
        <v>0.25</v>
      </c>
      <c r="Q136" s="42" t="s">
        <v>477</v>
      </c>
      <c r="R136" s="42"/>
      <c r="S136" s="108"/>
    </row>
    <row r="137" spans="1:19" s="36" customFormat="1" ht="12.75" customHeight="1" x14ac:dyDescent="0.3">
      <c r="A137" s="38"/>
      <c r="B137" s="38" t="s">
        <v>951</v>
      </c>
      <c r="C137" s="38"/>
      <c r="D137" s="38"/>
      <c r="E137" s="38"/>
      <c r="F137" s="38"/>
      <c r="G137" s="38" t="s">
        <v>1414</v>
      </c>
      <c r="H137" s="38" t="s">
        <v>28</v>
      </c>
      <c r="I137" s="253"/>
      <c r="J137" s="338"/>
      <c r="K137" s="168">
        <v>0.25</v>
      </c>
      <c r="L137" s="393"/>
      <c r="M137" s="162"/>
      <c r="N137" s="162"/>
      <c r="O137" s="162"/>
      <c r="P137" s="169">
        <f t="shared" si="7"/>
        <v>0.25</v>
      </c>
      <c r="Q137" s="42" t="s">
        <v>477</v>
      </c>
      <c r="R137" s="42"/>
      <c r="S137" s="108"/>
    </row>
    <row r="138" spans="1:19" s="36" customFormat="1" ht="12.75" customHeight="1" x14ac:dyDescent="0.3">
      <c r="A138" s="38"/>
      <c r="B138" s="38" t="s">
        <v>955</v>
      </c>
      <c r="C138" s="38"/>
      <c r="D138" s="38"/>
      <c r="E138" s="38"/>
      <c r="F138" s="38"/>
      <c r="G138" s="38" t="s">
        <v>1416</v>
      </c>
      <c r="H138" s="38" t="s">
        <v>1591</v>
      </c>
      <c r="I138" s="253"/>
      <c r="J138" s="338"/>
      <c r="K138" s="168">
        <v>0.03</v>
      </c>
      <c r="L138" s="393"/>
      <c r="M138" s="162"/>
      <c r="N138" s="162"/>
      <c r="O138" s="162"/>
      <c r="P138" s="169">
        <f>IF(ISBLANK(I138),IF(ISNUMBER(J138)=FALSE,K138/1000/(3600*24*365),J138/1000/(3600*24*365)),I138/1000/(3600*24*365))</f>
        <v>9.5129375951293754E-13</v>
      </c>
      <c r="Q138" s="42" t="s">
        <v>1517</v>
      </c>
      <c r="R138" s="42"/>
      <c r="S138" s="108"/>
    </row>
    <row r="139" spans="1:19" s="36" customFormat="1" ht="12.75" customHeight="1" x14ac:dyDescent="0.3">
      <c r="A139" s="38"/>
      <c r="B139" s="38"/>
      <c r="C139" s="38"/>
      <c r="D139" s="38"/>
      <c r="E139" s="38"/>
      <c r="F139" s="38"/>
      <c r="G139" s="38"/>
      <c r="H139" s="38"/>
      <c r="I139" s="171"/>
      <c r="J139" s="162"/>
      <c r="K139" s="162"/>
      <c r="L139" s="162"/>
      <c r="M139" s="162"/>
      <c r="N139" s="162"/>
      <c r="O139" s="162"/>
      <c r="P139" s="162"/>
      <c r="Q139" s="38"/>
      <c r="R139" s="42"/>
      <c r="S139" s="108"/>
    </row>
    <row r="140" spans="1:19" s="36" customFormat="1" ht="12.75" customHeight="1" x14ac:dyDescent="0.3">
      <c r="A140" s="3" t="s">
        <v>1322</v>
      </c>
      <c r="B140" s="38"/>
      <c r="C140" s="38"/>
      <c r="D140" s="38"/>
      <c r="E140" s="38"/>
      <c r="F140" s="38"/>
      <c r="G140" s="38"/>
      <c r="H140" s="38"/>
      <c r="I140" s="171"/>
      <c r="J140" s="162"/>
      <c r="K140" s="162"/>
      <c r="L140" s="162"/>
      <c r="M140" s="162"/>
      <c r="N140" s="162"/>
      <c r="O140" s="162"/>
      <c r="P140" s="162"/>
      <c r="Q140" s="38"/>
      <c r="R140" s="42"/>
      <c r="S140" s="108"/>
    </row>
    <row r="141" spans="1:19" s="36" customFormat="1" ht="12.75" customHeight="1" x14ac:dyDescent="0.3">
      <c r="A141" s="38"/>
      <c r="B141" s="38" t="s">
        <v>669</v>
      </c>
      <c r="C141" s="38"/>
      <c r="D141" s="38"/>
      <c r="E141" s="38"/>
      <c r="F141" s="38"/>
      <c r="G141" s="38" t="s">
        <v>1440</v>
      </c>
      <c r="H141" s="64" t="s">
        <v>1581</v>
      </c>
      <c r="I141" s="253">
        <v>4233255</v>
      </c>
      <c r="J141" s="338"/>
      <c r="K141" s="168">
        <v>3714410</v>
      </c>
      <c r="L141" s="393"/>
      <c r="M141" s="162"/>
      <c r="N141" s="162"/>
      <c r="O141" s="162"/>
      <c r="P141" s="169">
        <f>IF(ISBLANK(I141), IF(ISNUMBER(J141)=FALSE,K141*1000000,J141*1000000),I141*1000000)</f>
        <v>4233255000000</v>
      </c>
      <c r="Q141" s="42" t="s">
        <v>1519</v>
      </c>
      <c r="R141" s="42"/>
      <c r="S141" s="108"/>
    </row>
    <row r="142" spans="1:19" s="36" customFormat="1" ht="12.75" customHeight="1" x14ac:dyDescent="0.3">
      <c r="A142" s="38"/>
      <c r="B142" s="38" t="s">
        <v>670</v>
      </c>
      <c r="C142" s="38"/>
      <c r="D142" s="38"/>
      <c r="E142" s="38"/>
      <c r="F142" s="38"/>
      <c r="G142" s="38" t="s">
        <v>1441</v>
      </c>
      <c r="H142" s="64" t="s">
        <v>1581</v>
      </c>
      <c r="I142" s="253">
        <v>4233255</v>
      </c>
      <c r="J142" s="338"/>
      <c r="K142" s="168">
        <v>3714410</v>
      </c>
      <c r="L142" s="393"/>
      <c r="M142" s="162"/>
      <c r="N142" s="162"/>
      <c r="O142" s="162"/>
      <c r="P142" s="169">
        <f>IF(ISBLANK(I142), IF(ISNUMBER(J142)=FALSE,K142*1000000,J142*1000000),I142*1000000)</f>
        <v>4233255000000</v>
      </c>
      <c r="Q142" s="42" t="s">
        <v>1519</v>
      </c>
      <c r="R142" s="42"/>
      <c r="S142" s="108"/>
    </row>
    <row r="143" spans="1:19" s="36" customFormat="1" ht="12.75" customHeight="1" x14ac:dyDescent="0.3">
      <c r="A143" s="38"/>
      <c r="B143" s="38" t="s">
        <v>671</v>
      </c>
      <c r="C143" s="38"/>
      <c r="D143" s="38"/>
      <c r="E143" s="38"/>
      <c r="F143" s="38"/>
      <c r="G143" s="38" t="s">
        <v>304</v>
      </c>
      <c r="H143" s="38" t="s">
        <v>28</v>
      </c>
      <c r="I143" s="706"/>
      <c r="J143" s="338"/>
      <c r="K143" s="168">
        <v>2.5000000000000001E-3</v>
      </c>
      <c r="L143" s="393"/>
      <c r="M143" s="162"/>
      <c r="N143" s="162"/>
      <c r="O143" s="162"/>
      <c r="P143" s="169">
        <f>IF(ISBLANK(I143), IF(ISNUMBER(J143)=FALSE,K143,J143),I143)</f>
        <v>2.5000000000000001E-3</v>
      </c>
      <c r="Q143" s="42" t="s">
        <v>477</v>
      </c>
      <c r="R143" s="42" t="s">
        <v>2602</v>
      </c>
      <c r="S143" s="108"/>
    </row>
    <row r="144" spans="1:19" s="36" customFormat="1" ht="12.75" customHeight="1" x14ac:dyDescent="0.3">
      <c r="A144" s="38"/>
      <c r="B144" s="38" t="s">
        <v>671</v>
      </c>
      <c r="C144" s="38"/>
      <c r="D144" s="38"/>
      <c r="E144" s="38"/>
      <c r="F144" s="38"/>
      <c r="G144" s="38" t="s">
        <v>1417</v>
      </c>
      <c r="H144" s="38" t="s">
        <v>28</v>
      </c>
      <c r="I144" s="706"/>
      <c r="J144" s="338"/>
      <c r="K144" s="168">
        <v>2.75E-2</v>
      </c>
      <c r="L144" s="393"/>
      <c r="M144" s="162"/>
      <c r="N144" s="162"/>
      <c r="O144" s="162"/>
      <c r="P144" s="169">
        <f>IF(ISBLANK(I144), IF(ISNUMBER(J144)=FALSE,K144,J144),I144)</f>
        <v>2.75E-2</v>
      </c>
      <c r="Q144" s="42" t="s">
        <v>477</v>
      </c>
      <c r="R144" s="42">
        <f>SUM(K143:K147)</f>
        <v>1</v>
      </c>
      <c r="S144" s="108"/>
    </row>
    <row r="145" spans="1:19" s="36" customFormat="1" ht="12.75" customHeight="1" x14ac:dyDescent="0.3">
      <c r="A145" s="38"/>
      <c r="B145" s="38" t="s">
        <v>672</v>
      </c>
      <c r="C145" s="38"/>
      <c r="D145" s="38"/>
      <c r="E145" s="38"/>
      <c r="F145" s="38"/>
      <c r="G145" s="38" t="s">
        <v>1418</v>
      </c>
      <c r="H145" s="38" t="s">
        <v>28</v>
      </c>
      <c r="I145" s="253"/>
      <c r="J145" s="338"/>
      <c r="K145" s="168">
        <v>0.27</v>
      </c>
      <c r="L145" s="393"/>
      <c r="M145" s="162"/>
      <c r="N145" s="162"/>
      <c r="O145" s="162"/>
      <c r="P145" s="169">
        <f>IF(ISBLANK(I145), IF(ISNUMBER(J145)=FALSE,K145,J145),I145)</f>
        <v>0.27</v>
      </c>
      <c r="Q145" s="42" t="s">
        <v>477</v>
      </c>
      <c r="R145" s="42"/>
      <c r="S145" s="108"/>
    </row>
    <row r="146" spans="1:19" s="36" customFormat="1" ht="12.75" customHeight="1" x14ac:dyDescent="0.3">
      <c r="A146" s="38"/>
      <c r="B146" s="38" t="s">
        <v>673</v>
      </c>
      <c r="C146" s="38"/>
      <c r="D146" s="38"/>
      <c r="E146" s="38"/>
      <c r="F146" s="38"/>
      <c r="G146" s="38" t="s">
        <v>1335</v>
      </c>
      <c r="H146" s="38" t="s">
        <v>28</v>
      </c>
      <c r="I146" s="253"/>
      <c r="J146" s="338"/>
      <c r="K146" s="168">
        <v>0.6</v>
      </c>
      <c r="L146" s="393"/>
      <c r="M146" s="162"/>
      <c r="N146" s="162"/>
      <c r="O146" s="162"/>
      <c r="P146" s="169">
        <f>IF(ISBLANK(I146), IF(ISNUMBER(J146)=FALSE,K146,J146),I146)</f>
        <v>0.6</v>
      </c>
      <c r="Q146" s="42" t="s">
        <v>477</v>
      </c>
      <c r="R146" s="42"/>
      <c r="S146" s="108"/>
    </row>
    <row r="147" spans="1:19" s="36" customFormat="1" ht="12.75" customHeight="1" x14ac:dyDescent="0.3">
      <c r="A147" s="38"/>
      <c r="B147" s="38" t="s">
        <v>674</v>
      </c>
      <c r="C147" s="38"/>
      <c r="D147" s="38"/>
      <c r="E147" s="38"/>
      <c r="F147" s="38"/>
      <c r="G147" s="38" t="s">
        <v>1336</v>
      </c>
      <c r="H147" s="38" t="s">
        <v>28</v>
      </c>
      <c r="I147" s="253"/>
      <c r="J147" s="338"/>
      <c r="K147" s="168">
        <v>0.1</v>
      </c>
      <c r="L147" s="393"/>
      <c r="M147" s="162"/>
      <c r="N147" s="162"/>
      <c r="O147" s="162"/>
      <c r="P147" s="169">
        <f>IF(ISBLANK(I147), IF(ISNUMBER(J147)=FALSE,K147,J147),I147)</f>
        <v>0.1</v>
      </c>
      <c r="Q147" s="42" t="s">
        <v>477</v>
      </c>
      <c r="R147" s="42"/>
      <c r="S147" s="108"/>
    </row>
    <row r="148" spans="1:19" s="36" customFormat="1" ht="12.75" customHeight="1" x14ac:dyDescent="0.3">
      <c r="A148" s="38"/>
      <c r="B148" s="38" t="s">
        <v>949</v>
      </c>
      <c r="C148" s="38"/>
      <c r="D148" s="38"/>
      <c r="E148" s="38"/>
      <c r="F148" s="38"/>
      <c r="G148" s="38" t="s">
        <v>1101</v>
      </c>
      <c r="H148" s="38" t="s">
        <v>1679</v>
      </c>
      <c r="I148" s="253">
        <f ca="1">Correlations!B13</f>
        <v>9.0992948237771145</v>
      </c>
      <c r="J148" s="338"/>
      <c r="K148" s="168">
        <v>12</v>
      </c>
      <c r="L148" s="393"/>
      <c r="M148" s="162"/>
      <c r="N148" s="162"/>
      <c r="O148" s="162"/>
      <c r="P148" s="169">
        <f ca="1">IF(ISBLANK(I148), IF(ISNUMBER(J148)=FALSE,K148+273,J148+273),I148+273)</f>
        <v>282.09929482377709</v>
      </c>
      <c r="Q148" s="42" t="s">
        <v>582</v>
      </c>
      <c r="R148" s="42"/>
      <c r="S148" s="108"/>
    </row>
    <row r="149" spans="1:19" s="36" customFormat="1" ht="12.75" customHeight="1" x14ac:dyDescent="0.3">
      <c r="A149" s="38"/>
      <c r="B149" s="38" t="s">
        <v>950</v>
      </c>
      <c r="C149" s="38"/>
      <c r="D149" s="38"/>
      <c r="E149" s="38"/>
      <c r="F149" s="38"/>
      <c r="G149" s="38" t="s">
        <v>782</v>
      </c>
      <c r="H149" s="38" t="s">
        <v>1517</v>
      </c>
      <c r="I149" s="253">
        <f ca="1">Correlations!B8</f>
        <v>6.6166749111169691</v>
      </c>
      <c r="J149" s="338"/>
      <c r="K149" s="168">
        <v>3</v>
      </c>
      <c r="L149" s="393"/>
      <c r="M149" s="162"/>
      <c r="N149" s="162"/>
      <c r="O149" s="162"/>
      <c r="P149" s="169">
        <f t="shared" ref="P149:P155" ca="1" si="8">IF(ISBLANK(I149), IF(ISNUMBER(J149)=FALSE,K149,J149),I149)</f>
        <v>6.6166749111169691</v>
      </c>
      <c r="Q149" s="42" t="s">
        <v>1517</v>
      </c>
      <c r="R149" s="42"/>
      <c r="S149" s="108"/>
    </row>
    <row r="150" spans="1:19" s="36" customFormat="1" ht="12.75" customHeight="1" x14ac:dyDescent="0.3">
      <c r="A150" s="38"/>
      <c r="B150" s="38" t="s">
        <v>953</v>
      </c>
      <c r="C150" s="38"/>
      <c r="D150" s="38"/>
      <c r="E150" s="38"/>
      <c r="F150" s="38"/>
      <c r="G150" s="38" t="s">
        <v>1056</v>
      </c>
      <c r="H150" s="38" t="s">
        <v>1591</v>
      </c>
      <c r="I150" s="253">
        <f ca="1">Correlations!B18</f>
        <v>753.19346583795152</v>
      </c>
      <c r="J150" s="338"/>
      <c r="K150" s="168">
        <v>700</v>
      </c>
      <c r="L150" s="393"/>
      <c r="M150" s="162"/>
      <c r="N150" s="162"/>
      <c r="O150" s="162"/>
      <c r="P150" s="169">
        <f ca="1">IF(ISBLANK(I150),IF(ISNUMBER(J150)=FALSE,K150/1000/(3600*24*365),J150/1000/(3600*24*365)),I150/1000/(3600*24*365))</f>
        <v>2.3883608125252143E-8</v>
      </c>
      <c r="Q150" s="42" t="s">
        <v>1517</v>
      </c>
      <c r="R150" s="42"/>
      <c r="S150" s="108"/>
    </row>
    <row r="151" spans="1:19" s="36" customFormat="1" ht="12.75" customHeight="1" x14ac:dyDescent="0.3">
      <c r="A151" s="38"/>
      <c r="B151" s="38" t="s">
        <v>954</v>
      </c>
      <c r="C151" s="38"/>
      <c r="D151" s="38"/>
      <c r="E151" s="38"/>
      <c r="F151" s="38"/>
      <c r="G151" s="38" t="s">
        <v>307</v>
      </c>
      <c r="H151" s="38" t="s">
        <v>713</v>
      </c>
      <c r="I151" s="253"/>
      <c r="J151" s="338"/>
      <c r="K151" s="168">
        <v>100</v>
      </c>
      <c r="L151" s="393"/>
      <c r="M151" s="162"/>
      <c r="N151" s="162"/>
      <c r="O151" s="162"/>
      <c r="P151" s="169">
        <f>IF(ISBLANK(I151), IF(ISNUMBER(J151)=FALSE,K151,J151),I151)</f>
        <v>100</v>
      </c>
      <c r="Q151" s="42" t="s">
        <v>714</v>
      </c>
      <c r="R151" s="42"/>
      <c r="S151" s="108"/>
    </row>
    <row r="152" spans="1:19" s="36" customFormat="1" ht="12.75" customHeight="1" x14ac:dyDescent="0.3">
      <c r="A152" s="38"/>
      <c r="B152" s="38" t="s">
        <v>954</v>
      </c>
      <c r="C152" s="38"/>
      <c r="D152" s="38"/>
      <c r="E152" s="38"/>
      <c r="F152" s="38"/>
      <c r="G152" s="38" t="s">
        <v>1337</v>
      </c>
      <c r="H152" s="38" t="s">
        <v>713</v>
      </c>
      <c r="I152" s="253" cm="1">
        <f t="array" aca="1" ref="I152" ca="1">_xll.RiskPert(1,3,15,_xll.RiskName(G152))</f>
        <v>3.0887298632747657</v>
      </c>
      <c r="J152" s="338"/>
      <c r="K152" s="168">
        <v>3</v>
      </c>
      <c r="L152" s="393"/>
      <c r="M152" s="162"/>
      <c r="N152" s="162"/>
      <c r="O152" s="162"/>
      <c r="P152" s="169">
        <f t="shared" ca="1" si="8"/>
        <v>3.0887298632747657</v>
      </c>
      <c r="Q152" s="42" t="s">
        <v>714</v>
      </c>
      <c r="R152" s="42"/>
      <c r="S152" s="108"/>
    </row>
    <row r="153" spans="1:19" s="36" customFormat="1" ht="12.75" customHeight="1" x14ac:dyDescent="0.3">
      <c r="A153" s="38"/>
      <c r="B153" s="38" t="s">
        <v>3</v>
      </c>
      <c r="C153" s="38"/>
      <c r="D153" s="38"/>
      <c r="E153" s="38"/>
      <c r="F153" s="38"/>
      <c r="G153" s="38" t="s">
        <v>1229</v>
      </c>
      <c r="H153" s="38" t="s">
        <v>28</v>
      </c>
      <c r="I153" s="253"/>
      <c r="J153" s="338"/>
      <c r="K153" s="168">
        <v>0</v>
      </c>
      <c r="L153" s="393"/>
      <c r="M153" s="162"/>
      <c r="N153" s="162"/>
      <c r="O153" s="162"/>
      <c r="P153" s="169">
        <f t="shared" si="8"/>
        <v>0</v>
      </c>
      <c r="Q153" s="42" t="s">
        <v>477</v>
      </c>
      <c r="R153" s="42"/>
      <c r="S153" s="108"/>
    </row>
    <row r="154" spans="1:19" s="36" customFormat="1" ht="12.75" customHeight="1" x14ac:dyDescent="0.3">
      <c r="A154" s="38"/>
      <c r="B154" s="38" t="s">
        <v>951</v>
      </c>
      <c r="C154" s="38"/>
      <c r="D154" s="38"/>
      <c r="E154" s="38"/>
      <c r="F154" s="38"/>
      <c r="G154" s="38" t="s">
        <v>1338</v>
      </c>
      <c r="H154" s="38" t="s">
        <v>28</v>
      </c>
      <c r="I154" s="253"/>
      <c r="J154" s="338"/>
      <c r="K154" s="168">
        <v>0.25</v>
      </c>
      <c r="L154" s="393"/>
      <c r="M154" s="162"/>
      <c r="N154" s="162"/>
      <c r="O154" s="162"/>
      <c r="P154" s="169">
        <f t="shared" si="8"/>
        <v>0.25</v>
      </c>
      <c r="Q154" s="42" t="s">
        <v>477</v>
      </c>
      <c r="R154" s="42"/>
      <c r="S154" s="108"/>
    </row>
    <row r="155" spans="1:19" s="36" customFormat="1" ht="12.75" customHeight="1" x14ac:dyDescent="0.3">
      <c r="A155" s="38"/>
      <c r="B155" s="38" t="s">
        <v>952</v>
      </c>
      <c r="C155" s="38"/>
      <c r="D155" s="38"/>
      <c r="E155" s="38"/>
      <c r="F155" s="38"/>
      <c r="G155" s="38" t="s">
        <v>1339</v>
      </c>
      <c r="H155" s="38" t="s">
        <v>28</v>
      </c>
      <c r="I155" s="253"/>
      <c r="J155" s="338"/>
      <c r="K155" s="168">
        <v>0.25</v>
      </c>
      <c r="L155" s="393"/>
      <c r="M155" s="162"/>
      <c r="N155" s="162"/>
      <c r="O155" s="162"/>
      <c r="P155" s="169">
        <f t="shared" si="8"/>
        <v>0.25</v>
      </c>
      <c r="Q155" s="42" t="s">
        <v>477</v>
      </c>
      <c r="R155" s="42"/>
      <c r="S155" s="108"/>
    </row>
    <row r="156" spans="1:19" s="36" customFormat="1" ht="12.75" customHeight="1" x14ac:dyDescent="0.3">
      <c r="A156" s="38"/>
      <c r="B156" s="38" t="s">
        <v>955</v>
      </c>
      <c r="C156" s="38"/>
      <c r="D156" s="38"/>
      <c r="E156" s="38"/>
      <c r="F156" s="38"/>
      <c r="G156" s="38" t="s">
        <v>1340</v>
      </c>
      <c r="H156" s="38" t="s">
        <v>1591</v>
      </c>
      <c r="I156" s="253"/>
      <c r="J156" s="338"/>
      <c r="K156" s="168">
        <v>0.03</v>
      </c>
      <c r="L156" s="393"/>
      <c r="M156" s="162"/>
      <c r="N156" s="162"/>
      <c r="O156" s="162"/>
      <c r="P156" s="169">
        <f>IF(ISBLANK(I156),IF(ISNUMBER(J156)=FALSE,K156/1000/(3600*24*365),J156/1000/(3600*24*365)),I156/1000/(3600*24*365))</f>
        <v>9.5129375951293754E-13</v>
      </c>
      <c r="Q156" s="42" t="s">
        <v>1517</v>
      </c>
      <c r="R156" s="42"/>
      <c r="S156" s="108"/>
    </row>
    <row r="157" spans="1:19" s="36" customFormat="1" ht="12.75" customHeight="1" x14ac:dyDescent="0.3">
      <c r="A157" s="38"/>
      <c r="B157" s="38"/>
      <c r="C157" s="38"/>
      <c r="D157" s="38"/>
      <c r="E157" s="38"/>
      <c r="F157" s="38"/>
      <c r="G157" s="38"/>
      <c r="H157" s="38"/>
      <c r="I157" s="171"/>
      <c r="J157" s="162"/>
      <c r="K157" s="162"/>
      <c r="L157" s="162"/>
      <c r="M157" s="162"/>
      <c r="N157" s="162"/>
      <c r="O157" s="162"/>
      <c r="P157" s="162"/>
      <c r="Q157" s="38"/>
      <c r="R157" s="42"/>
      <c r="S157" s="108"/>
    </row>
    <row r="158" spans="1:19" s="36" customFormat="1" ht="12.75" customHeight="1" x14ac:dyDescent="0.3">
      <c r="A158" s="3" t="s">
        <v>587</v>
      </c>
      <c r="B158" s="38"/>
      <c r="C158" s="38"/>
      <c r="D158" s="38"/>
      <c r="E158" s="38"/>
      <c r="F158" s="38"/>
      <c r="G158" s="43"/>
      <c r="H158" s="69"/>
      <c r="I158" s="171"/>
      <c r="J158" s="162"/>
      <c r="K158" s="162"/>
      <c r="L158" s="162"/>
      <c r="M158" s="162"/>
      <c r="N158" s="162"/>
      <c r="O158" s="162"/>
      <c r="P158" s="162"/>
      <c r="Q158" s="38"/>
      <c r="R158" s="42"/>
      <c r="S158" s="108"/>
    </row>
    <row r="159" spans="1:19" s="36" customFormat="1" ht="12.75" customHeight="1" x14ac:dyDescent="0.3">
      <c r="A159" s="38"/>
      <c r="B159" s="38" t="s">
        <v>551</v>
      </c>
      <c r="C159" s="38"/>
      <c r="D159" s="38"/>
      <c r="E159" s="38"/>
      <c r="F159" s="38"/>
      <c r="G159" s="42" t="s">
        <v>638</v>
      </c>
      <c r="H159" s="42" t="s">
        <v>28</v>
      </c>
      <c r="I159" s="254"/>
      <c r="J159" s="172"/>
      <c r="K159" s="174">
        <v>3</v>
      </c>
      <c r="L159" s="394"/>
      <c r="M159" s="175"/>
      <c r="N159" s="175"/>
      <c r="O159" s="175"/>
      <c r="P159" s="173">
        <f t="shared" ref="P159:P164" si="9">IF(ISBLANK(I159), IF(ISNUMBER(J159)=FALSE, K159, J159), I159)</f>
        <v>3</v>
      </c>
      <c r="Q159" s="39" t="s">
        <v>477</v>
      </c>
      <c r="R159" s="42" t="s">
        <v>215</v>
      </c>
      <c r="S159" s="108"/>
    </row>
    <row r="160" spans="1:19" s="36" customFormat="1" ht="12.75" customHeight="1" x14ac:dyDescent="0.3">
      <c r="A160" s="38"/>
      <c r="B160" s="38" t="s">
        <v>552</v>
      </c>
      <c r="C160" s="38"/>
      <c r="D160" s="38"/>
      <c r="E160" s="38"/>
      <c r="F160" s="38"/>
      <c r="G160" s="42" t="s">
        <v>210</v>
      </c>
      <c r="H160" s="42" t="s">
        <v>28</v>
      </c>
      <c r="I160" s="254"/>
      <c r="J160" s="172"/>
      <c r="K160" s="174">
        <v>7</v>
      </c>
      <c r="L160" s="394"/>
      <c r="M160" s="175"/>
      <c r="N160" s="175"/>
      <c r="O160" s="175"/>
      <c r="P160" s="173">
        <f t="shared" si="9"/>
        <v>7</v>
      </c>
      <c r="Q160" s="39" t="s">
        <v>477</v>
      </c>
      <c r="R160" s="42"/>
      <c r="S160" s="108"/>
    </row>
    <row r="161" spans="1:19" s="36" customFormat="1" ht="12.75" customHeight="1" x14ac:dyDescent="0.3">
      <c r="A161" s="38"/>
      <c r="B161" s="38" t="s">
        <v>556</v>
      </c>
      <c r="C161" s="38"/>
      <c r="D161" s="38"/>
      <c r="E161" s="38"/>
      <c r="F161" s="38"/>
      <c r="G161" s="42" t="s">
        <v>214</v>
      </c>
      <c r="H161" s="42" t="s">
        <v>28</v>
      </c>
      <c r="I161" s="254"/>
      <c r="J161" s="172"/>
      <c r="K161" s="174">
        <v>8</v>
      </c>
      <c r="L161" s="394"/>
      <c r="M161" s="175"/>
      <c r="N161" s="175"/>
      <c r="O161" s="175"/>
      <c r="P161" s="173">
        <f t="shared" si="9"/>
        <v>8</v>
      </c>
      <c r="Q161" s="39" t="s">
        <v>477</v>
      </c>
      <c r="R161" s="42"/>
      <c r="S161" s="108"/>
    </row>
    <row r="162" spans="1:19" s="36" customFormat="1" ht="12.75" customHeight="1" x14ac:dyDescent="0.3">
      <c r="A162" s="38"/>
      <c r="B162" s="38" t="s">
        <v>553</v>
      </c>
      <c r="C162" s="38"/>
      <c r="D162" s="38"/>
      <c r="E162" s="38"/>
      <c r="F162" s="38"/>
      <c r="G162" s="42" t="s">
        <v>211</v>
      </c>
      <c r="H162" s="42" t="s">
        <v>28</v>
      </c>
      <c r="I162" s="254"/>
      <c r="J162" s="172"/>
      <c r="K162" s="174">
        <v>5</v>
      </c>
      <c r="L162" s="394"/>
      <c r="M162" s="175"/>
      <c r="N162" s="175"/>
      <c r="O162" s="175"/>
      <c r="P162" s="173">
        <f t="shared" si="9"/>
        <v>5</v>
      </c>
      <c r="Q162" s="39" t="s">
        <v>477</v>
      </c>
      <c r="R162" s="42"/>
      <c r="S162" s="108"/>
    </row>
    <row r="163" spans="1:19" s="36" customFormat="1" ht="12.75" customHeight="1" x14ac:dyDescent="0.3">
      <c r="A163" s="38"/>
      <c r="B163" s="38" t="s">
        <v>554</v>
      </c>
      <c r="C163" s="38"/>
      <c r="D163" s="38"/>
      <c r="E163" s="38"/>
      <c r="F163" s="38"/>
      <c r="G163" s="42" t="s">
        <v>212</v>
      </c>
      <c r="H163" s="42" t="s">
        <v>28</v>
      </c>
      <c r="I163" s="254"/>
      <c r="J163" s="172"/>
      <c r="K163" s="174">
        <v>7</v>
      </c>
      <c r="L163" s="394"/>
      <c r="M163" s="175"/>
      <c r="N163" s="175"/>
      <c r="O163" s="175"/>
      <c r="P163" s="173">
        <f t="shared" si="9"/>
        <v>7</v>
      </c>
      <c r="Q163" s="39" t="s">
        <v>477</v>
      </c>
      <c r="R163" s="42"/>
      <c r="S163" s="108"/>
    </row>
    <row r="164" spans="1:19" s="36" customFormat="1" ht="12.75" customHeight="1" x14ac:dyDescent="0.3">
      <c r="A164" s="38"/>
      <c r="B164" s="38" t="s">
        <v>555</v>
      </c>
      <c r="C164" s="38"/>
      <c r="D164" s="38"/>
      <c r="E164" s="38"/>
      <c r="F164" s="38"/>
      <c r="G164" s="42" t="s">
        <v>213</v>
      </c>
      <c r="H164" s="42" t="s">
        <v>28</v>
      </c>
      <c r="I164" s="254"/>
      <c r="J164" s="172"/>
      <c r="K164" s="174">
        <v>7</v>
      </c>
      <c r="L164" s="394"/>
      <c r="M164" s="175"/>
      <c r="N164" s="175"/>
      <c r="O164" s="175"/>
      <c r="P164" s="173">
        <f t="shared" si="9"/>
        <v>7</v>
      </c>
      <c r="Q164" s="39" t="s">
        <v>477</v>
      </c>
      <c r="R164" s="42"/>
      <c r="S164" s="108"/>
    </row>
    <row r="165" spans="1:19" s="36" customFormat="1" ht="12.75" customHeight="1" x14ac:dyDescent="0.3">
      <c r="A165" s="38"/>
      <c r="B165" s="38" t="s">
        <v>261</v>
      </c>
      <c r="C165" s="38"/>
      <c r="D165" s="38"/>
      <c r="E165" s="38"/>
      <c r="F165" s="38"/>
      <c r="G165" s="42" t="s">
        <v>1167</v>
      </c>
      <c r="H165" s="64" t="s">
        <v>1669</v>
      </c>
      <c r="I165" s="253"/>
      <c r="J165" s="172"/>
      <c r="K165" s="168">
        <f>0.0000257*SQRT(18)/SQRT(Molweight*1000)</f>
        <v>1.2596963012095067E-5</v>
      </c>
      <c r="L165" s="393"/>
      <c r="M165" s="162"/>
      <c r="N165" s="162"/>
      <c r="O165" s="162"/>
      <c r="P165" s="169">
        <f t="shared" ref="P165:P170" si="10">IF(ISBLANK(I165), IF(ISNUMBER(J165)=FALSE, K165, J165), I165)</f>
        <v>1.2596963012095067E-5</v>
      </c>
      <c r="Q165" s="42" t="s">
        <v>1532</v>
      </c>
      <c r="R165" s="42"/>
      <c r="S165" s="108"/>
    </row>
    <row r="166" spans="1:19" s="36" customFormat="1" ht="12.75" customHeight="1" x14ac:dyDescent="0.3">
      <c r="A166" s="38"/>
      <c r="B166" s="38" t="s">
        <v>262</v>
      </c>
      <c r="C166" s="38"/>
      <c r="D166" s="38"/>
      <c r="E166" s="38"/>
      <c r="F166" s="38"/>
      <c r="G166" s="42" t="s">
        <v>849</v>
      </c>
      <c r="H166" s="64" t="s">
        <v>1669</v>
      </c>
      <c r="I166" s="253"/>
      <c r="J166" s="172"/>
      <c r="K166" s="168">
        <f>0.000000002*SQRT(32)/SQRT(Molweight*1000)</f>
        <v>1.3070778741473482E-9</v>
      </c>
      <c r="L166" s="393"/>
      <c r="M166" s="162"/>
      <c r="N166" s="162"/>
      <c r="O166" s="162"/>
      <c r="P166" s="169">
        <f t="shared" si="10"/>
        <v>1.3070778741473482E-9</v>
      </c>
      <c r="Q166" s="42" t="s">
        <v>1532</v>
      </c>
      <c r="R166" s="42"/>
      <c r="S166" s="108"/>
    </row>
    <row r="167" spans="1:19" s="36" customFormat="1" ht="12.75" customHeight="1" x14ac:dyDescent="0.3">
      <c r="A167" s="38"/>
      <c r="B167" s="38" t="s">
        <v>195</v>
      </c>
      <c r="C167" s="38"/>
      <c r="D167" s="38"/>
      <c r="E167" s="38"/>
      <c r="F167" s="38"/>
      <c r="G167" s="38" t="s">
        <v>1563</v>
      </c>
      <c r="H167" s="38" t="s">
        <v>28</v>
      </c>
      <c r="I167" s="254"/>
      <c r="J167" s="172"/>
      <c r="K167" s="174">
        <v>0.1</v>
      </c>
      <c r="L167" s="394"/>
      <c r="M167" s="175"/>
      <c r="N167" s="175"/>
      <c r="O167" s="175"/>
      <c r="P167" s="173">
        <f t="shared" si="10"/>
        <v>0.1</v>
      </c>
      <c r="Q167" s="42" t="s">
        <v>477</v>
      </c>
      <c r="R167" s="42"/>
      <c r="S167" s="108"/>
    </row>
    <row r="168" spans="1:19" s="36" customFormat="1" ht="12.75" customHeight="1" x14ac:dyDescent="0.3">
      <c r="A168" s="42"/>
      <c r="B168" s="42" t="s">
        <v>1068</v>
      </c>
      <c r="C168" s="38"/>
      <c r="D168" s="38"/>
      <c r="E168" s="63"/>
      <c r="F168" s="63"/>
      <c r="G168" s="63" t="s">
        <v>944</v>
      </c>
      <c r="H168" s="42" t="s">
        <v>28</v>
      </c>
      <c r="I168" s="252"/>
      <c r="J168" s="172"/>
      <c r="K168" s="168">
        <v>0.02</v>
      </c>
      <c r="L168" s="393"/>
      <c r="M168" s="162"/>
      <c r="N168" s="162"/>
      <c r="O168" s="162"/>
      <c r="P168" s="169">
        <f t="shared" si="10"/>
        <v>0.02</v>
      </c>
      <c r="Q168" s="42" t="s">
        <v>477</v>
      </c>
      <c r="R168" s="42"/>
      <c r="S168" s="108"/>
    </row>
    <row r="169" spans="1:19" s="36" customFormat="1" ht="12.75" customHeight="1" x14ac:dyDescent="0.3">
      <c r="A169" s="38"/>
      <c r="B169" s="38" t="s">
        <v>1562</v>
      </c>
      <c r="C169" s="38"/>
      <c r="D169" s="38"/>
      <c r="E169" s="38"/>
      <c r="F169" s="38"/>
      <c r="G169" s="38" t="s">
        <v>1561</v>
      </c>
      <c r="H169" s="42" t="s">
        <v>1677</v>
      </c>
      <c r="I169" s="254"/>
      <c r="J169" s="172"/>
      <c r="K169" s="174">
        <v>2000</v>
      </c>
      <c r="L169" s="394"/>
      <c r="M169" s="175"/>
      <c r="N169" s="175"/>
      <c r="O169" s="175"/>
      <c r="P169" s="173">
        <f t="shared" si="10"/>
        <v>2000</v>
      </c>
      <c r="Q169" s="42" t="s">
        <v>1533</v>
      </c>
      <c r="R169" s="42"/>
      <c r="S169" s="108"/>
    </row>
    <row r="170" spans="1:19" s="36" customFormat="1" ht="12.75" customHeight="1" x14ac:dyDescent="0.3">
      <c r="A170" s="42"/>
      <c r="B170" s="42" t="s">
        <v>945</v>
      </c>
      <c r="C170" s="64"/>
      <c r="D170" s="64"/>
      <c r="E170" s="38"/>
      <c r="F170" s="38"/>
      <c r="G170" s="63" t="s">
        <v>946</v>
      </c>
      <c r="H170" s="42" t="s">
        <v>1677</v>
      </c>
      <c r="I170" s="252" cm="1">
        <f t="array" aca="1" ref="I170" ca="1">_xll.RiskTriang(2000,2500,3000,_xll.RiskName(G170))</f>
        <v>2542.1294335105295</v>
      </c>
      <c r="J170" s="172"/>
      <c r="K170" s="168">
        <v>2500</v>
      </c>
      <c r="L170" s="393"/>
      <c r="M170" s="162"/>
      <c r="N170" s="162"/>
      <c r="O170" s="162"/>
      <c r="P170" s="169">
        <f t="shared" ca="1" si="10"/>
        <v>2542.1294335105295</v>
      </c>
      <c r="Q170" s="42" t="s">
        <v>1533</v>
      </c>
      <c r="R170" s="42"/>
      <c r="S170" s="108"/>
    </row>
    <row r="171" spans="1:19" ht="12.75" customHeight="1" x14ac:dyDescent="0.3">
      <c r="A171" s="53"/>
      <c r="B171" s="54"/>
      <c r="C171" s="54"/>
      <c r="D171" s="54"/>
      <c r="E171" s="54"/>
      <c r="F171" s="54"/>
      <c r="G171" s="53"/>
      <c r="H171" s="53"/>
      <c r="I171" s="177"/>
      <c r="J171" s="178"/>
      <c r="K171" s="178"/>
      <c r="L171" s="178"/>
      <c r="M171" s="178"/>
      <c r="N171" s="178"/>
      <c r="O171" s="178"/>
      <c r="P171" s="178"/>
      <c r="Q171" s="76"/>
      <c r="R171" s="53"/>
      <c r="S171" s="108"/>
    </row>
    <row r="172" spans="1:19" s="36" customFormat="1" ht="12.75" customHeight="1" x14ac:dyDescent="0.3">
      <c r="A172" s="38"/>
      <c r="B172" s="38"/>
      <c r="C172" s="38"/>
      <c r="D172" s="38"/>
      <c r="E172" s="38"/>
      <c r="F172" s="38"/>
      <c r="G172" s="42"/>
      <c r="H172" s="42"/>
      <c r="I172" s="171"/>
      <c r="J172" s="162"/>
      <c r="K172" s="162"/>
      <c r="L172" s="162"/>
      <c r="M172" s="162"/>
      <c r="N172" s="162"/>
      <c r="O172" s="162"/>
      <c r="P172" s="162"/>
      <c r="Q172" s="38"/>
      <c r="R172" s="42"/>
      <c r="S172" s="108"/>
    </row>
  </sheetData>
  <phoneticPr fontId="9" type="noConversion"/>
  <conditionalFormatting sqref="I1:I75 I112:I1048576">
    <cfRule type="cellIs" dxfId="202" priority="205" operator="equal">
      <formula>0</formula>
    </cfRule>
  </conditionalFormatting>
  <conditionalFormatting sqref="J1:J17 J19:J20 J22:J75 J112:J1048576">
    <cfRule type="expression" dxfId="201" priority="177">
      <formula>HLOOKUP(CaseName,CaseData,ROW()-2,FALSE)&lt;&gt;""</formula>
    </cfRule>
  </conditionalFormatting>
  <conditionalFormatting sqref="I112:I113 I121:I1048576">
    <cfRule type="cellIs" dxfId="200" priority="55" operator="equal">
      <formula>0</formula>
    </cfRule>
  </conditionalFormatting>
  <conditionalFormatting sqref="J18">
    <cfRule type="expression" dxfId="199" priority="29">
      <formula>HLOOKUP(CaseName,CaseData,ROW()-2,FALSE)&lt;&gt;""</formula>
    </cfRule>
  </conditionalFormatting>
  <conditionalFormatting sqref="J21">
    <cfRule type="expression" dxfId="198" priority="28">
      <formula>HLOOKUP(CaseName,CaseData,ROW()-2,FALSE)&lt;&gt;""</formula>
    </cfRule>
  </conditionalFormatting>
  <conditionalFormatting sqref="J78">
    <cfRule type="expression" dxfId="197" priority="10">
      <formula>HLOOKUP(CaseName,CaseData,ROW()-2,FALSE)&lt;&gt;""</formula>
    </cfRule>
  </conditionalFormatting>
  <conditionalFormatting sqref="I77 I79:I110">
    <cfRule type="cellIs" dxfId="196" priority="27" operator="equal">
      <formula>0</formula>
    </cfRule>
  </conditionalFormatting>
  <conditionalFormatting sqref="J77 J92:J98 J100:J102 J104:J106 J79:J90 J108:J110">
    <cfRule type="expression" dxfId="195" priority="26">
      <formula>HLOOKUP(CaseName,CaseData,ROW()-2,FALSE)&lt;&gt;""</formula>
    </cfRule>
  </conditionalFormatting>
  <conditionalFormatting sqref="I78">
    <cfRule type="cellIs" dxfId="194" priority="11" operator="equal">
      <formula>0</formula>
    </cfRule>
  </conditionalFormatting>
  <conditionalFormatting sqref="J91">
    <cfRule type="expression" dxfId="193" priority="22">
      <formula>HLOOKUP(CaseName,CaseData,ROW()-2,FALSE)&lt;&gt;""</formula>
    </cfRule>
  </conditionalFormatting>
  <conditionalFormatting sqref="J99">
    <cfRule type="expression" dxfId="192" priority="19">
      <formula>HLOOKUP(CaseName,CaseData,ROW()-2,FALSE)&lt;&gt;""</formula>
    </cfRule>
  </conditionalFormatting>
  <conditionalFormatting sqref="J103">
    <cfRule type="expression" dxfId="191" priority="16">
      <formula>HLOOKUP(CaseName,CaseData,ROW()-2,FALSE)&lt;&gt;""</formula>
    </cfRule>
  </conditionalFormatting>
  <conditionalFormatting sqref="J107">
    <cfRule type="expression" dxfId="190" priority="13">
      <formula>HLOOKUP(CaseName,CaseData,ROW()-2,FALSE)&lt;&gt;""</formula>
    </cfRule>
  </conditionalFormatting>
  <conditionalFormatting sqref="I119">
    <cfRule type="cellIs" dxfId="189" priority="5" operator="equal">
      <formula>0</formula>
    </cfRule>
  </conditionalFormatting>
  <conditionalFormatting sqref="I152">
    <cfRule type="cellIs" dxfId="188" priority="1" operator="equal">
      <formula>0</formula>
    </cfRule>
  </conditionalFormatting>
  <conditionalFormatting sqref="I119 I134 I152 I170">
    <cfRule type="expression" dxfId="187" priority="206" stopIfTrue="1">
      <formula>RiskColorCellsSimOutput</formula>
    </cfRule>
  </conditionalFormatting>
  <conditionalFormatting sqref="I119 I134 I152 I170">
    <cfRule type="expression" dxfId="186" priority="207" stopIfTrue="1">
      <formula>RiskColorCellsSimInput</formula>
    </cfRule>
  </conditionalFormatting>
  <conditionalFormatting sqref="I119 I134 I152 I170">
    <cfRule type="expression" dxfId="185" priority="208" stopIfTrue="1">
      <formula>RiskColorCellsSimStatistics</formula>
    </cfRule>
  </conditionalFormatting>
  <dataValidations disablePrompts="1" count="4">
    <dataValidation type="list" allowBlank="1" showInputMessage="1" showErrorMessage="1" sqref="I5" xr:uid="{00000000-0002-0000-0400-000000000000}">
      <formula1>ChemNames</formula1>
    </dataValidation>
    <dataValidation type="list" allowBlank="1" showInputMessage="1" showErrorMessage="1" sqref="I8" xr:uid="{00000000-0002-0000-0400-000001000000}">
      <formula1>ScenarioNames</formula1>
    </dataValidation>
    <dataValidation type="list" allowBlank="1" showInputMessage="1" showErrorMessage="1" sqref="I10" xr:uid="{00000000-0002-0000-0400-000002000000}">
      <formula1>CaseNames</formula1>
    </dataValidation>
    <dataValidation type="list" allowBlank="1" showInputMessage="1" showErrorMessage="1" sqref="I14" xr:uid="{00000000-0002-0000-04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V1296"/>
  <sheetViews>
    <sheetView zoomScaleNormal="100" workbookViewId="0">
      <pane ySplit="10" topLeftCell="A14" activePane="bottomLeft" state="frozen"/>
      <selection pane="bottomLeft" activeCell="N29" sqref="N29"/>
    </sheetView>
  </sheetViews>
  <sheetFormatPr defaultColWidth="9.09765625" defaultRowHeight="12.75" customHeight="1" x14ac:dyDescent="0.3"/>
  <cols>
    <col min="1" max="1" width="6.09765625" style="496" customWidth="1"/>
    <col min="2" max="2" width="36" style="514" customWidth="1"/>
    <col min="3" max="3" width="13.8984375" style="514" customWidth="1"/>
    <col min="4" max="4" width="7.59765625" style="509" customWidth="1"/>
    <col min="5" max="5" width="16" style="514" customWidth="1"/>
    <col min="6" max="6" width="10.09765625" style="509" customWidth="1"/>
    <col min="7" max="7" width="8.09765625" style="488" customWidth="1"/>
    <col min="8" max="8" width="6.59765625" style="488" customWidth="1"/>
    <col min="9" max="9" width="10.296875" style="488" customWidth="1"/>
    <col min="10" max="11" width="8.09765625" style="7" customWidth="1"/>
    <col min="12" max="12" width="8.09765625" style="509" customWidth="1"/>
    <col min="13" max="13" width="8.09765625" style="7" customWidth="1"/>
    <col min="14" max="18" width="8" style="509" customWidth="1"/>
    <col min="19" max="19" width="8.8984375" style="7" customWidth="1"/>
    <col min="20" max="20" width="12" style="7" customWidth="1"/>
    <col min="21" max="21" width="10" style="7" customWidth="1"/>
    <col min="22" max="22" width="9.59765625" style="7" customWidth="1"/>
    <col min="23" max="24" width="4.59765625" style="514" customWidth="1"/>
    <col min="25" max="16384" width="9.09765625" style="514"/>
  </cols>
  <sheetData>
    <row r="1" spans="1:22" ht="16.5" customHeight="1" x14ac:dyDescent="0.35">
      <c r="A1" s="646" t="s">
        <v>2483</v>
      </c>
      <c r="B1" s="648"/>
      <c r="C1" s="649"/>
      <c r="D1" s="647"/>
      <c r="E1" s="648"/>
      <c r="F1" s="650"/>
      <c r="G1" s="486"/>
      <c r="H1" s="486"/>
      <c r="I1" s="486"/>
      <c r="J1" s="454"/>
      <c r="K1" s="454"/>
      <c r="L1" s="503"/>
      <c r="M1" s="454"/>
      <c r="N1" s="503"/>
      <c r="O1" s="503"/>
      <c r="P1" s="503"/>
      <c r="Q1" s="503"/>
      <c r="R1" s="503"/>
      <c r="S1" s="454"/>
      <c r="T1" s="454"/>
      <c r="U1" s="454"/>
      <c r="V1" s="454"/>
    </row>
    <row r="2" spans="1:22" ht="12.75" customHeight="1" thickBot="1" x14ac:dyDescent="0.35">
      <c r="A2" s="501">
        <f>MATCH(A3,substances!$3:$3,FALSE)</f>
        <v>1</v>
      </c>
      <c r="B2" s="503">
        <f>MATCH(B3,substances!$3:$3,FALSE)</f>
        <v>2</v>
      </c>
      <c r="C2" s="503">
        <f>MATCH(C3,substances!$3:$3,FALSE)</f>
        <v>3</v>
      </c>
      <c r="D2" s="503">
        <f>MATCH(D3,substances!$3:$3,FALSE)</f>
        <v>4</v>
      </c>
      <c r="E2" s="503">
        <f>MATCH(E3,substances!$3:$3,FALSE)</f>
        <v>5</v>
      </c>
      <c r="F2" s="503">
        <f>MATCH(F3,substances!$3:$3,FALSE)</f>
        <v>6</v>
      </c>
      <c r="G2" s="486">
        <f>MATCH(G3,substances!$3:$3,FALSE)</f>
        <v>7</v>
      </c>
      <c r="H2" s="503">
        <f>MATCH(H3,substances!$3:$3,FALSE)</f>
        <v>8</v>
      </c>
      <c r="I2" s="503">
        <f>MATCH(I3,substances!$3:$3,FALSE)</f>
        <v>9</v>
      </c>
      <c r="J2" s="503">
        <f>MATCH(J3,substances!$3:$3,FALSE)</f>
        <v>10</v>
      </c>
      <c r="K2" s="503">
        <f>MATCH(K3,substances!$3:$3,FALSE)</f>
        <v>11</v>
      </c>
      <c r="L2" s="503">
        <f>MATCH(L3,substances!$3:$3,FALSE)</f>
        <v>12</v>
      </c>
      <c r="M2" s="503">
        <f>MATCH(M3,substances!$3:$3,FALSE)</f>
        <v>13</v>
      </c>
      <c r="N2" s="503">
        <f>MATCH(N3,substances!$3:$3,FALSE)</f>
        <v>14</v>
      </c>
      <c r="O2" s="503">
        <f>MATCH(O3,substances!$3:$3,FALSE)</f>
        <v>15</v>
      </c>
      <c r="P2" s="503">
        <f>MATCH(P3,substances!$3:$3,FALSE)</f>
        <v>16</v>
      </c>
      <c r="Q2" s="503">
        <f>MATCH(Q3,substances!$3:$3,FALSE)</f>
        <v>17</v>
      </c>
      <c r="R2" s="503">
        <f>MATCH(R3,substances!$3:$3,FALSE)</f>
        <v>18</v>
      </c>
      <c r="S2" s="503">
        <f>MATCH(S3,substances!$3:$3,FALSE)</f>
        <v>19</v>
      </c>
      <c r="T2" s="503">
        <f>MATCH(T3,substances!$3:$3,FALSE)</f>
        <v>20</v>
      </c>
      <c r="U2" s="503">
        <f>MATCH(U3,substances!$3:$3,FALSE)</f>
        <v>21</v>
      </c>
      <c r="V2" s="503">
        <f>MATCH(V3,substances!$3:$3,FALSE)</f>
        <v>22</v>
      </c>
    </row>
    <row r="3" spans="1:22" ht="12.75" customHeight="1" x14ac:dyDescent="0.3">
      <c r="A3" s="495" t="s">
        <v>2479</v>
      </c>
      <c r="B3" s="544" t="s">
        <v>722</v>
      </c>
      <c r="C3" s="651" t="s">
        <v>2472</v>
      </c>
      <c r="D3" s="495" t="s">
        <v>2476</v>
      </c>
      <c r="E3" s="495" t="s">
        <v>2475</v>
      </c>
      <c r="F3" s="505" t="s">
        <v>399</v>
      </c>
      <c r="G3" s="497" t="s">
        <v>2478</v>
      </c>
      <c r="H3" s="659" t="s">
        <v>109</v>
      </c>
      <c r="I3" s="659" t="s">
        <v>1356</v>
      </c>
      <c r="J3" s="477" t="s">
        <v>690</v>
      </c>
      <c r="K3" s="477" t="s">
        <v>692</v>
      </c>
      <c r="L3" s="505" t="s">
        <v>1601</v>
      </c>
      <c r="M3" s="478" t="s">
        <v>1609</v>
      </c>
      <c r="N3" s="505" t="s">
        <v>1560</v>
      </c>
      <c r="O3" s="505" t="s">
        <v>1606</v>
      </c>
      <c r="P3" s="505" t="s">
        <v>1603</v>
      </c>
      <c r="Q3" s="505" t="s">
        <v>1604</v>
      </c>
      <c r="R3" s="505" t="s">
        <v>1605</v>
      </c>
      <c r="S3" s="477" t="s">
        <v>718</v>
      </c>
      <c r="T3" s="477" t="s">
        <v>719</v>
      </c>
      <c r="U3" s="477" t="s">
        <v>720</v>
      </c>
      <c r="V3" s="477" t="s">
        <v>721</v>
      </c>
    </row>
    <row r="4" spans="1:22" ht="12.75" customHeight="1" x14ac:dyDescent="0.3">
      <c r="A4" s="562"/>
      <c r="B4" s="562"/>
      <c r="C4" s="652"/>
      <c r="D4" s="506"/>
      <c r="E4" s="562"/>
      <c r="F4" s="506"/>
      <c r="G4" s="490" t="s">
        <v>477</v>
      </c>
      <c r="H4" s="660" t="s">
        <v>1512</v>
      </c>
      <c r="I4" s="661" t="s">
        <v>1513</v>
      </c>
      <c r="J4" s="479" t="s">
        <v>479</v>
      </c>
      <c r="K4" s="479" t="s">
        <v>1514</v>
      </c>
      <c r="L4" s="506" t="s">
        <v>477</v>
      </c>
      <c r="M4" s="479" t="s">
        <v>477</v>
      </c>
      <c r="N4" s="506" t="s">
        <v>477</v>
      </c>
      <c r="O4" s="507" t="s">
        <v>1525</v>
      </c>
      <c r="P4" s="507" t="s">
        <v>1525</v>
      </c>
      <c r="Q4" s="507" t="s">
        <v>1525</v>
      </c>
      <c r="R4" s="507" t="s">
        <v>1525</v>
      </c>
      <c r="S4" s="479" t="s">
        <v>1515</v>
      </c>
      <c r="T4" s="479" t="s">
        <v>1515</v>
      </c>
      <c r="U4" s="479" t="s">
        <v>1515</v>
      </c>
      <c r="V4" s="479" t="s">
        <v>1515</v>
      </c>
    </row>
    <row r="5" spans="1:22" ht="12.75" customHeight="1" x14ac:dyDescent="0.3">
      <c r="A5" s="501"/>
      <c r="B5" s="501"/>
      <c r="C5" s="456"/>
      <c r="D5" s="503"/>
      <c r="E5" s="501"/>
      <c r="F5" s="503"/>
      <c r="G5" s="487"/>
      <c r="H5" s="486"/>
      <c r="I5" s="486"/>
      <c r="J5" s="454"/>
      <c r="K5" s="454"/>
      <c r="L5" s="503"/>
      <c r="M5" s="454"/>
      <c r="N5" s="501"/>
      <c r="O5" s="501"/>
      <c r="P5" s="501"/>
      <c r="Q5" s="501"/>
      <c r="R5" s="501"/>
      <c r="S5" s="480"/>
      <c r="T5" s="454"/>
      <c r="U5" s="480"/>
      <c r="V5" s="480"/>
    </row>
    <row r="6" spans="1:22" ht="12.75" customHeight="1" x14ac:dyDescent="0.3">
      <c r="A6" s="588">
        <f>ChemRowNr</f>
        <v>5</v>
      </c>
      <c r="B6" s="588" t="str">
        <f>VLOOKUP(ChemRowNr,SubstanceData,MATCH(B3,substances!$3:$3,FALSE),FALSE)</f>
        <v>As(III)</v>
      </c>
      <c r="C6" s="588" t="str">
        <f>VLOOKUP(ChemRowNr,SubstanceData,MATCH(C3,substances!$3:$3,FALSE),FALSE)</f>
        <v>7440-38-2</v>
      </c>
      <c r="D6" s="588">
        <f>IF(ISBLANK(VLOOKUP(ChemRowNr,SubstanceData,MATCH(D3,substances!$3:$3,FALSE),FALSE)),D9,VLOOKUP(ChemRowNr,SubstanceData,MATCH(D3,substances!$3:$3,FALSE),FALSE))</f>
        <v>0</v>
      </c>
      <c r="E6" s="588">
        <f>IF(ISBLANK(VLOOKUP(ChemRowNr,SubstanceData,MATCH(E3,substances!$3:$3,FALSE),FALSE)),E9,VLOOKUP(ChemRowNr,SubstanceData,MATCH(E3,substances!$3:$3,FALSE),FALSE))</f>
        <v>0</v>
      </c>
      <c r="F6" s="508" t="str">
        <f>IF(ISBLANK(VLOOKUP(ChemRowNr,SubstanceData,MATCH(F3,substances!$3:$3,FALSE),FALSE)),F9,VLOOKUP(ChemRowNr,SubstanceData,MATCH(F3,substances!$3:$3,FALSE),FALSE))</f>
        <v>Metal</v>
      </c>
      <c r="G6" s="502">
        <f>IF(ISBLANK(VLOOKUP(ChemRowNr,SubstanceData,MATCH(G3,substances!$3:$3,FALSE),FALSE)),G9,VLOOKUP(ChemRowNr,SubstanceData,MATCH(G3,substances!$3:$3,FALSE),FALSE))</f>
        <v>14</v>
      </c>
      <c r="H6" s="502">
        <f>IF(ISBLANK(VLOOKUP(ChemRowNr,SubstanceData,MATCH(H3,substances!$3:$3,FALSE),FALSE)),H9,VLOOKUP(ChemRowNr,SubstanceData,MATCH(H3,substances!$3:$3,FALSE),FALSE))</f>
        <v>74.921599999999998</v>
      </c>
      <c r="I6" s="502">
        <f>IF(ISBLANK(VLOOKUP(ChemRowNr,SubstanceData,MATCH(I3,substances!$3:$3,FALSE),FALSE)),I9,VLOOKUP(ChemRowNr,SubstanceData,MATCH(I3,substances!$3:$3,FALSE),FALSE))</f>
        <v>142.06</v>
      </c>
      <c r="J6" s="447">
        <f>IF(ISBLANK(VLOOKUP(ChemRowNr,SubstanceData,MATCH(J3,substances!$3:$3,FALSE),FALSE)),J9,VLOOKUP(ChemRowNr,SubstanceData,MATCH(J3,substances!$3:$3,FALSE),FALSE))</f>
        <v>2.3194200000000004E-4</v>
      </c>
      <c r="K6" s="447">
        <f>IF(ISBLANK(VLOOKUP(ChemRowNr,SubstanceData,MATCH(K3,substances!$3:$3,FALSE),FALSE)),K9,VLOOKUP(ChemRowNr,SubstanceData,MATCH(K3,substances!$3:$3,FALSE),FALSE))</f>
        <v>193000</v>
      </c>
      <c r="L6" s="508"/>
      <c r="M6" s="447">
        <f>IF(ISBLANK(VLOOKUP(ChemRowNr,SubstanceData,MATCH(M3,substances!$3:$3,FALSE),FALSE)),M9,VLOOKUP(ChemRowNr,SubstanceData,MATCH(M3,substances!$3:$3,FALSE),FALSE))</f>
        <v>11.481536214968834</v>
      </c>
      <c r="N6" s="508"/>
      <c r="O6" s="508"/>
      <c r="P6" s="508"/>
      <c r="Q6" s="508"/>
      <c r="R6" s="508"/>
      <c r="S6" s="447">
        <f>IF(ISBLANK(VLOOKUP(ChemRowNr,SubstanceData,MATCH(S3,substances!$3:$3,FALSE),FALSE)),S9,VLOOKUP(ChemRowNr,SubstanceData,MATCH(S3,substances!$3:$3,FALSE),FALSE))</f>
        <v>9.9999999999999995E-21</v>
      </c>
      <c r="T6" s="447">
        <f>IF(ISBLANK(VLOOKUP(ChemRowNr,SubstanceData,MATCH(T3,substances!$3:$3,FALSE),FALSE)),T9,VLOOKUP(ChemRowNr,SubstanceData,MATCH(T3,substances!$3:$3,FALSE),FALSE))</f>
        <v>9.9999999999999995E-21</v>
      </c>
      <c r="U6" s="447">
        <f>IF(ISBLANK(VLOOKUP(ChemRowNr,SubstanceData,MATCH(U3,substances!$3:$3,FALSE),FALSE)),U9,VLOOKUP(ChemRowNr,SubstanceData,MATCH(U3,substances!$3:$3,FALSE),FALSE))</f>
        <v>9.9999999999999995E-21</v>
      </c>
      <c r="V6" s="447">
        <f>IF(ISBLANK(VLOOKUP(ChemRowNr,SubstanceData,MATCH(V3,substances!$3:$3,FALSE),FALSE)),V9,VLOOKUP(ChemRowNr,SubstanceData,MATCH(V3,substances!$3:$3,FALSE),FALSE))</f>
        <v>9.9999999999999995E-21</v>
      </c>
    </row>
    <row r="7" spans="1:22" ht="12.75" customHeight="1" x14ac:dyDescent="0.3">
      <c r="A7" s="453"/>
      <c r="B7" s="501"/>
      <c r="C7" s="653" t="s">
        <v>2482</v>
      </c>
      <c r="D7" s="481"/>
      <c r="E7" s="501"/>
      <c r="F7" s="503"/>
      <c r="G7" s="486"/>
      <c r="H7" s="503">
        <f>COUNTA(H$12:H$12)</f>
        <v>1</v>
      </c>
      <c r="I7" s="503">
        <f>COUNTA(I$12:I$12)</f>
        <v>1</v>
      </c>
      <c r="J7" s="503">
        <f>COUNTA(J$12:J$12)</f>
        <v>1</v>
      </c>
      <c r="K7" s="503">
        <f>COUNTA(K$12:K$12)</f>
        <v>1</v>
      </c>
      <c r="L7" s="503"/>
      <c r="M7" s="503">
        <f>COUNTA(M$12:M$12)</f>
        <v>1</v>
      </c>
      <c r="N7" s="455"/>
      <c r="O7" s="455"/>
      <c r="P7" s="455"/>
      <c r="Q7" s="455"/>
      <c r="R7" s="455"/>
      <c r="S7" s="455"/>
      <c r="T7" s="503">
        <f>COUNTA(T$12:T$12)</f>
        <v>1</v>
      </c>
      <c r="U7" s="503">
        <f>COUNTA(U$12:U$12)</f>
        <v>1</v>
      </c>
      <c r="V7" s="503">
        <f>COUNTA(V$12:V$12)</f>
        <v>1</v>
      </c>
    </row>
    <row r="8" spans="1:22" ht="12.75" customHeight="1" x14ac:dyDescent="0.3">
      <c r="A8" s="453"/>
      <c r="B8" s="501"/>
      <c r="C8" s="653" t="s">
        <v>2485</v>
      </c>
      <c r="D8" s="481"/>
      <c r="E8" s="501"/>
      <c r="F8" s="503"/>
      <c r="G8" s="486"/>
      <c r="H8" s="486">
        <f>PERCENTILE(H$12:H$12,0.025)</f>
        <v>212.2</v>
      </c>
      <c r="I8" s="486">
        <f>PERCENTILE(I$12:I$12,0.025)</f>
        <v>142.06</v>
      </c>
      <c r="J8" s="454">
        <f>PERCENTILE(J$12:J$12,0.025)</f>
        <v>2.3194200000000004E-4</v>
      </c>
      <c r="K8" s="454">
        <f>PERCENTILE(K$12:K$12,0.025)</f>
        <v>193000</v>
      </c>
      <c r="L8" s="503"/>
      <c r="M8" s="454">
        <f>PERCENTILE(M$12:M$12,0.025)</f>
        <v>11.481536214968834</v>
      </c>
      <c r="N8" s="503"/>
      <c r="O8" s="503"/>
      <c r="P8" s="503"/>
      <c r="Q8" s="503"/>
      <c r="R8" s="503"/>
      <c r="S8" s="476"/>
      <c r="T8" s="454">
        <f>PERCENTILE(T$12:T$12,0.025)</f>
        <v>3.5007433361613397E-6</v>
      </c>
      <c r="U8" s="454">
        <f>PERCENTILE(U$12:U$12,0.025)</f>
        <v>3.5007433361613399E-7</v>
      </c>
      <c r="V8" s="454">
        <f>PERCENTILE(V$12:V$12,0.025)</f>
        <v>1.1325934322874924E-6</v>
      </c>
    </row>
    <row r="9" spans="1:22" ht="12.75" customHeight="1" x14ac:dyDescent="0.3">
      <c r="A9" s="453">
        <v>1</v>
      </c>
      <c r="B9" s="655" t="s">
        <v>2481</v>
      </c>
      <c r="C9" s="456" t="s">
        <v>2456</v>
      </c>
      <c r="D9" s="481"/>
      <c r="E9" s="656"/>
      <c r="F9" s="654" t="s">
        <v>2480</v>
      </c>
      <c r="G9" s="510">
        <v>14</v>
      </c>
      <c r="H9" s="486">
        <f>PERCENTILE(H$12:H$12,0.5)</f>
        <v>212.2</v>
      </c>
      <c r="I9" s="486">
        <f>PERCENTILE(I$12:I$12,0.5)</f>
        <v>142.06</v>
      </c>
      <c r="J9" s="454">
        <f>PERCENTILE(J$12:J$12,0.5)</f>
        <v>2.3194200000000004E-4</v>
      </c>
      <c r="K9" s="454">
        <f>PERCENTILE(K$12:K$12,0.5)</f>
        <v>193000</v>
      </c>
      <c r="L9" s="503"/>
      <c r="M9" s="454">
        <f>PERCENTILE(M$12:M$12,0.5)</f>
        <v>11.481536214968834</v>
      </c>
      <c r="N9" s="503"/>
      <c r="O9" s="503"/>
      <c r="P9" s="503"/>
      <c r="Q9" s="503"/>
      <c r="R9" s="503"/>
      <c r="S9" s="476">
        <v>1.5778688524590163E-5</v>
      </c>
      <c r="T9" s="454">
        <f>PERCENTILE(T$12:T$12,0.5)</f>
        <v>3.5007433361613397E-6</v>
      </c>
      <c r="U9" s="454">
        <f>PERCENTILE(U$12:U$12,0.5)</f>
        <v>3.5007433361613399E-7</v>
      </c>
      <c r="V9" s="454">
        <f>PERCENTILE(V$12:V$12,0.5)</f>
        <v>1.1325934322874924E-6</v>
      </c>
    </row>
    <row r="10" spans="1:22" ht="12.75" customHeight="1" x14ac:dyDescent="0.3">
      <c r="A10" s="453"/>
      <c r="B10" s="501"/>
      <c r="C10" s="653" t="s">
        <v>2470</v>
      </c>
      <c r="D10" s="481"/>
      <c r="E10" s="501"/>
      <c r="F10" s="503"/>
      <c r="G10" s="486"/>
      <c r="H10" s="486">
        <f>PERCENTILE(H$12:H$12,0.975)</f>
        <v>212.2</v>
      </c>
      <c r="I10" s="486">
        <f>PERCENTILE(I$12:I$12,0.975)</f>
        <v>142.06</v>
      </c>
      <c r="J10" s="454">
        <f>PERCENTILE(J$12:J$12,0.975)</f>
        <v>2.3194200000000004E-4</v>
      </c>
      <c r="K10" s="454">
        <f>PERCENTILE(K$12:K$12,0.975)</f>
        <v>193000</v>
      </c>
      <c r="L10" s="503"/>
      <c r="M10" s="454">
        <f>PERCENTILE(M$12:M$12,0.975)</f>
        <v>11.481536214968834</v>
      </c>
      <c r="N10" s="503"/>
      <c r="O10" s="503"/>
      <c r="P10" s="503"/>
      <c r="Q10" s="503"/>
      <c r="R10" s="503"/>
      <c r="S10" s="476"/>
      <c r="T10" s="454">
        <f>PERCENTILE(T$12:T$12,0.975)</f>
        <v>3.5007433361613397E-6</v>
      </c>
      <c r="U10" s="454">
        <f>PERCENTILE(U$12:U$12,0.975)</f>
        <v>3.5007433361613399E-7</v>
      </c>
      <c r="V10" s="454">
        <f>PERCENTILE(V$12:V$12,0.975)</f>
        <v>1.1325934322874924E-6</v>
      </c>
    </row>
    <row r="11" spans="1:22" ht="12.75" customHeight="1" x14ac:dyDescent="0.3">
      <c r="A11" s="453"/>
      <c r="B11" s="501"/>
      <c r="C11" s="456"/>
      <c r="D11" s="481"/>
      <c r="E11" s="501"/>
      <c r="F11" s="503"/>
      <c r="G11" s="486"/>
      <c r="H11" s="486"/>
      <c r="I11" s="486"/>
      <c r="J11" s="454"/>
      <c r="K11" s="454"/>
      <c r="L11" s="503"/>
      <c r="M11" s="454"/>
      <c r="N11" s="503"/>
      <c r="O11" s="503"/>
      <c r="P11" s="503"/>
      <c r="Q11" s="503"/>
      <c r="R11" s="503"/>
      <c r="S11" s="454"/>
      <c r="T11" s="454"/>
      <c r="U11" s="454"/>
      <c r="V11" s="454"/>
    </row>
    <row r="12" spans="1:22" ht="12.75" customHeight="1" x14ac:dyDescent="0.3">
      <c r="A12" s="657">
        <v>2</v>
      </c>
      <c r="B12" s="657" t="s">
        <v>2473</v>
      </c>
      <c r="C12" s="657" t="str">
        <f>'[2]InOut Data twinpapers'!D6459</f>
        <v>88805-35-0</v>
      </c>
      <c r="D12" s="657">
        <f>'[2]InOut Data twinpapers'!F6459</f>
        <v>5104</v>
      </c>
      <c r="E12" s="657" t="str">
        <f>'[2]InOut Data twinpapers'!G6459</f>
        <v>Pest_398</v>
      </c>
      <c r="F12" s="654"/>
      <c r="G12" s="492">
        <f>VLOOKUP(C12,'[2]InOut Data twinpapers'!$D$11:$Q$6459,14,0)</f>
        <v>4.1900000000000004</v>
      </c>
      <c r="H12" s="662">
        <f>'[2]InOut Data twinpapers'!J6459</f>
        <v>212.2</v>
      </c>
      <c r="I12" s="662">
        <f>'[2]InOut Data twinpapers'!K6459</f>
        <v>142.06</v>
      </c>
      <c r="J12" s="457">
        <f>'[2]InOut Data twinpapers'!L6459</f>
        <v>2.3194200000000004E-4</v>
      </c>
      <c r="K12" s="457">
        <f>'[2]InOut Data twinpapers'!M6459</f>
        <v>193000</v>
      </c>
      <c r="L12" s="504"/>
      <c r="M12" s="457">
        <f>'[2]InOut Data twinpapers'!N6459</f>
        <v>11.481536214968834</v>
      </c>
      <c r="N12" s="504"/>
      <c r="O12" s="504"/>
      <c r="P12" s="457"/>
      <c r="Q12" s="504"/>
      <c r="R12" s="504"/>
      <c r="S12" s="493"/>
      <c r="T12" s="457">
        <f>'[2]InOut Data twinpapers'!R6459</f>
        <v>3.5007433361613397E-6</v>
      </c>
      <c r="U12" s="457">
        <f>'[2]InOut Data twinpapers'!S6459</f>
        <v>3.5007433361613399E-7</v>
      </c>
      <c r="V12" s="457">
        <f>'[2]InOut Data twinpapers'!T6459</f>
        <v>1.1325934322874924E-6</v>
      </c>
    </row>
    <row r="13" spans="1:22" ht="12.75" customHeight="1" x14ac:dyDescent="0.3">
      <c r="A13" s="494">
        <v>3</v>
      </c>
      <c r="B13" s="494" t="s">
        <v>2490</v>
      </c>
      <c r="C13" s="494" t="s">
        <v>2491</v>
      </c>
      <c r="D13" s="504"/>
      <c r="E13" s="494"/>
      <c r="F13" s="494" t="s">
        <v>1607</v>
      </c>
      <c r="G13" s="662"/>
      <c r="H13" s="504">
        <v>107.87</v>
      </c>
      <c r="I13" s="662"/>
      <c r="J13" s="668">
        <v>2.4084152589004067E-36</v>
      </c>
      <c r="K13" s="457"/>
      <c r="L13" s="457">
        <v>9.9999999999999995E-21</v>
      </c>
      <c r="M13" s="457"/>
      <c r="N13" s="457" cm="1">
        <f t="array" aca="1" ref="N13" ca="1">_xll.RiskResample(1,'Presampled distributions'!A3:A1002,_xll.RiskName('Presampled distributions'!A2),_xll.RiskStatic(47500))*RHOsolid/1000</f>
        <v>1182.4493817406239</v>
      </c>
      <c r="O13" s="504"/>
      <c r="P13" s="457"/>
      <c r="Q13" s="504"/>
      <c r="R13" s="504"/>
      <c r="S13" s="504">
        <v>9.9999999999999995E-21</v>
      </c>
      <c r="T13" s="504">
        <v>9.9999999999999995E-21</v>
      </c>
      <c r="U13" s="457">
        <v>9.9999999999999995E-21</v>
      </c>
      <c r="V13" s="457">
        <v>9.9999999999999995E-21</v>
      </c>
    </row>
    <row r="14" spans="1:22" ht="12.75" customHeight="1" x14ac:dyDescent="0.3">
      <c r="A14" s="657">
        <v>4</v>
      </c>
      <c r="B14" s="494" t="s">
        <v>2492</v>
      </c>
      <c r="C14" s="494" t="s">
        <v>2493</v>
      </c>
      <c r="D14" s="504"/>
      <c r="E14" s="494"/>
      <c r="F14" s="494" t="s">
        <v>1607</v>
      </c>
      <c r="G14" s="662"/>
      <c r="H14" s="504">
        <v>26.98</v>
      </c>
      <c r="I14" s="662"/>
      <c r="J14" s="668">
        <v>3.5055501931685987E-44</v>
      </c>
      <c r="K14" s="457"/>
      <c r="L14" s="457">
        <v>9.9999999999999995E-21</v>
      </c>
      <c r="M14" s="457"/>
      <c r="N14" s="457">
        <v>13328.649403946676</v>
      </c>
      <c r="O14" s="504"/>
      <c r="P14" s="457"/>
      <c r="Q14" s="504"/>
      <c r="R14" s="504"/>
      <c r="S14" s="504">
        <v>9.9999999999999995E-21</v>
      </c>
      <c r="T14" s="504">
        <v>9.9999999999999995E-21</v>
      </c>
      <c r="U14" s="457">
        <v>9.9999999999999995E-21</v>
      </c>
      <c r="V14" s="457">
        <v>9.9999999999999995E-21</v>
      </c>
    </row>
    <row r="15" spans="1:22" ht="12.75" customHeight="1" x14ac:dyDescent="0.3">
      <c r="A15" s="494">
        <v>5</v>
      </c>
      <c r="B15" s="494" t="s">
        <v>2494</v>
      </c>
      <c r="C15" s="494" t="s">
        <v>2495</v>
      </c>
      <c r="D15" s="504"/>
      <c r="E15" s="494"/>
      <c r="F15" s="494" t="s">
        <v>1607</v>
      </c>
      <c r="G15" s="662"/>
      <c r="H15" s="504">
        <v>74.921599999999998</v>
      </c>
      <c r="I15" s="662"/>
      <c r="J15" s="668"/>
      <c r="K15" s="457"/>
      <c r="L15" s="457">
        <v>9.9999999999999995E-21</v>
      </c>
      <c r="M15" s="457"/>
      <c r="N15" s="457" cm="1">
        <f t="array" aca="1" ref="N15" ca="1">_xll.RiskResample(1,'Presampled distributions'!F3:F1002,_xll.RiskName('Presampled distributions'!F2))*RHOsolid/1000</f>
        <v>3352.7933408172421</v>
      </c>
      <c r="O15" s="504"/>
      <c r="P15" s="457"/>
      <c r="Q15" s="504"/>
      <c r="R15" s="504"/>
      <c r="S15" s="504">
        <v>9.9999999999999995E-21</v>
      </c>
      <c r="T15" s="504">
        <v>9.9999999999999995E-21</v>
      </c>
      <c r="U15" s="457">
        <v>9.9999999999999995E-21</v>
      </c>
      <c r="V15" s="457">
        <v>9.9999999999999995E-21</v>
      </c>
    </row>
    <row r="16" spans="1:22" ht="12.75" customHeight="1" x14ac:dyDescent="0.3">
      <c r="A16" s="657">
        <v>6</v>
      </c>
      <c r="B16" s="653" t="s">
        <v>2496</v>
      </c>
      <c r="C16" s="653" t="s">
        <v>2495</v>
      </c>
      <c r="D16" s="504"/>
      <c r="E16" s="504"/>
      <c r="F16" s="494" t="s">
        <v>1607</v>
      </c>
      <c r="G16" s="662"/>
      <c r="H16" s="504">
        <v>74.921599999999998</v>
      </c>
      <c r="I16" s="662"/>
      <c r="J16" s="668"/>
      <c r="K16" s="457"/>
      <c r="L16" s="457">
        <v>9.9999999999999995E-21</v>
      </c>
      <c r="M16" s="457"/>
      <c r="N16" s="457">
        <v>3971.6411736214077</v>
      </c>
      <c r="O16" s="504"/>
      <c r="P16" s="457"/>
      <c r="Q16" s="504"/>
      <c r="R16" s="504"/>
      <c r="S16" s="504">
        <v>9.9999999999999995E-21</v>
      </c>
      <c r="T16" s="504">
        <v>9.9999999999999995E-21</v>
      </c>
      <c r="U16" s="457">
        <v>9.9999999999999995E-21</v>
      </c>
      <c r="V16" s="457">
        <v>9.9999999999999995E-21</v>
      </c>
    </row>
    <row r="17" spans="1:22" ht="12.75" customHeight="1" x14ac:dyDescent="0.3">
      <c r="A17" s="494">
        <v>7</v>
      </c>
      <c r="B17" s="653" t="s">
        <v>2497</v>
      </c>
      <c r="C17" s="653" t="s">
        <v>2498</v>
      </c>
      <c r="D17" s="504"/>
      <c r="E17" s="504"/>
      <c r="F17" s="494" t="s">
        <v>1607</v>
      </c>
      <c r="G17" s="662"/>
      <c r="H17" s="504">
        <v>137.33000000000001</v>
      </c>
      <c r="I17" s="662"/>
      <c r="J17" s="668">
        <v>4.3040812006100106E-19</v>
      </c>
      <c r="K17" s="457"/>
      <c r="L17" s="457">
        <v>9.9999999999999995E-21</v>
      </c>
      <c r="M17" s="457"/>
      <c r="N17" s="457">
        <v>45.15781779593015</v>
      </c>
      <c r="O17" s="504"/>
      <c r="P17" s="457"/>
      <c r="Q17" s="504"/>
      <c r="R17" s="504"/>
      <c r="S17" s="504">
        <v>9.9999999999999995E-21</v>
      </c>
      <c r="T17" s="504">
        <v>9.9999999999999995E-21</v>
      </c>
      <c r="U17" s="457">
        <v>9.9999999999999995E-21</v>
      </c>
      <c r="V17" s="457">
        <v>9.9999999999999995E-21</v>
      </c>
    </row>
    <row r="18" spans="1:22" ht="12.75" customHeight="1" x14ac:dyDescent="0.3">
      <c r="A18" s="657">
        <v>8</v>
      </c>
      <c r="B18" s="653" t="s">
        <v>2499</v>
      </c>
      <c r="C18" s="653" t="s">
        <v>2500</v>
      </c>
      <c r="D18" s="504"/>
      <c r="E18" s="504"/>
      <c r="F18" s="494" t="s">
        <v>1607</v>
      </c>
      <c r="G18" s="662"/>
      <c r="H18" s="504">
        <v>9.0121800000000007</v>
      </c>
      <c r="I18" s="662"/>
      <c r="J18" s="668">
        <v>1.070740126697043E-42</v>
      </c>
      <c r="K18" s="457"/>
      <c r="L18" s="457">
        <v>9.9999999999999995E-21</v>
      </c>
      <c r="M18" s="457"/>
      <c r="N18" s="457">
        <v>621494.61991248687</v>
      </c>
      <c r="O18" s="504"/>
      <c r="P18" s="457"/>
      <c r="Q18" s="504"/>
      <c r="R18" s="504"/>
      <c r="S18" s="504">
        <v>9.9999999999999995E-21</v>
      </c>
      <c r="T18" s="504">
        <v>9.9999999999999995E-21</v>
      </c>
      <c r="U18" s="457">
        <v>9.9999999999999995E-21</v>
      </c>
      <c r="V18" s="457">
        <v>9.9999999999999995E-21</v>
      </c>
    </row>
    <row r="19" spans="1:22" ht="12.75" customHeight="1" x14ac:dyDescent="0.3">
      <c r="A19" s="494">
        <v>9</v>
      </c>
      <c r="B19" s="653" t="s">
        <v>2501</v>
      </c>
      <c r="C19" s="653" t="s">
        <v>2502</v>
      </c>
      <c r="D19" s="504"/>
      <c r="E19" s="504"/>
      <c r="F19" s="653" t="s">
        <v>1607</v>
      </c>
      <c r="G19" s="662"/>
      <c r="H19" s="504">
        <v>112.41</v>
      </c>
      <c r="I19" s="662"/>
      <c r="J19" s="668">
        <v>1.454989960287752E-8</v>
      </c>
      <c r="K19" s="457"/>
      <c r="L19" s="457">
        <v>9.9999999999999995E-21</v>
      </c>
      <c r="M19" s="457"/>
      <c r="N19" s="457">
        <v>1541.7385257268772</v>
      </c>
      <c r="O19" s="504"/>
      <c r="P19" s="457"/>
      <c r="Q19" s="653"/>
      <c r="R19" s="653"/>
      <c r="S19" s="504">
        <v>9.9999999999999995E-21</v>
      </c>
      <c r="T19" s="504">
        <v>9.9999999999999995E-21</v>
      </c>
      <c r="U19" s="457">
        <v>9.9999999999999995E-21</v>
      </c>
      <c r="V19" s="457">
        <v>9.9999999999999995E-21</v>
      </c>
    </row>
    <row r="20" spans="1:22" ht="12.75" customHeight="1" x14ac:dyDescent="0.3">
      <c r="A20" s="657">
        <v>10</v>
      </c>
      <c r="B20" s="653" t="s">
        <v>2503</v>
      </c>
      <c r="C20" s="653" t="s">
        <v>2504</v>
      </c>
      <c r="D20" s="504"/>
      <c r="E20" s="504"/>
      <c r="F20" s="653" t="s">
        <v>1607</v>
      </c>
      <c r="G20" s="662"/>
      <c r="H20" s="504">
        <v>58.933199999999999</v>
      </c>
      <c r="I20" s="662"/>
      <c r="J20" s="668">
        <v>2.9837773958947626E-58</v>
      </c>
      <c r="K20" s="457"/>
      <c r="L20" s="457">
        <v>9.9999999999999995E-21</v>
      </c>
      <c r="M20" s="457"/>
      <c r="N20" s="457">
        <v>1833.3474017044932</v>
      </c>
      <c r="O20" s="504"/>
      <c r="P20" s="457"/>
      <c r="Q20" s="653"/>
      <c r="R20" s="653"/>
      <c r="S20" s="504">
        <v>9.9999999999999995E-21</v>
      </c>
      <c r="T20" s="504">
        <v>9.9999999999999995E-21</v>
      </c>
      <c r="U20" s="457">
        <v>9.9999999999999995E-21</v>
      </c>
      <c r="V20" s="457">
        <v>9.9999999999999995E-21</v>
      </c>
    </row>
    <row r="21" spans="1:22" ht="12.75" customHeight="1" x14ac:dyDescent="0.3">
      <c r="A21" s="494">
        <v>11</v>
      </c>
      <c r="B21" s="653" t="s">
        <v>2505</v>
      </c>
      <c r="C21" s="653" t="s">
        <v>2506</v>
      </c>
      <c r="D21" s="504"/>
      <c r="E21" s="504"/>
      <c r="F21" s="653" t="s">
        <v>1607</v>
      </c>
      <c r="G21" s="662"/>
      <c r="H21" s="504">
        <v>51.996000000000002</v>
      </c>
      <c r="I21" s="662"/>
      <c r="J21" s="668"/>
      <c r="K21" s="457"/>
      <c r="L21" s="457">
        <v>9.9999999999999995E-21</v>
      </c>
      <c r="M21" s="457"/>
      <c r="N21" s="457">
        <v>44741805.854611523</v>
      </c>
      <c r="O21" s="504"/>
      <c r="P21" s="457"/>
      <c r="Q21" s="653"/>
      <c r="R21" s="653"/>
      <c r="S21" s="504">
        <v>9.9999999999999995E-21</v>
      </c>
      <c r="T21" s="504">
        <v>9.9999999999999995E-21</v>
      </c>
      <c r="U21" s="457">
        <v>9.9999999999999995E-21</v>
      </c>
      <c r="V21" s="457">
        <v>9.9999999999999995E-21</v>
      </c>
    </row>
    <row r="22" spans="1:22" ht="12.75" customHeight="1" x14ac:dyDescent="0.3">
      <c r="A22" s="657">
        <v>12</v>
      </c>
      <c r="B22" s="653" t="s">
        <v>2507</v>
      </c>
      <c r="C22" s="653" t="s">
        <v>2508</v>
      </c>
      <c r="D22" s="504"/>
      <c r="E22" s="504"/>
      <c r="F22" s="653" t="s">
        <v>1607</v>
      </c>
      <c r="G22" s="662"/>
      <c r="H22" s="504">
        <v>51.996000000000002</v>
      </c>
      <c r="I22" s="662"/>
      <c r="J22" s="668"/>
      <c r="K22" s="457"/>
      <c r="L22" s="457">
        <v>9.9999999999999995E-21</v>
      </c>
      <c r="M22" s="457"/>
      <c r="N22" s="457">
        <v>7924.4659623055732</v>
      </c>
      <c r="O22" s="504"/>
      <c r="P22" s="457"/>
      <c r="Q22" s="653"/>
      <c r="R22" s="653"/>
      <c r="S22" s="504">
        <v>9.9999999999999995E-21</v>
      </c>
      <c r="T22" s="504">
        <v>9.9999999999999995E-21</v>
      </c>
      <c r="U22" s="457">
        <v>9.9999999999999995E-21</v>
      </c>
      <c r="V22" s="457">
        <v>9.9999999999999995E-21</v>
      </c>
    </row>
    <row r="23" spans="1:22" ht="12.75" customHeight="1" x14ac:dyDescent="0.3">
      <c r="A23" s="494">
        <v>13</v>
      </c>
      <c r="B23" s="653" t="s">
        <v>2509</v>
      </c>
      <c r="C23" s="653" t="s">
        <v>2510</v>
      </c>
      <c r="D23" s="504"/>
      <c r="E23" s="504"/>
      <c r="F23" s="653" t="s">
        <v>1607</v>
      </c>
      <c r="G23" s="662"/>
      <c r="H23" s="504">
        <v>132.91</v>
      </c>
      <c r="I23" s="662"/>
      <c r="J23" s="668">
        <v>2.1126797400753872E-4</v>
      </c>
      <c r="K23" s="457"/>
      <c r="L23" s="457">
        <v>9.9999999999999995E-21</v>
      </c>
      <c r="M23" s="457"/>
      <c r="N23" s="457">
        <v>9.001981404479741</v>
      </c>
      <c r="O23" s="504"/>
      <c r="P23" s="457"/>
      <c r="Q23" s="653"/>
      <c r="R23" s="653"/>
      <c r="S23" s="504">
        <v>9.9999999999999995E-21</v>
      </c>
      <c r="T23" s="504">
        <v>9.9999999999999995E-21</v>
      </c>
      <c r="U23" s="457">
        <v>9.9999999999999995E-21</v>
      </c>
      <c r="V23" s="457">
        <v>9.9999999999999995E-21</v>
      </c>
    </row>
    <row r="24" spans="1:22" ht="12.75" customHeight="1" x14ac:dyDescent="0.3">
      <c r="A24" s="657">
        <v>14</v>
      </c>
      <c r="B24" s="653" t="s">
        <v>2511</v>
      </c>
      <c r="C24" s="653" t="s">
        <v>2474</v>
      </c>
      <c r="D24" s="504"/>
      <c r="E24" s="504"/>
      <c r="F24" s="653" t="s">
        <v>1607</v>
      </c>
      <c r="G24" s="662"/>
      <c r="H24" s="504">
        <v>63.545999999999999</v>
      </c>
      <c r="I24" s="662"/>
      <c r="J24" s="668">
        <v>6.2883519005482815E-45</v>
      </c>
      <c r="K24" s="457"/>
      <c r="L24" s="457">
        <v>9.9999999999999995E-21</v>
      </c>
      <c r="M24" s="457"/>
      <c r="N24" s="457" cm="1">
        <f t="array" aca="1" ref="N24" ca="1">_xll.RiskResample(1,'Presampled distributions'!B3:B1002,_xll.RiskName('Presampled distributions'!B2),_xll.RiskStatic(1317669.20615795))*RHOsolid/1000</f>
        <v>1589.5769323132231</v>
      </c>
      <c r="O24" s="504"/>
      <c r="P24" s="457"/>
      <c r="Q24" s="653"/>
      <c r="R24" s="653"/>
      <c r="S24" s="504">
        <v>9.9999999999999995E-21</v>
      </c>
      <c r="T24" s="504">
        <v>9.9999999999999995E-21</v>
      </c>
      <c r="U24" s="457">
        <v>9.9999999999999995E-21</v>
      </c>
      <c r="V24" s="457">
        <v>9.9999999999999995E-21</v>
      </c>
    </row>
    <row r="25" spans="1:22" ht="12.75" customHeight="1" x14ac:dyDescent="0.3">
      <c r="A25" s="494">
        <v>15</v>
      </c>
      <c r="B25" s="653" t="s">
        <v>2512</v>
      </c>
      <c r="C25" s="653" t="s">
        <v>2513</v>
      </c>
      <c r="D25" s="504"/>
      <c r="E25" s="504"/>
      <c r="F25" s="653" t="s">
        <v>1607</v>
      </c>
      <c r="G25" s="662"/>
      <c r="H25" s="504">
        <v>55.85</v>
      </c>
      <c r="I25" s="662"/>
      <c r="J25" s="668">
        <v>5.025727302876554E-55</v>
      </c>
      <c r="K25" s="457"/>
      <c r="L25" s="457">
        <v>9.9999999999999995E-21</v>
      </c>
      <c r="M25" s="457"/>
      <c r="N25" s="457">
        <v>423.53402768410797</v>
      </c>
      <c r="O25" s="504"/>
      <c r="P25" s="457"/>
      <c r="Q25" s="653"/>
      <c r="R25" s="653"/>
      <c r="S25" s="504">
        <v>9.9999999999999995E-21</v>
      </c>
      <c r="T25" s="504">
        <v>9.9999999999999995E-21</v>
      </c>
      <c r="U25" s="457">
        <v>9.9999999999999995E-21</v>
      </c>
      <c r="V25" s="457">
        <v>9.9999999999999995E-21</v>
      </c>
    </row>
    <row r="26" spans="1:22" ht="12.75" customHeight="1" x14ac:dyDescent="0.3">
      <c r="A26" s="657">
        <v>16</v>
      </c>
      <c r="B26" s="653" t="s">
        <v>2514</v>
      </c>
      <c r="C26" s="653" t="s">
        <v>2513</v>
      </c>
      <c r="D26" s="504"/>
      <c r="E26" s="504"/>
      <c r="F26" s="653" t="s">
        <v>1607</v>
      </c>
      <c r="G26" s="662"/>
      <c r="H26" s="504">
        <v>55.85</v>
      </c>
      <c r="I26" s="662"/>
      <c r="J26" s="668">
        <v>5.025727302876554E-55</v>
      </c>
      <c r="K26" s="457"/>
      <c r="L26" s="457">
        <v>9.9999999999999995E-21</v>
      </c>
      <c r="M26" s="457"/>
      <c r="N26" s="457">
        <v>1613634.9487338495</v>
      </c>
      <c r="O26" s="504"/>
      <c r="P26" s="457"/>
      <c r="Q26" s="653"/>
      <c r="R26" s="653"/>
      <c r="S26" s="504">
        <v>9.9999999999999995E-21</v>
      </c>
      <c r="T26" s="504">
        <v>9.9999999999999995E-21</v>
      </c>
      <c r="U26" s="457">
        <v>9.9999999999999995E-21</v>
      </c>
      <c r="V26" s="457">
        <v>9.9999999999999995E-21</v>
      </c>
    </row>
    <row r="27" spans="1:22" ht="12.75" customHeight="1" x14ac:dyDescent="0.3">
      <c r="A27" s="494">
        <v>17</v>
      </c>
      <c r="B27" s="653" t="s">
        <v>2572</v>
      </c>
      <c r="C27" s="653" t="s">
        <v>2571</v>
      </c>
      <c r="D27" s="504"/>
      <c r="E27" s="504"/>
      <c r="F27" s="653" t="s">
        <v>1607</v>
      </c>
      <c r="G27" s="662"/>
      <c r="H27" s="504">
        <v>69.72</v>
      </c>
      <c r="I27" s="662"/>
      <c r="J27" s="668"/>
      <c r="K27" s="457"/>
      <c r="L27" s="457">
        <v>9.9999999999999995E-21</v>
      </c>
      <c r="M27" s="457"/>
      <c r="N27" s="457" cm="1">
        <f t="array" aca="1" ref="N27" ca="1">_xll.RiskResample(1,'Presampled distributions'!E3:E1002,_xll.RiskName('Presampled distributions'!E2))*RHOsolid/1000</f>
        <v>48102.186768919804</v>
      </c>
      <c r="O27" s="504"/>
      <c r="P27" s="457"/>
      <c r="Q27" s="653"/>
      <c r="R27" s="653"/>
      <c r="S27" s="504">
        <v>9.9999999999999995E-21</v>
      </c>
      <c r="T27" s="504">
        <v>9.9999999999999995E-21</v>
      </c>
      <c r="U27" s="457">
        <v>9.9999999999999995E-21</v>
      </c>
      <c r="V27" s="457">
        <v>9.9999999999999995E-21</v>
      </c>
    </row>
    <row r="28" spans="1:22" ht="12.75" customHeight="1" x14ac:dyDescent="0.3">
      <c r="A28" s="657">
        <v>18</v>
      </c>
      <c r="B28" s="653" t="s">
        <v>2515</v>
      </c>
      <c r="C28" s="653" t="s">
        <v>2516</v>
      </c>
      <c r="D28" s="504"/>
      <c r="E28" s="504"/>
      <c r="F28" s="653" t="s">
        <v>1607</v>
      </c>
      <c r="G28" s="662"/>
      <c r="H28" s="504">
        <v>200.59</v>
      </c>
      <c r="I28" s="662"/>
      <c r="J28" s="668">
        <v>0.26448691183005452</v>
      </c>
      <c r="K28" s="457"/>
      <c r="L28" s="457">
        <v>9.9999999999999995E-21</v>
      </c>
      <c r="M28" s="457"/>
      <c r="N28" s="457">
        <v>99763.115748444063</v>
      </c>
      <c r="O28" s="504"/>
      <c r="P28" s="457"/>
      <c r="Q28" s="653"/>
      <c r="R28" s="653"/>
      <c r="S28" s="504">
        <v>9.9999999999999995E-21</v>
      </c>
      <c r="T28" s="504">
        <v>9.9999999999999995E-21</v>
      </c>
      <c r="U28" s="457">
        <v>9.9999999999999995E-21</v>
      </c>
      <c r="V28" s="457">
        <v>9.9999999999999995E-21</v>
      </c>
    </row>
    <row r="29" spans="1:22" ht="12.75" customHeight="1" x14ac:dyDescent="0.3">
      <c r="A29" s="494">
        <v>19</v>
      </c>
      <c r="B29" s="653" t="s">
        <v>2573</v>
      </c>
      <c r="C29" s="653" t="s">
        <v>2574</v>
      </c>
      <c r="D29" s="504"/>
      <c r="E29" s="504"/>
      <c r="F29" s="653" t="s">
        <v>1607</v>
      </c>
      <c r="G29" s="662"/>
      <c r="H29" s="504">
        <v>114.82</v>
      </c>
      <c r="I29" s="662"/>
      <c r="J29" s="668"/>
      <c r="K29" s="457"/>
      <c r="L29" s="457">
        <v>9.9999999999999995E-21</v>
      </c>
      <c r="M29" s="457"/>
      <c r="N29" s="457" cm="1">
        <f t="array" aca="1" ref="N29" ca="1">_xll.RiskResample(1,'Presampled distributions'!D3:D1002,_xll.RiskName('Presampled distributions'!D2))*RHOsolid/1000</f>
        <v>150134.76447826743</v>
      </c>
      <c r="O29" s="504"/>
      <c r="P29" s="457"/>
      <c r="Q29" s="653"/>
      <c r="R29" s="653"/>
      <c r="S29" s="504">
        <v>9.9999999999999995E-21</v>
      </c>
      <c r="T29" s="504">
        <v>9.9999999999999995E-21</v>
      </c>
      <c r="U29" s="457">
        <v>9.9999999999999995E-21</v>
      </c>
      <c r="V29" s="457">
        <v>9.9999999999999995E-21</v>
      </c>
    </row>
    <row r="30" spans="1:22" ht="12.75" customHeight="1" x14ac:dyDescent="0.3">
      <c r="A30" s="657">
        <v>20</v>
      </c>
      <c r="B30" s="653" t="s">
        <v>2517</v>
      </c>
      <c r="C30" s="653" t="s">
        <v>2518</v>
      </c>
      <c r="D30" s="504"/>
      <c r="E30" s="504"/>
      <c r="F30" s="653" t="s">
        <v>1607</v>
      </c>
      <c r="G30" s="662"/>
      <c r="H30" s="504">
        <v>54.94</v>
      </c>
      <c r="I30" s="662"/>
      <c r="J30" s="668"/>
      <c r="K30" s="457"/>
      <c r="L30" s="457">
        <v>9.9999999999999995E-21</v>
      </c>
      <c r="M30" s="457"/>
      <c r="N30" s="457">
        <v>2890.7153900116759</v>
      </c>
      <c r="O30" s="504"/>
      <c r="P30" s="457"/>
      <c r="Q30" s="653"/>
      <c r="R30" s="653"/>
      <c r="S30" s="504">
        <v>9.9999999999999995E-21</v>
      </c>
      <c r="T30" s="504">
        <v>9.9999999999999995E-21</v>
      </c>
      <c r="U30" s="457">
        <v>9.9999999999999995E-21</v>
      </c>
      <c r="V30" s="457">
        <v>9.9999999999999995E-21</v>
      </c>
    </row>
    <row r="31" spans="1:22" ht="12.75" customHeight="1" x14ac:dyDescent="0.3">
      <c r="A31" s="494">
        <v>21</v>
      </c>
      <c r="B31" s="653" t="s">
        <v>2519</v>
      </c>
      <c r="C31" s="653" t="s">
        <v>2520</v>
      </c>
      <c r="D31" s="504"/>
      <c r="E31" s="504"/>
      <c r="F31" s="653" t="s">
        <v>1607</v>
      </c>
      <c r="G31" s="662"/>
      <c r="H31" s="504">
        <v>95.94</v>
      </c>
      <c r="I31" s="662"/>
      <c r="J31" s="668"/>
      <c r="K31" s="457"/>
      <c r="L31" s="457">
        <v>9.9999999999999995E-21</v>
      </c>
      <c r="M31" s="457"/>
      <c r="N31" s="457">
        <v>12559.43215754793</v>
      </c>
      <c r="O31" s="504"/>
      <c r="P31" s="457"/>
      <c r="Q31" s="653"/>
      <c r="R31" s="653"/>
      <c r="S31" s="504">
        <v>9.9999999999999995E-21</v>
      </c>
      <c r="T31" s="504">
        <v>9.9999999999999995E-21</v>
      </c>
      <c r="U31" s="457">
        <v>9.9999999999999995E-21</v>
      </c>
      <c r="V31" s="457">
        <v>9.9999999999999995E-21</v>
      </c>
    </row>
    <row r="32" spans="1:22" ht="12.75" customHeight="1" x14ac:dyDescent="0.3">
      <c r="A32" s="657">
        <v>22</v>
      </c>
      <c r="B32" s="653" t="s">
        <v>2521</v>
      </c>
      <c r="C32" s="653" t="s">
        <v>2522</v>
      </c>
      <c r="D32" s="504"/>
      <c r="E32" s="504"/>
      <c r="F32" s="653" t="s">
        <v>1607</v>
      </c>
      <c r="G32" s="662"/>
      <c r="H32" s="504">
        <v>58.693399999999997</v>
      </c>
      <c r="I32" s="662"/>
      <c r="J32" s="668">
        <v>1.0606335149628644E-58</v>
      </c>
      <c r="K32" s="457"/>
      <c r="L32" s="457">
        <v>9.9999999999999995E-21</v>
      </c>
      <c r="M32" s="457"/>
      <c r="N32" s="457">
        <v>1210.0279673713412</v>
      </c>
      <c r="O32" s="504"/>
      <c r="P32" s="457"/>
      <c r="Q32" s="653"/>
      <c r="R32" s="653"/>
      <c r="S32" s="504">
        <v>9.9999999999999995E-21</v>
      </c>
      <c r="T32" s="504">
        <v>9.9999999999999995E-21</v>
      </c>
      <c r="U32" s="457">
        <v>9.9999999999999995E-21</v>
      </c>
      <c r="V32" s="457">
        <v>9.9999999999999995E-21</v>
      </c>
    </row>
    <row r="33" spans="1:22" ht="12.75" customHeight="1" x14ac:dyDescent="0.3">
      <c r="A33" s="494">
        <v>23</v>
      </c>
      <c r="B33" s="653" t="s">
        <v>2523</v>
      </c>
      <c r="C33" s="653" t="s">
        <v>2524</v>
      </c>
      <c r="D33" s="504"/>
      <c r="E33" s="504"/>
      <c r="F33" s="653" t="s">
        <v>1607</v>
      </c>
      <c r="G33" s="662"/>
      <c r="H33" s="504">
        <v>207.2</v>
      </c>
      <c r="I33" s="662"/>
      <c r="J33" s="668">
        <v>2.3955386353897258E-23</v>
      </c>
      <c r="K33" s="457"/>
      <c r="L33" s="457">
        <v>9.9999999999999995E-21</v>
      </c>
      <c r="M33" s="457"/>
      <c r="N33" s="457" cm="1">
        <f t="array" aca="1" ref="N33" ca="1">_xll.RiskResample(1,'Presampled distributions'!C3:C1002,_xll.RiskName('Presampled distributions'!C2),_xll.RiskStatic(3741364.24325364))*RHOsolid/1000</f>
        <v>7877.4727183110881</v>
      </c>
      <c r="O33" s="504"/>
      <c r="P33" s="457"/>
      <c r="Q33" s="653"/>
      <c r="R33" s="653"/>
      <c r="S33" s="504">
        <v>9.9999999999999995E-21</v>
      </c>
      <c r="T33" s="504">
        <v>9.9999999999999995E-21</v>
      </c>
      <c r="U33" s="457">
        <v>9.9999999999999995E-21</v>
      </c>
      <c r="V33" s="457">
        <v>9.9999999999999995E-21</v>
      </c>
    </row>
    <row r="34" spans="1:22" ht="12.75" customHeight="1" x14ac:dyDescent="0.3">
      <c r="A34" s="657">
        <v>24</v>
      </c>
      <c r="B34" s="653" t="s">
        <v>2525</v>
      </c>
      <c r="C34" s="653" t="s">
        <v>2526</v>
      </c>
      <c r="D34" s="504"/>
      <c r="E34" s="504"/>
      <c r="F34" s="653" t="s">
        <v>1607</v>
      </c>
      <c r="G34" s="662"/>
      <c r="H34" s="504">
        <v>121.76</v>
      </c>
      <c r="I34" s="662"/>
      <c r="J34" s="668"/>
      <c r="K34" s="457"/>
      <c r="L34" s="457">
        <v>9.9999999999999995E-21</v>
      </c>
      <c r="M34" s="457"/>
      <c r="N34" s="457">
        <v>2500</v>
      </c>
      <c r="O34" s="504"/>
      <c r="P34" s="457"/>
      <c r="Q34" s="653"/>
      <c r="R34" s="653"/>
      <c r="S34" s="504">
        <v>9.9999999999999995E-21</v>
      </c>
      <c r="T34" s="504">
        <v>9.9999999999999995E-21</v>
      </c>
      <c r="U34" s="457">
        <v>9.9999999999999995E-21</v>
      </c>
      <c r="V34" s="457">
        <v>9.9999999999999995E-21</v>
      </c>
    </row>
    <row r="35" spans="1:22" ht="12.75" customHeight="1" x14ac:dyDescent="0.3">
      <c r="A35" s="494">
        <v>25</v>
      </c>
      <c r="B35" s="653" t="s">
        <v>2527</v>
      </c>
      <c r="C35" s="653" t="s">
        <v>2526</v>
      </c>
      <c r="D35" s="504"/>
      <c r="E35" s="504"/>
      <c r="F35" s="653" t="s">
        <v>1607</v>
      </c>
      <c r="G35" s="662"/>
      <c r="H35" s="504">
        <v>121.76</v>
      </c>
      <c r="I35" s="662"/>
      <c r="J35" s="668"/>
      <c r="K35" s="457"/>
      <c r="L35" s="457">
        <v>9.9999999999999995E-21</v>
      </c>
      <c r="M35" s="457"/>
      <c r="N35" s="457">
        <v>2500</v>
      </c>
      <c r="O35" s="504"/>
      <c r="P35" s="457"/>
      <c r="Q35" s="653"/>
      <c r="R35" s="653"/>
      <c r="S35" s="504">
        <v>9.9999999999999995E-21</v>
      </c>
      <c r="T35" s="504">
        <v>9.9999999999999995E-21</v>
      </c>
      <c r="U35" s="457">
        <v>9.9999999999999995E-21</v>
      </c>
      <c r="V35" s="457">
        <v>9.9999999999999995E-21</v>
      </c>
    </row>
    <row r="36" spans="1:22" ht="12.75" customHeight="1" x14ac:dyDescent="0.3">
      <c r="A36" s="657">
        <v>26</v>
      </c>
      <c r="B36" s="653" t="s">
        <v>2528</v>
      </c>
      <c r="C36" s="653" t="s">
        <v>2529</v>
      </c>
      <c r="D36" s="504"/>
      <c r="E36" s="504"/>
      <c r="F36" s="653" t="s">
        <v>1607</v>
      </c>
      <c r="G36" s="662"/>
      <c r="H36" s="504">
        <v>78.959999999999994</v>
      </c>
      <c r="I36" s="662"/>
      <c r="J36" s="668"/>
      <c r="K36" s="457"/>
      <c r="L36" s="457">
        <v>9.9999999999999995E-21</v>
      </c>
      <c r="M36" s="457"/>
      <c r="N36" s="457">
        <v>12559.43215754793</v>
      </c>
      <c r="O36" s="504"/>
      <c r="P36" s="457"/>
      <c r="Q36" s="653"/>
      <c r="R36" s="653"/>
      <c r="S36" s="504">
        <v>9.9999999999999995E-21</v>
      </c>
      <c r="T36" s="504">
        <v>9.9999999999999995E-21</v>
      </c>
      <c r="U36" s="457">
        <v>9.9999999999999995E-21</v>
      </c>
      <c r="V36" s="457">
        <v>9.9999999999999995E-21</v>
      </c>
    </row>
    <row r="37" spans="1:22" ht="12.75" customHeight="1" x14ac:dyDescent="0.3">
      <c r="A37" s="494">
        <v>27</v>
      </c>
      <c r="B37" s="653" t="s">
        <v>2530</v>
      </c>
      <c r="C37" s="653" t="s">
        <v>2531</v>
      </c>
      <c r="D37" s="504"/>
      <c r="E37" s="504"/>
      <c r="F37" s="653" t="s">
        <v>1607</v>
      </c>
      <c r="G37" s="662"/>
      <c r="H37" s="504">
        <v>118.69</v>
      </c>
      <c r="I37" s="662"/>
      <c r="J37" s="668">
        <v>6.9813053852734295E-42</v>
      </c>
      <c r="K37" s="457"/>
      <c r="L37" s="457">
        <v>9.9999999999999995E-21</v>
      </c>
      <c r="M37" s="457"/>
      <c r="N37" s="457">
        <v>39716.411736214119</v>
      </c>
      <c r="O37" s="504"/>
      <c r="P37" s="457"/>
      <c r="Q37" s="653"/>
      <c r="R37" s="653"/>
      <c r="S37" s="504">
        <v>9.9999999999999995E-21</v>
      </c>
      <c r="T37" s="504">
        <v>9.9999999999999995E-21</v>
      </c>
      <c r="U37" s="457">
        <v>9.9999999999999995E-21</v>
      </c>
      <c r="V37" s="457">
        <v>9.9999999999999995E-21</v>
      </c>
    </row>
    <row r="38" spans="1:22" ht="12.75" customHeight="1" x14ac:dyDescent="0.3">
      <c r="A38" s="657">
        <v>28</v>
      </c>
      <c r="B38" s="653" t="s">
        <v>2532</v>
      </c>
      <c r="C38" s="653" t="s">
        <v>2533</v>
      </c>
      <c r="D38" s="504"/>
      <c r="E38" s="504"/>
      <c r="F38" s="653" t="s">
        <v>1607</v>
      </c>
      <c r="G38" s="662"/>
      <c r="H38" s="504">
        <v>87.62</v>
      </c>
      <c r="I38" s="662"/>
      <c r="J38" s="668"/>
      <c r="K38" s="457"/>
      <c r="L38" s="457">
        <v>9.9999999999999995E-21</v>
      </c>
      <c r="M38" s="457"/>
      <c r="N38" s="457">
        <v>751.59373449939994</v>
      </c>
      <c r="O38" s="504"/>
      <c r="P38" s="457"/>
      <c r="Q38" s="653"/>
      <c r="R38" s="653"/>
      <c r="S38" s="504">
        <v>9.9999999999999995E-21</v>
      </c>
      <c r="T38" s="504">
        <v>9.9999999999999995E-21</v>
      </c>
      <c r="U38" s="457">
        <v>9.9999999999999995E-21</v>
      </c>
      <c r="V38" s="457">
        <v>9.9999999999999995E-21</v>
      </c>
    </row>
    <row r="39" spans="1:22" ht="12.75" customHeight="1" x14ac:dyDescent="0.3">
      <c r="A39" s="494">
        <v>29</v>
      </c>
      <c r="B39" s="653" t="s">
        <v>2534</v>
      </c>
      <c r="C39" s="653" t="s">
        <v>2535</v>
      </c>
      <c r="D39" s="504"/>
      <c r="E39" s="504"/>
      <c r="F39" s="653" t="s">
        <v>1607</v>
      </c>
      <c r="G39" s="662"/>
      <c r="H39" s="504">
        <v>204.38300000000001</v>
      </c>
      <c r="I39" s="662"/>
      <c r="J39" s="668">
        <v>9.0047174941122605E-21</v>
      </c>
      <c r="K39" s="457"/>
      <c r="L39" s="457">
        <v>9.9999999999999995E-21</v>
      </c>
      <c r="M39" s="457"/>
      <c r="N39" s="457">
        <v>6294.6270589708356</v>
      </c>
      <c r="O39" s="504"/>
      <c r="P39" s="457"/>
      <c r="Q39" s="653"/>
      <c r="R39" s="653"/>
      <c r="S39" s="504">
        <v>9.9999999999999995E-21</v>
      </c>
      <c r="T39" s="504">
        <v>9.9999999999999995E-21</v>
      </c>
      <c r="U39" s="457">
        <v>9.9999999999999995E-21</v>
      </c>
      <c r="V39" s="457">
        <v>9.9999999999999995E-21</v>
      </c>
    </row>
    <row r="40" spans="1:22" ht="12.75" customHeight="1" x14ac:dyDescent="0.3">
      <c r="A40" s="657">
        <v>30</v>
      </c>
      <c r="B40" s="653" t="s">
        <v>2536</v>
      </c>
      <c r="C40" s="653" t="s">
        <v>2537</v>
      </c>
      <c r="D40" s="504"/>
      <c r="E40" s="504"/>
      <c r="F40" s="653" t="s">
        <v>1607</v>
      </c>
      <c r="G40" s="662"/>
      <c r="H40" s="504">
        <v>50.941000000000003</v>
      </c>
      <c r="I40" s="662"/>
      <c r="J40" s="668">
        <v>1.1153510093102885E-72</v>
      </c>
      <c r="K40" s="457"/>
      <c r="L40" s="457">
        <v>9.9999999999999995E-21</v>
      </c>
      <c r="M40" s="457"/>
      <c r="N40" s="457">
        <v>2505.9361681363662</v>
      </c>
      <c r="O40" s="504"/>
      <c r="P40" s="457"/>
      <c r="Q40" s="653"/>
      <c r="R40" s="653"/>
      <c r="S40" s="504">
        <v>9.9999999999999995E-21</v>
      </c>
      <c r="T40" s="504">
        <v>9.9999999999999995E-21</v>
      </c>
      <c r="U40" s="457">
        <v>9.9999999999999995E-21</v>
      </c>
      <c r="V40" s="457">
        <v>9.9999999999999995E-21</v>
      </c>
    </row>
    <row r="41" spans="1:22" ht="12.75" customHeight="1" x14ac:dyDescent="0.3">
      <c r="A41" s="494">
        <v>31</v>
      </c>
      <c r="B41" s="653" t="s">
        <v>2538</v>
      </c>
      <c r="C41" s="653" t="s">
        <v>2539</v>
      </c>
      <c r="D41" s="504"/>
      <c r="E41" s="504"/>
      <c r="F41" s="653" t="s">
        <v>1607</v>
      </c>
      <c r="G41" s="662"/>
      <c r="H41" s="504">
        <v>65.38</v>
      </c>
      <c r="I41" s="662"/>
      <c r="J41" s="668">
        <v>1.9969597156785102E-11</v>
      </c>
      <c r="K41" s="457"/>
      <c r="L41" s="457">
        <v>9.9999999999999995E-21</v>
      </c>
      <c r="M41" s="457"/>
      <c r="N41" s="457">
        <v>2807.9188845538101</v>
      </c>
      <c r="O41" s="504"/>
      <c r="P41" s="457"/>
      <c r="Q41" s="653"/>
      <c r="R41" s="653"/>
      <c r="S41" s="504">
        <v>9.9999999999999995E-21</v>
      </c>
      <c r="T41" s="504">
        <v>9.9999999999999995E-21</v>
      </c>
      <c r="U41" s="457">
        <v>9.9999999999999995E-21</v>
      </c>
      <c r="V41" s="457">
        <v>9.9999999999999995E-21</v>
      </c>
    </row>
    <row r="42" spans="1:22" ht="12.75" customHeight="1" x14ac:dyDescent="0.3">
      <c r="A42" s="514"/>
      <c r="D42" s="514"/>
      <c r="E42" s="509"/>
      <c r="P42" s="7"/>
      <c r="T42" s="509"/>
      <c r="U42" s="509"/>
    </row>
    <row r="43" spans="1:22" ht="12.75" customHeight="1" x14ac:dyDescent="0.3">
      <c r="A43" s="514"/>
      <c r="D43" s="514"/>
      <c r="E43" s="509"/>
      <c r="P43" s="7"/>
      <c r="T43" s="509"/>
      <c r="U43" s="509"/>
    </row>
    <row r="44" spans="1:22" ht="12.75" customHeight="1" x14ac:dyDescent="0.3">
      <c r="A44" s="514"/>
      <c r="D44" s="514"/>
      <c r="E44" s="509"/>
      <c r="P44" s="7"/>
      <c r="T44" s="509"/>
      <c r="U44" s="509"/>
    </row>
    <row r="45" spans="1:22" ht="12.75" customHeight="1" x14ac:dyDescent="0.3">
      <c r="A45" s="514"/>
      <c r="D45" s="514"/>
      <c r="E45" s="509"/>
      <c r="P45" s="7"/>
      <c r="T45" s="509"/>
      <c r="U45" s="509"/>
    </row>
    <row r="46" spans="1:22" ht="12.75" customHeight="1" x14ac:dyDescent="0.3">
      <c r="A46" s="514"/>
      <c r="D46" s="514"/>
      <c r="E46" s="509"/>
      <c r="P46" s="7"/>
      <c r="T46" s="509"/>
      <c r="U46" s="509"/>
    </row>
    <row r="47" spans="1:22" ht="12.75" customHeight="1" x14ac:dyDescent="0.3">
      <c r="A47" s="514"/>
      <c r="D47" s="514"/>
      <c r="E47" s="509"/>
      <c r="P47" s="7"/>
      <c r="T47" s="509"/>
      <c r="U47" s="509"/>
    </row>
    <row r="48" spans="1:22" ht="12.75" customHeight="1" x14ac:dyDescent="0.3">
      <c r="A48" s="514"/>
      <c r="D48" s="514"/>
      <c r="E48" s="509"/>
      <c r="P48" s="7"/>
      <c r="T48" s="509"/>
      <c r="U48" s="509"/>
    </row>
    <row r="49" spans="1:21" ht="12.75" customHeight="1" x14ac:dyDescent="0.3">
      <c r="A49" s="514"/>
      <c r="D49" s="514"/>
      <c r="E49" s="509"/>
      <c r="P49" s="7"/>
      <c r="T49" s="509"/>
      <c r="U49" s="509"/>
    </row>
    <row r="50" spans="1:21" ht="12.75" customHeight="1" x14ac:dyDescent="0.3">
      <c r="A50" s="514"/>
      <c r="D50" s="514"/>
      <c r="E50" s="509"/>
      <c r="P50" s="7"/>
      <c r="T50" s="509"/>
      <c r="U50" s="509"/>
    </row>
    <row r="51" spans="1:21" ht="12.75" customHeight="1" x14ac:dyDescent="0.3">
      <c r="A51" s="514"/>
      <c r="D51" s="514"/>
      <c r="E51" s="509"/>
      <c r="P51" s="7"/>
      <c r="T51" s="509"/>
      <c r="U51" s="509"/>
    </row>
    <row r="52" spans="1:21" ht="12.75" customHeight="1" x14ac:dyDescent="0.3">
      <c r="A52" s="514"/>
      <c r="D52" s="514"/>
      <c r="E52" s="509"/>
      <c r="P52" s="7"/>
      <c r="T52" s="509"/>
      <c r="U52" s="509"/>
    </row>
    <row r="53" spans="1:21" ht="12.75" customHeight="1" x14ac:dyDescent="0.3">
      <c r="A53" s="514"/>
      <c r="D53" s="514"/>
      <c r="E53" s="509"/>
      <c r="P53" s="7"/>
      <c r="T53" s="509"/>
      <c r="U53" s="509"/>
    </row>
    <row r="54" spans="1:21" ht="12.75" customHeight="1" x14ac:dyDescent="0.3">
      <c r="A54" s="514"/>
      <c r="D54" s="514"/>
      <c r="E54" s="509"/>
      <c r="P54" s="7"/>
      <c r="T54" s="509"/>
      <c r="U54" s="509"/>
    </row>
    <row r="55" spans="1:21" ht="12.75" customHeight="1" x14ac:dyDescent="0.3">
      <c r="A55" s="514"/>
      <c r="D55" s="514"/>
      <c r="E55" s="509"/>
      <c r="P55" s="7"/>
      <c r="T55" s="509"/>
      <c r="U55" s="509"/>
    </row>
    <row r="56" spans="1:21" ht="12.75" customHeight="1" x14ac:dyDescent="0.3">
      <c r="A56" s="514"/>
      <c r="D56" s="514"/>
      <c r="E56" s="509"/>
      <c r="P56" s="7"/>
      <c r="T56" s="509"/>
      <c r="U56" s="509"/>
    </row>
    <row r="57" spans="1:21" ht="12.75" customHeight="1" x14ac:dyDescent="0.3">
      <c r="A57" s="514"/>
      <c r="D57" s="514"/>
      <c r="E57" s="509"/>
      <c r="P57" s="7"/>
      <c r="T57" s="509"/>
      <c r="U57" s="509"/>
    </row>
    <row r="58" spans="1:21" ht="12.75" customHeight="1" x14ac:dyDescent="0.3">
      <c r="A58" s="514"/>
      <c r="D58" s="514"/>
      <c r="E58" s="509"/>
      <c r="P58" s="7"/>
      <c r="T58" s="509"/>
      <c r="U58" s="509"/>
    </row>
    <row r="59" spans="1:21" ht="12.75" customHeight="1" x14ac:dyDescent="0.3">
      <c r="A59" s="514"/>
      <c r="D59" s="514"/>
      <c r="E59" s="509"/>
      <c r="P59" s="7"/>
      <c r="T59" s="509"/>
      <c r="U59" s="509"/>
    </row>
    <row r="60" spans="1:21" ht="12.75" customHeight="1" x14ac:dyDescent="0.3">
      <c r="A60" s="514"/>
      <c r="D60" s="514"/>
      <c r="E60" s="509"/>
      <c r="P60" s="7"/>
      <c r="T60" s="509"/>
      <c r="U60" s="509"/>
    </row>
    <row r="61" spans="1:21" ht="12.75" customHeight="1" x14ac:dyDescent="0.3">
      <c r="A61" s="514"/>
      <c r="D61" s="514"/>
      <c r="E61" s="509"/>
      <c r="P61" s="7"/>
      <c r="T61" s="509"/>
      <c r="U61" s="509"/>
    </row>
    <row r="62" spans="1:21" ht="12.75" customHeight="1" x14ac:dyDescent="0.3">
      <c r="A62" s="514"/>
      <c r="D62" s="514"/>
      <c r="E62" s="509"/>
      <c r="P62" s="7"/>
      <c r="T62" s="509"/>
      <c r="U62" s="509"/>
    </row>
    <row r="63" spans="1:21" ht="12.75" customHeight="1" x14ac:dyDescent="0.3">
      <c r="A63" s="514"/>
      <c r="D63" s="514"/>
      <c r="E63" s="509"/>
      <c r="P63" s="7"/>
      <c r="T63" s="509"/>
      <c r="U63" s="509"/>
    </row>
    <row r="64" spans="1:21" ht="12.75" customHeight="1" x14ac:dyDescent="0.3">
      <c r="A64" s="514"/>
      <c r="D64" s="514"/>
      <c r="E64" s="509"/>
      <c r="P64" s="7"/>
      <c r="T64" s="509"/>
      <c r="U64" s="509"/>
    </row>
    <row r="65" spans="1:21" ht="12.75" customHeight="1" x14ac:dyDescent="0.3">
      <c r="A65" s="514"/>
      <c r="D65" s="514"/>
      <c r="E65" s="509"/>
      <c r="P65" s="7"/>
      <c r="T65" s="509"/>
      <c r="U65" s="509"/>
    </row>
    <row r="66" spans="1:21" ht="12.75" customHeight="1" x14ac:dyDescent="0.3">
      <c r="A66" s="514"/>
      <c r="D66" s="514"/>
      <c r="E66" s="509"/>
      <c r="P66" s="7"/>
      <c r="T66" s="509"/>
      <c r="U66" s="509"/>
    </row>
    <row r="67" spans="1:21" ht="12.75" customHeight="1" x14ac:dyDescent="0.3">
      <c r="A67" s="514"/>
      <c r="D67" s="514"/>
      <c r="E67" s="509"/>
      <c r="P67" s="7"/>
      <c r="T67" s="509"/>
      <c r="U67" s="509"/>
    </row>
    <row r="68" spans="1:21" ht="12.75" customHeight="1" x14ac:dyDescent="0.3">
      <c r="A68" s="514"/>
      <c r="D68" s="514"/>
      <c r="E68" s="509"/>
      <c r="P68" s="7"/>
      <c r="T68" s="509"/>
      <c r="U68" s="509"/>
    </row>
    <row r="69" spans="1:21" ht="12.75" customHeight="1" x14ac:dyDescent="0.3">
      <c r="A69" s="514"/>
      <c r="D69" s="514"/>
      <c r="E69" s="509"/>
      <c r="P69" s="7"/>
      <c r="T69" s="509"/>
      <c r="U69" s="509"/>
    </row>
    <row r="70" spans="1:21" ht="12.75" customHeight="1" x14ac:dyDescent="0.3">
      <c r="A70" s="514"/>
      <c r="D70" s="514"/>
      <c r="E70" s="509"/>
      <c r="P70" s="7"/>
      <c r="T70" s="509"/>
      <c r="U70" s="509"/>
    </row>
    <row r="71" spans="1:21" ht="12.75" customHeight="1" x14ac:dyDescent="0.3">
      <c r="A71" s="514"/>
      <c r="D71" s="514"/>
      <c r="E71" s="509"/>
      <c r="P71" s="7"/>
    </row>
    <row r="72" spans="1:21" ht="12.75" customHeight="1" x14ac:dyDescent="0.3">
      <c r="A72" s="514"/>
      <c r="D72" s="514"/>
      <c r="E72" s="509"/>
      <c r="P72" s="7"/>
    </row>
    <row r="73" spans="1:21" ht="12.75" customHeight="1" x14ac:dyDescent="0.3">
      <c r="A73" s="514"/>
      <c r="D73" s="514"/>
      <c r="E73" s="509"/>
      <c r="P73" s="7"/>
    </row>
    <row r="74" spans="1:21" ht="12.75" customHeight="1" x14ac:dyDescent="0.3">
      <c r="A74" s="514"/>
      <c r="D74" s="514"/>
      <c r="E74" s="509"/>
      <c r="P74" s="7"/>
    </row>
    <row r="75" spans="1:21" ht="12.75" customHeight="1" x14ac:dyDescent="0.3">
      <c r="A75" s="514"/>
      <c r="D75" s="514"/>
      <c r="E75" s="509"/>
      <c r="P75" s="7"/>
    </row>
    <row r="76" spans="1:21" ht="12.75" customHeight="1" x14ac:dyDescent="0.3">
      <c r="A76" s="514"/>
      <c r="D76" s="514"/>
      <c r="E76" s="509"/>
      <c r="P76" s="7"/>
    </row>
    <row r="77" spans="1:21" ht="12.75" customHeight="1" x14ac:dyDescent="0.3">
      <c r="A77" s="514"/>
      <c r="D77" s="514"/>
      <c r="E77" s="509"/>
      <c r="P77" s="7"/>
    </row>
    <row r="78" spans="1:21" ht="12.75" customHeight="1" x14ac:dyDescent="0.3">
      <c r="A78" s="514"/>
      <c r="D78" s="514"/>
      <c r="E78" s="509"/>
      <c r="P78" s="7"/>
    </row>
    <row r="79" spans="1:21" ht="12.75" customHeight="1" x14ac:dyDescent="0.3">
      <c r="A79" s="514"/>
      <c r="D79" s="514"/>
      <c r="E79" s="509"/>
      <c r="P79" s="7"/>
    </row>
    <row r="80" spans="1:21" ht="12.75" customHeight="1" x14ac:dyDescent="0.3">
      <c r="A80" s="514"/>
      <c r="D80" s="514"/>
      <c r="E80" s="509"/>
      <c r="P80" s="7"/>
    </row>
    <row r="81" spans="1:16" ht="12.75" customHeight="1" x14ac:dyDescent="0.3">
      <c r="A81" s="514"/>
      <c r="D81" s="514"/>
      <c r="E81" s="509"/>
      <c r="P81" s="7"/>
    </row>
    <row r="82" spans="1:16" ht="12.75" customHeight="1" x14ac:dyDescent="0.3">
      <c r="A82" s="514"/>
      <c r="D82" s="514"/>
      <c r="E82" s="509"/>
      <c r="P82" s="7"/>
    </row>
    <row r="83" spans="1:16" ht="12.75" customHeight="1" x14ac:dyDescent="0.3">
      <c r="A83" s="514"/>
      <c r="D83" s="514"/>
      <c r="E83" s="509"/>
      <c r="P83" s="7"/>
    </row>
    <row r="84" spans="1:16" ht="12.75" customHeight="1" x14ac:dyDescent="0.3">
      <c r="A84" s="514"/>
      <c r="D84" s="514"/>
      <c r="E84" s="509"/>
      <c r="P84" s="7"/>
    </row>
    <row r="85" spans="1:16" ht="12.75" customHeight="1" x14ac:dyDescent="0.3">
      <c r="A85" s="514"/>
      <c r="D85" s="514"/>
      <c r="E85" s="509"/>
      <c r="P85" s="7"/>
    </row>
    <row r="86" spans="1:16" ht="12.75" customHeight="1" x14ac:dyDescent="0.3">
      <c r="A86" s="514"/>
      <c r="D86" s="514"/>
      <c r="E86" s="509"/>
      <c r="P86" s="7"/>
    </row>
    <row r="87" spans="1:16" ht="12.75" customHeight="1" x14ac:dyDescent="0.3">
      <c r="A87" s="514"/>
      <c r="D87" s="514"/>
      <c r="E87" s="509"/>
      <c r="P87" s="7"/>
    </row>
    <row r="88" spans="1:16" ht="12.75" customHeight="1" x14ac:dyDescent="0.3">
      <c r="A88" s="514"/>
      <c r="D88" s="514"/>
      <c r="E88" s="509"/>
      <c r="P88" s="7"/>
    </row>
    <row r="89" spans="1:16" ht="12.75" customHeight="1" x14ac:dyDescent="0.3">
      <c r="A89" s="514"/>
      <c r="D89" s="514"/>
      <c r="E89" s="509"/>
      <c r="P89" s="7"/>
    </row>
    <row r="90" spans="1:16" ht="12.75" customHeight="1" x14ac:dyDescent="0.3">
      <c r="A90" s="514"/>
      <c r="D90" s="514"/>
      <c r="E90" s="509"/>
      <c r="P90" s="7"/>
    </row>
    <row r="91" spans="1:16" ht="12.75" customHeight="1" x14ac:dyDescent="0.3">
      <c r="A91" s="514"/>
      <c r="D91" s="514"/>
      <c r="E91" s="509"/>
      <c r="P91" s="7"/>
    </row>
    <row r="92" spans="1:16" ht="12.75" customHeight="1" x14ac:dyDescent="0.3">
      <c r="A92" s="514"/>
      <c r="D92" s="514"/>
      <c r="E92" s="509"/>
      <c r="P92" s="7"/>
    </row>
    <row r="93" spans="1:16" ht="12.75" customHeight="1" x14ac:dyDescent="0.3">
      <c r="A93" s="514"/>
      <c r="D93" s="514"/>
      <c r="E93" s="509"/>
      <c r="P93" s="7"/>
    </row>
    <row r="94" spans="1:16" ht="12.75" customHeight="1" x14ac:dyDescent="0.3">
      <c r="A94" s="514"/>
      <c r="D94" s="514"/>
      <c r="E94" s="509"/>
      <c r="P94" s="7"/>
    </row>
    <row r="95" spans="1:16" ht="12.75" customHeight="1" x14ac:dyDescent="0.3">
      <c r="A95" s="514"/>
      <c r="D95" s="514"/>
      <c r="E95" s="509"/>
      <c r="P95" s="7"/>
    </row>
    <row r="96" spans="1:16" ht="12.75" customHeight="1" x14ac:dyDescent="0.3">
      <c r="A96" s="514"/>
      <c r="D96" s="514"/>
      <c r="E96" s="509"/>
      <c r="P96" s="7"/>
    </row>
    <row r="97" spans="1:16" ht="12.75" customHeight="1" x14ac:dyDescent="0.3">
      <c r="A97" s="514"/>
      <c r="D97" s="514"/>
      <c r="E97" s="509"/>
      <c r="P97" s="7"/>
    </row>
    <row r="98" spans="1:16" ht="12.75" customHeight="1" x14ac:dyDescent="0.3">
      <c r="A98" s="514"/>
      <c r="D98" s="514"/>
      <c r="E98" s="509"/>
      <c r="P98" s="7"/>
    </row>
    <row r="99" spans="1:16" ht="12.75" customHeight="1" x14ac:dyDescent="0.3">
      <c r="A99" s="514"/>
      <c r="D99" s="514"/>
      <c r="E99" s="509"/>
      <c r="P99" s="7"/>
    </row>
    <row r="100" spans="1:16" ht="12.75" customHeight="1" x14ac:dyDescent="0.3">
      <c r="A100" s="514"/>
      <c r="D100" s="514"/>
      <c r="E100" s="509"/>
      <c r="P100" s="7"/>
    </row>
    <row r="101" spans="1:16" ht="12.75" customHeight="1" x14ac:dyDescent="0.3">
      <c r="A101" s="514"/>
      <c r="D101" s="514"/>
      <c r="E101" s="509"/>
      <c r="P101" s="7"/>
    </row>
    <row r="102" spans="1:16" ht="12.75" customHeight="1" x14ac:dyDescent="0.3">
      <c r="A102" s="514"/>
      <c r="D102" s="514"/>
      <c r="E102" s="509"/>
      <c r="P102" s="7"/>
    </row>
    <row r="103" spans="1:16" ht="12.75" customHeight="1" x14ac:dyDescent="0.3">
      <c r="A103" s="514"/>
      <c r="D103" s="514"/>
      <c r="E103" s="509"/>
      <c r="P103" s="7"/>
    </row>
    <row r="104" spans="1:16" ht="12.75" customHeight="1" x14ac:dyDescent="0.3">
      <c r="A104" s="514"/>
      <c r="D104" s="514"/>
      <c r="E104" s="509"/>
      <c r="P104" s="7"/>
    </row>
    <row r="105" spans="1:16" ht="12.75" customHeight="1" x14ac:dyDescent="0.3">
      <c r="A105" s="514"/>
      <c r="D105" s="514"/>
      <c r="E105" s="509"/>
      <c r="P105" s="7"/>
    </row>
    <row r="106" spans="1:16" ht="12.75" customHeight="1" x14ac:dyDescent="0.3">
      <c r="A106" s="514"/>
      <c r="D106" s="514"/>
      <c r="E106" s="509"/>
      <c r="P106" s="7"/>
    </row>
    <row r="107" spans="1:16" ht="12.75" customHeight="1" x14ac:dyDescent="0.3">
      <c r="A107" s="514"/>
      <c r="D107" s="514"/>
      <c r="E107" s="509"/>
      <c r="P107" s="7"/>
    </row>
    <row r="108" spans="1:16" ht="12.75" customHeight="1" x14ac:dyDescent="0.3">
      <c r="A108" s="514"/>
      <c r="D108" s="514"/>
      <c r="E108" s="509"/>
      <c r="P108" s="7"/>
    </row>
    <row r="109" spans="1:16" ht="12.75" customHeight="1" x14ac:dyDescent="0.3">
      <c r="A109" s="514"/>
      <c r="D109" s="514"/>
      <c r="E109" s="509"/>
      <c r="P109" s="7"/>
    </row>
    <row r="110" spans="1:16" ht="12.75" customHeight="1" x14ac:dyDescent="0.3">
      <c r="A110" s="514"/>
      <c r="D110" s="514"/>
      <c r="E110" s="509"/>
      <c r="P110" s="7"/>
    </row>
    <row r="111" spans="1:16" ht="12.75" customHeight="1" x14ac:dyDescent="0.3">
      <c r="A111" s="514"/>
      <c r="D111" s="514"/>
      <c r="E111" s="509"/>
      <c r="P111" s="7"/>
    </row>
    <row r="112" spans="1:16" ht="12.75" customHeight="1" x14ac:dyDescent="0.3">
      <c r="A112" s="514"/>
      <c r="D112" s="514"/>
      <c r="E112" s="509"/>
      <c r="P112" s="7"/>
    </row>
    <row r="113" spans="1:16" ht="12.75" customHeight="1" x14ac:dyDescent="0.3">
      <c r="A113" s="514"/>
      <c r="D113" s="514"/>
      <c r="E113" s="509"/>
      <c r="P113" s="7"/>
    </row>
    <row r="114" spans="1:16" ht="12.75" customHeight="1" x14ac:dyDescent="0.3">
      <c r="A114" s="514"/>
      <c r="D114" s="514"/>
      <c r="E114" s="509"/>
      <c r="P114" s="7"/>
    </row>
    <row r="115" spans="1:16" ht="12.75" customHeight="1" x14ac:dyDescent="0.3">
      <c r="A115" s="514"/>
      <c r="D115" s="514"/>
      <c r="E115" s="509"/>
      <c r="P115" s="7"/>
    </row>
    <row r="116" spans="1:16" ht="12.75" customHeight="1" x14ac:dyDescent="0.3">
      <c r="A116" s="514"/>
      <c r="D116" s="514"/>
      <c r="E116" s="509"/>
      <c r="P116" s="7"/>
    </row>
    <row r="117" spans="1:16" ht="12.75" customHeight="1" x14ac:dyDescent="0.3">
      <c r="A117" s="514"/>
      <c r="D117" s="514"/>
      <c r="E117" s="509"/>
      <c r="P117" s="7"/>
    </row>
    <row r="118" spans="1:16" ht="12.75" customHeight="1" x14ac:dyDescent="0.3">
      <c r="A118" s="514"/>
      <c r="D118" s="514"/>
      <c r="E118" s="509"/>
      <c r="P118" s="7"/>
    </row>
    <row r="119" spans="1:16" ht="12.75" customHeight="1" x14ac:dyDescent="0.3">
      <c r="A119" s="514"/>
      <c r="D119" s="514"/>
      <c r="E119" s="509"/>
      <c r="P119" s="7"/>
    </row>
    <row r="120" spans="1:16" ht="12.75" customHeight="1" x14ac:dyDescent="0.3">
      <c r="A120" s="514"/>
      <c r="D120" s="514"/>
      <c r="E120" s="509"/>
      <c r="P120" s="7"/>
    </row>
    <row r="121" spans="1:16" ht="12.75" customHeight="1" x14ac:dyDescent="0.3">
      <c r="A121" s="514"/>
      <c r="D121" s="514"/>
      <c r="E121" s="509"/>
      <c r="P121" s="7"/>
    </row>
    <row r="122" spans="1:16" ht="12.75" customHeight="1" x14ac:dyDescent="0.3">
      <c r="A122" s="514"/>
      <c r="D122" s="514"/>
      <c r="E122" s="509"/>
      <c r="P122" s="7"/>
    </row>
    <row r="123" spans="1:16" ht="12.75" customHeight="1" x14ac:dyDescent="0.3">
      <c r="A123" s="514"/>
      <c r="D123" s="514"/>
      <c r="E123" s="509"/>
      <c r="P123" s="7"/>
    </row>
    <row r="124" spans="1:16" ht="12.75" customHeight="1" x14ac:dyDescent="0.3">
      <c r="A124" s="514"/>
      <c r="D124" s="514"/>
      <c r="E124" s="509"/>
      <c r="P124" s="7"/>
    </row>
    <row r="125" spans="1:16" ht="12.75" customHeight="1" x14ac:dyDescent="0.3">
      <c r="A125" s="514"/>
      <c r="D125" s="514"/>
      <c r="E125" s="509"/>
      <c r="P125" s="7"/>
    </row>
    <row r="126" spans="1:16" ht="12.75" customHeight="1" x14ac:dyDescent="0.3">
      <c r="A126" s="514"/>
      <c r="D126" s="514"/>
      <c r="E126" s="509"/>
      <c r="P126" s="7"/>
    </row>
    <row r="127" spans="1:16" ht="12.75" customHeight="1" x14ac:dyDescent="0.3">
      <c r="A127" s="514"/>
      <c r="D127" s="514"/>
      <c r="E127" s="509"/>
      <c r="P127" s="7"/>
    </row>
    <row r="128" spans="1:16" ht="12.75" customHeight="1" x14ac:dyDescent="0.3">
      <c r="A128" s="514"/>
      <c r="D128" s="514"/>
      <c r="E128" s="509"/>
      <c r="P128" s="7"/>
    </row>
    <row r="129" spans="1:16" ht="12.75" customHeight="1" x14ac:dyDescent="0.3">
      <c r="A129" s="514"/>
      <c r="D129" s="514"/>
      <c r="E129" s="509"/>
      <c r="P129" s="7"/>
    </row>
    <row r="130" spans="1:16" ht="12.75" customHeight="1" x14ac:dyDescent="0.3">
      <c r="A130" s="514"/>
      <c r="D130" s="514"/>
      <c r="E130" s="509"/>
      <c r="P130" s="7"/>
    </row>
    <row r="131" spans="1:16" ht="12.75" customHeight="1" x14ac:dyDescent="0.3">
      <c r="A131" s="514"/>
      <c r="D131" s="514"/>
      <c r="E131" s="509"/>
      <c r="P131" s="7"/>
    </row>
    <row r="132" spans="1:16" ht="12.75" customHeight="1" x14ac:dyDescent="0.3">
      <c r="A132" s="514"/>
      <c r="D132" s="514"/>
      <c r="E132" s="509"/>
      <c r="P132" s="7"/>
    </row>
    <row r="133" spans="1:16" ht="12.75" customHeight="1" x14ac:dyDescent="0.3">
      <c r="A133" s="514"/>
      <c r="D133" s="514"/>
      <c r="E133" s="509"/>
      <c r="P133" s="7"/>
    </row>
    <row r="134" spans="1:16" ht="12.75" customHeight="1" x14ac:dyDescent="0.3">
      <c r="A134" s="514"/>
      <c r="D134" s="514"/>
      <c r="E134" s="509"/>
      <c r="P134" s="7"/>
    </row>
    <row r="135" spans="1:16" ht="12.75" customHeight="1" x14ac:dyDescent="0.3">
      <c r="A135" s="514"/>
      <c r="D135" s="514"/>
      <c r="E135" s="509"/>
      <c r="P135" s="7"/>
    </row>
    <row r="136" spans="1:16" ht="12.75" customHeight="1" x14ac:dyDescent="0.3">
      <c r="A136" s="514"/>
      <c r="D136" s="514"/>
      <c r="E136" s="509"/>
      <c r="P136" s="7"/>
    </row>
    <row r="137" spans="1:16" ht="12.75" customHeight="1" x14ac:dyDescent="0.3">
      <c r="A137" s="514"/>
      <c r="D137" s="514"/>
      <c r="E137" s="509"/>
      <c r="P137" s="7"/>
    </row>
    <row r="138" spans="1:16" ht="12.75" customHeight="1" x14ac:dyDescent="0.3">
      <c r="A138" s="514"/>
      <c r="D138" s="514"/>
      <c r="E138" s="509"/>
      <c r="P138" s="7"/>
    </row>
    <row r="139" spans="1:16" ht="12.75" customHeight="1" x14ac:dyDescent="0.3">
      <c r="A139" s="514"/>
      <c r="D139" s="514"/>
      <c r="E139" s="509"/>
      <c r="P139" s="7"/>
    </row>
    <row r="140" spans="1:16" ht="12.75" customHeight="1" x14ac:dyDescent="0.3">
      <c r="A140" s="514"/>
      <c r="D140" s="514"/>
      <c r="E140" s="509"/>
      <c r="P140" s="7"/>
    </row>
    <row r="141" spans="1:16" ht="12.75" customHeight="1" x14ac:dyDescent="0.3">
      <c r="A141" s="514"/>
      <c r="D141" s="514"/>
      <c r="E141" s="509"/>
      <c r="P141" s="7"/>
    </row>
    <row r="142" spans="1:16" ht="12.75" customHeight="1" x14ac:dyDescent="0.3">
      <c r="A142" s="514"/>
      <c r="D142" s="514"/>
      <c r="E142" s="509"/>
      <c r="P142" s="7"/>
    </row>
    <row r="143" spans="1:16" ht="12.75" customHeight="1" x14ac:dyDescent="0.3">
      <c r="A143" s="514"/>
      <c r="D143" s="514"/>
      <c r="E143" s="509"/>
      <c r="P143" s="7"/>
    </row>
    <row r="144" spans="1:16" ht="12.75" customHeight="1" x14ac:dyDescent="0.3">
      <c r="A144" s="514"/>
      <c r="D144" s="514"/>
      <c r="E144" s="509"/>
      <c r="P144" s="7"/>
    </row>
    <row r="145" spans="1:16" ht="12.75" customHeight="1" x14ac:dyDescent="0.3">
      <c r="A145" s="514"/>
      <c r="D145" s="514"/>
      <c r="E145" s="509"/>
      <c r="P145" s="7"/>
    </row>
    <row r="146" spans="1:16" ht="12.75" customHeight="1" x14ac:dyDescent="0.3">
      <c r="A146" s="514"/>
      <c r="D146" s="514"/>
      <c r="E146" s="509"/>
      <c r="P146" s="7"/>
    </row>
    <row r="147" spans="1:16" ht="12.75" customHeight="1" x14ac:dyDescent="0.3">
      <c r="A147" s="514"/>
      <c r="D147" s="514"/>
      <c r="E147" s="509"/>
      <c r="P147" s="7"/>
    </row>
    <row r="148" spans="1:16" ht="12.75" customHeight="1" x14ac:dyDescent="0.3">
      <c r="A148" s="514"/>
      <c r="D148" s="514"/>
      <c r="E148" s="509"/>
      <c r="P148" s="7"/>
    </row>
    <row r="149" spans="1:16" ht="12.75" customHeight="1" x14ac:dyDescent="0.3">
      <c r="A149" s="514"/>
      <c r="D149" s="514"/>
      <c r="E149" s="509"/>
      <c r="P149" s="7"/>
    </row>
    <row r="150" spans="1:16" ht="12.75" customHeight="1" x14ac:dyDescent="0.3">
      <c r="A150" s="514"/>
      <c r="D150" s="514"/>
      <c r="E150" s="509"/>
      <c r="P150" s="7"/>
    </row>
    <row r="151" spans="1:16" ht="12.75" customHeight="1" x14ac:dyDescent="0.3">
      <c r="A151" s="514"/>
      <c r="D151" s="514"/>
      <c r="E151" s="509"/>
      <c r="P151" s="7"/>
    </row>
    <row r="152" spans="1:16" ht="12.75" customHeight="1" x14ac:dyDescent="0.3">
      <c r="A152" s="514"/>
      <c r="D152" s="514"/>
      <c r="E152" s="509"/>
      <c r="P152" s="7"/>
    </row>
    <row r="153" spans="1:16" ht="12.75" customHeight="1" x14ac:dyDescent="0.3">
      <c r="A153" s="514"/>
      <c r="D153" s="514"/>
      <c r="E153" s="509"/>
      <c r="P153" s="7"/>
    </row>
    <row r="154" spans="1:16" ht="12.75" customHeight="1" x14ac:dyDescent="0.3">
      <c r="A154" s="514"/>
      <c r="D154" s="514"/>
      <c r="E154" s="509"/>
      <c r="P154" s="7"/>
    </row>
    <row r="155" spans="1:16" ht="12.75" customHeight="1" x14ac:dyDescent="0.3">
      <c r="A155" s="514"/>
      <c r="D155" s="514"/>
      <c r="E155" s="509"/>
      <c r="P155" s="7"/>
    </row>
    <row r="156" spans="1:16" ht="12.75" customHeight="1" x14ac:dyDescent="0.3">
      <c r="A156" s="514"/>
      <c r="D156" s="514"/>
      <c r="E156" s="509"/>
      <c r="P156" s="7"/>
    </row>
    <row r="157" spans="1:16" ht="12.75" customHeight="1" x14ac:dyDescent="0.3">
      <c r="A157" s="514"/>
      <c r="D157" s="514"/>
      <c r="E157" s="509"/>
      <c r="P157" s="7"/>
    </row>
    <row r="158" spans="1:16" ht="12.75" customHeight="1" x14ac:dyDescent="0.3">
      <c r="A158" s="514"/>
      <c r="D158" s="514"/>
      <c r="E158" s="509"/>
      <c r="P158" s="7"/>
    </row>
    <row r="159" spans="1:16" ht="12.75" customHeight="1" x14ac:dyDescent="0.3">
      <c r="A159" s="514"/>
      <c r="D159" s="514"/>
      <c r="E159" s="509"/>
      <c r="P159" s="7"/>
    </row>
    <row r="160" spans="1:16" ht="12.75" customHeight="1" x14ac:dyDescent="0.3">
      <c r="A160" s="514"/>
      <c r="D160" s="514"/>
      <c r="E160" s="509"/>
      <c r="P160" s="7"/>
    </row>
    <row r="161" spans="1:16" ht="12.75" customHeight="1" x14ac:dyDescent="0.3">
      <c r="A161" s="514"/>
      <c r="D161" s="514"/>
      <c r="E161" s="509"/>
      <c r="P161" s="7"/>
    </row>
    <row r="162" spans="1:16" ht="12.75" customHeight="1" x14ac:dyDescent="0.3">
      <c r="A162" s="514"/>
      <c r="D162" s="514"/>
      <c r="E162" s="509"/>
      <c r="P162" s="7"/>
    </row>
    <row r="163" spans="1:16" ht="12.75" customHeight="1" x14ac:dyDescent="0.3">
      <c r="A163" s="514"/>
      <c r="D163" s="514"/>
      <c r="E163" s="509"/>
      <c r="P163" s="7"/>
    </row>
    <row r="164" spans="1:16" ht="12.75" customHeight="1" x14ac:dyDescent="0.3">
      <c r="A164" s="514"/>
      <c r="D164" s="514"/>
      <c r="E164" s="509"/>
      <c r="P164" s="7"/>
    </row>
    <row r="165" spans="1:16" ht="12.75" customHeight="1" x14ac:dyDescent="0.3">
      <c r="A165" s="514"/>
      <c r="D165" s="514"/>
      <c r="E165" s="509"/>
      <c r="P165" s="7"/>
    </row>
    <row r="166" spans="1:16" ht="12.75" customHeight="1" x14ac:dyDescent="0.3">
      <c r="A166" s="514"/>
      <c r="D166" s="514"/>
      <c r="E166" s="509"/>
      <c r="P166" s="7"/>
    </row>
    <row r="167" spans="1:16" ht="12.75" customHeight="1" x14ac:dyDescent="0.3">
      <c r="A167" s="514"/>
      <c r="D167" s="514"/>
      <c r="E167" s="509"/>
      <c r="P167" s="7"/>
    </row>
    <row r="168" spans="1:16" ht="12.75" customHeight="1" x14ac:dyDescent="0.3">
      <c r="A168" s="514"/>
      <c r="D168" s="514"/>
      <c r="E168" s="509"/>
      <c r="P168" s="7"/>
    </row>
    <row r="169" spans="1:16" ht="12.75" customHeight="1" x14ac:dyDescent="0.3">
      <c r="A169" s="514"/>
      <c r="D169" s="514"/>
      <c r="E169" s="509"/>
      <c r="P169" s="7"/>
    </row>
    <row r="170" spans="1:16" ht="12.75" customHeight="1" x14ac:dyDescent="0.3">
      <c r="A170" s="514"/>
      <c r="D170" s="514"/>
      <c r="E170" s="509"/>
      <c r="P170" s="7"/>
    </row>
    <row r="171" spans="1:16" ht="12.75" customHeight="1" x14ac:dyDescent="0.3">
      <c r="A171" s="514"/>
      <c r="D171" s="514"/>
      <c r="E171" s="509"/>
      <c r="P171" s="7"/>
    </row>
    <row r="172" spans="1:16" ht="12.75" customHeight="1" x14ac:dyDescent="0.3">
      <c r="A172" s="514"/>
      <c r="D172" s="514"/>
      <c r="E172" s="509"/>
      <c r="P172" s="7"/>
    </row>
    <row r="173" spans="1:16" ht="12.75" customHeight="1" x14ac:dyDescent="0.3">
      <c r="A173" s="514"/>
      <c r="D173" s="514"/>
      <c r="E173" s="509"/>
      <c r="P173" s="7"/>
    </row>
    <row r="174" spans="1:16" ht="12.75" customHeight="1" x14ac:dyDescent="0.3">
      <c r="A174" s="514"/>
      <c r="D174" s="514"/>
      <c r="E174" s="509"/>
      <c r="P174" s="7"/>
    </row>
    <row r="175" spans="1:16" ht="12.75" customHeight="1" x14ac:dyDescent="0.3">
      <c r="A175" s="514"/>
      <c r="D175" s="514"/>
      <c r="E175" s="509"/>
      <c r="P175" s="7"/>
    </row>
    <row r="176" spans="1:16" ht="12.75" customHeight="1" x14ac:dyDescent="0.3">
      <c r="A176" s="514"/>
      <c r="D176" s="514"/>
      <c r="E176" s="509"/>
      <c r="P176" s="7"/>
    </row>
    <row r="177" spans="1:16" ht="12.75" customHeight="1" x14ac:dyDescent="0.3">
      <c r="A177" s="514"/>
      <c r="D177" s="514"/>
      <c r="E177" s="509"/>
      <c r="P177" s="7"/>
    </row>
    <row r="178" spans="1:16" ht="12.75" customHeight="1" x14ac:dyDescent="0.3">
      <c r="A178" s="514"/>
      <c r="D178" s="514"/>
      <c r="E178" s="509"/>
      <c r="P178" s="7"/>
    </row>
    <row r="179" spans="1:16" ht="12.75" customHeight="1" x14ac:dyDescent="0.3">
      <c r="A179" s="514"/>
      <c r="D179" s="514"/>
      <c r="E179" s="509"/>
      <c r="P179" s="7"/>
    </row>
    <row r="180" spans="1:16" ht="12.75" customHeight="1" x14ac:dyDescent="0.3">
      <c r="A180" s="514"/>
      <c r="D180" s="514"/>
      <c r="E180" s="509"/>
      <c r="P180" s="7"/>
    </row>
    <row r="181" spans="1:16" ht="12.75" customHeight="1" x14ac:dyDescent="0.3">
      <c r="A181" s="514"/>
      <c r="D181" s="514"/>
      <c r="E181" s="509"/>
      <c r="P181" s="7"/>
    </row>
    <row r="182" spans="1:16" ht="12.75" customHeight="1" x14ac:dyDescent="0.3">
      <c r="A182" s="514"/>
      <c r="D182" s="514"/>
      <c r="E182" s="509"/>
      <c r="P182" s="7"/>
    </row>
    <row r="183" spans="1:16" ht="12.75" customHeight="1" x14ac:dyDescent="0.3">
      <c r="A183" s="514"/>
      <c r="D183" s="514"/>
      <c r="E183" s="509"/>
      <c r="P183" s="7"/>
    </row>
    <row r="184" spans="1:16" ht="12.75" customHeight="1" x14ac:dyDescent="0.3">
      <c r="A184" s="514"/>
      <c r="D184" s="514"/>
      <c r="E184" s="509"/>
      <c r="P184" s="7"/>
    </row>
    <row r="185" spans="1:16" ht="12.75" customHeight="1" x14ac:dyDescent="0.3">
      <c r="A185" s="514"/>
      <c r="D185" s="514"/>
      <c r="E185" s="509"/>
      <c r="P185" s="7"/>
    </row>
    <row r="186" spans="1:16" ht="12.75" customHeight="1" x14ac:dyDescent="0.3">
      <c r="A186" s="514"/>
      <c r="D186" s="514"/>
      <c r="E186" s="509"/>
      <c r="P186" s="7"/>
    </row>
    <row r="187" spans="1:16" ht="12.75" customHeight="1" x14ac:dyDescent="0.3">
      <c r="A187" s="514"/>
      <c r="D187" s="514"/>
      <c r="E187" s="509"/>
      <c r="P187" s="7"/>
    </row>
    <row r="188" spans="1:16" ht="12.75" customHeight="1" x14ac:dyDescent="0.3">
      <c r="A188" s="514"/>
      <c r="D188" s="514"/>
      <c r="E188" s="509"/>
      <c r="P188" s="7"/>
    </row>
    <row r="189" spans="1:16" ht="12.75" customHeight="1" x14ac:dyDescent="0.3">
      <c r="A189" s="514"/>
      <c r="D189" s="514"/>
      <c r="E189" s="509"/>
      <c r="P189" s="7"/>
    </row>
    <row r="190" spans="1:16" ht="12.75" customHeight="1" x14ac:dyDescent="0.3">
      <c r="A190" s="514"/>
      <c r="D190" s="514"/>
      <c r="E190" s="509"/>
      <c r="P190" s="7"/>
    </row>
    <row r="191" spans="1:16" ht="12.75" customHeight="1" x14ac:dyDescent="0.3">
      <c r="A191" s="514"/>
      <c r="D191" s="514"/>
      <c r="E191" s="509"/>
      <c r="P191" s="7"/>
    </row>
    <row r="192" spans="1:16" ht="12.75" customHeight="1" x14ac:dyDescent="0.3">
      <c r="A192" s="514"/>
      <c r="D192" s="514"/>
      <c r="E192" s="509"/>
      <c r="P192" s="7"/>
    </row>
    <row r="193" spans="1:16" ht="12.75" customHeight="1" x14ac:dyDescent="0.3">
      <c r="A193" s="514"/>
      <c r="D193" s="514"/>
      <c r="E193" s="509"/>
      <c r="P193" s="7"/>
    </row>
    <row r="194" spans="1:16" ht="12.75" customHeight="1" x14ac:dyDescent="0.3">
      <c r="A194" s="514"/>
      <c r="D194" s="514"/>
      <c r="E194" s="509"/>
      <c r="P194" s="7"/>
    </row>
    <row r="195" spans="1:16" ht="12.75" customHeight="1" x14ac:dyDescent="0.3">
      <c r="A195" s="514"/>
      <c r="D195" s="514"/>
      <c r="E195" s="509"/>
      <c r="P195" s="7"/>
    </row>
    <row r="196" spans="1:16" ht="12.75" customHeight="1" x14ac:dyDescent="0.3">
      <c r="A196" s="514"/>
      <c r="D196" s="514"/>
      <c r="E196" s="509"/>
      <c r="P196" s="7"/>
    </row>
    <row r="197" spans="1:16" ht="12.75" customHeight="1" x14ac:dyDescent="0.3">
      <c r="A197" s="514"/>
      <c r="D197" s="514"/>
      <c r="E197" s="509"/>
      <c r="P197" s="7"/>
    </row>
    <row r="198" spans="1:16" ht="12.75" customHeight="1" x14ac:dyDescent="0.3">
      <c r="A198" s="514"/>
      <c r="D198" s="514"/>
      <c r="E198" s="509"/>
      <c r="P198" s="7"/>
    </row>
    <row r="199" spans="1:16" ht="12.75" customHeight="1" x14ac:dyDescent="0.3">
      <c r="A199" s="514"/>
      <c r="D199" s="514"/>
      <c r="E199" s="509"/>
      <c r="P199" s="7"/>
    </row>
    <row r="200" spans="1:16" ht="12.75" customHeight="1" x14ac:dyDescent="0.3">
      <c r="A200" s="514"/>
      <c r="D200" s="514"/>
      <c r="E200" s="509"/>
      <c r="P200" s="7"/>
    </row>
    <row r="201" spans="1:16" ht="12.75" customHeight="1" x14ac:dyDescent="0.3">
      <c r="A201" s="514"/>
      <c r="D201" s="514"/>
      <c r="E201" s="509"/>
      <c r="P201" s="7"/>
    </row>
    <row r="202" spans="1:16" ht="12.75" customHeight="1" x14ac:dyDescent="0.3">
      <c r="A202" s="514"/>
      <c r="D202" s="514"/>
      <c r="E202" s="509"/>
      <c r="P202" s="7"/>
    </row>
    <row r="203" spans="1:16" ht="12.75" customHeight="1" x14ac:dyDescent="0.3">
      <c r="A203" s="514"/>
      <c r="D203" s="514"/>
      <c r="E203" s="509"/>
      <c r="P203" s="7"/>
    </row>
    <row r="204" spans="1:16" ht="12.75" customHeight="1" x14ac:dyDescent="0.3">
      <c r="A204" s="514"/>
      <c r="D204" s="514"/>
      <c r="E204" s="509"/>
      <c r="P204" s="7"/>
    </row>
    <row r="205" spans="1:16" ht="12.75" customHeight="1" x14ac:dyDescent="0.3">
      <c r="A205" s="514"/>
      <c r="D205" s="514"/>
      <c r="E205" s="509"/>
      <c r="P205" s="7"/>
    </row>
    <row r="206" spans="1:16" ht="12.75" customHeight="1" x14ac:dyDescent="0.3">
      <c r="A206" s="514"/>
      <c r="D206" s="514"/>
      <c r="E206" s="509"/>
      <c r="P206" s="7"/>
    </row>
    <row r="207" spans="1:16" ht="12.75" customHeight="1" x14ac:dyDescent="0.3">
      <c r="A207" s="514"/>
      <c r="D207" s="514"/>
      <c r="E207" s="509"/>
      <c r="P207" s="7"/>
    </row>
    <row r="208" spans="1:16" ht="12.75" customHeight="1" x14ac:dyDescent="0.3">
      <c r="A208" s="514"/>
      <c r="D208" s="514"/>
      <c r="E208" s="509"/>
      <c r="P208" s="7"/>
    </row>
    <row r="209" spans="1:16" ht="12.75" customHeight="1" x14ac:dyDescent="0.3">
      <c r="A209" s="514"/>
      <c r="D209" s="514"/>
      <c r="E209" s="509"/>
      <c r="P209" s="7"/>
    </row>
    <row r="210" spans="1:16" ht="12.75" customHeight="1" x14ac:dyDescent="0.3">
      <c r="A210" s="514"/>
      <c r="D210" s="514"/>
      <c r="E210" s="509"/>
      <c r="P210" s="7"/>
    </row>
    <row r="211" spans="1:16" ht="12.75" customHeight="1" x14ac:dyDescent="0.3">
      <c r="A211" s="514"/>
      <c r="D211" s="514"/>
      <c r="E211" s="509"/>
      <c r="P211" s="7"/>
    </row>
    <row r="212" spans="1:16" ht="12.75" customHeight="1" x14ac:dyDescent="0.3">
      <c r="A212" s="514"/>
      <c r="D212" s="514"/>
      <c r="E212" s="509"/>
      <c r="P212" s="7"/>
    </row>
    <row r="213" spans="1:16" ht="12.75" customHeight="1" x14ac:dyDescent="0.3">
      <c r="A213" s="514"/>
      <c r="D213" s="514"/>
      <c r="E213" s="509"/>
      <c r="P213" s="7"/>
    </row>
    <row r="214" spans="1:16" ht="12.75" customHeight="1" x14ac:dyDescent="0.3">
      <c r="A214" s="514"/>
      <c r="D214" s="514"/>
      <c r="E214" s="509"/>
      <c r="P214" s="7"/>
    </row>
    <row r="215" spans="1:16" ht="12.75" customHeight="1" x14ac:dyDescent="0.3">
      <c r="A215" s="514"/>
      <c r="D215" s="514"/>
      <c r="E215" s="509"/>
      <c r="P215" s="7"/>
    </row>
    <row r="216" spans="1:16" ht="12.75" customHeight="1" x14ac:dyDescent="0.3">
      <c r="A216" s="514"/>
      <c r="D216" s="514"/>
      <c r="E216" s="509"/>
      <c r="P216" s="7"/>
    </row>
    <row r="217" spans="1:16" ht="12.75" customHeight="1" x14ac:dyDescent="0.3">
      <c r="A217" s="514"/>
      <c r="D217" s="514"/>
      <c r="E217" s="509"/>
      <c r="P217" s="7"/>
    </row>
    <row r="218" spans="1:16" ht="12.75" customHeight="1" x14ac:dyDescent="0.3">
      <c r="A218" s="514"/>
      <c r="D218" s="514"/>
      <c r="E218" s="509"/>
      <c r="P218" s="7"/>
    </row>
    <row r="219" spans="1:16" ht="12.75" customHeight="1" x14ac:dyDescent="0.3">
      <c r="A219" s="514"/>
      <c r="D219" s="514"/>
      <c r="E219" s="509"/>
      <c r="P219" s="7"/>
    </row>
    <row r="220" spans="1:16" ht="12.75" customHeight="1" x14ac:dyDescent="0.3">
      <c r="A220" s="514"/>
      <c r="D220" s="514"/>
      <c r="E220" s="509"/>
      <c r="P220" s="7"/>
    </row>
    <row r="221" spans="1:16" ht="12.75" customHeight="1" x14ac:dyDescent="0.3">
      <c r="A221" s="514"/>
      <c r="D221" s="514"/>
      <c r="E221" s="509"/>
      <c r="P221" s="7"/>
    </row>
    <row r="222" spans="1:16" ht="12.75" customHeight="1" x14ac:dyDescent="0.3">
      <c r="A222" s="514"/>
      <c r="D222" s="514"/>
      <c r="E222" s="509"/>
      <c r="P222" s="7"/>
    </row>
    <row r="223" spans="1:16" ht="12.75" customHeight="1" x14ac:dyDescent="0.3">
      <c r="A223" s="514"/>
      <c r="D223" s="514"/>
      <c r="E223" s="509"/>
      <c r="P223" s="7"/>
    </row>
    <row r="224" spans="1:16" ht="12.75" customHeight="1" x14ac:dyDescent="0.3">
      <c r="A224" s="514"/>
      <c r="D224" s="514"/>
      <c r="E224" s="509"/>
      <c r="P224" s="7"/>
    </row>
    <row r="225" spans="1:16" ht="12.75" customHeight="1" x14ac:dyDescent="0.3">
      <c r="A225" s="514"/>
      <c r="D225" s="514"/>
      <c r="E225" s="509"/>
      <c r="P225" s="7"/>
    </row>
    <row r="226" spans="1:16" ht="12.75" customHeight="1" x14ac:dyDescent="0.3">
      <c r="A226" s="514"/>
      <c r="D226" s="514"/>
      <c r="E226" s="509"/>
      <c r="P226" s="7"/>
    </row>
    <row r="227" spans="1:16" ht="12.75" customHeight="1" x14ac:dyDescent="0.3">
      <c r="A227" s="514"/>
      <c r="D227" s="514"/>
      <c r="E227" s="509"/>
      <c r="P227" s="7"/>
    </row>
    <row r="228" spans="1:16" ht="12.75" customHeight="1" x14ac:dyDescent="0.3">
      <c r="A228" s="514"/>
      <c r="D228" s="514"/>
      <c r="E228" s="509"/>
      <c r="P228" s="7"/>
    </row>
    <row r="229" spans="1:16" ht="12.75" customHeight="1" x14ac:dyDescent="0.3">
      <c r="A229" s="514"/>
      <c r="D229" s="514"/>
      <c r="E229" s="509"/>
      <c r="P229" s="7"/>
    </row>
    <row r="230" spans="1:16" ht="12.75" customHeight="1" x14ac:dyDescent="0.3">
      <c r="A230" s="514"/>
      <c r="D230" s="514"/>
      <c r="E230" s="509"/>
      <c r="P230" s="7"/>
    </row>
    <row r="231" spans="1:16" ht="12.75" customHeight="1" x14ac:dyDescent="0.3">
      <c r="A231" s="514"/>
      <c r="D231" s="514"/>
      <c r="E231" s="509"/>
      <c r="P231" s="7"/>
    </row>
    <row r="232" spans="1:16" ht="12.75" customHeight="1" x14ac:dyDescent="0.3">
      <c r="A232" s="514"/>
      <c r="D232" s="514"/>
      <c r="E232" s="509"/>
      <c r="P232" s="7"/>
    </row>
    <row r="233" spans="1:16" ht="12.75" customHeight="1" x14ac:dyDescent="0.3">
      <c r="A233" s="514"/>
      <c r="D233" s="514"/>
      <c r="E233" s="509"/>
      <c r="P233" s="7"/>
    </row>
    <row r="234" spans="1:16" ht="12.75" customHeight="1" x14ac:dyDescent="0.3">
      <c r="A234" s="514"/>
      <c r="D234" s="514"/>
      <c r="E234" s="509"/>
      <c r="P234" s="7"/>
    </row>
    <row r="235" spans="1:16" ht="12.75" customHeight="1" x14ac:dyDescent="0.3">
      <c r="A235" s="514"/>
      <c r="D235" s="514"/>
      <c r="E235" s="509"/>
      <c r="P235" s="7"/>
    </row>
    <row r="236" spans="1:16" ht="12.75" customHeight="1" x14ac:dyDescent="0.3">
      <c r="A236" s="514"/>
      <c r="D236" s="514"/>
      <c r="E236" s="509"/>
      <c r="P236" s="7"/>
    </row>
    <row r="237" spans="1:16" ht="12.75" customHeight="1" x14ac:dyDescent="0.3">
      <c r="A237" s="514"/>
      <c r="D237" s="514"/>
      <c r="E237" s="509"/>
      <c r="P237" s="7"/>
    </row>
    <row r="238" spans="1:16" ht="12.75" customHeight="1" x14ac:dyDescent="0.3">
      <c r="A238" s="514"/>
      <c r="D238" s="514"/>
      <c r="E238" s="509"/>
      <c r="P238" s="7"/>
    </row>
    <row r="239" spans="1:16" ht="12.75" customHeight="1" x14ac:dyDescent="0.3">
      <c r="A239" s="514"/>
      <c r="D239" s="514"/>
      <c r="E239" s="509"/>
      <c r="P239" s="7"/>
    </row>
    <row r="240" spans="1:16" ht="12.75" customHeight="1" x14ac:dyDescent="0.3">
      <c r="A240" s="514"/>
      <c r="D240" s="514"/>
      <c r="E240" s="509"/>
      <c r="P240" s="7"/>
    </row>
    <row r="241" spans="1:16" ht="12.75" customHeight="1" x14ac:dyDescent="0.3">
      <c r="A241" s="514"/>
      <c r="D241" s="514"/>
      <c r="E241" s="509"/>
      <c r="P241" s="7"/>
    </row>
    <row r="242" spans="1:16" ht="12.75" customHeight="1" x14ac:dyDescent="0.3">
      <c r="A242" s="514"/>
      <c r="D242" s="514"/>
      <c r="E242" s="509"/>
      <c r="P242" s="7"/>
    </row>
    <row r="243" spans="1:16" ht="12.75" customHeight="1" x14ac:dyDescent="0.3">
      <c r="A243" s="514"/>
      <c r="D243" s="514"/>
      <c r="E243" s="509"/>
      <c r="P243" s="7"/>
    </row>
    <row r="244" spans="1:16" ht="12.75" customHeight="1" x14ac:dyDescent="0.3">
      <c r="A244" s="514"/>
      <c r="D244" s="514"/>
      <c r="E244" s="509"/>
      <c r="P244" s="7"/>
    </row>
    <row r="245" spans="1:16" ht="12.75" customHeight="1" x14ac:dyDescent="0.3">
      <c r="A245" s="514"/>
      <c r="D245" s="514"/>
      <c r="E245" s="509"/>
      <c r="P245" s="7"/>
    </row>
    <row r="246" spans="1:16" ht="12.75" customHeight="1" x14ac:dyDescent="0.3">
      <c r="A246" s="514"/>
      <c r="D246" s="514"/>
      <c r="E246" s="509"/>
      <c r="P246" s="7"/>
    </row>
    <row r="247" spans="1:16" ht="12.75" customHeight="1" x14ac:dyDescent="0.3">
      <c r="A247" s="514"/>
      <c r="D247" s="514"/>
      <c r="E247" s="509"/>
      <c r="P247" s="7"/>
    </row>
    <row r="248" spans="1:16" ht="12.75" customHeight="1" x14ac:dyDescent="0.3">
      <c r="A248" s="514"/>
      <c r="D248" s="514"/>
      <c r="E248" s="509"/>
      <c r="P248" s="7"/>
    </row>
    <row r="249" spans="1:16" ht="12.75" customHeight="1" x14ac:dyDescent="0.3">
      <c r="A249" s="514"/>
      <c r="D249" s="514"/>
      <c r="E249" s="509"/>
      <c r="P249" s="7"/>
    </row>
    <row r="250" spans="1:16" ht="12.75" customHeight="1" x14ac:dyDescent="0.3">
      <c r="A250" s="514"/>
      <c r="D250" s="514"/>
      <c r="E250" s="509"/>
      <c r="P250" s="7"/>
    </row>
    <row r="251" spans="1:16" ht="12.75" customHeight="1" x14ac:dyDescent="0.3">
      <c r="A251" s="514"/>
      <c r="D251" s="514"/>
      <c r="E251" s="509"/>
      <c r="P251" s="7"/>
    </row>
    <row r="252" spans="1:16" ht="12.75" customHeight="1" x14ac:dyDescent="0.3">
      <c r="A252" s="514"/>
      <c r="D252" s="514"/>
      <c r="E252" s="509"/>
      <c r="P252" s="7"/>
    </row>
    <row r="253" spans="1:16" ht="12.75" customHeight="1" x14ac:dyDescent="0.3">
      <c r="A253" s="514"/>
      <c r="D253" s="514"/>
      <c r="E253" s="509"/>
      <c r="P253" s="7"/>
    </row>
    <row r="254" spans="1:16" ht="12.75" customHeight="1" x14ac:dyDescent="0.3">
      <c r="A254" s="514"/>
      <c r="D254" s="514"/>
      <c r="E254" s="509"/>
      <c r="P254" s="7"/>
    </row>
    <row r="255" spans="1:16" ht="12.75" customHeight="1" x14ac:dyDescent="0.3">
      <c r="A255" s="514"/>
      <c r="D255" s="514"/>
      <c r="E255" s="509"/>
      <c r="P255" s="7"/>
    </row>
    <row r="256" spans="1:16" ht="12.75" customHeight="1" x14ac:dyDescent="0.3">
      <c r="A256" s="514"/>
      <c r="D256" s="514"/>
      <c r="E256" s="509"/>
      <c r="P256" s="7"/>
    </row>
    <row r="257" spans="1:16" ht="12.75" customHeight="1" x14ac:dyDescent="0.3">
      <c r="A257" s="514"/>
      <c r="D257" s="514"/>
      <c r="E257" s="509"/>
      <c r="P257" s="7"/>
    </row>
    <row r="258" spans="1:16" ht="12.75" customHeight="1" x14ac:dyDescent="0.3">
      <c r="A258" s="514"/>
      <c r="D258" s="514"/>
      <c r="E258" s="509"/>
      <c r="P258" s="7"/>
    </row>
    <row r="259" spans="1:16" ht="12.75" customHeight="1" x14ac:dyDescent="0.3">
      <c r="A259" s="514"/>
      <c r="D259" s="514"/>
      <c r="E259" s="509"/>
      <c r="P259" s="7"/>
    </row>
    <row r="260" spans="1:16" ht="12.75" customHeight="1" x14ac:dyDescent="0.3">
      <c r="A260" s="514"/>
      <c r="D260" s="514"/>
      <c r="E260" s="509"/>
      <c r="P260" s="7"/>
    </row>
    <row r="261" spans="1:16" ht="12.75" customHeight="1" x14ac:dyDescent="0.3">
      <c r="A261" s="514"/>
      <c r="D261" s="514"/>
      <c r="E261" s="509"/>
      <c r="P261" s="7"/>
    </row>
    <row r="262" spans="1:16" ht="12.75" customHeight="1" x14ac:dyDescent="0.3">
      <c r="A262" s="514"/>
      <c r="D262" s="514"/>
      <c r="E262" s="509"/>
      <c r="P262" s="7"/>
    </row>
    <row r="263" spans="1:16" ht="12.75" customHeight="1" x14ac:dyDescent="0.3">
      <c r="A263" s="514"/>
      <c r="D263" s="514"/>
      <c r="E263" s="509"/>
      <c r="P263" s="7"/>
    </row>
    <row r="264" spans="1:16" ht="12.75" customHeight="1" x14ac:dyDescent="0.3">
      <c r="A264" s="514"/>
      <c r="D264" s="514"/>
      <c r="E264" s="509"/>
      <c r="P264" s="7"/>
    </row>
    <row r="265" spans="1:16" ht="12.75" customHeight="1" x14ac:dyDescent="0.3">
      <c r="A265" s="514"/>
      <c r="D265" s="514"/>
      <c r="E265" s="509"/>
      <c r="P265" s="7"/>
    </row>
    <row r="266" spans="1:16" ht="12.75" customHeight="1" x14ac:dyDescent="0.3">
      <c r="A266" s="514"/>
      <c r="D266" s="514"/>
      <c r="E266" s="509"/>
      <c r="P266" s="7"/>
    </row>
    <row r="267" spans="1:16" ht="12.75" customHeight="1" x14ac:dyDescent="0.3">
      <c r="A267" s="514"/>
      <c r="D267" s="514"/>
      <c r="E267" s="509"/>
      <c r="P267" s="7"/>
    </row>
    <row r="268" spans="1:16" ht="12.75" customHeight="1" x14ac:dyDescent="0.3">
      <c r="A268" s="514"/>
      <c r="D268" s="514"/>
      <c r="E268" s="509"/>
      <c r="P268" s="7"/>
    </row>
    <row r="269" spans="1:16" ht="12.75" customHeight="1" x14ac:dyDescent="0.3">
      <c r="A269" s="514"/>
      <c r="D269" s="514"/>
      <c r="E269" s="509"/>
      <c r="P269" s="7"/>
    </row>
    <row r="270" spans="1:16" ht="12.75" customHeight="1" x14ac:dyDescent="0.3">
      <c r="A270" s="514"/>
      <c r="D270" s="514"/>
      <c r="E270" s="509"/>
      <c r="P270" s="7"/>
    </row>
    <row r="271" spans="1:16" ht="12.75" customHeight="1" x14ac:dyDescent="0.3">
      <c r="A271" s="514"/>
      <c r="D271" s="514"/>
      <c r="E271" s="509"/>
      <c r="P271" s="7"/>
    </row>
    <row r="272" spans="1:16" ht="12.75" customHeight="1" x14ac:dyDescent="0.3">
      <c r="A272" s="514"/>
      <c r="D272" s="514"/>
      <c r="E272" s="509"/>
      <c r="P272" s="7"/>
    </row>
    <row r="273" spans="1:16" ht="12.75" customHeight="1" x14ac:dyDescent="0.3">
      <c r="A273" s="514"/>
      <c r="D273" s="514"/>
      <c r="E273" s="509"/>
      <c r="P273" s="7"/>
    </row>
    <row r="274" spans="1:16" ht="12.75" customHeight="1" x14ac:dyDescent="0.3">
      <c r="A274" s="514"/>
      <c r="D274" s="514"/>
      <c r="E274" s="509"/>
      <c r="P274" s="7"/>
    </row>
    <row r="275" spans="1:16" ht="12.75" customHeight="1" x14ac:dyDescent="0.3">
      <c r="A275" s="514"/>
      <c r="D275" s="514"/>
      <c r="E275" s="509"/>
      <c r="P275" s="7"/>
    </row>
    <row r="276" spans="1:16" ht="12.75" customHeight="1" x14ac:dyDescent="0.3">
      <c r="A276" s="514"/>
      <c r="D276" s="514"/>
      <c r="E276" s="509"/>
      <c r="P276" s="7"/>
    </row>
    <row r="277" spans="1:16" ht="12.75" customHeight="1" x14ac:dyDescent="0.3">
      <c r="A277" s="514"/>
      <c r="D277" s="514"/>
      <c r="E277" s="509"/>
      <c r="P277" s="7"/>
    </row>
    <row r="278" spans="1:16" ht="12.75" customHeight="1" x14ac:dyDescent="0.3">
      <c r="A278" s="514"/>
      <c r="D278" s="514"/>
      <c r="E278" s="509"/>
      <c r="P278" s="7"/>
    </row>
    <row r="279" spans="1:16" ht="12.75" customHeight="1" x14ac:dyDescent="0.3">
      <c r="A279" s="514"/>
      <c r="D279" s="514"/>
      <c r="E279" s="509"/>
      <c r="P279" s="7"/>
    </row>
    <row r="280" spans="1:16" ht="12.75" customHeight="1" x14ac:dyDescent="0.3">
      <c r="A280" s="514"/>
      <c r="D280" s="514"/>
      <c r="E280" s="509"/>
      <c r="P280" s="7"/>
    </row>
    <row r="281" spans="1:16" ht="12.75" customHeight="1" x14ac:dyDescent="0.3">
      <c r="A281" s="514"/>
      <c r="D281" s="514"/>
      <c r="E281" s="509"/>
      <c r="P281" s="7"/>
    </row>
    <row r="282" spans="1:16" ht="12.75" customHeight="1" x14ac:dyDescent="0.3">
      <c r="A282" s="514"/>
      <c r="D282" s="514"/>
      <c r="E282" s="509"/>
      <c r="P282" s="7"/>
    </row>
    <row r="283" spans="1:16" ht="12.75" customHeight="1" x14ac:dyDescent="0.3">
      <c r="A283" s="514"/>
      <c r="D283" s="514"/>
      <c r="E283" s="509"/>
      <c r="P283" s="7"/>
    </row>
    <row r="284" spans="1:16" ht="12.75" customHeight="1" x14ac:dyDescent="0.3">
      <c r="A284" s="514"/>
      <c r="D284" s="514"/>
      <c r="E284" s="509"/>
      <c r="P284" s="7"/>
    </row>
    <row r="285" spans="1:16" ht="12.75" customHeight="1" x14ac:dyDescent="0.3">
      <c r="A285" s="514"/>
      <c r="D285" s="514"/>
      <c r="E285" s="509"/>
      <c r="P285" s="7"/>
    </row>
    <row r="286" spans="1:16" ht="12.75" customHeight="1" x14ac:dyDescent="0.3">
      <c r="A286" s="514"/>
      <c r="D286" s="514"/>
      <c r="E286" s="509"/>
      <c r="P286" s="7"/>
    </row>
    <row r="287" spans="1:16" ht="12.75" customHeight="1" x14ac:dyDescent="0.3">
      <c r="A287" s="514"/>
      <c r="D287" s="514"/>
      <c r="E287" s="509"/>
      <c r="P287" s="7"/>
    </row>
    <row r="288" spans="1:16" ht="12.75" customHeight="1" x14ac:dyDescent="0.3">
      <c r="A288" s="514"/>
      <c r="D288" s="514"/>
      <c r="E288" s="509"/>
      <c r="P288" s="7"/>
    </row>
    <row r="289" spans="1:16" ht="12.75" customHeight="1" x14ac:dyDescent="0.3">
      <c r="A289" s="514"/>
      <c r="D289" s="514"/>
      <c r="E289" s="509"/>
      <c r="P289" s="7"/>
    </row>
    <row r="290" spans="1:16" ht="12.75" customHeight="1" x14ac:dyDescent="0.3">
      <c r="A290" s="514"/>
      <c r="D290" s="514"/>
      <c r="E290" s="509"/>
      <c r="P290" s="7"/>
    </row>
    <row r="291" spans="1:16" ht="12.75" customHeight="1" x14ac:dyDescent="0.3">
      <c r="A291" s="514"/>
      <c r="D291" s="514"/>
      <c r="E291" s="509"/>
      <c r="P291" s="7"/>
    </row>
    <row r="292" spans="1:16" ht="12.75" customHeight="1" x14ac:dyDescent="0.3">
      <c r="A292" s="514"/>
      <c r="D292" s="514"/>
      <c r="E292" s="509"/>
      <c r="P292" s="7"/>
    </row>
    <row r="293" spans="1:16" ht="12.75" customHeight="1" x14ac:dyDescent="0.3">
      <c r="A293" s="514"/>
      <c r="D293" s="514"/>
      <c r="E293" s="509"/>
      <c r="P293" s="7"/>
    </row>
    <row r="294" spans="1:16" ht="12.75" customHeight="1" x14ac:dyDescent="0.3">
      <c r="A294" s="514"/>
      <c r="D294" s="514"/>
      <c r="E294" s="509"/>
      <c r="P294" s="7"/>
    </row>
    <row r="295" spans="1:16" ht="12.75" customHeight="1" x14ac:dyDescent="0.3">
      <c r="A295" s="514"/>
      <c r="D295" s="514"/>
      <c r="E295" s="509"/>
      <c r="P295" s="7"/>
    </row>
    <row r="296" spans="1:16" ht="12.75" customHeight="1" x14ac:dyDescent="0.3">
      <c r="A296" s="514"/>
      <c r="D296" s="514"/>
      <c r="E296" s="509"/>
      <c r="P296" s="7"/>
    </row>
    <row r="297" spans="1:16" ht="12.75" customHeight="1" x14ac:dyDescent="0.3">
      <c r="A297" s="514"/>
      <c r="D297" s="514"/>
      <c r="E297" s="509"/>
      <c r="P297" s="7"/>
    </row>
    <row r="298" spans="1:16" ht="12.75" customHeight="1" x14ac:dyDescent="0.3">
      <c r="A298" s="514"/>
      <c r="D298" s="514"/>
      <c r="E298" s="509"/>
      <c r="P298" s="7"/>
    </row>
    <row r="299" spans="1:16" ht="12.75" customHeight="1" x14ac:dyDescent="0.3">
      <c r="A299" s="514"/>
      <c r="D299" s="514"/>
      <c r="E299" s="509"/>
      <c r="P299" s="7"/>
    </row>
    <row r="300" spans="1:16" ht="12.75" customHeight="1" x14ac:dyDescent="0.3">
      <c r="A300" s="514"/>
      <c r="D300" s="514"/>
      <c r="E300" s="509"/>
      <c r="P300" s="7"/>
    </row>
    <row r="301" spans="1:16" ht="12.75" customHeight="1" x14ac:dyDescent="0.3">
      <c r="A301" s="514"/>
      <c r="D301" s="514"/>
      <c r="E301" s="509"/>
      <c r="P301" s="7"/>
    </row>
    <row r="302" spans="1:16" ht="12.75" customHeight="1" x14ac:dyDescent="0.3">
      <c r="A302" s="514"/>
      <c r="D302" s="514"/>
      <c r="E302" s="509"/>
      <c r="P302" s="7"/>
    </row>
    <row r="303" spans="1:16" ht="12.75" customHeight="1" x14ac:dyDescent="0.3">
      <c r="A303" s="514"/>
      <c r="D303" s="514"/>
      <c r="E303" s="509"/>
      <c r="P303" s="7"/>
    </row>
    <row r="304" spans="1:16" ht="12.75" customHeight="1" x14ac:dyDescent="0.3">
      <c r="A304" s="514"/>
      <c r="D304" s="514"/>
      <c r="E304" s="509"/>
      <c r="P304" s="7"/>
    </row>
    <row r="305" spans="1:16" ht="12.75" customHeight="1" x14ac:dyDescent="0.3">
      <c r="A305" s="514"/>
      <c r="D305" s="514"/>
      <c r="E305" s="509"/>
      <c r="P305" s="7"/>
    </row>
    <row r="306" spans="1:16" ht="12.75" customHeight="1" x14ac:dyDescent="0.3">
      <c r="A306" s="514"/>
      <c r="D306" s="514"/>
      <c r="E306" s="509"/>
      <c r="P306" s="7"/>
    </row>
    <row r="307" spans="1:16" ht="12.75" customHeight="1" x14ac:dyDescent="0.3">
      <c r="A307" s="514"/>
      <c r="D307" s="514"/>
      <c r="E307" s="509"/>
      <c r="P307" s="7"/>
    </row>
    <row r="308" spans="1:16" ht="12.75" customHeight="1" x14ac:dyDescent="0.3">
      <c r="A308" s="514"/>
      <c r="D308" s="514"/>
      <c r="E308" s="509"/>
      <c r="P308" s="7"/>
    </row>
    <row r="309" spans="1:16" ht="12.75" customHeight="1" x14ac:dyDescent="0.3">
      <c r="A309" s="514"/>
      <c r="D309" s="514"/>
      <c r="E309" s="509"/>
      <c r="P309" s="7"/>
    </row>
    <row r="310" spans="1:16" ht="12.75" customHeight="1" x14ac:dyDescent="0.3">
      <c r="A310" s="514"/>
      <c r="D310" s="514"/>
      <c r="E310" s="509"/>
      <c r="P310" s="7"/>
    </row>
    <row r="311" spans="1:16" ht="12.75" customHeight="1" x14ac:dyDescent="0.3">
      <c r="A311" s="514"/>
      <c r="D311" s="514"/>
      <c r="E311" s="509"/>
      <c r="P311" s="7"/>
    </row>
    <row r="312" spans="1:16" ht="12.75" customHeight="1" x14ac:dyDescent="0.3">
      <c r="A312" s="514"/>
      <c r="D312" s="514"/>
      <c r="E312" s="509"/>
      <c r="P312" s="7"/>
    </row>
    <row r="313" spans="1:16" ht="12.75" customHeight="1" x14ac:dyDescent="0.3">
      <c r="A313" s="514"/>
      <c r="D313" s="514"/>
      <c r="E313" s="509"/>
      <c r="P313" s="7"/>
    </row>
    <row r="314" spans="1:16" ht="12.75" customHeight="1" x14ac:dyDescent="0.3">
      <c r="A314" s="514"/>
      <c r="D314" s="514"/>
      <c r="E314" s="509"/>
      <c r="P314" s="7"/>
    </row>
    <row r="315" spans="1:16" ht="12.75" customHeight="1" x14ac:dyDescent="0.3">
      <c r="A315" s="514"/>
      <c r="D315" s="514"/>
      <c r="E315" s="509"/>
      <c r="P315" s="7"/>
    </row>
    <row r="316" spans="1:16" ht="12.75" customHeight="1" x14ac:dyDescent="0.3">
      <c r="A316" s="514"/>
      <c r="D316" s="514"/>
      <c r="E316" s="509"/>
      <c r="P316" s="7"/>
    </row>
    <row r="317" spans="1:16" ht="12.75" customHeight="1" x14ac:dyDescent="0.3">
      <c r="A317" s="514"/>
      <c r="D317" s="514"/>
      <c r="E317" s="509"/>
      <c r="P317" s="7"/>
    </row>
    <row r="318" spans="1:16" ht="12.75" customHeight="1" x14ac:dyDescent="0.3">
      <c r="A318" s="514"/>
      <c r="D318" s="514"/>
      <c r="E318" s="509"/>
      <c r="P318" s="7"/>
    </row>
    <row r="319" spans="1:16" ht="12.75" customHeight="1" x14ac:dyDescent="0.3">
      <c r="A319" s="514"/>
      <c r="D319" s="514"/>
      <c r="E319" s="509"/>
      <c r="P319" s="7"/>
    </row>
    <row r="320" spans="1:16" ht="12.75" customHeight="1" x14ac:dyDescent="0.3">
      <c r="A320" s="514"/>
      <c r="D320" s="514"/>
      <c r="E320" s="509"/>
      <c r="P320" s="7"/>
    </row>
    <row r="321" spans="1:16" ht="12.75" customHeight="1" x14ac:dyDescent="0.3">
      <c r="A321" s="514"/>
      <c r="D321" s="514"/>
      <c r="E321" s="509"/>
      <c r="P321" s="7"/>
    </row>
    <row r="322" spans="1:16" ht="12.75" customHeight="1" x14ac:dyDescent="0.3">
      <c r="A322" s="514"/>
      <c r="D322" s="514"/>
      <c r="E322" s="509"/>
      <c r="P322" s="7"/>
    </row>
    <row r="323" spans="1:16" ht="12.75" customHeight="1" x14ac:dyDescent="0.3">
      <c r="A323" s="514"/>
      <c r="D323" s="514"/>
      <c r="E323" s="509"/>
      <c r="P323" s="7"/>
    </row>
    <row r="324" spans="1:16" ht="12.75" customHeight="1" x14ac:dyDescent="0.3">
      <c r="A324" s="514"/>
      <c r="D324" s="514"/>
      <c r="E324" s="509"/>
      <c r="P324" s="7"/>
    </row>
    <row r="325" spans="1:16" ht="12.75" customHeight="1" x14ac:dyDescent="0.3">
      <c r="A325" s="514"/>
      <c r="D325" s="514"/>
      <c r="E325" s="509"/>
      <c r="P325" s="7"/>
    </row>
    <row r="326" spans="1:16" ht="12.75" customHeight="1" x14ac:dyDescent="0.3">
      <c r="A326" s="514"/>
      <c r="D326" s="514"/>
      <c r="E326" s="509"/>
      <c r="P326" s="7"/>
    </row>
    <row r="327" spans="1:16" ht="12.75" customHeight="1" x14ac:dyDescent="0.3">
      <c r="A327" s="514"/>
      <c r="D327" s="514"/>
      <c r="E327" s="509"/>
      <c r="P327" s="7"/>
    </row>
    <row r="328" spans="1:16" ht="12.75" customHeight="1" x14ac:dyDescent="0.3">
      <c r="A328" s="514"/>
      <c r="D328" s="514"/>
      <c r="E328" s="509"/>
      <c r="P328" s="7"/>
    </row>
    <row r="329" spans="1:16" ht="12.75" customHeight="1" x14ac:dyDescent="0.3">
      <c r="A329" s="514"/>
      <c r="D329" s="514"/>
      <c r="E329" s="509"/>
      <c r="P329" s="7"/>
    </row>
    <row r="330" spans="1:16" ht="12.75" customHeight="1" x14ac:dyDescent="0.3">
      <c r="A330" s="514"/>
      <c r="D330" s="514"/>
      <c r="E330" s="509"/>
      <c r="P330" s="7"/>
    </row>
    <row r="331" spans="1:16" ht="12.75" customHeight="1" x14ac:dyDescent="0.3">
      <c r="A331" s="514"/>
      <c r="D331" s="514"/>
      <c r="E331" s="509"/>
      <c r="P331" s="7"/>
    </row>
    <row r="332" spans="1:16" ht="12.75" customHeight="1" x14ac:dyDescent="0.3">
      <c r="A332" s="514"/>
      <c r="D332" s="514"/>
      <c r="E332" s="509"/>
      <c r="P332" s="7"/>
    </row>
    <row r="333" spans="1:16" ht="12.75" customHeight="1" x14ac:dyDescent="0.3">
      <c r="A333" s="514"/>
      <c r="D333" s="514"/>
      <c r="E333" s="509"/>
      <c r="P333" s="7"/>
    </row>
    <row r="334" spans="1:16" ht="12.75" customHeight="1" x14ac:dyDescent="0.3">
      <c r="A334" s="514"/>
      <c r="D334" s="514"/>
      <c r="E334" s="509"/>
      <c r="P334" s="7"/>
    </row>
    <row r="335" spans="1:16" ht="12.75" customHeight="1" x14ac:dyDescent="0.3">
      <c r="A335" s="514"/>
      <c r="D335" s="514"/>
      <c r="E335" s="509"/>
      <c r="P335" s="7"/>
    </row>
    <row r="336" spans="1:16" ht="12.75" customHeight="1" x14ac:dyDescent="0.3">
      <c r="A336" s="514"/>
      <c r="D336" s="514"/>
      <c r="E336" s="509"/>
      <c r="P336" s="7"/>
    </row>
    <row r="337" spans="1:16" ht="12.75" customHeight="1" x14ac:dyDescent="0.3">
      <c r="A337" s="514"/>
      <c r="D337" s="514"/>
      <c r="E337" s="509"/>
      <c r="P337" s="7"/>
    </row>
    <row r="338" spans="1:16" ht="12.75" customHeight="1" x14ac:dyDescent="0.3">
      <c r="A338" s="514"/>
      <c r="D338" s="514"/>
      <c r="E338" s="509"/>
      <c r="P338" s="7"/>
    </row>
    <row r="339" spans="1:16" ht="12.75" customHeight="1" x14ac:dyDescent="0.3">
      <c r="A339" s="514"/>
      <c r="D339" s="514"/>
      <c r="E339" s="509"/>
      <c r="P339" s="7"/>
    </row>
    <row r="340" spans="1:16" ht="12.75" customHeight="1" x14ac:dyDescent="0.3">
      <c r="A340" s="514"/>
      <c r="D340" s="514"/>
      <c r="E340" s="509"/>
      <c r="P340" s="7"/>
    </row>
    <row r="341" spans="1:16" ht="12.75" customHeight="1" x14ac:dyDescent="0.3">
      <c r="A341" s="514"/>
      <c r="D341" s="514"/>
      <c r="E341" s="509"/>
      <c r="P341" s="7"/>
    </row>
    <row r="342" spans="1:16" ht="12.75" customHeight="1" x14ac:dyDescent="0.3">
      <c r="A342" s="514"/>
      <c r="D342" s="514"/>
      <c r="E342" s="509"/>
      <c r="P342" s="7"/>
    </row>
    <row r="343" spans="1:16" ht="12.75" customHeight="1" x14ac:dyDescent="0.3">
      <c r="A343" s="514"/>
      <c r="D343" s="514"/>
      <c r="E343" s="509"/>
      <c r="P343" s="7"/>
    </row>
    <row r="344" spans="1:16" ht="12.75" customHeight="1" x14ac:dyDescent="0.3">
      <c r="A344" s="514"/>
      <c r="D344" s="514"/>
      <c r="E344" s="509"/>
      <c r="P344" s="7"/>
    </row>
    <row r="345" spans="1:16" ht="12.75" customHeight="1" x14ac:dyDescent="0.3">
      <c r="A345" s="514"/>
      <c r="D345" s="514"/>
      <c r="E345" s="509"/>
      <c r="P345" s="7"/>
    </row>
    <row r="346" spans="1:16" ht="12.75" customHeight="1" x14ac:dyDescent="0.3">
      <c r="A346" s="514"/>
      <c r="D346" s="514"/>
      <c r="E346" s="509"/>
      <c r="P346" s="7"/>
    </row>
    <row r="347" spans="1:16" ht="12.75" customHeight="1" x14ac:dyDescent="0.3">
      <c r="A347" s="514"/>
      <c r="D347" s="514"/>
      <c r="E347" s="509"/>
      <c r="P347" s="7"/>
    </row>
    <row r="348" spans="1:16" ht="12.75" customHeight="1" x14ac:dyDescent="0.3">
      <c r="A348" s="514"/>
      <c r="D348" s="514"/>
      <c r="E348" s="509"/>
      <c r="P348" s="7"/>
    </row>
    <row r="349" spans="1:16" ht="12.75" customHeight="1" x14ac:dyDescent="0.3">
      <c r="A349" s="514"/>
      <c r="D349" s="514"/>
      <c r="E349" s="509"/>
      <c r="P349" s="7"/>
    </row>
    <row r="350" spans="1:16" ht="12.75" customHeight="1" x14ac:dyDescent="0.3">
      <c r="A350" s="514"/>
      <c r="D350" s="514"/>
      <c r="E350" s="509"/>
      <c r="P350" s="7"/>
    </row>
    <row r="351" spans="1:16" ht="12.75" customHeight="1" x14ac:dyDescent="0.3">
      <c r="A351" s="514"/>
      <c r="D351" s="514"/>
      <c r="E351" s="509"/>
      <c r="P351" s="7"/>
    </row>
    <row r="352" spans="1:16" ht="12.75" customHeight="1" x14ac:dyDescent="0.3">
      <c r="A352" s="514"/>
      <c r="D352" s="514"/>
      <c r="E352" s="509"/>
      <c r="P352" s="7"/>
    </row>
    <row r="353" spans="1:16" ht="12.75" customHeight="1" x14ac:dyDescent="0.3">
      <c r="A353" s="514"/>
      <c r="D353" s="514"/>
      <c r="E353" s="509"/>
      <c r="P353" s="7"/>
    </row>
    <row r="354" spans="1:16" ht="12.75" customHeight="1" x14ac:dyDescent="0.3">
      <c r="A354" s="514"/>
      <c r="D354" s="514"/>
      <c r="E354" s="509"/>
      <c r="P354" s="7"/>
    </row>
    <row r="355" spans="1:16" ht="12.75" customHeight="1" x14ac:dyDescent="0.3">
      <c r="A355" s="514"/>
      <c r="D355" s="514"/>
      <c r="E355" s="509"/>
      <c r="P355" s="7"/>
    </row>
    <row r="356" spans="1:16" ht="12.75" customHeight="1" x14ac:dyDescent="0.3">
      <c r="A356" s="514"/>
      <c r="D356" s="514"/>
      <c r="E356" s="509"/>
      <c r="P356" s="7"/>
    </row>
    <row r="357" spans="1:16" ht="12.75" customHeight="1" x14ac:dyDescent="0.3">
      <c r="A357" s="514"/>
      <c r="D357" s="514"/>
      <c r="E357" s="509"/>
      <c r="P357" s="7"/>
    </row>
    <row r="358" spans="1:16" ht="12.75" customHeight="1" x14ac:dyDescent="0.3">
      <c r="A358" s="514"/>
      <c r="D358" s="514"/>
      <c r="E358" s="509"/>
      <c r="P358" s="7"/>
    </row>
    <row r="359" spans="1:16" ht="12.75" customHeight="1" x14ac:dyDescent="0.3">
      <c r="A359" s="514"/>
      <c r="D359" s="514"/>
      <c r="E359" s="509"/>
      <c r="P359" s="7"/>
    </row>
    <row r="360" spans="1:16" ht="12.75" customHeight="1" x14ac:dyDescent="0.3">
      <c r="A360" s="514"/>
      <c r="D360" s="514"/>
      <c r="E360" s="509"/>
      <c r="P360" s="7"/>
    </row>
    <row r="361" spans="1:16" ht="12.75" customHeight="1" x14ac:dyDescent="0.3">
      <c r="A361" s="514"/>
      <c r="D361" s="514"/>
      <c r="E361" s="509"/>
      <c r="P361" s="7"/>
    </row>
    <row r="362" spans="1:16" ht="12.75" customHeight="1" x14ac:dyDescent="0.3">
      <c r="A362" s="514"/>
      <c r="D362" s="514"/>
      <c r="E362" s="509"/>
      <c r="P362" s="7"/>
    </row>
    <row r="363" spans="1:16" ht="12.75" customHeight="1" x14ac:dyDescent="0.3">
      <c r="A363" s="514"/>
      <c r="D363" s="514"/>
      <c r="E363" s="509"/>
      <c r="P363" s="7"/>
    </row>
    <row r="364" spans="1:16" ht="12.75" customHeight="1" x14ac:dyDescent="0.3">
      <c r="A364" s="514"/>
      <c r="D364" s="514"/>
      <c r="E364" s="509"/>
      <c r="P364" s="7"/>
    </row>
    <row r="365" spans="1:16" ht="12.75" customHeight="1" x14ac:dyDescent="0.3">
      <c r="A365" s="514"/>
      <c r="D365" s="514"/>
      <c r="E365" s="509"/>
      <c r="P365" s="7"/>
    </row>
    <row r="366" spans="1:16" ht="12.75" customHeight="1" x14ac:dyDescent="0.3">
      <c r="A366" s="514"/>
      <c r="D366" s="514"/>
      <c r="E366" s="509"/>
      <c r="P366" s="7"/>
    </row>
    <row r="367" spans="1:16" ht="12.75" customHeight="1" x14ac:dyDescent="0.3">
      <c r="A367" s="514"/>
      <c r="D367" s="514"/>
      <c r="E367" s="509"/>
      <c r="P367" s="7"/>
    </row>
    <row r="368" spans="1:16" ht="12.75" customHeight="1" x14ac:dyDescent="0.3">
      <c r="A368" s="514"/>
      <c r="D368" s="514"/>
      <c r="E368" s="509"/>
      <c r="P368" s="7"/>
    </row>
    <row r="369" spans="1:16" ht="12.75" customHeight="1" x14ac:dyDescent="0.3">
      <c r="A369" s="514"/>
      <c r="D369" s="514"/>
      <c r="E369" s="509"/>
      <c r="P369" s="7"/>
    </row>
    <row r="370" spans="1:16" ht="12.75" customHeight="1" x14ac:dyDescent="0.3">
      <c r="A370" s="514"/>
      <c r="D370" s="514"/>
      <c r="E370" s="509"/>
      <c r="P370" s="7"/>
    </row>
    <row r="371" spans="1:16" ht="12.75" customHeight="1" x14ac:dyDescent="0.3">
      <c r="A371" s="514"/>
      <c r="D371" s="514"/>
      <c r="E371" s="509"/>
      <c r="P371" s="7"/>
    </row>
    <row r="372" spans="1:16" ht="12.75" customHeight="1" x14ac:dyDescent="0.3">
      <c r="A372" s="514"/>
      <c r="D372" s="514"/>
      <c r="E372" s="509"/>
      <c r="P372" s="7"/>
    </row>
    <row r="373" spans="1:16" ht="12.75" customHeight="1" x14ac:dyDescent="0.3">
      <c r="A373" s="514"/>
      <c r="D373" s="514"/>
      <c r="E373" s="509"/>
      <c r="P373" s="7"/>
    </row>
    <row r="374" spans="1:16" ht="12.75" customHeight="1" x14ac:dyDescent="0.3">
      <c r="A374" s="514"/>
      <c r="D374" s="514"/>
      <c r="E374" s="509"/>
      <c r="P374" s="7"/>
    </row>
    <row r="375" spans="1:16" ht="12.75" customHeight="1" x14ac:dyDescent="0.3">
      <c r="A375" s="514"/>
      <c r="D375" s="514"/>
      <c r="E375" s="509"/>
      <c r="P375" s="7"/>
    </row>
    <row r="376" spans="1:16" ht="12.75" customHeight="1" x14ac:dyDescent="0.3">
      <c r="A376" s="514"/>
      <c r="D376" s="514"/>
      <c r="E376" s="509"/>
      <c r="P376" s="7"/>
    </row>
    <row r="377" spans="1:16" ht="12.75" customHeight="1" x14ac:dyDescent="0.3">
      <c r="A377" s="514"/>
      <c r="D377" s="514"/>
      <c r="E377" s="509"/>
      <c r="P377" s="7"/>
    </row>
    <row r="378" spans="1:16" ht="12.75" customHeight="1" x14ac:dyDescent="0.3">
      <c r="A378" s="514"/>
      <c r="D378" s="514"/>
      <c r="E378" s="509"/>
      <c r="P378" s="7"/>
    </row>
    <row r="379" spans="1:16" ht="12.75" customHeight="1" x14ac:dyDescent="0.3">
      <c r="A379" s="514"/>
      <c r="D379" s="514"/>
      <c r="E379" s="509"/>
      <c r="P379" s="7"/>
    </row>
    <row r="380" spans="1:16" ht="12.75" customHeight="1" x14ac:dyDescent="0.3">
      <c r="A380" s="514"/>
      <c r="D380" s="514"/>
      <c r="E380" s="509"/>
      <c r="P380" s="7"/>
    </row>
    <row r="381" spans="1:16" ht="12.75" customHeight="1" x14ac:dyDescent="0.3">
      <c r="A381" s="514"/>
      <c r="D381" s="514"/>
      <c r="E381" s="509"/>
      <c r="P381" s="7"/>
    </row>
    <row r="382" spans="1:16" ht="12.75" customHeight="1" x14ac:dyDescent="0.3">
      <c r="A382" s="514"/>
      <c r="D382" s="514"/>
      <c r="E382" s="509"/>
      <c r="P382" s="7"/>
    </row>
    <row r="383" spans="1:16" ht="12.75" customHeight="1" x14ac:dyDescent="0.3">
      <c r="A383" s="514"/>
      <c r="D383" s="514"/>
      <c r="E383" s="509"/>
      <c r="P383" s="7"/>
    </row>
    <row r="384" spans="1:16" ht="12.75" customHeight="1" x14ac:dyDescent="0.3">
      <c r="A384" s="514"/>
      <c r="D384" s="514"/>
      <c r="E384" s="509"/>
      <c r="P384" s="7"/>
    </row>
    <row r="385" spans="1:16" ht="12.75" customHeight="1" x14ac:dyDescent="0.3">
      <c r="A385" s="514"/>
      <c r="D385" s="514"/>
      <c r="E385" s="509"/>
      <c r="P385" s="7"/>
    </row>
    <row r="386" spans="1:16" ht="12.75" customHeight="1" x14ac:dyDescent="0.3">
      <c r="A386" s="514"/>
      <c r="D386" s="514"/>
      <c r="E386" s="509"/>
      <c r="P386" s="7"/>
    </row>
    <row r="387" spans="1:16" ht="12.75" customHeight="1" x14ac:dyDescent="0.3">
      <c r="A387" s="514"/>
      <c r="D387" s="514"/>
      <c r="E387" s="509"/>
      <c r="P387" s="7"/>
    </row>
    <row r="388" spans="1:16" ht="12.75" customHeight="1" x14ac:dyDescent="0.3">
      <c r="A388" s="514"/>
      <c r="D388" s="514"/>
      <c r="E388" s="509"/>
      <c r="P388" s="7"/>
    </row>
    <row r="389" spans="1:16" ht="12.75" customHeight="1" x14ac:dyDescent="0.3">
      <c r="A389" s="514"/>
      <c r="D389" s="514"/>
      <c r="E389" s="509"/>
      <c r="P389" s="7"/>
    </row>
    <row r="390" spans="1:16" ht="12.75" customHeight="1" x14ac:dyDescent="0.3">
      <c r="A390" s="514"/>
      <c r="D390" s="514"/>
      <c r="E390" s="509"/>
      <c r="P390" s="7"/>
    </row>
    <row r="391" spans="1:16" ht="12.75" customHeight="1" x14ac:dyDescent="0.3">
      <c r="A391" s="514"/>
      <c r="D391" s="514"/>
      <c r="E391" s="509"/>
      <c r="P391" s="7"/>
    </row>
    <row r="392" spans="1:16" ht="12.75" customHeight="1" x14ac:dyDescent="0.3">
      <c r="A392" s="514"/>
      <c r="D392" s="514"/>
      <c r="E392" s="509"/>
      <c r="P392" s="7"/>
    </row>
    <row r="393" spans="1:16" ht="12.75" customHeight="1" x14ac:dyDescent="0.3">
      <c r="A393" s="514"/>
      <c r="D393" s="514"/>
      <c r="E393" s="509"/>
      <c r="P393" s="7"/>
    </row>
    <row r="394" spans="1:16" ht="12.75" customHeight="1" x14ac:dyDescent="0.3">
      <c r="A394" s="514"/>
      <c r="D394" s="514"/>
      <c r="E394" s="509"/>
      <c r="P394" s="7"/>
    </row>
    <row r="395" spans="1:16" ht="12.75" customHeight="1" x14ac:dyDescent="0.3">
      <c r="A395" s="514"/>
      <c r="D395" s="514"/>
      <c r="E395" s="509"/>
      <c r="P395" s="7"/>
    </row>
    <row r="396" spans="1:16" ht="12.75" customHeight="1" x14ac:dyDescent="0.3">
      <c r="A396" s="514"/>
      <c r="D396" s="514"/>
      <c r="E396" s="509"/>
      <c r="P396" s="7"/>
    </row>
    <row r="397" spans="1:16" ht="12.75" customHeight="1" x14ac:dyDescent="0.3">
      <c r="A397" s="514"/>
      <c r="D397" s="514"/>
      <c r="E397" s="509"/>
      <c r="P397" s="7"/>
    </row>
    <row r="398" spans="1:16" ht="12.75" customHeight="1" x14ac:dyDescent="0.3">
      <c r="A398" s="514"/>
      <c r="D398" s="514"/>
      <c r="E398" s="509"/>
      <c r="P398" s="7"/>
    </row>
    <row r="399" spans="1:16" ht="12.75" customHeight="1" x14ac:dyDescent="0.3">
      <c r="A399" s="514"/>
      <c r="D399" s="514"/>
      <c r="E399" s="509"/>
      <c r="P399" s="7"/>
    </row>
    <row r="400" spans="1:16" ht="12.75" customHeight="1" x14ac:dyDescent="0.3">
      <c r="A400" s="514"/>
      <c r="D400" s="514"/>
      <c r="E400" s="509"/>
      <c r="P400" s="7"/>
    </row>
    <row r="401" spans="1:16" ht="12.75" customHeight="1" x14ac:dyDescent="0.3">
      <c r="A401" s="514"/>
      <c r="D401" s="514"/>
      <c r="E401" s="509"/>
      <c r="P401" s="7"/>
    </row>
    <row r="402" spans="1:16" ht="12.75" customHeight="1" x14ac:dyDescent="0.3">
      <c r="A402" s="514"/>
      <c r="D402" s="514"/>
      <c r="E402" s="509"/>
      <c r="P402" s="7"/>
    </row>
    <row r="403" spans="1:16" ht="12.75" customHeight="1" x14ac:dyDescent="0.3">
      <c r="A403" s="514"/>
      <c r="D403" s="514"/>
      <c r="E403" s="509"/>
      <c r="P403" s="7"/>
    </row>
    <row r="404" spans="1:16" ht="12.75" customHeight="1" x14ac:dyDescent="0.3">
      <c r="A404" s="514"/>
      <c r="D404" s="514"/>
      <c r="E404" s="509"/>
      <c r="P404" s="7"/>
    </row>
    <row r="405" spans="1:16" ht="12.75" customHeight="1" x14ac:dyDescent="0.3">
      <c r="A405" s="514"/>
      <c r="D405" s="514"/>
      <c r="E405" s="509"/>
      <c r="P405" s="7"/>
    </row>
    <row r="406" spans="1:16" ht="12.75" customHeight="1" x14ac:dyDescent="0.3">
      <c r="A406" s="514"/>
      <c r="D406" s="514"/>
      <c r="E406" s="509"/>
      <c r="P406" s="7"/>
    </row>
    <row r="407" spans="1:16" ht="12.75" customHeight="1" x14ac:dyDescent="0.3">
      <c r="A407" s="514"/>
      <c r="D407" s="514"/>
      <c r="E407" s="509"/>
      <c r="P407" s="7"/>
    </row>
    <row r="408" spans="1:16" ht="12.75" customHeight="1" x14ac:dyDescent="0.3">
      <c r="A408" s="514"/>
      <c r="D408" s="514"/>
      <c r="E408" s="509"/>
      <c r="P408" s="7"/>
    </row>
    <row r="409" spans="1:16" ht="12.75" customHeight="1" x14ac:dyDescent="0.3">
      <c r="A409" s="514"/>
      <c r="D409" s="514"/>
      <c r="E409" s="509"/>
      <c r="P409" s="7"/>
    </row>
    <row r="410" spans="1:16" ht="12.75" customHeight="1" x14ac:dyDescent="0.3">
      <c r="A410" s="514"/>
      <c r="D410" s="514"/>
      <c r="E410" s="509"/>
      <c r="P410" s="7"/>
    </row>
    <row r="411" spans="1:16" ht="12.75" customHeight="1" x14ac:dyDescent="0.3">
      <c r="A411" s="514"/>
      <c r="D411" s="514"/>
      <c r="E411" s="509"/>
      <c r="P411" s="7"/>
    </row>
    <row r="412" spans="1:16" ht="12.75" customHeight="1" x14ac:dyDescent="0.3">
      <c r="A412" s="514"/>
      <c r="D412" s="514"/>
      <c r="E412" s="509"/>
      <c r="P412" s="7"/>
    </row>
    <row r="413" spans="1:16" ht="12.75" customHeight="1" x14ac:dyDescent="0.3">
      <c r="A413" s="514"/>
      <c r="D413" s="514"/>
      <c r="E413" s="509"/>
      <c r="P413" s="7"/>
    </row>
    <row r="414" spans="1:16" ht="12.75" customHeight="1" x14ac:dyDescent="0.3">
      <c r="A414" s="514"/>
      <c r="D414" s="514"/>
      <c r="E414" s="509"/>
      <c r="P414" s="7"/>
    </row>
    <row r="415" spans="1:16" ht="12.75" customHeight="1" x14ac:dyDescent="0.3">
      <c r="A415" s="514"/>
      <c r="D415" s="514"/>
      <c r="E415" s="509"/>
      <c r="P415" s="7"/>
    </row>
    <row r="416" spans="1:16" ht="12.75" customHeight="1" x14ac:dyDescent="0.3">
      <c r="A416" s="514"/>
      <c r="D416" s="514"/>
      <c r="E416" s="509"/>
      <c r="P416" s="7"/>
    </row>
    <row r="417" spans="1:16" ht="12.75" customHeight="1" x14ac:dyDescent="0.3">
      <c r="A417" s="514"/>
      <c r="D417" s="514"/>
      <c r="E417" s="509"/>
      <c r="P417" s="7"/>
    </row>
    <row r="418" spans="1:16" ht="12.75" customHeight="1" x14ac:dyDescent="0.3">
      <c r="A418" s="514"/>
      <c r="D418" s="514"/>
      <c r="E418" s="509"/>
      <c r="P418" s="7"/>
    </row>
    <row r="419" spans="1:16" ht="12.75" customHeight="1" x14ac:dyDescent="0.3">
      <c r="A419" s="514"/>
      <c r="D419" s="514"/>
      <c r="E419" s="509"/>
      <c r="P419" s="7"/>
    </row>
    <row r="420" spans="1:16" ht="12.75" customHeight="1" x14ac:dyDescent="0.3">
      <c r="A420" s="514"/>
      <c r="D420" s="514"/>
      <c r="E420" s="509"/>
      <c r="P420" s="7"/>
    </row>
    <row r="421" spans="1:16" ht="12.75" customHeight="1" x14ac:dyDescent="0.3">
      <c r="A421" s="514"/>
      <c r="D421" s="514"/>
      <c r="E421" s="509"/>
      <c r="P421" s="7"/>
    </row>
    <row r="422" spans="1:16" ht="12.75" customHeight="1" x14ac:dyDescent="0.3">
      <c r="A422" s="514"/>
      <c r="D422" s="514"/>
      <c r="E422" s="509"/>
      <c r="P422" s="7"/>
    </row>
    <row r="423" spans="1:16" ht="12.75" customHeight="1" x14ac:dyDescent="0.3">
      <c r="A423" s="514"/>
      <c r="D423" s="514"/>
      <c r="E423" s="509"/>
      <c r="P423" s="7"/>
    </row>
    <row r="424" spans="1:16" ht="12.75" customHeight="1" x14ac:dyDescent="0.3">
      <c r="A424" s="514"/>
      <c r="D424" s="514"/>
      <c r="E424" s="509"/>
      <c r="P424" s="7"/>
    </row>
    <row r="425" spans="1:16" ht="12.75" customHeight="1" x14ac:dyDescent="0.3">
      <c r="A425" s="514"/>
      <c r="D425" s="514"/>
      <c r="E425" s="509"/>
      <c r="P425" s="7"/>
    </row>
    <row r="426" spans="1:16" ht="12.75" customHeight="1" x14ac:dyDescent="0.3">
      <c r="A426" s="514"/>
      <c r="D426" s="514"/>
      <c r="E426" s="509"/>
      <c r="P426" s="7"/>
    </row>
    <row r="427" spans="1:16" ht="12.75" customHeight="1" x14ac:dyDescent="0.3">
      <c r="A427" s="514"/>
      <c r="D427" s="514"/>
      <c r="E427" s="509"/>
      <c r="P427" s="7"/>
    </row>
    <row r="428" spans="1:16" ht="12.75" customHeight="1" x14ac:dyDescent="0.3">
      <c r="A428" s="514"/>
      <c r="D428" s="514"/>
      <c r="E428" s="509"/>
      <c r="P428" s="7"/>
    </row>
    <row r="429" spans="1:16" ht="12.75" customHeight="1" x14ac:dyDescent="0.3">
      <c r="A429" s="514"/>
      <c r="D429" s="514"/>
      <c r="E429" s="509"/>
      <c r="P429" s="7"/>
    </row>
    <row r="430" spans="1:16" ht="12.75" customHeight="1" x14ac:dyDescent="0.3">
      <c r="A430" s="514"/>
      <c r="D430" s="514"/>
      <c r="E430" s="509"/>
      <c r="P430" s="7"/>
    </row>
    <row r="431" spans="1:16" ht="12.75" customHeight="1" x14ac:dyDescent="0.3">
      <c r="A431" s="514"/>
      <c r="D431" s="514"/>
      <c r="E431" s="509"/>
      <c r="P431" s="7"/>
    </row>
    <row r="432" spans="1:16" ht="12.75" customHeight="1" x14ac:dyDescent="0.3">
      <c r="A432" s="514"/>
      <c r="D432" s="514"/>
      <c r="E432" s="509"/>
      <c r="P432" s="7"/>
    </row>
    <row r="433" spans="1:16" ht="12.75" customHeight="1" x14ac:dyDescent="0.3">
      <c r="A433" s="514"/>
      <c r="D433" s="514"/>
      <c r="E433" s="509"/>
      <c r="P433" s="7"/>
    </row>
    <row r="434" spans="1:16" ht="12.75" customHeight="1" x14ac:dyDescent="0.3">
      <c r="A434" s="514"/>
      <c r="D434" s="514"/>
      <c r="E434" s="509"/>
      <c r="P434" s="7"/>
    </row>
    <row r="435" spans="1:16" ht="12.75" customHeight="1" x14ac:dyDescent="0.3">
      <c r="A435" s="514"/>
      <c r="D435" s="514"/>
      <c r="E435" s="509"/>
      <c r="P435" s="7"/>
    </row>
    <row r="436" spans="1:16" ht="12.75" customHeight="1" x14ac:dyDescent="0.3">
      <c r="A436" s="514"/>
      <c r="D436" s="514"/>
      <c r="E436" s="509"/>
      <c r="P436" s="7"/>
    </row>
    <row r="437" spans="1:16" ht="12.75" customHeight="1" x14ac:dyDescent="0.3">
      <c r="A437" s="514"/>
      <c r="D437" s="514"/>
      <c r="E437" s="509"/>
      <c r="P437" s="7"/>
    </row>
    <row r="438" spans="1:16" ht="12.75" customHeight="1" x14ac:dyDescent="0.3">
      <c r="A438" s="514"/>
      <c r="D438" s="514"/>
      <c r="E438" s="509"/>
      <c r="P438" s="7"/>
    </row>
    <row r="439" spans="1:16" ht="12.75" customHeight="1" x14ac:dyDescent="0.3">
      <c r="A439" s="514"/>
      <c r="D439" s="514"/>
      <c r="E439" s="509"/>
      <c r="P439" s="7"/>
    </row>
    <row r="440" spans="1:16" ht="12.75" customHeight="1" x14ac:dyDescent="0.3">
      <c r="A440" s="514"/>
      <c r="D440" s="514"/>
      <c r="E440" s="509"/>
      <c r="P440" s="7"/>
    </row>
    <row r="441" spans="1:16" ht="12.75" customHeight="1" x14ac:dyDescent="0.3">
      <c r="A441" s="514"/>
      <c r="D441" s="514"/>
      <c r="E441" s="509"/>
      <c r="P441" s="7"/>
    </row>
    <row r="442" spans="1:16" ht="12.75" customHeight="1" x14ac:dyDescent="0.3">
      <c r="A442" s="514"/>
      <c r="D442" s="514"/>
      <c r="E442" s="509"/>
      <c r="P442" s="7"/>
    </row>
    <row r="443" spans="1:16" ht="12.75" customHeight="1" x14ac:dyDescent="0.3">
      <c r="A443" s="514"/>
      <c r="D443" s="514"/>
      <c r="E443" s="509"/>
      <c r="P443" s="7"/>
    </row>
    <row r="444" spans="1:16" ht="12.75" customHeight="1" x14ac:dyDescent="0.3">
      <c r="A444" s="514"/>
      <c r="D444" s="514"/>
      <c r="E444" s="509"/>
      <c r="P444" s="7"/>
    </row>
    <row r="445" spans="1:16" ht="12.75" customHeight="1" x14ac:dyDescent="0.3">
      <c r="A445" s="514"/>
      <c r="D445" s="514"/>
      <c r="E445" s="509"/>
      <c r="P445" s="7"/>
    </row>
    <row r="446" spans="1:16" ht="12.75" customHeight="1" x14ac:dyDescent="0.3">
      <c r="A446" s="514"/>
      <c r="D446" s="514"/>
      <c r="E446" s="509"/>
      <c r="P446" s="7"/>
    </row>
    <row r="447" spans="1:16" ht="12.75" customHeight="1" x14ac:dyDescent="0.3">
      <c r="A447" s="514"/>
      <c r="D447" s="514"/>
      <c r="E447" s="509"/>
      <c r="P447" s="7"/>
    </row>
    <row r="448" spans="1:16" ht="12.75" customHeight="1" x14ac:dyDescent="0.3">
      <c r="A448" s="514"/>
      <c r="D448" s="514"/>
      <c r="E448" s="509"/>
      <c r="P448" s="7"/>
    </row>
    <row r="449" spans="1:16" ht="12.75" customHeight="1" x14ac:dyDescent="0.3">
      <c r="A449" s="514"/>
      <c r="D449" s="514"/>
      <c r="E449" s="509"/>
      <c r="P449" s="7"/>
    </row>
    <row r="450" spans="1:16" ht="12.75" customHeight="1" x14ac:dyDescent="0.3">
      <c r="A450" s="514"/>
      <c r="D450" s="514"/>
      <c r="E450" s="509"/>
      <c r="P450" s="7"/>
    </row>
    <row r="451" spans="1:16" ht="12.75" customHeight="1" x14ac:dyDescent="0.3">
      <c r="A451" s="514"/>
      <c r="D451" s="514"/>
      <c r="E451" s="509"/>
      <c r="P451" s="7"/>
    </row>
    <row r="452" spans="1:16" ht="12.75" customHeight="1" x14ac:dyDescent="0.3">
      <c r="A452" s="514"/>
      <c r="D452" s="514"/>
      <c r="E452" s="509"/>
      <c r="P452" s="7"/>
    </row>
    <row r="453" spans="1:16" ht="12.75" customHeight="1" x14ac:dyDescent="0.3">
      <c r="A453" s="514"/>
      <c r="D453" s="514"/>
      <c r="E453" s="509"/>
      <c r="P453" s="7"/>
    </row>
    <row r="454" spans="1:16" ht="12.75" customHeight="1" x14ac:dyDescent="0.3">
      <c r="A454" s="514"/>
      <c r="D454" s="514"/>
      <c r="E454" s="509"/>
      <c r="P454" s="7"/>
    </row>
    <row r="455" spans="1:16" ht="12.75" customHeight="1" x14ac:dyDescent="0.3">
      <c r="A455" s="514"/>
      <c r="D455" s="514"/>
      <c r="E455" s="509"/>
      <c r="P455" s="7"/>
    </row>
    <row r="456" spans="1:16" ht="12.75" customHeight="1" x14ac:dyDescent="0.3">
      <c r="A456" s="514"/>
      <c r="D456" s="514"/>
      <c r="E456" s="509"/>
      <c r="P456" s="7"/>
    </row>
    <row r="457" spans="1:16" ht="12.75" customHeight="1" x14ac:dyDescent="0.3">
      <c r="A457" s="514"/>
      <c r="D457" s="514"/>
      <c r="E457" s="509"/>
      <c r="P457" s="7"/>
    </row>
    <row r="458" spans="1:16" ht="12.75" customHeight="1" x14ac:dyDescent="0.3">
      <c r="A458" s="514"/>
      <c r="D458" s="514"/>
      <c r="E458" s="509"/>
      <c r="P458" s="7"/>
    </row>
    <row r="459" spans="1:16" ht="12.75" customHeight="1" x14ac:dyDescent="0.3">
      <c r="A459" s="514"/>
      <c r="D459" s="514"/>
      <c r="E459" s="509"/>
      <c r="P459" s="7"/>
    </row>
    <row r="460" spans="1:16" ht="12.75" customHeight="1" x14ac:dyDescent="0.3">
      <c r="A460" s="514"/>
      <c r="D460" s="514"/>
      <c r="E460" s="509"/>
      <c r="P460" s="7"/>
    </row>
    <row r="461" spans="1:16" ht="12.75" customHeight="1" x14ac:dyDescent="0.3">
      <c r="A461" s="514"/>
      <c r="D461" s="514"/>
      <c r="E461" s="509"/>
      <c r="P461" s="7"/>
    </row>
    <row r="462" spans="1:16" ht="12.75" customHeight="1" x14ac:dyDescent="0.3">
      <c r="A462" s="514"/>
      <c r="D462" s="514"/>
      <c r="E462" s="509"/>
      <c r="P462" s="7"/>
    </row>
    <row r="463" spans="1:16" ht="12.75" customHeight="1" x14ac:dyDescent="0.3">
      <c r="A463" s="514"/>
      <c r="D463" s="514"/>
      <c r="E463" s="509"/>
      <c r="P463" s="7"/>
    </row>
    <row r="464" spans="1:16" ht="12.75" customHeight="1" x14ac:dyDescent="0.3">
      <c r="A464" s="514"/>
      <c r="D464" s="514"/>
      <c r="E464" s="509"/>
      <c r="P464" s="7"/>
    </row>
    <row r="465" spans="1:16" ht="12.75" customHeight="1" x14ac:dyDescent="0.3">
      <c r="A465" s="514"/>
      <c r="D465" s="514"/>
      <c r="E465" s="509"/>
      <c r="P465" s="7"/>
    </row>
    <row r="466" spans="1:16" ht="12.75" customHeight="1" x14ac:dyDescent="0.3">
      <c r="A466" s="514"/>
      <c r="D466" s="514"/>
      <c r="E466" s="509"/>
      <c r="P466" s="7"/>
    </row>
    <row r="467" spans="1:16" ht="12.75" customHeight="1" x14ac:dyDescent="0.3">
      <c r="A467" s="514"/>
      <c r="D467" s="514"/>
      <c r="E467" s="509"/>
      <c r="P467" s="7"/>
    </row>
    <row r="468" spans="1:16" ht="12.75" customHeight="1" x14ac:dyDescent="0.3">
      <c r="A468" s="514"/>
      <c r="D468" s="514"/>
      <c r="E468" s="509"/>
      <c r="P468" s="7"/>
    </row>
    <row r="469" spans="1:16" ht="12.75" customHeight="1" x14ac:dyDescent="0.3">
      <c r="A469" s="514"/>
      <c r="D469" s="514"/>
      <c r="E469" s="509"/>
      <c r="P469" s="7"/>
    </row>
    <row r="470" spans="1:16" ht="12.75" customHeight="1" x14ac:dyDescent="0.3">
      <c r="A470" s="514"/>
      <c r="D470" s="514"/>
      <c r="E470" s="509"/>
      <c r="P470" s="7"/>
    </row>
    <row r="471" spans="1:16" ht="12.75" customHeight="1" x14ac:dyDescent="0.3">
      <c r="A471" s="514"/>
      <c r="D471" s="514"/>
      <c r="E471" s="509"/>
      <c r="P471" s="7"/>
    </row>
    <row r="472" spans="1:16" ht="12.75" customHeight="1" x14ac:dyDescent="0.3">
      <c r="A472" s="514"/>
      <c r="D472" s="514"/>
      <c r="E472" s="509"/>
      <c r="P472" s="7"/>
    </row>
    <row r="473" spans="1:16" ht="12.75" customHeight="1" x14ac:dyDescent="0.3">
      <c r="A473" s="514"/>
      <c r="D473" s="514"/>
      <c r="E473" s="509"/>
      <c r="P473" s="7"/>
    </row>
    <row r="474" spans="1:16" ht="12.75" customHeight="1" x14ac:dyDescent="0.3">
      <c r="A474" s="514"/>
      <c r="D474" s="514"/>
      <c r="E474" s="509"/>
      <c r="P474" s="7"/>
    </row>
    <row r="475" spans="1:16" ht="12.75" customHeight="1" x14ac:dyDescent="0.3">
      <c r="A475" s="514"/>
      <c r="D475" s="514"/>
      <c r="E475" s="509"/>
      <c r="P475" s="7"/>
    </row>
    <row r="476" spans="1:16" ht="12.75" customHeight="1" x14ac:dyDescent="0.3">
      <c r="A476" s="514"/>
      <c r="D476" s="514"/>
      <c r="E476" s="509"/>
      <c r="P476" s="7"/>
    </row>
    <row r="477" spans="1:16" ht="12.75" customHeight="1" x14ac:dyDescent="0.3">
      <c r="A477" s="514"/>
      <c r="D477" s="514"/>
      <c r="E477" s="509"/>
      <c r="P477" s="7"/>
    </row>
    <row r="478" spans="1:16" ht="12.75" customHeight="1" x14ac:dyDescent="0.3">
      <c r="A478" s="514"/>
      <c r="D478" s="514"/>
      <c r="E478" s="509"/>
      <c r="P478" s="7"/>
    </row>
    <row r="479" spans="1:16" ht="12.75" customHeight="1" x14ac:dyDescent="0.3">
      <c r="A479" s="514"/>
      <c r="D479" s="514"/>
      <c r="E479" s="509"/>
      <c r="P479" s="7"/>
    </row>
    <row r="480" spans="1:16" ht="12.75" customHeight="1" x14ac:dyDescent="0.3">
      <c r="A480" s="514"/>
      <c r="D480" s="514"/>
      <c r="E480" s="509"/>
      <c r="P480" s="7"/>
    </row>
    <row r="481" spans="1:16" ht="12.75" customHeight="1" x14ac:dyDescent="0.3">
      <c r="A481" s="514"/>
      <c r="D481" s="514"/>
      <c r="E481" s="509"/>
      <c r="P481" s="7"/>
    </row>
    <row r="482" spans="1:16" ht="12.75" customHeight="1" x14ac:dyDescent="0.3">
      <c r="A482" s="514"/>
      <c r="D482" s="514"/>
      <c r="E482" s="509"/>
      <c r="P482" s="7"/>
    </row>
    <row r="483" spans="1:16" ht="12.75" customHeight="1" x14ac:dyDescent="0.3">
      <c r="A483" s="514"/>
      <c r="D483" s="514"/>
      <c r="E483" s="509"/>
      <c r="P483" s="7"/>
    </row>
    <row r="484" spans="1:16" ht="12.75" customHeight="1" x14ac:dyDescent="0.3">
      <c r="A484" s="514"/>
      <c r="D484" s="514"/>
      <c r="E484" s="509"/>
      <c r="P484" s="7"/>
    </row>
    <row r="485" spans="1:16" ht="12.75" customHeight="1" x14ac:dyDescent="0.3">
      <c r="A485" s="514"/>
      <c r="D485" s="514"/>
      <c r="E485" s="509"/>
      <c r="P485" s="7"/>
    </row>
    <row r="486" spans="1:16" ht="12.75" customHeight="1" x14ac:dyDescent="0.3">
      <c r="A486" s="514"/>
      <c r="D486" s="514"/>
      <c r="E486" s="509"/>
      <c r="P486" s="7"/>
    </row>
    <row r="487" spans="1:16" ht="12.75" customHeight="1" x14ac:dyDescent="0.3">
      <c r="A487" s="514"/>
      <c r="D487" s="514"/>
      <c r="E487" s="509"/>
      <c r="P487" s="7"/>
    </row>
    <row r="488" spans="1:16" ht="12.75" customHeight="1" x14ac:dyDescent="0.3">
      <c r="A488" s="514"/>
      <c r="D488" s="514"/>
      <c r="E488" s="509"/>
      <c r="P488" s="7"/>
    </row>
    <row r="489" spans="1:16" ht="12.75" customHeight="1" x14ac:dyDescent="0.3">
      <c r="A489" s="514"/>
      <c r="D489" s="514"/>
      <c r="E489" s="509"/>
      <c r="P489" s="7"/>
    </row>
    <row r="490" spans="1:16" ht="12.75" customHeight="1" x14ac:dyDescent="0.3">
      <c r="A490" s="514"/>
      <c r="D490" s="514"/>
      <c r="E490" s="509"/>
      <c r="P490" s="7"/>
    </row>
    <row r="491" spans="1:16" ht="12.75" customHeight="1" x14ac:dyDescent="0.3">
      <c r="A491" s="514"/>
      <c r="D491" s="514"/>
      <c r="E491" s="509"/>
      <c r="P491" s="7"/>
    </row>
    <row r="492" spans="1:16" ht="12.75" customHeight="1" x14ac:dyDescent="0.3">
      <c r="A492" s="514"/>
      <c r="D492" s="514"/>
      <c r="E492" s="509"/>
      <c r="P492" s="7"/>
    </row>
    <row r="493" spans="1:16" ht="12.75" customHeight="1" x14ac:dyDescent="0.3">
      <c r="A493" s="514"/>
      <c r="D493" s="514"/>
      <c r="E493" s="509"/>
      <c r="P493" s="7"/>
    </row>
    <row r="494" spans="1:16" ht="12.75" customHeight="1" x14ac:dyDescent="0.3">
      <c r="A494" s="514"/>
      <c r="D494" s="514"/>
      <c r="E494" s="509"/>
      <c r="P494" s="7"/>
    </row>
    <row r="495" spans="1:16" ht="12.75" customHeight="1" x14ac:dyDescent="0.3">
      <c r="A495" s="514"/>
      <c r="D495" s="514"/>
      <c r="E495" s="509"/>
      <c r="P495" s="7"/>
    </row>
    <row r="496" spans="1:16" ht="12.75" customHeight="1" x14ac:dyDescent="0.3">
      <c r="A496" s="514"/>
      <c r="D496" s="514"/>
      <c r="E496" s="509"/>
      <c r="P496" s="7"/>
    </row>
    <row r="497" spans="1:16" ht="12.75" customHeight="1" x14ac:dyDescent="0.3">
      <c r="A497" s="514"/>
      <c r="D497" s="514"/>
      <c r="E497" s="509"/>
      <c r="P497" s="7"/>
    </row>
    <row r="498" spans="1:16" ht="12.75" customHeight="1" x14ac:dyDescent="0.3">
      <c r="A498" s="514"/>
      <c r="D498" s="514"/>
      <c r="E498" s="509"/>
      <c r="P498" s="7"/>
    </row>
    <row r="499" spans="1:16" ht="12.75" customHeight="1" x14ac:dyDescent="0.3">
      <c r="A499" s="514"/>
      <c r="D499" s="514"/>
      <c r="E499" s="509"/>
      <c r="P499" s="7"/>
    </row>
    <row r="500" spans="1:16" ht="12.75" customHeight="1" x14ac:dyDescent="0.3">
      <c r="A500" s="514"/>
      <c r="D500" s="514"/>
      <c r="E500" s="509"/>
      <c r="P500" s="7"/>
    </row>
    <row r="501" spans="1:16" ht="12.75" customHeight="1" x14ac:dyDescent="0.3">
      <c r="A501" s="514"/>
      <c r="D501" s="514"/>
      <c r="E501" s="509"/>
      <c r="P501" s="7"/>
    </row>
    <row r="502" spans="1:16" ht="12.75" customHeight="1" x14ac:dyDescent="0.3">
      <c r="A502" s="514"/>
      <c r="D502" s="514"/>
      <c r="E502" s="509"/>
      <c r="P502" s="7"/>
    </row>
    <row r="503" spans="1:16" ht="12.75" customHeight="1" x14ac:dyDescent="0.3">
      <c r="A503" s="514"/>
      <c r="D503" s="514"/>
      <c r="E503" s="509"/>
      <c r="P503" s="7"/>
    </row>
    <row r="504" spans="1:16" ht="12.75" customHeight="1" x14ac:dyDescent="0.3">
      <c r="A504" s="514"/>
      <c r="D504" s="514"/>
      <c r="E504" s="509"/>
      <c r="P504" s="7"/>
    </row>
    <row r="505" spans="1:16" ht="12.75" customHeight="1" x14ac:dyDescent="0.3">
      <c r="A505" s="514"/>
      <c r="D505" s="514"/>
      <c r="E505" s="509"/>
      <c r="P505" s="7"/>
    </row>
    <row r="506" spans="1:16" ht="12.75" customHeight="1" x14ac:dyDescent="0.3">
      <c r="A506" s="514"/>
      <c r="D506" s="514"/>
      <c r="E506" s="509"/>
      <c r="P506" s="7"/>
    </row>
    <row r="507" spans="1:16" ht="12.75" customHeight="1" x14ac:dyDescent="0.3">
      <c r="A507" s="514"/>
      <c r="D507" s="514"/>
      <c r="E507" s="509"/>
      <c r="P507" s="7"/>
    </row>
    <row r="508" spans="1:16" ht="12.75" customHeight="1" x14ac:dyDescent="0.3">
      <c r="A508" s="514"/>
      <c r="D508" s="514"/>
      <c r="E508" s="509"/>
      <c r="P508" s="7"/>
    </row>
    <row r="509" spans="1:16" ht="12.75" customHeight="1" x14ac:dyDescent="0.3">
      <c r="A509" s="514"/>
      <c r="D509" s="514"/>
      <c r="E509" s="509"/>
      <c r="P509" s="7"/>
    </row>
    <row r="510" spans="1:16" ht="12.75" customHeight="1" x14ac:dyDescent="0.3">
      <c r="A510" s="514"/>
      <c r="D510" s="514"/>
      <c r="E510" s="509"/>
      <c r="P510" s="7"/>
    </row>
    <row r="511" spans="1:16" ht="12.75" customHeight="1" x14ac:dyDescent="0.3">
      <c r="A511" s="514"/>
      <c r="D511" s="514"/>
      <c r="E511" s="509"/>
      <c r="P511" s="7"/>
    </row>
    <row r="512" spans="1:16" ht="12.75" customHeight="1" x14ac:dyDescent="0.3">
      <c r="A512" s="514"/>
      <c r="D512" s="514"/>
      <c r="E512" s="509"/>
      <c r="P512" s="7"/>
    </row>
    <row r="513" spans="1:16" ht="12.75" customHeight="1" x14ac:dyDescent="0.3">
      <c r="A513" s="514"/>
      <c r="D513" s="514"/>
      <c r="E513" s="509"/>
      <c r="P513" s="7"/>
    </row>
    <row r="514" spans="1:16" ht="12.75" customHeight="1" x14ac:dyDescent="0.3">
      <c r="A514" s="514"/>
      <c r="D514" s="514"/>
      <c r="E514" s="509"/>
      <c r="P514" s="7"/>
    </row>
    <row r="515" spans="1:16" ht="12.75" customHeight="1" x14ac:dyDescent="0.3">
      <c r="A515" s="514"/>
      <c r="D515" s="514"/>
      <c r="E515" s="509"/>
      <c r="P515" s="7"/>
    </row>
    <row r="516" spans="1:16" ht="12.75" customHeight="1" x14ac:dyDescent="0.3">
      <c r="A516" s="514"/>
      <c r="D516" s="514"/>
      <c r="E516" s="509"/>
      <c r="P516" s="7"/>
    </row>
    <row r="517" spans="1:16" ht="12.75" customHeight="1" x14ac:dyDescent="0.3">
      <c r="A517" s="514"/>
      <c r="D517" s="514"/>
      <c r="E517" s="509"/>
      <c r="P517" s="7"/>
    </row>
    <row r="518" spans="1:16" ht="12.75" customHeight="1" x14ac:dyDescent="0.3">
      <c r="A518" s="514"/>
      <c r="D518" s="514"/>
      <c r="E518" s="509"/>
      <c r="P518" s="7"/>
    </row>
    <row r="519" spans="1:16" ht="12.75" customHeight="1" x14ac:dyDescent="0.3">
      <c r="A519" s="514"/>
      <c r="D519" s="514"/>
      <c r="E519" s="509"/>
      <c r="P519" s="7"/>
    </row>
    <row r="520" spans="1:16" ht="12.75" customHeight="1" x14ac:dyDescent="0.3">
      <c r="A520" s="514"/>
      <c r="D520" s="514"/>
      <c r="E520" s="509"/>
      <c r="P520" s="7"/>
    </row>
    <row r="521" spans="1:16" ht="12.75" customHeight="1" x14ac:dyDescent="0.3">
      <c r="A521" s="514"/>
      <c r="D521" s="514"/>
      <c r="E521" s="509"/>
      <c r="P521" s="7"/>
    </row>
    <row r="522" spans="1:16" ht="12.75" customHeight="1" x14ac:dyDescent="0.3">
      <c r="A522" s="514"/>
      <c r="D522" s="514"/>
      <c r="E522" s="509"/>
      <c r="P522" s="7"/>
    </row>
    <row r="523" spans="1:16" ht="12.75" customHeight="1" x14ac:dyDescent="0.3">
      <c r="A523" s="514"/>
      <c r="D523" s="514"/>
      <c r="E523" s="509"/>
      <c r="P523" s="7"/>
    </row>
    <row r="524" spans="1:16" ht="12.75" customHeight="1" x14ac:dyDescent="0.3">
      <c r="A524" s="514"/>
      <c r="D524" s="514"/>
      <c r="E524" s="509"/>
      <c r="P524" s="7"/>
    </row>
    <row r="525" spans="1:16" ht="12.75" customHeight="1" x14ac:dyDescent="0.3">
      <c r="A525" s="514"/>
      <c r="D525" s="514"/>
      <c r="E525" s="509"/>
      <c r="P525" s="7"/>
    </row>
    <row r="526" spans="1:16" ht="12.75" customHeight="1" x14ac:dyDescent="0.3">
      <c r="A526" s="514"/>
      <c r="D526" s="514"/>
      <c r="E526" s="509"/>
      <c r="P526" s="7"/>
    </row>
    <row r="527" spans="1:16" ht="12.75" customHeight="1" x14ac:dyDescent="0.3">
      <c r="A527" s="514"/>
      <c r="D527" s="514"/>
      <c r="E527" s="509"/>
      <c r="P527" s="7"/>
    </row>
    <row r="528" spans="1:16" ht="12.75" customHeight="1" x14ac:dyDescent="0.3">
      <c r="A528" s="514"/>
      <c r="D528" s="514"/>
      <c r="E528" s="509"/>
      <c r="P528" s="7"/>
    </row>
    <row r="529" spans="1:16" ht="12.75" customHeight="1" x14ac:dyDescent="0.3">
      <c r="A529" s="514"/>
      <c r="D529" s="514"/>
      <c r="E529" s="509"/>
      <c r="P529" s="7"/>
    </row>
    <row r="530" spans="1:16" ht="12.75" customHeight="1" x14ac:dyDescent="0.3">
      <c r="A530" s="514"/>
      <c r="D530" s="514"/>
      <c r="E530" s="509"/>
      <c r="P530" s="7"/>
    </row>
    <row r="531" spans="1:16" ht="12.75" customHeight="1" x14ac:dyDescent="0.3">
      <c r="A531" s="514"/>
      <c r="D531" s="514"/>
      <c r="E531" s="509"/>
      <c r="P531" s="7"/>
    </row>
    <row r="532" spans="1:16" ht="12.75" customHeight="1" x14ac:dyDescent="0.3">
      <c r="A532" s="514"/>
      <c r="D532" s="514"/>
      <c r="E532" s="509"/>
      <c r="P532" s="7"/>
    </row>
    <row r="533" spans="1:16" ht="12.75" customHeight="1" x14ac:dyDescent="0.3">
      <c r="A533" s="514"/>
      <c r="D533" s="514"/>
      <c r="E533" s="509"/>
      <c r="P533" s="7"/>
    </row>
    <row r="534" spans="1:16" ht="12.75" customHeight="1" x14ac:dyDescent="0.3">
      <c r="A534" s="514"/>
      <c r="D534" s="514"/>
      <c r="E534" s="509"/>
      <c r="P534" s="7"/>
    </row>
    <row r="535" spans="1:16" ht="12.75" customHeight="1" x14ac:dyDescent="0.3">
      <c r="A535" s="514"/>
      <c r="D535" s="514"/>
      <c r="E535" s="509"/>
      <c r="P535" s="7"/>
    </row>
    <row r="536" spans="1:16" ht="12.75" customHeight="1" x14ac:dyDescent="0.3">
      <c r="A536" s="514"/>
      <c r="D536" s="514"/>
      <c r="E536" s="509"/>
      <c r="P536" s="7"/>
    </row>
    <row r="537" spans="1:16" ht="12.75" customHeight="1" x14ac:dyDescent="0.3">
      <c r="A537" s="514"/>
      <c r="D537" s="514"/>
      <c r="E537" s="509"/>
      <c r="P537" s="7"/>
    </row>
    <row r="538" spans="1:16" ht="12.75" customHeight="1" x14ac:dyDescent="0.3">
      <c r="A538" s="514"/>
      <c r="D538" s="514"/>
      <c r="E538" s="509"/>
      <c r="P538" s="7"/>
    </row>
    <row r="539" spans="1:16" ht="12.75" customHeight="1" x14ac:dyDescent="0.3">
      <c r="A539" s="514"/>
      <c r="D539" s="514"/>
      <c r="E539" s="509"/>
      <c r="P539" s="7"/>
    </row>
    <row r="540" spans="1:16" ht="12.75" customHeight="1" x14ac:dyDescent="0.3">
      <c r="A540" s="514"/>
      <c r="D540" s="514"/>
      <c r="E540" s="509"/>
      <c r="P540" s="7"/>
    </row>
    <row r="541" spans="1:16" ht="12.75" customHeight="1" x14ac:dyDescent="0.3">
      <c r="A541" s="514"/>
      <c r="D541" s="514"/>
      <c r="E541" s="509"/>
      <c r="P541" s="7"/>
    </row>
    <row r="542" spans="1:16" ht="12.75" customHeight="1" x14ac:dyDescent="0.3">
      <c r="A542" s="514"/>
      <c r="D542" s="514"/>
      <c r="E542" s="509"/>
      <c r="P542" s="7"/>
    </row>
    <row r="543" spans="1:16" ht="12.75" customHeight="1" x14ac:dyDescent="0.3">
      <c r="A543" s="514"/>
      <c r="D543" s="514"/>
      <c r="E543" s="509"/>
      <c r="P543" s="7"/>
    </row>
    <row r="544" spans="1:16" ht="12.75" customHeight="1" x14ac:dyDescent="0.3">
      <c r="A544" s="514"/>
      <c r="D544" s="514"/>
      <c r="E544" s="509"/>
      <c r="P544" s="7"/>
    </row>
    <row r="545" spans="1:16" ht="12.75" customHeight="1" x14ac:dyDescent="0.3">
      <c r="A545" s="514"/>
      <c r="D545" s="514"/>
      <c r="E545" s="509"/>
      <c r="P545" s="7"/>
    </row>
    <row r="546" spans="1:16" ht="12.75" customHeight="1" x14ac:dyDescent="0.3">
      <c r="A546" s="514"/>
      <c r="D546" s="514"/>
      <c r="E546" s="509"/>
      <c r="P546" s="7"/>
    </row>
    <row r="547" spans="1:16" ht="12.75" customHeight="1" x14ac:dyDescent="0.3">
      <c r="A547" s="514"/>
      <c r="D547" s="514"/>
      <c r="E547" s="509"/>
      <c r="P547" s="7"/>
    </row>
    <row r="548" spans="1:16" ht="12.75" customHeight="1" x14ac:dyDescent="0.3">
      <c r="A548" s="514"/>
      <c r="D548" s="514"/>
      <c r="E548" s="509"/>
      <c r="P548" s="7"/>
    </row>
    <row r="549" spans="1:16" ht="12.75" customHeight="1" x14ac:dyDescent="0.3">
      <c r="A549" s="514"/>
      <c r="D549" s="514"/>
      <c r="E549" s="509"/>
      <c r="P549" s="7"/>
    </row>
    <row r="550" spans="1:16" ht="12.75" customHeight="1" x14ac:dyDescent="0.3">
      <c r="A550" s="514"/>
      <c r="D550" s="514"/>
      <c r="E550" s="509"/>
      <c r="P550" s="7"/>
    </row>
    <row r="551" spans="1:16" ht="12.75" customHeight="1" x14ac:dyDescent="0.3">
      <c r="A551" s="514"/>
      <c r="D551" s="514"/>
      <c r="E551" s="509"/>
      <c r="P551" s="7"/>
    </row>
    <row r="552" spans="1:16" ht="12.75" customHeight="1" x14ac:dyDescent="0.3">
      <c r="A552" s="514"/>
      <c r="D552" s="514"/>
      <c r="E552" s="509"/>
      <c r="P552" s="7"/>
    </row>
    <row r="553" spans="1:16" ht="12.75" customHeight="1" x14ac:dyDescent="0.3">
      <c r="A553" s="514"/>
      <c r="D553" s="514"/>
      <c r="E553" s="509"/>
      <c r="P553" s="7"/>
    </row>
    <row r="554" spans="1:16" ht="12.75" customHeight="1" x14ac:dyDescent="0.3">
      <c r="A554" s="514"/>
      <c r="D554" s="514"/>
      <c r="E554" s="509"/>
      <c r="P554" s="7"/>
    </row>
    <row r="555" spans="1:16" ht="12.75" customHeight="1" x14ac:dyDescent="0.3">
      <c r="A555" s="514"/>
      <c r="D555" s="514"/>
      <c r="E555" s="509"/>
      <c r="P555" s="7"/>
    </row>
    <row r="556" spans="1:16" ht="12.75" customHeight="1" x14ac:dyDescent="0.3">
      <c r="A556" s="514"/>
      <c r="D556" s="514"/>
      <c r="E556" s="509"/>
      <c r="P556" s="7"/>
    </row>
    <row r="557" spans="1:16" ht="12.75" customHeight="1" x14ac:dyDescent="0.3">
      <c r="A557" s="514"/>
      <c r="D557" s="514"/>
      <c r="E557" s="509"/>
      <c r="P557" s="7"/>
    </row>
    <row r="558" spans="1:16" ht="12.75" customHeight="1" x14ac:dyDescent="0.3">
      <c r="A558" s="514"/>
      <c r="D558" s="514"/>
      <c r="E558" s="509"/>
      <c r="P558" s="7"/>
    </row>
    <row r="559" spans="1:16" ht="12.75" customHeight="1" x14ac:dyDescent="0.3">
      <c r="A559" s="514"/>
      <c r="D559" s="514"/>
      <c r="E559" s="509"/>
      <c r="P559" s="7"/>
    </row>
    <row r="560" spans="1:16" ht="12.75" customHeight="1" x14ac:dyDescent="0.3">
      <c r="A560" s="514"/>
      <c r="D560" s="514"/>
      <c r="E560" s="509"/>
      <c r="P560" s="7"/>
    </row>
    <row r="561" spans="1:16" ht="12.75" customHeight="1" x14ac:dyDescent="0.3">
      <c r="A561" s="514"/>
      <c r="D561" s="514"/>
      <c r="E561" s="509"/>
      <c r="P561" s="7"/>
    </row>
    <row r="562" spans="1:16" ht="12.75" customHeight="1" x14ac:dyDescent="0.3">
      <c r="A562" s="514"/>
      <c r="D562" s="514"/>
      <c r="E562" s="509"/>
      <c r="P562" s="7"/>
    </row>
    <row r="563" spans="1:16" ht="12.75" customHeight="1" x14ac:dyDescent="0.3">
      <c r="A563" s="514"/>
      <c r="D563" s="514"/>
      <c r="E563" s="509"/>
      <c r="P563" s="7"/>
    </row>
    <row r="564" spans="1:16" ht="12.75" customHeight="1" x14ac:dyDescent="0.3">
      <c r="A564" s="514"/>
      <c r="D564" s="514"/>
      <c r="E564" s="509"/>
      <c r="P564" s="7"/>
    </row>
    <row r="565" spans="1:16" ht="12.75" customHeight="1" x14ac:dyDescent="0.3">
      <c r="A565" s="514"/>
      <c r="D565" s="514"/>
      <c r="E565" s="509"/>
      <c r="P565" s="7"/>
    </row>
    <row r="566" spans="1:16" ht="12.75" customHeight="1" x14ac:dyDescent="0.3">
      <c r="A566" s="514"/>
      <c r="D566" s="514"/>
      <c r="E566" s="509"/>
      <c r="P566" s="7"/>
    </row>
    <row r="567" spans="1:16" ht="12.75" customHeight="1" x14ac:dyDescent="0.3">
      <c r="A567" s="514"/>
      <c r="D567" s="514"/>
      <c r="E567" s="509"/>
      <c r="P567" s="7"/>
    </row>
    <row r="568" spans="1:16" ht="12.75" customHeight="1" x14ac:dyDescent="0.3">
      <c r="A568" s="514"/>
      <c r="D568" s="514"/>
      <c r="E568" s="509"/>
      <c r="P568" s="7"/>
    </row>
    <row r="569" spans="1:16" ht="12.75" customHeight="1" x14ac:dyDescent="0.3">
      <c r="A569" s="514"/>
      <c r="D569" s="514"/>
      <c r="E569" s="509"/>
      <c r="P569" s="7"/>
    </row>
    <row r="570" spans="1:16" ht="12.75" customHeight="1" x14ac:dyDescent="0.3">
      <c r="A570" s="514"/>
      <c r="D570" s="514"/>
      <c r="E570" s="509"/>
      <c r="P570" s="7"/>
    </row>
    <row r="571" spans="1:16" ht="12.75" customHeight="1" x14ac:dyDescent="0.3">
      <c r="A571" s="514"/>
      <c r="D571" s="514"/>
      <c r="E571" s="509"/>
      <c r="P571" s="7"/>
    </row>
    <row r="572" spans="1:16" ht="12.75" customHeight="1" x14ac:dyDescent="0.3">
      <c r="A572" s="514"/>
      <c r="D572" s="514"/>
      <c r="E572" s="509"/>
      <c r="P572" s="7"/>
    </row>
    <row r="573" spans="1:16" ht="12.75" customHeight="1" x14ac:dyDescent="0.3">
      <c r="A573" s="514"/>
      <c r="D573" s="514"/>
      <c r="E573" s="509"/>
      <c r="P573" s="7"/>
    </row>
    <row r="574" spans="1:16" ht="12.75" customHeight="1" x14ac:dyDescent="0.3">
      <c r="A574" s="514"/>
      <c r="D574" s="514"/>
      <c r="E574" s="509"/>
      <c r="P574" s="7"/>
    </row>
    <row r="575" spans="1:16" ht="12.75" customHeight="1" x14ac:dyDescent="0.3">
      <c r="A575" s="514"/>
      <c r="D575" s="514"/>
      <c r="E575" s="509"/>
      <c r="P575" s="7"/>
    </row>
    <row r="576" spans="1:16" ht="12.75" customHeight="1" x14ac:dyDescent="0.3">
      <c r="A576" s="514"/>
      <c r="D576" s="514"/>
      <c r="E576" s="509"/>
      <c r="P576" s="7"/>
    </row>
    <row r="577" spans="1:16" ht="12.75" customHeight="1" x14ac:dyDescent="0.3">
      <c r="A577" s="514"/>
      <c r="D577" s="514"/>
      <c r="E577" s="509"/>
      <c r="P577" s="7"/>
    </row>
    <row r="578" spans="1:16" ht="12.75" customHeight="1" x14ac:dyDescent="0.3">
      <c r="A578" s="514"/>
      <c r="D578" s="514"/>
      <c r="E578" s="509"/>
      <c r="P578" s="7"/>
    </row>
    <row r="579" spans="1:16" ht="12.75" customHeight="1" x14ac:dyDescent="0.3">
      <c r="A579" s="514"/>
      <c r="D579" s="514"/>
      <c r="E579" s="509"/>
      <c r="P579" s="7"/>
    </row>
    <row r="580" spans="1:16" ht="12.75" customHeight="1" x14ac:dyDescent="0.3">
      <c r="A580" s="514"/>
      <c r="D580" s="514"/>
      <c r="E580" s="509"/>
      <c r="P580" s="7"/>
    </row>
    <row r="581" spans="1:16" ht="12.75" customHeight="1" x14ac:dyDescent="0.3">
      <c r="A581" s="514"/>
      <c r="D581" s="514"/>
      <c r="E581" s="509"/>
      <c r="P581" s="7"/>
    </row>
    <row r="582" spans="1:16" ht="12.75" customHeight="1" x14ac:dyDescent="0.3">
      <c r="A582" s="514"/>
      <c r="D582" s="514"/>
      <c r="E582" s="509"/>
      <c r="P582" s="7"/>
    </row>
    <row r="583" spans="1:16" ht="12.75" customHeight="1" x14ac:dyDescent="0.3">
      <c r="A583" s="514"/>
      <c r="D583" s="514"/>
      <c r="E583" s="509"/>
      <c r="P583" s="7"/>
    </row>
    <row r="584" spans="1:16" ht="12.75" customHeight="1" x14ac:dyDescent="0.3">
      <c r="A584" s="514"/>
      <c r="D584" s="514"/>
      <c r="E584" s="509"/>
      <c r="P584" s="7"/>
    </row>
    <row r="585" spans="1:16" ht="12.75" customHeight="1" x14ac:dyDescent="0.3">
      <c r="A585" s="514"/>
      <c r="D585" s="514"/>
      <c r="E585" s="509"/>
      <c r="P585" s="7"/>
    </row>
    <row r="586" spans="1:16" ht="12.75" customHeight="1" x14ac:dyDescent="0.3">
      <c r="A586" s="514"/>
      <c r="D586" s="514"/>
      <c r="E586" s="509"/>
      <c r="P586" s="7"/>
    </row>
    <row r="587" spans="1:16" ht="12.75" customHeight="1" x14ac:dyDescent="0.3">
      <c r="A587" s="514"/>
      <c r="D587" s="514"/>
      <c r="E587" s="509"/>
      <c r="P587" s="7"/>
    </row>
    <row r="588" spans="1:16" ht="12.75" customHeight="1" x14ac:dyDescent="0.3">
      <c r="A588" s="514"/>
      <c r="D588" s="514"/>
      <c r="E588" s="509"/>
      <c r="P588" s="7"/>
    </row>
    <row r="589" spans="1:16" ht="12.75" customHeight="1" x14ac:dyDescent="0.3">
      <c r="A589" s="514"/>
      <c r="D589" s="514"/>
      <c r="E589" s="509"/>
      <c r="P589" s="7"/>
    </row>
    <row r="590" spans="1:16" ht="12.75" customHeight="1" x14ac:dyDescent="0.3">
      <c r="A590" s="514"/>
      <c r="D590" s="514"/>
      <c r="E590" s="509"/>
      <c r="P590" s="7"/>
    </row>
    <row r="591" spans="1:16" ht="12.75" customHeight="1" x14ac:dyDescent="0.3">
      <c r="A591" s="514"/>
      <c r="D591" s="514"/>
      <c r="E591" s="509"/>
      <c r="P591" s="7"/>
    </row>
    <row r="592" spans="1:16" ht="12.75" customHeight="1" x14ac:dyDescent="0.3">
      <c r="A592" s="514"/>
      <c r="D592" s="514"/>
      <c r="E592" s="509"/>
      <c r="P592" s="7"/>
    </row>
    <row r="593" spans="1:16" ht="12.75" customHeight="1" x14ac:dyDescent="0.3">
      <c r="A593" s="514"/>
      <c r="D593" s="514"/>
      <c r="E593" s="509"/>
      <c r="P593" s="7"/>
    </row>
    <row r="594" spans="1:16" ht="12.75" customHeight="1" x14ac:dyDescent="0.3">
      <c r="A594" s="514"/>
      <c r="D594" s="514"/>
      <c r="E594" s="509"/>
      <c r="P594" s="7"/>
    </row>
    <row r="595" spans="1:16" ht="12.75" customHeight="1" x14ac:dyDescent="0.3">
      <c r="A595" s="514"/>
      <c r="D595" s="514"/>
      <c r="E595" s="509"/>
      <c r="P595" s="7"/>
    </row>
    <row r="596" spans="1:16" ht="12.75" customHeight="1" x14ac:dyDescent="0.3">
      <c r="A596" s="514"/>
      <c r="D596" s="514"/>
      <c r="E596" s="509"/>
      <c r="P596" s="7"/>
    </row>
    <row r="597" spans="1:16" ht="12.75" customHeight="1" x14ac:dyDescent="0.3">
      <c r="A597" s="514"/>
      <c r="D597" s="514"/>
      <c r="E597" s="509"/>
      <c r="P597" s="7"/>
    </row>
    <row r="598" spans="1:16" ht="12.75" customHeight="1" x14ac:dyDescent="0.3">
      <c r="A598" s="514"/>
      <c r="D598" s="514"/>
      <c r="E598" s="509"/>
      <c r="P598" s="7"/>
    </row>
    <row r="599" spans="1:16" ht="12.75" customHeight="1" x14ac:dyDescent="0.3">
      <c r="A599" s="514"/>
      <c r="D599" s="514"/>
      <c r="E599" s="509"/>
      <c r="P599" s="7"/>
    </row>
    <row r="600" spans="1:16" ht="12.75" customHeight="1" x14ac:dyDescent="0.3">
      <c r="A600" s="514"/>
      <c r="D600" s="514"/>
      <c r="E600" s="509"/>
      <c r="P600" s="7"/>
    </row>
    <row r="601" spans="1:16" ht="12.75" customHeight="1" x14ac:dyDescent="0.3">
      <c r="A601" s="514"/>
      <c r="D601" s="514"/>
      <c r="E601" s="509"/>
      <c r="P601" s="7"/>
    </row>
    <row r="602" spans="1:16" ht="12.75" customHeight="1" x14ac:dyDescent="0.3">
      <c r="A602" s="514"/>
      <c r="D602" s="514"/>
      <c r="E602" s="509"/>
      <c r="P602" s="7"/>
    </row>
    <row r="603" spans="1:16" ht="12.75" customHeight="1" x14ac:dyDescent="0.3">
      <c r="A603" s="514"/>
      <c r="D603" s="514"/>
      <c r="E603" s="509"/>
      <c r="P603" s="7"/>
    </row>
    <row r="604" spans="1:16" ht="12.75" customHeight="1" x14ac:dyDescent="0.3">
      <c r="A604" s="514"/>
      <c r="D604" s="514"/>
      <c r="E604" s="509"/>
      <c r="P604" s="7"/>
    </row>
    <row r="605" spans="1:16" ht="12.75" customHeight="1" x14ac:dyDescent="0.3">
      <c r="A605" s="514"/>
      <c r="D605" s="514"/>
      <c r="E605" s="509"/>
      <c r="P605" s="7"/>
    </row>
    <row r="606" spans="1:16" ht="12.75" customHeight="1" x14ac:dyDescent="0.3">
      <c r="A606" s="514"/>
      <c r="D606" s="514"/>
      <c r="E606" s="509"/>
      <c r="P606" s="7"/>
    </row>
    <row r="607" spans="1:16" ht="12.75" customHeight="1" x14ac:dyDescent="0.3">
      <c r="A607" s="514"/>
      <c r="D607" s="514"/>
      <c r="E607" s="509"/>
      <c r="P607" s="7"/>
    </row>
    <row r="608" spans="1:16" ht="12.75" customHeight="1" x14ac:dyDescent="0.3">
      <c r="A608" s="514"/>
      <c r="D608" s="514"/>
      <c r="E608" s="509"/>
      <c r="P608" s="7"/>
    </row>
    <row r="609" spans="1:16" ht="12.75" customHeight="1" x14ac:dyDescent="0.3">
      <c r="A609" s="514"/>
      <c r="D609" s="514"/>
      <c r="E609" s="509"/>
      <c r="P609" s="7"/>
    </row>
    <row r="610" spans="1:16" ht="12.75" customHeight="1" x14ac:dyDescent="0.3">
      <c r="A610" s="514"/>
      <c r="D610" s="514"/>
      <c r="E610" s="509"/>
      <c r="P610" s="7"/>
    </row>
    <row r="611" spans="1:16" ht="12.75" customHeight="1" x14ac:dyDescent="0.3">
      <c r="A611" s="514"/>
      <c r="D611" s="514"/>
      <c r="E611" s="509"/>
      <c r="P611" s="7"/>
    </row>
    <row r="612" spans="1:16" ht="12.75" customHeight="1" x14ac:dyDescent="0.3">
      <c r="A612" s="514"/>
      <c r="D612" s="514"/>
      <c r="E612" s="509"/>
      <c r="P612" s="7"/>
    </row>
    <row r="613" spans="1:16" ht="12.75" customHeight="1" x14ac:dyDescent="0.3">
      <c r="A613" s="514"/>
      <c r="D613" s="514"/>
      <c r="E613" s="509"/>
      <c r="P613" s="7"/>
    </row>
    <row r="614" spans="1:16" ht="12.75" customHeight="1" x14ac:dyDescent="0.3">
      <c r="A614" s="514"/>
      <c r="D614" s="514"/>
      <c r="E614" s="509"/>
      <c r="P614" s="7"/>
    </row>
    <row r="615" spans="1:16" ht="12.75" customHeight="1" x14ac:dyDescent="0.3">
      <c r="A615" s="514"/>
      <c r="D615" s="514"/>
      <c r="E615" s="509"/>
      <c r="P615" s="7"/>
    </row>
    <row r="616" spans="1:16" ht="12.75" customHeight="1" x14ac:dyDescent="0.3">
      <c r="A616" s="514"/>
      <c r="D616" s="514"/>
      <c r="E616" s="509"/>
      <c r="P616" s="7"/>
    </row>
    <row r="617" spans="1:16" ht="12.75" customHeight="1" x14ac:dyDescent="0.3">
      <c r="A617" s="514"/>
      <c r="D617" s="514"/>
      <c r="E617" s="509"/>
      <c r="P617" s="7"/>
    </row>
    <row r="618" spans="1:16" ht="12.75" customHeight="1" x14ac:dyDescent="0.3">
      <c r="A618" s="514"/>
      <c r="D618" s="514"/>
      <c r="E618" s="509"/>
      <c r="P618" s="7"/>
    </row>
    <row r="619" spans="1:16" ht="12.75" customHeight="1" x14ac:dyDescent="0.3">
      <c r="A619" s="514"/>
      <c r="D619" s="514"/>
      <c r="E619" s="509"/>
      <c r="P619" s="7"/>
    </row>
    <row r="620" spans="1:16" ht="12.75" customHeight="1" x14ac:dyDescent="0.3">
      <c r="A620" s="514"/>
      <c r="D620" s="514"/>
      <c r="E620" s="509"/>
      <c r="P620" s="7"/>
    </row>
    <row r="621" spans="1:16" ht="12.75" customHeight="1" x14ac:dyDescent="0.3">
      <c r="A621" s="514"/>
      <c r="D621" s="514"/>
      <c r="E621" s="509"/>
      <c r="P621" s="7"/>
    </row>
    <row r="622" spans="1:16" ht="12.75" customHeight="1" x14ac:dyDescent="0.3">
      <c r="A622" s="514"/>
      <c r="D622" s="514"/>
      <c r="E622" s="509"/>
      <c r="P622" s="7"/>
    </row>
    <row r="623" spans="1:16" ht="12.75" customHeight="1" x14ac:dyDescent="0.3">
      <c r="A623" s="514"/>
      <c r="D623" s="514"/>
      <c r="E623" s="509"/>
      <c r="P623" s="7"/>
    </row>
    <row r="624" spans="1:16" ht="12.75" customHeight="1" x14ac:dyDescent="0.3">
      <c r="A624" s="514"/>
      <c r="D624" s="514"/>
      <c r="E624" s="509"/>
      <c r="P624" s="7"/>
    </row>
    <row r="625" spans="1:16" ht="12.75" customHeight="1" x14ac:dyDescent="0.3">
      <c r="A625" s="514"/>
      <c r="D625" s="514"/>
      <c r="E625" s="509"/>
      <c r="P625" s="7"/>
    </row>
    <row r="626" spans="1:16" ht="12.75" customHeight="1" x14ac:dyDescent="0.3">
      <c r="A626" s="514"/>
      <c r="D626" s="514"/>
      <c r="E626" s="509"/>
      <c r="P626" s="7"/>
    </row>
    <row r="627" spans="1:16" ht="12.75" customHeight="1" x14ac:dyDescent="0.3">
      <c r="A627" s="514"/>
      <c r="D627" s="514"/>
      <c r="E627" s="509"/>
      <c r="P627" s="7"/>
    </row>
    <row r="628" spans="1:16" ht="12.75" customHeight="1" x14ac:dyDescent="0.3">
      <c r="A628" s="514"/>
      <c r="D628" s="514"/>
      <c r="E628" s="509"/>
      <c r="P628" s="7"/>
    </row>
    <row r="629" spans="1:16" ht="12.75" customHeight="1" x14ac:dyDescent="0.3">
      <c r="A629" s="514"/>
      <c r="D629" s="514"/>
      <c r="E629" s="509"/>
      <c r="P629" s="7"/>
    </row>
    <row r="630" spans="1:16" ht="12.75" customHeight="1" x14ac:dyDescent="0.3">
      <c r="A630" s="514"/>
      <c r="D630" s="514"/>
      <c r="E630" s="509"/>
      <c r="P630" s="7"/>
    </row>
    <row r="631" spans="1:16" ht="12.75" customHeight="1" x14ac:dyDescent="0.3">
      <c r="A631" s="514"/>
      <c r="D631" s="514"/>
      <c r="E631" s="509"/>
      <c r="P631" s="7"/>
    </row>
    <row r="632" spans="1:16" ht="12.75" customHeight="1" x14ac:dyDescent="0.3">
      <c r="A632" s="514"/>
      <c r="D632" s="514"/>
      <c r="E632" s="509"/>
      <c r="P632" s="7"/>
    </row>
    <row r="633" spans="1:16" ht="12.75" customHeight="1" x14ac:dyDescent="0.3">
      <c r="A633" s="514"/>
      <c r="D633" s="514"/>
      <c r="E633" s="509"/>
      <c r="P633" s="7"/>
    </row>
    <row r="634" spans="1:16" ht="12.75" customHeight="1" x14ac:dyDescent="0.3">
      <c r="A634" s="514"/>
      <c r="D634" s="514"/>
      <c r="E634" s="509"/>
      <c r="P634" s="7"/>
    </row>
    <row r="635" spans="1:16" ht="12.75" customHeight="1" x14ac:dyDescent="0.3">
      <c r="A635" s="514"/>
      <c r="D635" s="514"/>
      <c r="E635" s="509"/>
      <c r="P635" s="7"/>
    </row>
    <row r="636" spans="1:16" ht="12.75" customHeight="1" x14ac:dyDescent="0.3">
      <c r="A636" s="514"/>
      <c r="D636" s="514"/>
      <c r="E636" s="509"/>
      <c r="P636" s="7"/>
    </row>
    <row r="637" spans="1:16" ht="12.75" customHeight="1" x14ac:dyDescent="0.3">
      <c r="A637" s="514"/>
      <c r="D637" s="514"/>
      <c r="E637" s="509"/>
      <c r="P637" s="7"/>
    </row>
    <row r="638" spans="1:16" ht="12.75" customHeight="1" x14ac:dyDescent="0.3">
      <c r="A638" s="514"/>
      <c r="D638" s="514"/>
      <c r="E638" s="509"/>
      <c r="P638" s="7"/>
    </row>
    <row r="639" spans="1:16" ht="12.75" customHeight="1" x14ac:dyDescent="0.3">
      <c r="A639" s="514"/>
      <c r="D639" s="514"/>
      <c r="E639" s="509"/>
      <c r="P639" s="7"/>
    </row>
    <row r="640" spans="1:16" ht="12.75" customHeight="1" x14ac:dyDescent="0.3">
      <c r="A640" s="514"/>
      <c r="D640" s="514"/>
      <c r="E640" s="509"/>
      <c r="P640" s="7"/>
    </row>
    <row r="641" spans="1:16" ht="12.75" customHeight="1" x14ac:dyDescent="0.3">
      <c r="A641" s="514"/>
      <c r="D641" s="514"/>
      <c r="E641" s="509"/>
      <c r="P641" s="7"/>
    </row>
    <row r="642" spans="1:16" ht="12.75" customHeight="1" x14ac:dyDescent="0.3">
      <c r="A642" s="514"/>
      <c r="D642" s="514"/>
      <c r="E642" s="509"/>
      <c r="P642" s="7"/>
    </row>
    <row r="643" spans="1:16" ht="12.75" customHeight="1" x14ac:dyDescent="0.3">
      <c r="A643" s="514"/>
      <c r="D643" s="514"/>
      <c r="E643" s="509"/>
      <c r="P643" s="7"/>
    </row>
    <row r="644" spans="1:16" ht="12.75" customHeight="1" x14ac:dyDescent="0.3">
      <c r="A644" s="514"/>
      <c r="D644" s="514"/>
      <c r="E644" s="509"/>
      <c r="P644" s="7"/>
    </row>
    <row r="645" spans="1:16" ht="12.75" customHeight="1" x14ac:dyDescent="0.3">
      <c r="A645" s="514"/>
      <c r="D645" s="514"/>
      <c r="E645" s="509"/>
      <c r="P645" s="7"/>
    </row>
    <row r="646" spans="1:16" ht="12.75" customHeight="1" x14ac:dyDescent="0.3">
      <c r="A646" s="514"/>
      <c r="D646" s="514"/>
      <c r="E646" s="509"/>
      <c r="P646" s="7"/>
    </row>
    <row r="647" spans="1:16" ht="12.75" customHeight="1" x14ac:dyDescent="0.3">
      <c r="A647" s="514"/>
      <c r="D647" s="514"/>
      <c r="E647" s="509"/>
      <c r="P647" s="7"/>
    </row>
    <row r="648" spans="1:16" ht="12.75" customHeight="1" x14ac:dyDescent="0.3">
      <c r="A648" s="514"/>
      <c r="D648" s="514"/>
      <c r="E648" s="509"/>
      <c r="P648" s="7"/>
    </row>
    <row r="649" spans="1:16" ht="12.75" customHeight="1" x14ac:dyDescent="0.3">
      <c r="A649" s="514"/>
      <c r="D649" s="514"/>
      <c r="E649" s="509"/>
      <c r="P649" s="7"/>
    </row>
    <row r="650" spans="1:16" ht="12.75" customHeight="1" x14ac:dyDescent="0.3">
      <c r="A650" s="514"/>
      <c r="D650" s="514"/>
      <c r="E650" s="509"/>
      <c r="P650" s="7"/>
    </row>
    <row r="651" spans="1:16" ht="12.75" customHeight="1" x14ac:dyDescent="0.3">
      <c r="A651" s="514"/>
      <c r="D651" s="514"/>
      <c r="E651" s="509"/>
      <c r="P651" s="7"/>
    </row>
    <row r="652" spans="1:16" ht="12.75" customHeight="1" x14ac:dyDescent="0.3">
      <c r="A652" s="514"/>
      <c r="D652" s="514"/>
      <c r="E652" s="509"/>
      <c r="P652" s="7"/>
    </row>
    <row r="653" spans="1:16" ht="12.75" customHeight="1" x14ac:dyDescent="0.3">
      <c r="A653" s="514"/>
      <c r="D653" s="514"/>
      <c r="E653" s="509"/>
      <c r="P653" s="7"/>
    </row>
    <row r="654" spans="1:16" ht="12.75" customHeight="1" x14ac:dyDescent="0.3">
      <c r="A654" s="514"/>
      <c r="D654" s="514"/>
      <c r="E654" s="509"/>
      <c r="P654" s="7"/>
    </row>
    <row r="655" spans="1:16" ht="12.75" customHeight="1" x14ac:dyDescent="0.3">
      <c r="A655" s="514"/>
      <c r="D655" s="514"/>
      <c r="E655" s="509"/>
      <c r="P655" s="7"/>
    </row>
    <row r="656" spans="1:16" ht="12.75" customHeight="1" x14ac:dyDescent="0.3">
      <c r="A656" s="514"/>
      <c r="D656" s="514"/>
      <c r="E656" s="509"/>
      <c r="P656" s="7"/>
    </row>
    <row r="657" spans="1:16" ht="12.75" customHeight="1" x14ac:dyDescent="0.3">
      <c r="A657" s="514"/>
      <c r="D657" s="514"/>
      <c r="E657" s="509"/>
      <c r="P657" s="7"/>
    </row>
    <row r="658" spans="1:16" ht="12.75" customHeight="1" x14ac:dyDescent="0.3">
      <c r="A658" s="514"/>
      <c r="D658" s="514"/>
      <c r="E658" s="509"/>
      <c r="P658" s="7"/>
    </row>
    <row r="659" spans="1:16" ht="12.75" customHeight="1" x14ac:dyDescent="0.3">
      <c r="A659" s="514"/>
      <c r="D659" s="514"/>
      <c r="E659" s="509"/>
      <c r="P659" s="7"/>
    </row>
    <row r="660" spans="1:16" ht="12.75" customHeight="1" x14ac:dyDescent="0.3">
      <c r="A660" s="514"/>
      <c r="D660" s="514"/>
      <c r="E660" s="509"/>
      <c r="P660" s="7"/>
    </row>
    <row r="661" spans="1:16" ht="12.75" customHeight="1" x14ac:dyDescent="0.3">
      <c r="A661" s="514"/>
      <c r="D661" s="514"/>
      <c r="E661" s="509"/>
      <c r="P661" s="7"/>
    </row>
    <row r="662" spans="1:16" ht="12.75" customHeight="1" x14ac:dyDescent="0.3">
      <c r="A662" s="514"/>
      <c r="D662" s="514"/>
      <c r="E662" s="509"/>
      <c r="P662" s="7"/>
    </row>
    <row r="663" spans="1:16" ht="12.75" customHeight="1" x14ac:dyDescent="0.3">
      <c r="A663" s="514"/>
      <c r="D663" s="514"/>
      <c r="E663" s="509"/>
      <c r="P663" s="7"/>
    </row>
    <row r="664" spans="1:16" ht="12.75" customHeight="1" x14ac:dyDescent="0.3">
      <c r="A664" s="514"/>
      <c r="D664" s="514"/>
      <c r="E664" s="509"/>
      <c r="P664" s="7"/>
    </row>
    <row r="665" spans="1:16" ht="12.75" customHeight="1" x14ac:dyDescent="0.3">
      <c r="A665" s="514"/>
      <c r="D665" s="514"/>
      <c r="E665" s="509"/>
      <c r="P665" s="7"/>
    </row>
    <row r="666" spans="1:16" ht="12.75" customHeight="1" x14ac:dyDescent="0.3">
      <c r="A666" s="514"/>
      <c r="D666" s="514"/>
      <c r="E666" s="509"/>
      <c r="P666" s="7"/>
    </row>
    <row r="667" spans="1:16" ht="12.75" customHeight="1" x14ac:dyDescent="0.3">
      <c r="A667" s="514"/>
      <c r="D667" s="514"/>
      <c r="E667" s="509"/>
      <c r="P667" s="7"/>
    </row>
    <row r="668" spans="1:16" ht="12.75" customHeight="1" x14ac:dyDescent="0.3">
      <c r="A668" s="514"/>
      <c r="D668" s="514"/>
      <c r="E668" s="509"/>
      <c r="P668" s="7"/>
    </row>
    <row r="669" spans="1:16" ht="12.75" customHeight="1" x14ac:dyDescent="0.3">
      <c r="A669" s="514"/>
      <c r="D669" s="514"/>
      <c r="E669" s="509"/>
      <c r="P669" s="7"/>
    </row>
    <row r="670" spans="1:16" ht="12.75" customHeight="1" x14ac:dyDescent="0.3">
      <c r="A670" s="514"/>
      <c r="D670" s="514"/>
      <c r="E670" s="509"/>
      <c r="P670" s="7"/>
    </row>
    <row r="671" spans="1:16" ht="12.75" customHeight="1" x14ac:dyDescent="0.3">
      <c r="A671" s="514"/>
      <c r="D671" s="514"/>
      <c r="E671" s="509"/>
      <c r="P671" s="7"/>
    </row>
    <row r="672" spans="1:16" ht="12.75" customHeight="1" x14ac:dyDescent="0.3">
      <c r="A672" s="514"/>
      <c r="D672" s="514"/>
      <c r="E672" s="509"/>
      <c r="P672" s="7"/>
    </row>
    <row r="673" spans="1:16" ht="12.75" customHeight="1" x14ac:dyDescent="0.3">
      <c r="A673" s="514"/>
      <c r="D673" s="514"/>
      <c r="E673" s="509"/>
      <c r="P673" s="7"/>
    </row>
    <row r="674" spans="1:16" ht="12.75" customHeight="1" x14ac:dyDescent="0.3">
      <c r="A674" s="514"/>
      <c r="D674" s="514"/>
      <c r="E674" s="509"/>
      <c r="P674" s="7"/>
    </row>
    <row r="675" spans="1:16" ht="12.75" customHeight="1" x14ac:dyDescent="0.3">
      <c r="A675" s="514"/>
      <c r="D675" s="514"/>
      <c r="E675" s="509"/>
      <c r="P675" s="7"/>
    </row>
    <row r="676" spans="1:16" ht="12.75" customHeight="1" x14ac:dyDescent="0.3">
      <c r="A676" s="514"/>
      <c r="D676" s="514"/>
      <c r="E676" s="509"/>
      <c r="P676" s="7"/>
    </row>
    <row r="677" spans="1:16" ht="12.75" customHeight="1" x14ac:dyDescent="0.3">
      <c r="A677" s="514"/>
      <c r="D677" s="514"/>
      <c r="E677" s="509"/>
      <c r="P677" s="7"/>
    </row>
    <row r="678" spans="1:16" ht="12.75" customHeight="1" x14ac:dyDescent="0.3">
      <c r="A678" s="514"/>
      <c r="D678" s="514"/>
      <c r="E678" s="509"/>
      <c r="P678" s="7"/>
    </row>
    <row r="679" spans="1:16" ht="12.75" customHeight="1" x14ac:dyDescent="0.3">
      <c r="A679" s="514"/>
      <c r="D679" s="514"/>
      <c r="E679" s="509"/>
      <c r="P679" s="7"/>
    </row>
    <row r="680" spans="1:16" ht="12.75" customHeight="1" x14ac:dyDescent="0.3">
      <c r="A680" s="514"/>
      <c r="D680" s="514"/>
      <c r="E680" s="509"/>
      <c r="P680" s="7"/>
    </row>
    <row r="681" spans="1:16" ht="12.75" customHeight="1" x14ac:dyDescent="0.3">
      <c r="A681" s="514"/>
      <c r="D681" s="514"/>
      <c r="E681" s="509"/>
      <c r="P681" s="7"/>
    </row>
    <row r="682" spans="1:16" ht="12.75" customHeight="1" x14ac:dyDescent="0.3">
      <c r="A682" s="514"/>
      <c r="D682" s="514"/>
      <c r="E682" s="509"/>
      <c r="P682" s="7"/>
    </row>
    <row r="683" spans="1:16" ht="12.75" customHeight="1" x14ac:dyDescent="0.3">
      <c r="A683" s="514"/>
      <c r="D683" s="514"/>
      <c r="E683" s="509"/>
      <c r="P683" s="7"/>
    </row>
    <row r="684" spans="1:16" ht="12.75" customHeight="1" x14ac:dyDescent="0.3">
      <c r="A684" s="514"/>
      <c r="D684" s="514"/>
      <c r="E684" s="509"/>
      <c r="P684" s="7"/>
    </row>
    <row r="685" spans="1:16" ht="12.75" customHeight="1" x14ac:dyDescent="0.3">
      <c r="A685" s="514"/>
      <c r="D685" s="514"/>
      <c r="E685" s="509"/>
      <c r="P685" s="7"/>
    </row>
    <row r="686" spans="1:16" ht="12.75" customHeight="1" x14ac:dyDescent="0.3">
      <c r="A686" s="514"/>
      <c r="D686" s="514"/>
      <c r="E686" s="509"/>
      <c r="P686" s="7"/>
    </row>
    <row r="687" spans="1:16" ht="12.75" customHeight="1" x14ac:dyDescent="0.3">
      <c r="A687" s="514"/>
      <c r="D687" s="514"/>
      <c r="E687" s="509"/>
      <c r="P687" s="7"/>
    </row>
    <row r="688" spans="1:16" ht="12.75" customHeight="1" x14ac:dyDescent="0.3">
      <c r="A688" s="514"/>
      <c r="D688" s="514"/>
      <c r="E688" s="509"/>
      <c r="P688" s="7"/>
    </row>
    <row r="689" spans="1:16" ht="12.75" customHeight="1" x14ac:dyDescent="0.3">
      <c r="A689" s="514"/>
      <c r="D689" s="514"/>
      <c r="E689" s="509"/>
      <c r="P689" s="7"/>
    </row>
    <row r="690" spans="1:16" ht="12.75" customHeight="1" x14ac:dyDescent="0.3">
      <c r="A690" s="514"/>
      <c r="D690" s="514"/>
      <c r="E690" s="509"/>
      <c r="P690" s="7"/>
    </row>
    <row r="691" spans="1:16" ht="12.75" customHeight="1" x14ac:dyDescent="0.3">
      <c r="A691" s="514"/>
      <c r="D691" s="514"/>
      <c r="E691" s="509"/>
      <c r="P691" s="7"/>
    </row>
    <row r="692" spans="1:16" ht="12.75" customHeight="1" x14ac:dyDescent="0.3">
      <c r="A692" s="514"/>
      <c r="D692" s="514"/>
      <c r="E692" s="509"/>
      <c r="P692" s="7"/>
    </row>
    <row r="693" spans="1:16" ht="12.75" customHeight="1" x14ac:dyDescent="0.3">
      <c r="A693" s="514"/>
      <c r="D693" s="514"/>
      <c r="E693" s="509"/>
      <c r="P693" s="7"/>
    </row>
    <row r="694" spans="1:16" ht="12.75" customHeight="1" x14ac:dyDescent="0.3">
      <c r="A694" s="514"/>
      <c r="D694" s="514"/>
      <c r="E694" s="509"/>
      <c r="P694" s="7"/>
    </row>
    <row r="695" spans="1:16" ht="12.75" customHeight="1" x14ac:dyDescent="0.3">
      <c r="A695" s="514"/>
      <c r="D695" s="514"/>
      <c r="E695" s="509"/>
      <c r="P695" s="7"/>
    </row>
    <row r="696" spans="1:16" ht="12.75" customHeight="1" x14ac:dyDescent="0.3">
      <c r="A696" s="514"/>
      <c r="D696" s="514"/>
      <c r="E696" s="509"/>
      <c r="P696" s="7"/>
    </row>
    <row r="697" spans="1:16" ht="12.75" customHeight="1" x14ac:dyDescent="0.3">
      <c r="A697" s="514"/>
      <c r="D697" s="514"/>
      <c r="E697" s="509"/>
      <c r="P697" s="7"/>
    </row>
    <row r="698" spans="1:16" ht="12.75" customHeight="1" x14ac:dyDescent="0.3">
      <c r="A698" s="514"/>
      <c r="D698" s="514"/>
      <c r="E698" s="509"/>
      <c r="P698" s="7"/>
    </row>
    <row r="699" spans="1:16" ht="12.75" customHeight="1" x14ac:dyDescent="0.3">
      <c r="A699" s="514"/>
      <c r="D699" s="514"/>
      <c r="P699" s="7"/>
    </row>
    <row r="700" spans="1:16" ht="12.75" customHeight="1" x14ac:dyDescent="0.3">
      <c r="A700" s="514"/>
      <c r="D700" s="514"/>
      <c r="P700" s="7"/>
    </row>
    <row r="701" spans="1:16" ht="12.75" customHeight="1" x14ac:dyDescent="0.3">
      <c r="A701" s="514"/>
      <c r="D701" s="514"/>
      <c r="P701" s="7"/>
    </row>
    <row r="702" spans="1:16" ht="12.75" customHeight="1" x14ac:dyDescent="0.3">
      <c r="A702" s="514"/>
      <c r="D702" s="514"/>
      <c r="P702" s="7"/>
    </row>
    <row r="703" spans="1:16" ht="12.75" customHeight="1" x14ac:dyDescent="0.3">
      <c r="A703" s="514"/>
      <c r="D703" s="514"/>
      <c r="P703" s="7"/>
    </row>
    <row r="704" spans="1:16" ht="12.75" customHeight="1" x14ac:dyDescent="0.3">
      <c r="A704" s="514"/>
      <c r="D704" s="514"/>
      <c r="P704" s="7"/>
    </row>
    <row r="705" spans="1:16" ht="12.75" customHeight="1" x14ac:dyDescent="0.3">
      <c r="A705" s="514"/>
      <c r="D705" s="514"/>
      <c r="P705" s="7"/>
    </row>
    <row r="706" spans="1:16" ht="12.75" customHeight="1" x14ac:dyDescent="0.3">
      <c r="A706" s="514"/>
      <c r="D706" s="514"/>
      <c r="P706" s="7"/>
    </row>
    <row r="707" spans="1:16" ht="12.75" customHeight="1" x14ac:dyDescent="0.3">
      <c r="A707" s="514"/>
      <c r="D707" s="514"/>
      <c r="P707" s="7"/>
    </row>
    <row r="708" spans="1:16" ht="12.75" customHeight="1" x14ac:dyDescent="0.3">
      <c r="A708" s="514"/>
      <c r="D708" s="514"/>
      <c r="P708" s="7"/>
    </row>
    <row r="709" spans="1:16" ht="12.75" customHeight="1" x14ac:dyDescent="0.3">
      <c r="A709" s="514"/>
      <c r="D709" s="514"/>
      <c r="F709" s="514"/>
      <c r="G709" s="514"/>
      <c r="H709" s="514"/>
      <c r="I709" s="514"/>
      <c r="J709" s="514"/>
      <c r="K709" s="514"/>
      <c r="L709" s="514"/>
      <c r="M709" s="514"/>
      <c r="N709" s="514"/>
      <c r="O709" s="514"/>
      <c r="P709" s="7"/>
    </row>
    <row r="710" spans="1:16" ht="12.75" customHeight="1" x14ac:dyDescent="0.3">
      <c r="A710" s="514"/>
      <c r="D710" s="514"/>
      <c r="F710" s="514"/>
      <c r="G710" s="514"/>
      <c r="H710" s="514"/>
      <c r="I710" s="514"/>
      <c r="J710" s="514"/>
      <c r="K710" s="514"/>
      <c r="L710" s="514"/>
      <c r="M710" s="514"/>
      <c r="N710" s="514"/>
      <c r="O710" s="514"/>
      <c r="P710" s="7"/>
    </row>
    <row r="711" spans="1:16" ht="12.75" customHeight="1" x14ac:dyDescent="0.3">
      <c r="A711" s="514"/>
      <c r="D711" s="514"/>
      <c r="F711" s="514"/>
      <c r="G711" s="514"/>
      <c r="H711" s="514"/>
      <c r="I711" s="514"/>
      <c r="J711" s="514"/>
      <c r="K711" s="514"/>
      <c r="L711" s="514"/>
      <c r="M711" s="514"/>
      <c r="N711" s="514"/>
      <c r="O711" s="514"/>
      <c r="P711" s="7"/>
    </row>
    <row r="712" spans="1:16" ht="12.75" customHeight="1" x14ac:dyDescent="0.3">
      <c r="A712" s="514"/>
      <c r="D712" s="514"/>
      <c r="F712" s="514"/>
      <c r="G712" s="514"/>
      <c r="H712" s="514"/>
      <c r="I712" s="514"/>
      <c r="J712" s="514"/>
      <c r="K712" s="514"/>
      <c r="L712" s="514"/>
      <c r="M712" s="514"/>
      <c r="N712" s="514"/>
      <c r="O712" s="514"/>
      <c r="P712" s="7"/>
    </row>
    <row r="713" spans="1:16" ht="12.75" customHeight="1" x14ac:dyDescent="0.3">
      <c r="A713" s="514"/>
      <c r="D713" s="514"/>
      <c r="F713" s="514"/>
      <c r="G713" s="514"/>
      <c r="H713" s="514"/>
      <c r="I713" s="514"/>
      <c r="J713" s="514"/>
      <c r="K713" s="514"/>
      <c r="L713" s="514"/>
      <c r="M713" s="514"/>
      <c r="N713" s="514"/>
      <c r="O713" s="514"/>
      <c r="P713" s="7"/>
    </row>
    <row r="714" spans="1:16" ht="12.75" customHeight="1" x14ac:dyDescent="0.3">
      <c r="A714" s="514"/>
      <c r="D714" s="514"/>
      <c r="F714" s="514"/>
      <c r="G714" s="514"/>
      <c r="H714" s="514"/>
      <c r="I714" s="514"/>
      <c r="J714" s="514"/>
      <c r="K714" s="514"/>
      <c r="L714" s="514"/>
      <c r="M714" s="514"/>
      <c r="N714" s="514"/>
      <c r="O714" s="514"/>
      <c r="P714" s="7"/>
    </row>
    <row r="715" spans="1:16" ht="12.75" customHeight="1" x14ac:dyDescent="0.3">
      <c r="A715" s="514"/>
      <c r="D715" s="514"/>
      <c r="F715" s="514"/>
      <c r="G715" s="514"/>
      <c r="H715" s="514"/>
      <c r="I715" s="514"/>
      <c r="J715" s="514"/>
      <c r="K715" s="514"/>
      <c r="L715" s="514"/>
      <c r="M715" s="514"/>
      <c r="N715" s="514"/>
      <c r="O715" s="514"/>
      <c r="P715" s="7"/>
    </row>
    <row r="716" spans="1:16" ht="12.75" customHeight="1" x14ac:dyDescent="0.3">
      <c r="A716" s="514"/>
      <c r="D716" s="514"/>
      <c r="F716" s="514"/>
      <c r="G716" s="514"/>
      <c r="H716" s="514"/>
      <c r="I716" s="514"/>
      <c r="J716" s="514"/>
      <c r="K716" s="514"/>
      <c r="L716" s="514"/>
      <c r="M716" s="514"/>
      <c r="N716" s="514"/>
      <c r="O716" s="514"/>
      <c r="P716" s="7"/>
    </row>
    <row r="717" spans="1:16" ht="12.75" customHeight="1" x14ac:dyDescent="0.3">
      <c r="A717" s="514"/>
      <c r="D717" s="514"/>
      <c r="F717" s="514"/>
      <c r="G717" s="514"/>
      <c r="H717" s="514"/>
      <c r="I717" s="514"/>
      <c r="J717" s="514"/>
      <c r="K717" s="514"/>
      <c r="L717" s="514"/>
      <c r="M717" s="514"/>
      <c r="N717" s="514"/>
      <c r="O717" s="514"/>
      <c r="P717" s="7"/>
    </row>
    <row r="718" spans="1:16" ht="12.75" customHeight="1" x14ac:dyDescent="0.3">
      <c r="A718" s="514"/>
      <c r="D718" s="514"/>
      <c r="F718" s="514"/>
      <c r="G718" s="514"/>
      <c r="H718" s="514"/>
      <c r="I718" s="514"/>
      <c r="J718" s="514"/>
      <c r="K718" s="514"/>
      <c r="L718" s="514"/>
      <c r="M718" s="514"/>
      <c r="N718" s="514"/>
      <c r="O718" s="514"/>
      <c r="P718" s="7"/>
    </row>
    <row r="719" spans="1:16" ht="12.75" customHeight="1" x14ac:dyDescent="0.3">
      <c r="A719" s="514"/>
      <c r="D719" s="514"/>
      <c r="F719" s="514"/>
      <c r="G719" s="514"/>
      <c r="H719" s="514"/>
      <c r="I719" s="514"/>
      <c r="J719" s="514"/>
      <c r="K719" s="514"/>
      <c r="L719" s="514"/>
      <c r="M719" s="514"/>
      <c r="N719" s="514"/>
      <c r="O719" s="514"/>
      <c r="P719" s="7"/>
    </row>
    <row r="720" spans="1:16" ht="12.75" customHeight="1" x14ac:dyDescent="0.3">
      <c r="A720" s="514"/>
      <c r="D720" s="514"/>
      <c r="F720" s="514"/>
      <c r="G720" s="514"/>
      <c r="H720" s="514"/>
      <c r="I720" s="514"/>
      <c r="J720" s="514"/>
      <c r="K720" s="514"/>
      <c r="L720" s="514"/>
      <c r="M720" s="514"/>
      <c r="N720" s="514"/>
      <c r="O720" s="514"/>
      <c r="P720" s="7"/>
    </row>
    <row r="721" spans="1:16" ht="12.75" customHeight="1" x14ac:dyDescent="0.3">
      <c r="A721" s="514"/>
      <c r="D721" s="514"/>
      <c r="F721" s="514"/>
      <c r="G721" s="514"/>
      <c r="H721" s="514"/>
      <c r="I721" s="514"/>
      <c r="J721" s="514"/>
      <c r="K721" s="514"/>
      <c r="L721" s="514"/>
      <c r="M721" s="514"/>
      <c r="N721" s="514"/>
      <c r="O721" s="514"/>
      <c r="P721" s="7"/>
    </row>
    <row r="722" spans="1:16" ht="12.75" customHeight="1" x14ac:dyDescent="0.3">
      <c r="A722" s="514"/>
      <c r="D722" s="514"/>
      <c r="F722" s="514"/>
      <c r="G722" s="514"/>
      <c r="H722" s="514"/>
      <c r="I722" s="514"/>
      <c r="J722" s="514"/>
      <c r="K722" s="514"/>
      <c r="L722" s="514"/>
      <c r="M722" s="514"/>
      <c r="N722" s="514"/>
      <c r="O722" s="514"/>
      <c r="P722" s="7"/>
    </row>
    <row r="723" spans="1:16" ht="12.75" customHeight="1" x14ac:dyDescent="0.3">
      <c r="A723" s="514"/>
      <c r="D723" s="514"/>
      <c r="F723" s="514"/>
      <c r="G723" s="514"/>
      <c r="H723" s="514"/>
      <c r="I723" s="514"/>
      <c r="J723" s="514"/>
      <c r="K723" s="514"/>
      <c r="L723" s="514"/>
      <c r="M723" s="514"/>
      <c r="N723" s="514"/>
      <c r="O723" s="514"/>
      <c r="P723" s="7"/>
    </row>
    <row r="724" spans="1:16" ht="12.75" customHeight="1" x14ac:dyDescent="0.3">
      <c r="A724" s="514"/>
      <c r="D724" s="514"/>
      <c r="F724" s="514"/>
      <c r="G724" s="514"/>
      <c r="H724" s="514"/>
      <c r="I724" s="514"/>
      <c r="J724" s="514"/>
      <c r="K724" s="514"/>
      <c r="L724" s="514"/>
      <c r="M724" s="514"/>
      <c r="N724" s="514"/>
      <c r="O724" s="514"/>
      <c r="P724" s="7"/>
    </row>
    <row r="725" spans="1:16" ht="12.75" customHeight="1" x14ac:dyDescent="0.3">
      <c r="A725" s="514"/>
      <c r="D725" s="514"/>
      <c r="F725" s="514"/>
      <c r="G725" s="514"/>
      <c r="H725" s="514"/>
      <c r="I725" s="514"/>
      <c r="J725" s="514"/>
      <c r="K725" s="514"/>
      <c r="L725" s="514"/>
      <c r="M725" s="514"/>
      <c r="N725" s="514"/>
      <c r="O725" s="514"/>
      <c r="P725" s="7"/>
    </row>
    <row r="726" spans="1:16" ht="12.75" customHeight="1" x14ac:dyDescent="0.3">
      <c r="A726" s="514"/>
      <c r="D726" s="514"/>
      <c r="F726" s="514"/>
      <c r="G726" s="514"/>
      <c r="H726" s="514"/>
      <c r="I726" s="514"/>
      <c r="J726" s="514"/>
      <c r="K726" s="514"/>
      <c r="L726" s="514"/>
      <c r="M726" s="514"/>
      <c r="N726" s="514"/>
      <c r="O726" s="514"/>
      <c r="P726" s="7"/>
    </row>
    <row r="727" spans="1:16" ht="12.75" customHeight="1" x14ac:dyDescent="0.3">
      <c r="A727" s="514"/>
      <c r="D727" s="514"/>
      <c r="F727" s="514"/>
      <c r="G727" s="514"/>
      <c r="H727" s="514"/>
      <c r="I727" s="514"/>
      <c r="J727" s="514"/>
      <c r="K727" s="514"/>
      <c r="L727" s="514"/>
      <c r="M727" s="514"/>
      <c r="N727" s="514"/>
      <c r="O727" s="514"/>
      <c r="P727" s="7"/>
    </row>
    <row r="728" spans="1:16" ht="12.75" customHeight="1" x14ac:dyDescent="0.3">
      <c r="A728" s="514"/>
      <c r="D728" s="514"/>
      <c r="F728" s="514"/>
      <c r="G728" s="514"/>
      <c r="H728" s="514"/>
      <c r="I728" s="514"/>
      <c r="J728" s="514"/>
      <c r="K728" s="514"/>
      <c r="L728" s="514"/>
      <c r="M728" s="514"/>
      <c r="N728" s="514"/>
      <c r="O728" s="514"/>
      <c r="P728" s="7"/>
    </row>
    <row r="729" spans="1:16" ht="12.75" customHeight="1" x14ac:dyDescent="0.3">
      <c r="A729" s="514"/>
      <c r="D729" s="514"/>
      <c r="F729" s="514"/>
      <c r="G729" s="514"/>
      <c r="H729" s="514"/>
      <c r="I729" s="514"/>
      <c r="J729" s="514"/>
      <c r="K729" s="514"/>
      <c r="L729" s="514"/>
      <c r="M729" s="514"/>
      <c r="N729" s="514"/>
      <c r="O729" s="514"/>
      <c r="P729" s="7"/>
    </row>
    <row r="730" spans="1:16" ht="12.75" customHeight="1" x14ac:dyDescent="0.3">
      <c r="A730" s="514"/>
      <c r="D730" s="514"/>
      <c r="F730" s="514"/>
      <c r="G730" s="514"/>
      <c r="H730" s="514"/>
      <c r="I730" s="514"/>
      <c r="J730" s="514"/>
      <c r="K730" s="514"/>
      <c r="L730" s="514"/>
      <c r="M730" s="514"/>
      <c r="N730" s="514"/>
      <c r="O730" s="514"/>
      <c r="P730" s="7"/>
    </row>
    <row r="731" spans="1:16" ht="12.75" customHeight="1" x14ac:dyDescent="0.3">
      <c r="A731" s="514"/>
      <c r="D731" s="514"/>
      <c r="F731" s="514"/>
      <c r="G731" s="514"/>
      <c r="H731" s="514"/>
      <c r="I731" s="514"/>
      <c r="J731" s="514"/>
      <c r="K731" s="514"/>
      <c r="L731" s="514"/>
      <c r="M731" s="514"/>
      <c r="N731" s="514"/>
      <c r="O731" s="514"/>
      <c r="P731" s="7"/>
    </row>
    <row r="732" spans="1:16" ht="12.75" customHeight="1" x14ac:dyDescent="0.3">
      <c r="A732" s="514"/>
      <c r="D732" s="514"/>
      <c r="F732" s="514"/>
      <c r="G732" s="514"/>
      <c r="H732" s="514"/>
      <c r="I732" s="514"/>
      <c r="J732" s="514"/>
      <c r="K732" s="514"/>
      <c r="L732" s="514"/>
      <c r="M732" s="514"/>
      <c r="N732" s="514"/>
      <c r="O732" s="514"/>
      <c r="P732" s="7"/>
    </row>
    <row r="733" spans="1:16" ht="12.75" customHeight="1" x14ac:dyDescent="0.3">
      <c r="A733" s="514"/>
      <c r="D733" s="514"/>
      <c r="F733" s="514"/>
      <c r="G733" s="514"/>
      <c r="H733" s="514"/>
      <c r="I733" s="514"/>
      <c r="J733" s="514"/>
      <c r="K733" s="514"/>
      <c r="L733" s="514"/>
      <c r="M733" s="514"/>
      <c r="N733" s="514"/>
      <c r="O733" s="514"/>
      <c r="P733" s="7"/>
    </row>
    <row r="734" spans="1:16" ht="12.75" customHeight="1" x14ac:dyDescent="0.3">
      <c r="A734" s="514"/>
      <c r="D734" s="514"/>
      <c r="F734" s="514"/>
      <c r="G734" s="514"/>
      <c r="H734" s="514"/>
      <c r="I734" s="514"/>
      <c r="J734" s="514"/>
      <c r="K734" s="514"/>
      <c r="L734" s="514"/>
      <c r="M734" s="514"/>
      <c r="N734" s="514"/>
      <c r="O734" s="514"/>
      <c r="P734" s="7"/>
    </row>
    <row r="735" spans="1:16" ht="12.75" customHeight="1" x14ac:dyDescent="0.3">
      <c r="A735" s="514"/>
      <c r="D735" s="514"/>
      <c r="F735" s="514"/>
      <c r="G735" s="514"/>
      <c r="H735" s="514"/>
      <c r="I735" s="514"/>
      <c r="J735" s="514"/>
      <c r="K735" s="514"/>
      <c r="L735" s="514"/>
      <c r="M735" s="514"/>
      <c r="N735" s="514"/>
      <c r="O735" s="514"/>
      <c r="P735" s="7"/>
    </row>
    <row r="736" spans="1:16" ht="12.75" customHeight="1" x14ac:dyDescent="0.3">
      <c r="A736" s="514"/>
      <c r="D736" s="514"/>
      <c r="F736" s="514"/>
      <c r="G736" s="514"/>
      <c r="H736" s="514"/>
      <c r="I736" s="514"/>
      <c r="J736" s="514"/>
      <c r="K736" s="514"/>
      <c r="L736" s="514"/>
      <c r="M736" s="514"/>
      <c r="N736" s="514"/>
      <c r="O736" s="514"/>
      <c r="P736" s="7"/>
    </row>
    <row r="737" spans="1:16" ht="12.75" customHeight="1" x14ac:dyDescent="0.3">
      <c r="A737" s="514"/>
      <c r="D737" s="514"/>
      <c r="F737" s="514"/>
      <c r="G737" s="514"/>
      <c r="H737" s="514"/>
      <c r="I737" s="514"/>
      <c r="J737" s="514"/>
      <c r="K737" s="514"/>
      <c r="L737" s="514"/>
      <c r="M737" s="514"/>
      <c r="N737" s="514"/>
      <c r="O737" s="514"/>
      <c r="P737" s="7"/>
    </row>
    <row r="738" spans="1:16" ht="12.75" customHeight="1" x14ac:dyDescent="0.3">
      <c r="A738" s="514"/>
      <c r="D738" s="514"/>
      <c r="F738" s="514"/>
      <c r="G738" s="514"/>
      <c r="H738" s="514"/>
      <c r="I738" s="514"/>
      <c r="J738" s="514"/>
      <c r="K738" s="514"/>
      <c r="L738" s="514"/>
      <c r="M738" s="514"/>
      <c r="N738" s="514"/>
      <c r="O738" s="514"/>
      <c r="P738" s="7"/>
    </row>
    <row r="739" spans="1:16" ht="12.75" customHeight="1" x14ac:dyDescent="0.3">
      <c r="A739" s="514"/>
      <c r="D739" s="514"/>
      <c r="F739" s="514"/>
      <c r="G739" s="514"/>
      <c r="H739" s="514"/>
      <c r="I739" s="514"/>
      <c r="J739" s="514"/>
      <c r="K739" s="514"/>
      <c r="L739" s="514"/>
      <c r="M739" s="514"/>
      <c r="N739" s="514"/>
      <c r="O739" s="514"/>
      <c r="P739" s="7"/>
    </row>
    <row r="740" spans="1:16" ht="12.75" customHeight="1" x14ac:dyDescent="0.3">
      <c r="A740" s="514"/>
      <c r="D740" s="514"/>
      <c r="F740" s="514"/>
      <c r="G740" s="514"/>
      <c r="H740" s="514"/>
      <c r="I740" s="514"/>
      <c r="J740" s="514"/>
      <c r="K740" s="514"/>
      <c r="L740" s="514"/>
      <c r="M740" s="514"/>
      <c r="N740" s="514"/>
      <c r="O740" s="514"/>
      <c r="P740" s="7"/>
    </row>
    <row r="741" spans="1:16" ht="12.75" customHeight="1" x14ac:dyDescent="0.3">
      <c r="A741" s="514"/>
      <c r="D741" s="514"/>
      <c r="F741" s="514"/>
      <c r="G741" s="514"/>
      <c r="H741" s="514"/>
      <c r="I741" s="514"/>
      <c r="J741" s="514"/>
      <c r="K741" s="514"/>
      <c r="L741" s="514"/>
      <c r="M741" s="514"/>
      <c r="N741" s="514"/>
      <c r="O741" s="514"/>
      <c r="P741" s="7"/>
    </row>
    <row r="742" spans="1:16" ht="12.75" customHeight="1" x14ac:dyDescent="0.3">
      <c r="A742" s="514"/>
      <c r="D742" s="514"/>
      <c r="F742" s="514"/>
      <c r="G742" s="514"/>
      <c r="H742" s="514"/>
      <c r="I742" s="514"/>
      <c r="J742" s="514"/>
      <c r="K742" s="514"/>
      <c r="L742" s="514"/>
      <c r="M742" s="514"/>
      <c r="N742" s="514"/>
      <c r="O742" s="514"/>
      <c r="P742" s="7"/>
    </row>
    <row r="743" spans="1:16" ht="12.75" customHeight="1" x14ac:dyDescent="0.3">
      <c r="A743" s="514"/>
      <c r="D743" s="514"/>
      <c r="F743" s="514"/>
      <c r="G743" s="514"/>
      <c r="H743" s="514"/>
      <c r="I743" s="514"/>
      <c r="J743" s="514"/>
      <c r="K743" s="514"/>
      <c r="L743" s="514"/>
      <c r="M743" s="514"/>
      <c r="N743" s="514"/>
      <c r="O743" s="514"/>
      <c r="P743" s="7"/>
    </row>
    <row r="744" spans="1:16" ht="12.75" customHeight="1" x14ac:dyDescent="0.3">
      <c r="A744" s="514"/>
      <c r="D744" s="514"/>
      <c r="F744" s="514"/>
      <c r="G744" s="514"/>
      <c r="H744" s="514"/>
      <c r="I744" s="514"/>
      <c r="J744" s="514"/>
      <c r="K744" s="514"/>
      <c r="L744" s="514"/>
      <c r="M744" s="514"/>
      <c r="N744" s="514"/>
      <c r="O744" s="514"/>
      <c r="P744" s="7"/>
    </row>
    <row r="745" spans="1:16" ht="12.75" customHeight="1" x14ac:dyDescent="0.3">
      <c r="A745" s="514"/>
      <c r="D745" s="514"/>
      <c r="F745" s="514"/>
      <c r="G745" s="514"/>
      <c r="H745" s="514"/>
      <c r="I745" s="514"/>
      <c r="J745" s="514"/>
      <c r="K745" s="514"/>
      <c r="L745" s="514"/>
      <c r="M745" s="514"/>
      <c r="N745" s="514"/>
      <c r="O745" s="514"/>
      <c r="P745" s="7"/>
    </row>
    <row r="746" spans="1:16" ht="12.75" customHeight="1" x14ac:dyDescent="0.3">
      <c r="A746" s="514"/>
      <c r="D746" s="514"/>
      <c r="F746" s="514"/>
      <c r="G746" s="514"/>
      <c r="H746" s="514"/>
      <c r="I746" s="514"/>
      <c r="J746" s="514"/>
      <c r="K746" s="514"/>
      <c r="L746" s="514"/>
      <c r="M746" s="514"/>
      <c r="N746" s="514"/>
      <c r="O746" s="514"/>
      <c r="P746" s="7"/>
    </row>
    <row r="747" spans="1:16" ht="12.75" customHeight="1" x14ac:dyDescent="0.3">
      <c r="A747" s="514"/>
      <c r="D747" s="514"/>
      <c r="F747" s="514"/>
      <c r="G747" s="514"/>
      <c r="H747" s="514"/>
      <c r="I747" s="514"/>
      <c r="J747" s="514"/>
      <c r="K747" s="514"/>
      <c r="L747" s="514"/>
      <c r="M747" s="514"/>
      <c r="N747" s="514"/>
      <c r="O747" s="514"/>
      <c r="P747" s="7"/>
    </row>
    <row r="748" spans="1:16" ht="12.75" customHeight="1" x14ac:dyDescent="0.3">
      <c r="A748" s="514"/>
      <c r="D748" s="514"/>
      <c r="F748" s="514"/>
      <c r="G748" s="514"/>
      <c r="H748" s="514"/>
      <c r="I748" s="514"/>
      <c r="J748" s="514"/>
      <c r="K748" s="514"/>
      <c r="L748" s="514"/>
      <c r="M748" s="514"/>
      <c r="N748" s="514"/>
      <c r="O748" s="514"/>
      <c r="P748" s="7"/>
    </row>
    <row r="749" spans="1:16" ht="12.75" customHeight="1" x14ac:dyDescent="0.3">
      <c r="A749" s="514"/>
      <c r="D749" s="514"/>
      <c r="F749" s="514"/>
      <c r="G749" s="514"/>
      <c r="H749" s="514"/>
      <c r="I749" s="514"/>
      <c r="J749" s="514"/>
      <c r="K749" s="514"/>
      <c r="L749" s="514"/>
      <c r="M749" s="514"/>
      <c r="N749" s="514"/>
      <c r="O749" s="514"/>
      <c r="P749" s="7"/>
    </row>
    <row r="750" spans="1:16" ht="12.75" customHeight="1" x14ac:dyDescent="0.3">
      <c r="A750" s="514"/>
      <c r="D750" s="514"/>
      <c r="F750" s="514"/>
      <c r="G750" s="514"/>
      <c r="H750" s="514"/>
      <c r="I750" s="514"/>
      <c r="J750" s="514"/>
      <c r="K750" s="514"/>
      <c r="L750" s="514"/>
      <c r="M750" s="514"/>
      <c r="N750" s="514"/>
      <c r="O750" s="514"/>
      <c r="P750" s="7"/>
    </row>
    <row r="751" spans="1:16" ht="12.75" customHeight="1" x14ac:dyDescent="0.3">
      <c r="A751" s="514"/>
      <c r="D751" s="514"/>
      <c r="F751" s="514"/>
      <c r="G751" s="514"/>
      <c r="H751" s="514"/>
      <c r="I751" s="514"/>
      <c r="J751" s="514"/>
      <c r="K751" s="514"/>
      <c r="L751" s="514"/>
      <c r="M751" s="514"/>
      <c r="N751" s="514"/>
      <c r="O751" s="514"/>
      <c r="P751" s="7"/>
    </row>
    <row r="752" spans="1:16" ht="12.75" customHeight="1" x14ac:dyDescent="0.3">
      <c r="A752" s="514"/>
      <c r="D752" s="514"/>
      <c r="F752" s="514"/>
      <c r="G752" s="514"/>
      <c r="H752" s="514"/>
      <c r="I752" s="514"/>
      <c r="J752" s="514"/>
      <c r="K752" s="514"/>
      <c r="L752" s="514"/>
      <c r="M752" s="514"/>
      <c r="N752" s="514"/>
      <c r="O752" s="514"/>
      <c r="P752" s="7"/>
    </row>
    <row r="753" spans="1:16" ht="12.75" customHeight="1" x14ac:dyDescent="0.3">
      <c r="A753" s="514"/>
      <c r="D753" s="514"/>
      <c r="F753" s="514"/>
      <c r="G753" s="514"/>
      <c r="H753" s="514"/>
      <c r="I753" s="514"/>
      <c r="J753" s="514"/>
      <c r="K753" s="514"/>
      <c r="L753" s="514"/>
      <c r="M753" s="514"/>
      <c r="N753" s="514"/>
      <c r="O753" s="514"/>
      <c r="P753" s="7"/>
    </row>
    <row r="754" spans="1:16" ht="12.75" customHeight="1" x14ac:dyDescent="0.3">
      <c r="A754" s="514"/>
      <c r="D754" s="514"/>
      <c r="F754" s="514"/>
      <c r="G754" s="514"/>
      <c r="H754" s="514"/>
      <c r="I754" s="514"/>
      <c r="J754" s="514"/>
      <c r="K754" s="514"/>
      <c r="L754" s="514"/>
      <c r="M754" s="514"/>
      <c r="N754" s="514"/>
      <c r="O754" s="514"/>
      <c r="P754" s="7"/>
    </row>
    <row r="755" spans="1:16" ht="12.75" customHeight="1" x14ac:dyDescent="0.3">
      <c r="A755" s="514"/>
      <c r="D755" s="514"/>
      <c r="F755" s="514"/>
      <c r="G755" s="514"/>
      <c r="H755" s="514"/>
      <c r="I755" s="514"/>
      <c r="J755" s="514"/>
      <c r="K755" s="514"/>
      <c r="L755" s="514"/>
      <c r="M755" s="514"/>
      <c r="N755" s="514"/>
      <c r="O755" s="514"/>
      <c r="P755" s="7"/>
    </row>
    <row r="756" spans="1:16" ht="12.75" customHeight="1" x14ac:dyDescent="0.3">
      <c r="A756" s="514"/>
      <c r="D756" s="514"/>
      <c r="F756" s="514"/>
      <c r="G756" s="514"/>
      <c r="H756" s="514"/>
      <c r="I756" s="514"/>
      <c r="J756" s="514"/>
      <c r="K756" s="514"/>
      <c r="L756" s="514"/>
      <c r="M756" s="514"/>
      <c r="N756" s="514"/>
      <c r="O756" s="514"/>
      <c r="P756" s="7"/>
    </row>
    <row r="757" spans="1:16" ht="12.75" customHeight="1" x14ac:dyDescent="0.3">
      <c r="A757" s="514"/>
      <c r="D757" s="514"/>
      <c r="F757" s="514"/>
      <c r="G757" s="514"/>
      <c r="H757" s="514"/>
      <c r="I757" s="514"/>
      <c r="J757" s="514"/>
      <c r="K757" s="514"/>
      <c r="L757" s="514"/>
      <c r="M757" s="514"/>
      <c r="N757" s="514"/>
      <c r="O757" s="514"/>
      <c r="P757" s="7"/>
    </row>
    <row r="758" spans="1:16" ht="12.75" customHeight="1" x14ac:dyDescent="0.3">
      <c r="A758" s="514"/>
      <c r="D758" s="514"/>
      <c r="F758" s="514"/>
      <c r="G758" s="514"/>
      <c r="H758" s="514"/>
      <c r="I758" s="514"/>
      <c r="J758" s="514"/>
      <c r="K758" s="514"/>
      <c r="L758" s="514"/>
      <c r="M758" s="514"/>
      <c r="N758" s="514"/>
      <c r="O758" s="514"/>
      <c r="P758" s="7"/>
    </row>
    <row r="759" spans="1:16" ht="12.75" customHeight="1" x14ac:dyDescent="0.3">
      <c r="A759" s="514"/>
      <c r="D759" s="514"/>
      <c r="F759" s="514"/>
      <c r="G759" s="514"/>
      <c r="H759" s="514"/>
      <c r="I759" s="514"/>
      <c r="J759" s="514"/>
      <c r="K759" s="514"/>
      <c r="L759" s="514"/>
      <c r="M759" s="514"/>
      <c r="N759" s="514"/>
      <c r="O759" s="514"/>
      <c r="P759" s="7"/>
    </row>
    <row r="760" spans="1:16" ht="12.75" customHeight="1" x14ac:dyDescent="0.3">
      <c r="A760" s="514"/>
      <c r="D760" s="514"/>
      <c r="F760" s="514"/>
      <c r="G760" s="514"/>
      <c r="H760" s="514"/>
      <c r="I760" s="514"/>
      <c r="J760" s="514"/>
      <c r="K760" s="514"/>
      <c r="L760" s="514"/>
      <c r="M760" s="514"/>
      <c r="N760" s="514"/>
      <c r="O760" s="514"/>
      <c r="P760" s="7"/>
    </row>
    <row r="761" spans="1:16" ht="12.75" customHeight="1" x14ac:dyDescent="0.3">
      <c r="A761" s="514"/>
      <c r="D761" s="514"/>
      <c r="F761" s="514"/>
      <c r="G761" s="514"/>
      <c r="H761" s="514"/>
      <c r="I761" s="514"/>
      <c r="J761" s="514"/>
      <c r="K761" s="514"/>
      <c r="L761" s="514"/>
      <c r="M761" s="514"/>
      <c r="N761" s="514"/>
      <c r="O761" s="514"/>
      <c r="P761" s="7"/>
    </row>
    <row r="762" spans="1:16" ht="12.75" customHeight="1" x14ac:dyDescent="0.3">
      <c r="A762" s="514"/>
      <c r="D762" s="514"/>
      <c r="F762" s="514"/>
      <c r="G762" s="514"/>
      <c r="H762" s="514"/>
      <c r="I762" s="514"/>
      <c r="J762" s="514"/>
      <c r="K762" s="514"/>
      <c r="L762" s="514"/>
      <c r="M762" s="514"/>
      <c r="N762" s="514"/>
      <c r="O762" s="514"/>
      <c r="P762" s="7"/>
    </row>
    <row r="763" spans="1:16" ht="12.75" customHeight="1" x14ac:dyDescent="0.3">
      <c r="A763" s="514"/>
      <c r="D763" s="514"/>
      <c r="F763" s="514"/>
      <c r="G763" s="514"/>
      <c r="H763" s="514"/>
      <c r="I763" s="514"/>
      <c r="J763" s="514"/>
      <c r="K763" s="514"/>
      <c r="L763" s="514"/>
      <c r="M763" s="514"/>
      <c r="N763" s="514"/>
      <c r="O763" s="514"/>
      <c r="P763" s="7"/>
    </row>
    <row r="764" spans="1:16" ht="12.75" customHeight="1" x14ac:dyDescent="0.3">
      <c r="A764" s="514"/>
      <c r="D764" s="514"/>
      <c r="F764" s="514"/>
      <c r="G764" s="514"/>
      <c r="H764" s="514"/>
      <c r="I764" s="514"/>
      <c r="J764" s="514"/>
      <c r="K764" s="514"/>
      <c r="L764" s="514"/>
      <c r="M764" s="514"/>
      <c r="N764" s="514"/>
      <c r="O764" s="514"/>
      <c r="P764" s="7"/>
    </row>
    <row r="765" spans="1:16" ht="12.75" customHeight="1" x14ac:dyDescent="0.3">
      <c r="A765" s="514"/>
      <c r="D765" s="514"/>
      <c r="F765" s="514"/>
      <c r="G765" s="514"/>
      <c r="H765" s="514"/>
      <c r="I765" s="514"/>
      <c r="J765" s="514"/>
      <c r="K765" s="514"/>
      <c r="L765" s="514"/>
      <c r="M765" s="514"/>
      <c r="N765" s="514"/>
      <c r="O765" s="514"/>
      <c r="P765" s="7"/>
    </row>
    <row r="766" spans="1:16" ht="12.75" customHeight="1" x14ac:dyDescent="0.3">
      <c r="A766" s="514"/>
      <c r="D766" s="514"/>
      <c r="F766" s="514"/>
      <c r="G766" s="514"/>
      <c r="H766" s="514"/>
      <c r="I766" s="514"/>
      <c r="J766" s="514"/>
      <c r="K766" s="514"/>
      <c r="L766" s="514"/>
      <c r="M766" s="514"/>
      <c r="N766" s="514"/>
      <c r="O766" s="514"/>
      <c r="P766" s="7"/>
    </row>
    <row r="767" spans="1:16" ht="12.75" customHeight="1" x14ac:dyDescent="0.3">
      <c r="A767" s="514"/>
      <c r="D767" s="514"/>
      <c r="F767" s="514"/>
      <c r="G767" s="514"/>
      <c r="H767" s="514"/>
      <c r="I767" s="514"/>
      <c r="J767" s="514"/>
      <c r="K767" s="514"/>
      <c r="L767" s="514"/>
      <c r="M767" s="514"/>
      <c r="N767" s="514"/>
      <c r="O767" s="514"/>
      <c r="P767" s="7"/>
    </row>
    <row r="768" spans="1:16" ht="12.75" customHeight="1" x14ac:dyDescent="0.3">
      <c r="A768" s="514"/>
      <c r="D768" s="514"/>
      <c r="F768" s="514"/>
      <c r="G768" s="514"/>
      <c r="H768" s="514"/>
      <c r="I768" s="514"/>
      <c r="J768" s="514"/>
      <c r="K768" s="514"/>
      <c r="L768" s="514"/>
      <c r="M768" s="514"/>
      <c r="N768" s="514"/>
      <c r="O768" s="514"/>
      <c r="P768" s="7"/>
    </row>
    <row r="769" spans="1:16" ht="12.75" customHeight="1" x14ac:dyDescent="0.3">
      <c r="A769" s="514"/>
      <c r="D769" s="514"/>
      <c r="F769" s="514"/>
      <c r="G769" s="514"/>
      <c r="H769" s="514"/>
      <c r="I769" s="514"/>
      <c r="J769" s="514"/>
      <c r="K769" s="514"/>
      <c r="L769" s="514"/>
      <c r="M769" s="514"/>
      <c r="N769" s="514"/>
      <c r="O769" s="514"/>
      <c r="P769" s="7"/>
    </row>
    <row r="770" spans="1:16" ht="12.75" customHeight="1" x14ac:dyDescent="0.3">
      <c r="A770" s="514"/>
      <c r="D770" s="514"/>
      <c r="F770" s="514"/>
      <c r="G770" s="514"/>
      <c r="H770" s="514"/>
      <c r="I770" s="514"/>
      <c r="J770" s="514"/>
      <c r="K770" s="514"/>
      <c r="L770" s="514"/>
      <c r="M770" s="514"/>
      <c r="N770" s="514"/>
      <c r="O770" s="514"/>
      <c r="P770" s="7"/>
    </row>
    <row r="771" spans="1:16" ht="12.75" customHeight="1" x14ac:dyDescent="0.3">
      <c r="A771" s="514"/>
      <c r="D771" s="514"/>
      <c r="F771" s="514"/>
      <c r="G771" s="514"/>
      <c r="H771" s="514"/>
      <c r="I771" s="514"/>
      <c r="J771" s="514"/>
      <c r="K771" s="514"/>
      <c r="L771" s="514"/>
      <c r="M771" s="514"/>
      <c r="N771" s="514"/>
      <c r="O771" s="514"/>
      <c r="P771" s="7"/>
    </row>
    <row r="772" spans="1:16" ht="12.75" customHeight="1" x14ac:dyDescent="0.3">
      <c r="A772" s="514"/>
      <c r="D772" s="514"/>
      <c r="F772" s="514"/>
      <c r="G772" s="514"/>
      <c r="H772" s="514"/>
      <c r="I772" s="514"/>
      <c r="J772" s="514"/>
      <c r="K772" s="514"/>
      <c r="L772" s="514"/>
      <c r="M772" s="514"/>
      <c r="N772" s="514"/>
      <c r="O772" s="514"/>
      <c r="P772" s="7"/>
    </row>
    <row r="773" spans="1:16" ht="12.75" customHeight="1" x14ac:dyDescent="0.3">
      <c r="A773" s="514"/>
      <c r="D773" s="514"/>
      <c r="F773" s="514"/>
      <c r="G773" s="514"/>
      <c r="H773" s="514"/>
      <c r="I773" s="514"/>
      <c r="J773" s="514"/>
      <c r="K773" s="514"/>
      <c r="L773" s="514"/>
      <c r="M773" s="514"/>
      <c r="N773" s="514"/>
      <c r="O773" s="514"/>
      <c r="P773" s="7"/>
    </row>
    <row r="774" spans="1:16" ht="12.75" customHeight="1" x14ac:dyDescent="0.3">
      <c r="A774" s="514"/>
      <c r="D774" s="514"/>
      <c r="F774" s="514"/>
      <c r="G774" s="514"/>
      <c r="H774" s="514"/>
      <c r="I774" s="514"/>
      <c r="J774" s="514"/>
      <c r="K774" s="514"/>
      <c r="L774" s="514"/>
      <c r="M774" s="514"/>
      <c r="N774" s="514"/>
      <c r="O774" s="514"/>
      <c r="P774" s="7"/>
    </row>
    <row r="775" spans="1:16" ht="12.75" customHeight="1" x14ac:dyDescent="0.3">
      <c r="A775" s="514"/>
      <c r="D775" s="514"/>
      <c r="F775" s="514"/>
      <c r="G775" s="514"/>
      <c r="H775" s="514"/>
      <c r="I775" s="514"/>
      <c r="J775" s="514"/>
      <c r="K775" s="514"/>
      <c r="L775" s="514"/>
      <c r="M775" s="514"/>
      <c r="N775" s="514"/>
      <c r="O775" s="514"/>
      <c r="P775" s="7"/>
    </row>
    <row r="776" spans="1:16" ht="12.75" customHeight="1" x14ac:dyDescent="0.3">
      <c r="A776" s="514"/>
      <c r="D776" s="514"/>
      <c r="F776" s="514"/>
      <c r="G776" s="514"/>
      <c r="H776" s="514"/>
      <c r="I776" s="514"/>
      <c r="J776" s="514"/>
      <c r="K776" s="514"/>
      <c r="L776" s="514"/>
      <c r="M776" s="514"/>
      <c r="N776" s="514"/>
      <c r="O776" s="514"/>
      <c r="P776" s="7"/>
    </row>
    <row r="777" spans="1:16" ht="12.75" customHeight="1" x14ac:dyDescent="0.3">
      <c r="A777" s="514"/>
      <c r="D777" s="514"/>
      <c r="F777" s="514"/>
      <c r="G777" s="514"/>
      <c r="H777" s="514"/>
      <c r="I777" s="514"/>
      <c r="J777" s="514"/>
      <c r="K777" s="514"/>
      <c r="L777" s="514"/>
      <c r="M777" s="514"/>
      <c r="N777" s="514"/>
      <c r="O777" s="514"/>
      <c r="P777" s="7"/>
    </row>
    <row r="778" spans="1:16" ht="12.75" customHeight="1" x14ac:dyDescent="0.3">
      <c r="A778" s="514"/>
      <c r="D778" s="514"/>
      <c r="F778" s="514"/>
      <c r="G778" s="514"/>
      <c r="H778" s="514"/>
      <c r="I778" s="514"/>
      <c r="J778" s="514"/>
      <c r="K778" s="514"/>
      <c r="L778" s="514"/>
      <c r="M778" s="514"/>
      <c r="N778" s="514"/>
      <c r="O778" s="514"/>
      <c r="P778" s="7"/>
    </row>
    <row r="779" spans="1:16" ht="12.75" customHeight="1" x14ac:dyDescent="0.3">
      <c r="A779" s="514"/>
      <c r="D779" s="514"/>
      <c r="F779" s="514"/>
      <c r="G779" s="514"/>
      <c r="H779" s="514"/>
      <c r="I779" s="514"/>
      <c r="J779" s="514"/>
      <c r="K779" s="514"/>
      <c r="L779" s="514"/>
      <c r="M779" s="514"/>
      <c r="N779" s="514"/>
      <c r="O779" s="514"/>
      <c r="P779" s="7"/>
    </row>
    <row r="780" spans="1:16" ht="12.75" customHeight="1" x14ac:dyDescent="0.3">
      <c r="A780" s="514"/>
      <c r="D780" s="514"/>
      <c r="F780" s="514"/>
      <c r="G780" s="514"/>
      <c r="H780" s="514"/>
      <c r="I780" s="514"/>
      <c r="J780" s="514"/>
      <c r="K780" s="514"/>
      <c r="L780" s="514"/>
      <c r="M780" s="514"/>
      <c r="N780" s="514"/>
      <c r="O780" s="514"/>
      <c r="P780" s="7"/>
    </row>
    <row r="781" spans="1:16" ht="12.75" customHeight="1" x14ac:dyDescent="0.3">
      <c r="A781" s="514"/>
      <c r="D781" s="514"/>
      <c r="F781" s="514"/>
      <c r="G781" s="514"/>
      <c r="H781" s="514"/>
      <c r="I781" s="514"/>
      <c r="J781" s="514"/>
      <c r="K781" s="514"/>
      <c r="L781" s="514"/>
      <c r="M781" s="514"/>
      <c r="N781" s="514"/>
      <c r="O781" s="514"/>
      <c r="P781" s="7"/>
    </row>
    <row r="782" spans="1:16" ht="12.75" customHeight="1" x14ac:dyDescent="0.3">
      <c r="A782" s="514"/>
      <c r="D782" s="514"/>
      <c r="F782" s="514"/>
      <c r="G782" s="514"/>
      <c r="H782" s="514"/>
      <c r="I782" s="514"/>
      <c r="J782" s="514"/>
      <c r="K782" s="514"/>
      <c r="L782" s="514"/>
      <c r="M782" s="514"/>
      <c r="N782" s="514"/>
      <c r="O782" s="514"/>
      <c r="P782" s="7"/>
    </row>
    <row r="783" spans="1:16" ht="12.75" customHeight="1" x14ac:dyDescent="0.3">
      <c r="A783" s="514"/>
      <c r="D783" s="514"/>
      <c r="F783" s="514"/>
      <c r="G783" s="514"/>
      <c r="H783" s="514"/>
      <c r="I783" s="514"/>
      <c r="J783" s="514"/>
      <c r="K783" s="514"/>
      <c r="L783" s="514"/>
      <c r="M783" s="514"/>
      <c r="N783" s="514"/>
      <c r="O783" s="514"/>
      <c r="P783" s="7"/>
    </row>
    <row r="784" spans="1:16" ht="12.75" customHeight="1" x14ac:dyDescent="0.3">
      <c r="A784" s="514"/>
      <c r="D784" s="514"/>
      <c r="F784" s="514"/>
      <c r="G784" s="514"/>
      <c r="H784" s="514"/>
      <c r="I784" s="514"/>
      <c r="J784" s="514"/>
      <c r="K784" s="514"/>
      <c r="L784" s="514"/>
      <c r="M784" s="514"/>
      <c r="N784" s="514"/>
      <c r="O784" s="514"/>
      <c r="P784" s="7"/>
    </row>
    <row r="785" spans="1:16" ht="12.75" customHeight="1" x14ac:dyDescent="0.3">
      <c r="A785" s="514"/>
      <c r="D785" s="514"/>
      <c r="F785" s="514"/>
      <c r="G785" s="514"/>
      <c r="H785" s="514"/>
      <c r="I785" s="514"/>
      <c r="J785" s="514"/>
      <c r="K785" s="514"/>
      <c r="L785" s="514"/>
      <c r="M785" s="514"/>
      <c r="N785" s="514"/>
      <c r="O785" s="514"/>
      <c r="P785" s="7"/>
    </row>
    <row r="786" spans="1:16" ht="12.75" customHeight="1" x14ac:dyDescent="0.3">
      <c r="A786" s="514"/>
      <c r="D786" s="514"/>
      <c r="F786" s="514"/>
      <c r="G786" s="514"/>
      <c r="H786" s="514"/>
      <c r="I786" s="514"/>
      <c r="J786" s="514"/>
      <c r="K786" s="514"/>
      <c r="L786" s="514"/>
      <c r="M786" s="514"/>
      <c r="N786" s="514"/>
      <c r="O786" s="514"/>
      <c r="P786" s="7"/>
    </row>
    <row r="787" spans="1:16" ht="12.75" customHeight="1" x14ac:dyDescent="0.3">
      <c r="A787" s="514"/>
      <c r="D787" s="514"/>
      <c r="F787" s="514"/>
      <c r="G787" s="514"/>
      <c r="H787" s="514"/>
      <c r="I787" s="514"/>
      <c r="J787" s="514"/>
      <c r="K787" s="514"/>
      <c r="L787" s="514"/>
      <c r="M787" s="514"/>
      <c r="N787" s="514"/>
      <c r="O787" s="514"/>
      <c r="P787" s="7"/>
    </row>
    <row r="788" spans="1:16" ht="12.75" customHeight="1" x14ac:dyDescent="0.3">
      <c r="A788" s="514"/>
      <c r="D788" s="514"/>
      <c r="F788" s="514"/>
      <c r="G788" s="514"/>
      <c r="H788" s="514"/>
      <c r="I788" s="514"/>
      <c r="J788" s="514"/>
      <c r="K788" s="514"/>
      <c r="L788" s="514"/>
      <c r="M788" s="514"/>
      <c r="N788" s="514"/>
      <c r="O788" s="514"/>
      <c r="P788" s="7"/>
    </row>
    <row r="789" spans="1:16" ht="12.75" customHeight="1" x14ac:dyDescent="0.3">
      <c r="A789" s="514"/>
      <c r="D789" s="514"/>
      <c r="F789" s="514"/>
      <c r="G789" s="514"/>
      <c r="H789" s="514"/>
      <c r="I789" s="514"/>
      <c r="J789" s="514"/>
      <c r="K789" s="514"/>
      <c r="L789" s="514"/>
      <c r="M789" s="514"/>
      <c r="N789" s="514"/>
      <c r="O789" s="514"/>
      <c r="P789" s="7"/>
    </row>
    <row r="790" spans="1:16" ht="12.75" customHeight="1" x14ac:dyDescent="0.3">
      <c r="A790" s="514"/>
      <c r="D790" s="514"/>
      <c r="F790" s="514"/>
      <c r="G790" s="514"/>
      <c r="H790" s="514"/>
      <c r="I790" s="514"/>
      <c r="J790" s="514"/>
      <c r="K790" s="514"/>
      <c r="L790" s="514"/>
      <c r="M790" s="514"/>
      <c r="N790" s="514"/>
      <c r="O790" s="514"/>
      <c r="P790" s="7"/>
    </row>
    <row r="791" spans="1:16" ht="12.75" customHeight="1" x14ac:dyDescent="0.3">
      <c r="A791" s="514"/>
      <c r="D791" s="514"/>
      <c r="F791" s="514"/>
      <c r="G791" s="514"/>
      <c r="H791" s="514"/>
      <c r="I791" s="514"/>
      <c r="J791" s="514"/>
      <c r="K791" s="514"/>
      <c r="L791" s="514"/>
      <c r="M791" s="514"/>
      <c r="N791" s="514"/>
      <c r="O791" s="514"/>
      <c r="P791" s="7"/>
    </row>
    <row r="792" spans="1:16" ht="12.75" customHeight="1" x14ac:dyDescent="0.3">
      <c r="A792" s="514"/>
      <c r="D792" s="514"/>
      <c r="F792" s="514"/>
      <c r="G792" s="514"/>
      <c r="H792" s="514"/>
      <c r="I792" s="514"/>
      <c r="J792" s="514"/>
      <c r="K792" s="514"/>
      <c r="L792" s="514"/>
      <c r="M792" s="514"/>
      <c r="N792" s="514"/>
      <c r="O792" s="514"/>
      <c r="P792" s="7"/>
    </row>
    <row r="793" spans="1:16" ht="12.75" customHeight="1" x14ac:dyDescent="0.3">
      <c r="A793" s="514"/>
      <c r="D793" s="514"/>
      <c r="F793" s="514"/>
      <c r="G793" s="514"/>
      <c r="H793" s="514"/>
      <c r="I793" s="514"/>
      <c r="J793" s="514"/>
      <c r="K793" s="514"/>
      <c r="L793" s="514"/>
      <c r="M793" s="514"/>
      <c r="N793" s="514"/>
      <c r="O793" s="514"/>
      <c r="P793" s="7"/>
    </row>
    <row r="794" spans="1:16" ht="12.75" customHeight="1" x14ac:dyDescent="0.3">
      <c r="A794" s="514"/>
      <c r="D794" s="514"/>
      <c r="F794" s="514"/>
      <c r="G794" s="514"/>
      <c r="H794" s="514"/>
      <c r="I794" s="514"/>
      <c r="J794" s="514"/>
      <c r="K794" s="514"/>
      <c r="L794" s="514"/>
      <c r="M794" s="514"/>
      <c r="N794" s="514"/>
      <c r="O794" s="514"/>
      <c r="P794" s="7"/>
    </row>
    <row r="795" spans="1:16" ht="12.75" customHeight="1" x14ac:dyDescent="0.3">
      <c r="A795" s="514"/>
      <c r="D795" s="514"/>
      <c r="F795" s="514"/>
      <c r="G795" s="514"/>
      <c r="H795" s="514"/>
      <c r="I795" s="514"/>
      <c r="J795" s="514"/>
      <c r="K795" s="514"/>
      <c r="L795" s="514"/>
      <c r="M795" s="514"/>
      <c r="N795" s="514"/>
      <c r="O795" s="514"/>
      <c r="P795" s="7"/>
    </row>
    <row r="796" spans="1:16" ht="12.75" customHeight="1" x14ac:dyDescent="0.3">
      <c r="A796" s="514"/>
      <c r="D796" s="514"/>
      <c r="F796" s="514"/>
      <c r="G796" s="514"/>
      <c r="H796" s="514"/>
      <c r="I796" s="514"/>
      <c r="J796" s="514"/>
      <c r="K796" s="514"/>
      <c r="L796" s="514"/>
      <c r="M796" s="514"/>
      <c r="N796" s="514"/>
      <c r="O796" s="514"/>
      <c r="P796" s="7"/>
    </row>
    <row r="797" spans="1:16" ht="12.75" customHeight="1" x14ac:dyDescent="0.3">
      <c r="A797" s="514"/>
      <c r="D797" s="514"/>
      <c r="F797" s="514"/>
      <c r="G797" s="514"/>
      <c r="H797" s="514"/>
      <c r="I797" s="514"/>
      <c r="J797" s="514"/>
      <c r="K797" s="514"/>
      <c r="L797" s="514"/>
      <c r="M797" s="514"/>
      <c r="N797" s="514"/>
      <c r="O797" s="514"/>
      <c r="P797" s="7"/>
    </row>
    <row r="798" spans="1:16" ht="12.75" customHeight="1" x14ac:dyDescent="0.3">
      <c r="A798" s="514"/>
      <c r="D798" s="514"/>
      <c r="F798" s="514"/>
      <c r="G798" s="514"/>
      <c r="H798" s="514"/>
      <c r="I798" s="514"/>
      <c r="J798" s="514"/>
      <c r="K798" s="514"/>
      <c r="L798" s="514"/>
      <c r="M798" s="514"/>
      <c r="N798" s="514"/>
      <c r="O798" s="514"/>
      <c r="P798" s="7"/>
    </row>
    <row r="799" spans="1:16" ht="12.75" customHeight="1" x14ac:dyDescent="0.3">
      <c r="A799" s="514"/>
      <c r="D799" s="514"/>
      <c r="F799" s="514"/>
      <c r="G799" s="514"/>
      <c r="H799" s="514"/>
      <c r="I799" s="514"/>
      <c r="J799" s="514"/>
      <c r="K799" s="514"/>
      <c r="L799" s="514"/>
      <c r="M799" s="514"/>
      <c r="N799" s="514"/>
      <c r="O799" s="514"/>
      <c r="P799" s="7"/>
    </row>
    <row r="800" spans="1:16" ht="12.75" customHeight="1" x14ac:dyDescent="0.3">
      <c r="A800" s="514"/>
      <c r="D800" s="514"/>
      <c r="F800" s="514"/>
      <c r="G800" s="514"/>
      <c r="H800" s="514"/>
      <c r="I800" s="514"/>
      <c r="J800" s="514"/>
      <c r="K800" s="514"/>
      <c r="L800" s="514"/>
      <c r="M800" s="514"/>
      <c r="N800" s="514"/>
      <c r="O800" s="514"/>
      <c r="P800" s="7"/>
    </row>
    <row r="801" spans="1:16" ht="12.75" customHeight="1" x14ac:dyDescent="0.3">
      <c r="A801" s="514"/>
      <c r="D801" s="514"/>
      <c r="F801" s="514"/>
      <c r="G801" s="514"/>
      <c r="H801" s="514"/>
      <c r="I801" s="514"/>
      <c r="J801" s="514"/>
      <c r="K801" s="514"/>
      <c r="L801" s="514"/>
      <c r="M801" s="514"/>
      <c r="N801" s="514"/>
      <c r="O801" s="514"/>
      <c r="P801" s="7"/>
    </row>
    <row r="802" spans="1:16" ht="12.75" customHeight="1" x14ac:dyDescent="0.3">
      <c r="A802" s="514"/>
      <c r="D802" s="514"/>
      <c r="F802" s="514"/>
      <c r="G802" s="514"/>
      <c r="H802" s="514"/>
      <c r="I802" s="514"/>
      <c r="J802" s="514"/>
      <c r="K802" s="514"/>
      <c r="L802" s="514"/>
      <c r="M802" s="514"/>
      <c r="N802" s="514"/>
      <c r="O802" s="514"/>
      <c r="P802" s="7"/>
    </row>
    <row r="803" spans="1:16" ht="12.75" customHeight="1" x14ac:dyDescent="0.3">
      <c r="A803" s="514"/>
      <c r="D803" s="514"/>
      <c r="F803" s="514"/>
      <c r="G803" s="514"/>
      <c r="H803" s="514"/>
      <c r="I803" s="514"/>
      <c r="J803" s="514"/>
      <c r="K803" s="514"/>
      <c r="L803" s="514"/>
      <c r="M803" s="514"/>
      <c r="N803" s="514"/>
      <c r="O803" s="514"/>
      <c r="P803" s="7"/>
    </row>
    <row r="804" spans="1:16" ht="12.75" customHeight="1" x14ac:dyDescent="0.3">
      <c r="A804" s="514"/>
      <c r="D804" s="514"/>
      <c r="F804" s="514"/>
      <c r="G804" s="514"/>
      <c r="H804" s="514"/>
      <c r="I804" s="514"/>
      <c r="J804" s="514"/>
      <c r="K804" s="514"/>
      <c r="L804" s="514"/>
      <c r="M804" s="514"/>
      <c r="N804" s="514"/>
      <c r="O804" s="514"/>
      <c r="P804" s="7"/>
    </row>
    <row r="805" spans="1:16" ht="12.75" customHeight="1" x14ac:dyDescent="0.3">
      <c r="A805" s="514"/>
      <c r="D805" s="514"/>
      <c r="F805" s="514"/>
      <c r="G805" s="514"/>
      <c r="H805" s="514"/>
      <c r="I805" s="514"/>
      <c r="J805" s="514"/>
      <c r="K805" s="514"/>
      <c r="L805" s="514"/>
      <c r="M805" s="514"/>
      <c r="N805" s="514"/>
      <c r="O805" s="514"/>
      <c r="P805" s="7"/>
    </row>
    <row r="806" spans="1:16" ht="12.75" customHeight="1" x14ac:dyDescent="0.3">
      <c r="A806" s="514"/>
      <c r="D806" s="514"/>
      <c r="F806" s="514"/>
      <c r="G806" s="514"/>
      <c r="H806" s="514"/>
      <c r="I806" s="514"/>
      <c r="J806" s="514"/>
      <c r="K806" s="514"/>
      <c r="L806" s="514"/>
      <c r="M806" s="514"/>
      <c r="N806" s="514"/>
      <c r="O806" s="514"/>
      <c r="P806" s="7"/>
    </row>
    <row r="807" spans="1:16" ht="12.75" customHeight="1" x14ac:dyDescent="0.3">
      <c r="A807" s="514"/>
      <c r="D807" s="514"/>
      <c r="F807" s="514"/>
      <c r="G807" s="514"/>
      <c r="H807" s="514"/>
      <c r="I807" s="514"/>
      <c r="J807" s="514"/>
      <c r="K807" s="514"/>
      <c r="L807" s="514"/>
      <c r="M807" s="514"/>
      <c r="N807" s="514"/>
      <c r="O807" s="514"/>
      <c r="P807" s="7"/>
    </row>
    <row r="808" spans="1:16" ht="12.75" customHeight="1" x14ac:dyDescent="0.3">
      <c r="A808" s="514"/>
      <c r="D808" s="514"/>
      <c r="F808" s="514"/>
      <c r="G808" s="514"/>
      <c r="H808" s="514"/>
      <c r="I808" s="514"/>
      <c r="J808" s="514"/>
      <c r="K808" s="514"/>
      <c r="L808" s="514"/>
      <c r="M808" s="514"/>
      <c r="N808" s="514"/>
      <c r="O808" s="514"/>
      <c r="P808" s="7"/>
    </row>
    <row r="809" spans="1:16" ht="12.75" customHeight="1" x14ac:dyDescent="0.3">
      <c r="A809" s="514"/>
      <c r="D809" s="514"/>
      <c r="F809" s="514"/>
      <c r="G809" s="514"/>
      <c r="H809" s="514"/>
      <c r="I809" s="514"/>
      <c r="J809" s="514"/>
      <c r="K809" s="514"/>
      <c r="L809" s="514"/>
      <c r="M809" s="514"/>
      <c r="N809" s="514"/>
      <c r="O809" s="514"/>
      <c r="P809" s="7"/>
    </row>
    <row r="810" spans="1:16" ht="12.75" customHeight="1" x14ac:dyDescent="0.3">
      <c r="A810" s="514"/>
      <c r="D810" s="514"/>
      <c r="F810" s="514"/>
      <c r="G810" s="514"/>
      <c r="H810" s="514"/>
      <c r="I810" s="514"/>
      <c r="J810" s="514"/>
      <c r="K810" s="514"/>
      <c r="L810" s="514"/>
      <c r="M810" s="514"/>
      <c r="N810" s="514"/>
      <c r="O810" s="514"/>
      <c r="P810" s="7"/>
    </row>
    <row r="811" spans="1:16" ht="12.75" customHeight="1" x14ac:dyDescent="0.3">
      <c r="A811" s="514"/>
      <c r="D811" s="514"/>
      <c r="F811" s="514"/>
      <c r="G811" s="514"/>
      <c r="H811" s="514"/>
      <c r="I811" s="514"/>
      <c r="J811" s="514"/>
      <c r="K811" s="514"/>
      <c r="L811" s="514"/>
      <c r="M811" s="514"/>
      <c r="N811" s="514"/>
      <c r="O811" s="514"/>
      <c r="P811" s="7"/>
    </row>
    <row r="812" spans="1:16" ht="12.75" customHeight="1" x14ac:dyDescent="0.3">
      <c r="A812" s="514"/>
      <c r="D812" s="514"/>
      <c r="F812" s="514"/>
      <c r="G812" s="514"/>
      <c r="H812" s="514"/>
      <c r="I812" s="514"/>
      <c r="J812" s="514"/>
      <c r="K812" s="514"/>
      <c r="L812" s="514"/>
      <c r="M812" s="514"/>
      <c r="N812" s="514"/>
      <c r="O812" s="514"/>
      <c r="P812" s="7"/>
    </row>
    <row r="813" spans="1:16" ht="12.75" customHeight="1" x14ac:dyDescent="0.3">
      <c r="A813" s="514"/>
      <c r="D813" s="514"/>
      <c r="F813" s="514"/>
      <c r="G813" s="514"/>
      <c r="H813" s="514"/>
      <c r="I813" s="514"/>
      <c r="J813" s="514"/>
      <c r="K813" s="514"/>
      <c r="L813" s="514"/>
      <c r="M813" s="514"/>
      <c r="N813" s="514"/>
      <c r="O813" s="514"/>
      <c r="P813" s="7"/>
    </row>
    <row r="814" spans="1:16" ht="12.75" customHeight="1" x14ac:dyDescent="0.3">
      <c r="A814" s="514"/>
      <c r="D814" s="514"/>
      <c r="F814" s="514"/>
      <c r="G814" s="514"/>
      <c r="H814" s="514"/>
      <c r="I814" s="514"/>
      <c r="J814" s="514"/>
      <c r="K814" s="514"/>
      <c r="L814" s="514"/>
      <c r="M814" s="514"/>
      <c r="N814" s="514"/>
      <c r="O814" s="514"/>
      <c r="P814" s="7"/>
    </row>
    <row r="815" spans="1:16" ht="12.75" customHeight="1" x14ac:dyDescent="0.3">
      <c r="A815" s="514"/>
      <c r="D815" s="514"/>
      <c r="F815" s="514"/>
      <c r="G815" s="514"/>
      <c r="H815" s="514"/>
      <c r="I815" s="514"/>
      <c r="J815" s="514"/>
      <c r="K815" s="514"/>
      <c r="L815" s="514"/>
      <c r="M815" s="514"/>
      <c r="N815" s="514"/>
      <c r="O815" s="514"/>
      <c r="P815" s="7"/>
    </row>
    <row r="816" spans="1:16" ht="12.75" customHeight="1" x14ac:dyDescent="0.3">
      <c r="A816" s="514"/>
      <c r="D816" s="514"/>
      <c r="F816" s="514"/>
      <c r="G816" s="514"/>
      <c r="H816" s="514"/>
      <c r="I816" s="514"/>
      <c r="J816" s="514"/>
      <c r="K816" s="514"/>
      <c r="L816" s="514"/>
      <c r="M816" s="514"/>
      <c r="N816" s="514"/>
      <c r="O816" s="514"/>
      <c r="P816" s="7"/>
    </row>
    <row r="817" spans="1:16" ht="12.75" customHeight="1" x14ac:dyDescent="0.3">
      <c r="A817" s="514"/>
      <c r="D817" s="514"/>
      <c r="F817" s="514"/>
      <c r="G817" s="514"/>
      <c r="H817" s="514"/>
      <c r="I817" s="514"/>
      <c r="J817" s="514"/>
      <c r="K817" s="514"/>
      <c r="L817" s="514"/>
      <c r="M817" s="514"/>
      <c r="N817" s="514"/>
      <c r="O817" s="514"/>
      <c r="P817" s="7"/>
    </row>
    <row r="818" spans="1:16" ht="12.75" customHeight="1" x14ac:dyDescent="0.3">
      <c r="A818" s="514"/>
      <c r="D818" s="514"/>
      <c r="F818" s="514"/>
      <c r="G818" s="514"/>
      <c r="H818" s="514"/>
      <c r="I818" s="514"/>
      <c r="J818" s="514"/>
      <c r="K818" s="514"/>
      <c r="L818" s="514"/>
      <c r="M818" s="514"/>
      <c r="N818" s="514"/>
      <c r="O818" s="514"/>
      <c r="P818" s="7"/>
    </row>
    <row r="819" spans="1:16" ht="12.75" customHeight="1" x14ac:dyDescent="0.3">
      <c r="A819" s="514"/>
      <c r="D819" s="514"/>
      <c r="F819" s="514"/>
      <c r="G819" s="514"/>
      <c r="H819" s="514"/>
      <c r="I819" s="514"/>
      <c r="J819" s="514"/>
      <c r="K819" s="514"/>
      <c r="L819" s="514"/>
      <c r="M819" s="514"/>
      <c r="N819" s="514"/>
      <c r="O819" s="514"/>
      <c r="P819" s="7"/>
    </row>
    <row r="820" spans="1:16" ht="12.75" customHeight="1" x14ac:dyDescent="0.3">
      <c r="A820" s="514"/>
      <c r="D820" s="514"/>
      <c r="F820" s="514"/>
      <c r="G820" s="514"/>
      <c r="H820" s="514"/>
      <c r="I820" s="514"/>
      <c r="J820" s="514"/>
      <c r="K820" s="514"/>
      <c r="L820" s="514"/>
      <c r="M820" s="514"/>
      <c r="N820" s="514"/>
      <c r="O820" s="514"/>
      <c r="P820" s="7"/>
    </row>
    <row r="821" spans="1:16" ht="12.75" customHeight="1" x14ac:dyDescent="0.3">
      <c r="A821" s="514"/>
      <c r="D821" s="514"/>
      <c r="F821" s="514"/>
      <c r="G821" s="514"/>
      <c r="H821" s="514"/>
      <c r="I821" s="514"/>
      <c r="J821" s="514"/>
      <c r="K821" s="514"/>
      <c r="L821" s="514"/>
      <c r="M821" s="514"/>
      <c r="N821" s="514"/>
      <c r="O821" s="514"/>
      <c r="P821" s="7"/>
    </row>
    <row r="822" spans="1:16" ht="12.75" customHeight="1" x14ac:dyDescent="0.3">
      <c r="A822" s="514"/>
      <c r="D822" s="514"/>
      <c r="F822" s="514"/>
      <c r="G822" s="514"/>
      <c r="H822" s="514"/>
      <c r="I822" s="514"/>
      <c r="J822" s="514"/>
      <c r="K822" s="514"/>
      <c r="L822" s="514"/>
      <c r="M822" s="514"/>
      <c r="N822" s="514"/>
      <c r="O822" s="514"/>
      <c r="P822" s="7"/>
    </row>
    <row r="823" spans="1:16" ht="12.75" customHeight="1" x14ac:dyDescent="0.3">
      <c r="A823" s="514"/>
      <c r="D823" s="514"/>
      <c r="F823" s="514"/>
      <c r="G823" s="514"/>
      <c r="H823" s="514"/>
      <c r="I823" s="514"/>
      <c r="J823" s="514"/>
      <c r="K823" s="514"/>
      <c r="L823" s="514"/>
      <c r="M823" s="514"/>
      <c r="N823" s="514"/>
      <c r="O823" s="514"/>
      <c r="P823" s="7"/>
    </row>
    <row r="824" spans="1:16" ht="12.75" customHeight="1" x14ac:dyDescent="0.3">
      <c r="A824" s="514"/>
      <c r="D824" s="514"/>
      <c r="F824" s="514"/>
      <c r="G824" s="514"/>
      <c r="H824" s="514"/>
      <c r="I824" s="514"/>
      <c r="J824" s="514"/>
      <c r="K824" s="514"/>
      <c r="L824" s="514"/>
      <c r="M824" s="514"/>
      <c r="N824" s="514"/>
      <c r="O824" s="514"/>
      <c r="P824" s="7"/>
    </row>
    <row r="825" spans="1:16" ht="12.75" customHeight="1" x14ac:dyDescent="0.3">
      <c r="A825" s="514"/>
      <c r="D825" s="514"/>
      <c r="F825" s="514"/>
      <c r="G825" s="514"/>
      <c r="H825" s="514"/>
      <c r="I825" s="514"/>
      <c r="J825" s="514"/>
      <c r="K825" s="514"/>
      <c r="L825" s="514"/>
      <c r="M825" s="514"/>
      <c r="N825" s="514"/>
      <c r="O825" s="514"/>
      <c r="P825" s="7"/>
    </row>
    <row r="826" spans="1:16" ht="12.75" customHeight="1" x14ac:dyDescent="0.3">
      <c r="A826" s="514"/>
      <c r="D826" s="514"/>
      <c r="F826" s="514"/>
      <c r="G826" s="514"/>
      <c r="H826" s="514"/>
      <c r="I826" s="514"/>
      <c r="J826" s="514"/>
      <c r="K826" s="514"/>
      <c r="L826" s="514"/>
      <c r="M826" s="514"/>
      <c r="N826" s="514"/>
      <c r="O826" s="514"/>
      <c r="P826" s="7"/>
    </row>
    <row r="827" spans="1:16" ht="12.75" customHeight="1" x14ac:dyDescent="0.3">
      <c r="A827" s="514"/>
      <c r="D827" s="514"/>
      <c r="F827" s="514"/>
      <c r="G827" s="514"/>
      <c r="H827" s="514"/>
      <c r="I827" s="514"/>
      <c r="J827" s="514"/>
      <c r="K827" s="514"/>
      <c r="L827" s="514"/>
      <c r="M827" s="514"/>
      <c r="N827" s="514"/>
      <c r="O827" s="514"/>
      <c r="P827" s="7"/>
    </row>
    <row r="828" spans="1:16" ht="12.75" customHeight="1" x14ac:dyDescent="0.3">
      <c r="A828" s="514"/>
      <c r="D828" s="514"/>
      <c r="F828" s="514"/>
      <c r="G828" s="514"/>
      <c r="H828" s="514"/>
      <c r="I828" s="514"/>
      <c r="J828" s="514"/>
      <c r="K828" s="514"/>
      <c r="L828" s="514"/>
      <c r="M828" s="514"/>
      <c r="N828" s="514"/>
      <c r="O828" s="514"/>
      <c r="P828" s="7"/>
    </row>
    <row r="829" spans="1:16" ht="12.75" customHeight="1" x14ac:dyDescent="0.3">
      <c r="A829" s="514"/>
      <c r="D829" s="514"/>
      <c r="F829" s="514"/>
      <c r="G829" s="514"/>
      <c r="H829" s="514"/>
      <c r="I829" s="514"/>
      <c r="J829" s="514"/>
      <c r="K829" s="514"/>
      <c r="L829" s="514"/>
      <c r="M829" s="514"/>
      <c r="N829" s="514"/>
      <c r="O829" s="514"/>
      <c r="P829" s="7"/>
    </row>
    <row r="830" spans="1:16" ht="12.75" customHeight="1" x14ac:dyDescent="0.3">
      <c r="A830" s="514"/>
      <c r="D830" s="514"/>
      <c r="F830" s="514"/>
      <c r="G830" s="514"/>
      <c r="H830" s="514"/>
      <c r="I830" s="514"/>
      <c r="J830" s="514"/>
      <c r="K830" s="514"/>
      <c r="L830" s="514"/>
      <c r="M830" s="514"/>
      <c r="N830" s="514"/>
      <c r="O830" s="514"/>
      <c r="P830" s="7"/>
    </row>
    <row r="831" spans="1:16" ht="12.75" customHeight="1" x14ac:dyDescent="0.3">
      <c r="A831" s="514"/>
      <c r="D831" s="514"/>
      <c r="F831" s="514"/>
      <c r="G831" s="514"/>
      <c r="H831" s="514"/>
      <c r="I831" s="514"/>
      <c r="J831" s="514"/>
      <c r="K831" s="514"/>
      <c r="L831" s="514"/>
      <c r="M831" s="514"/>
      <c r="N831" s="514"/>
      <c r="O831" s="514"/>
      <c r="P831" s="7"/>
    </row>
    <row r="832" spans="1:16" ht="12.75" customHeight="1" x14ac:dyDescent="0.3">
      <c r="A832" s="514"/>
      <c r="D832" s="514"/>
      <c r="F832" s="514"/>
      <c r="G832" s="514"/>
      <c r="H832" s="514"/>
      <c r="I832" s="514"/>
      <c r="J832" s="514"/>
      <c r="K832" s="514"/>
      <c r="L832" s="514"/>
      <c r="M832" s="514"/>
      <c r="N832" s="514"/>
      <c r="O832" s="514"/>
      <c r="P832" s="7"/>
    </row>
    <row r="833" spans="1:16" ht="12.75" customHeight="1" x14ac:dyDescent="0.3">
      <c r="A833" s="514"/>
      <c r="D833" s="514"/>
      <c r="F833" s="514"/>
      <c r="G833" s="514"/>
      <c r="H833" s="514"/>
      <c r="I833" s="514"/>
      <c r="J833" s="514"/>
      <c r="K833" s="514"/>
      <c r="L833" s="514"/>
      <c r="M833" s="514"/>
      <c r="N833" s="514"/>
      <c r="O833" s="514"/>
      <c r="P833" s="7"/>
    </row>
    <row r="834" spans="1:16" ht="12.75" customHeight="1" x14ac:dyDescent="0.3">
      <c r="A834" s="514"/>
      <c r="D834" s="514"/>
      <c r="F834" s="514"/>
      <c r="G834" s="514"/>
      <c r="H834" s="514"/>
      <c r="I834" s="514"/>
      <c r="J834" s="514"/>
      <c r="K834" s="514"/>
      <c r="L834" s="514"/>
      <c r="M834" s="514"/>
      <c r="N834" s="514"/>
      <c r="O834" s="514"/>
      <c r="P834" s="7"/>
    </row>
    <row r="835" spans="1:16" ht="12.75" customHeight="1" x14ac:dyDescent="0.3">
      <c r="A835" s="514"/>
      <c r="D835" s="514"/>
      <c r="F835" s="514"/>
      <c r="G835" s="514"/>
      <c r="H835" s="514"/>
      <c r="I835" s="514"/>
      <c r="J835" s="514"/>
      <c r="K835" s="514"/>
      <c r="L835" s="514"/>
      <c r="M835" s="514"/>
      <c r="N835" s="514"/>
      <c r="O835" s="514"/>
      <c r="P835" s="7"/>
    </row>
    <row r="836" spans="1:16" ht="12.75" customHeight="1" x14ac:dyDescent="0.3">
      <c r="A836" s="514"/>
      <c r="D836" s="514"/>
      <c r="F836" s="514"/>
      <c r="G836" s="514"/>
      <c r="H836" s="514"/>
      <c r="I836" s="514"/>
      <c r="J836" s="514"/>
      <c r="K836" s="514"/>
      <c r="L836" s="514"/>
      <c r="M836" s="514"/>
      <c r="N836" s="514"/>
      <c r="O836" s="514"/>
      <c r="P836" s="7"/>
    </row>
    <row r="837" spans="1:16" ht="12.75" customHeight="1" x14ac:dyDescent="0.3">
      <c r="A837" s="514"/>
      <c r="D837" s="514"/>
      <c r="F837" s="514"/>
      <c r="G837" s="514"/>
      <c r="H837" s="514"/>
      <c r="I837" s="514"/>
      <c r="J837" s="514"/>
      <c r="K837" s="514"/>
      <c r="L837" s="514"/>
      <c r="M837" s="514"/>
      <c r="N837" s="514"/>
      <c r="O837" s="514"/>
      <c r="P837" s="7"/>
    </row>
    <row r="838" spans="1:16" ht="12.75" customHeight="1" x14ac:dyDescent="0.3">
      <c r="A838" s="514"/>
      <c r="D838" s="514"/>
      <c r="F838" s="514"/>
      <c r="G838" s="514"/>
      <c r="H838" s="514"/>
      <c r="I838" s="514"/>
      <c r="J838" s="514"/>
      <c r="K838" s="514"/>
      <c r="L838" s="514"/>
      <c r="M838" s="514"/>
      <c r="N838" s="514"/>
      <c r="O838" s="514"/>
      <c r="P838" s="7"/>
    </row>
    <row r="839" spans="1:16" ht="12.75" customHeight="1" x14ac:dyDescent="0.3">
      <c r="A839" s="514"/>
      <c r="D839" s="514"/>
      <c r="F839" s="514"/>
      <c r="G839" s="514"/>
      <c r="H839" s="514"/>
      <c r="I839" s="514"/>
      <c r="J839" s="514"/>
      <c r="K839" s="514"/>
      <c r="L839" s="514"/>
      <c r="M839" s="514"/>
      <c r="N839" s="514"/>
      <c r="O839" s="514"/>
      <c r="P839" s="7"/>
    </row>
    <row r="840" spans="1:16" ht="12.75" customHeight="1" x14ac:dyDescent="0.3">
      <c r="A840" s="514"/>
      <c r="D840" s="514"/>
      <c r="F840" s="514"/>
      <c r="G840" s="514"/>
      <c r="H840" s="514"/>
      <c r="I840" s="514"/>
      <c r="J840" s="514"/>
      <c r="K840" s="514"/>
      <c r="L840" s="514"/>
      <c r="M840" s="514"/>
      <c r="N840" s="514"/>
      <c r="O840" s="514"/>
      <c r="P840" s="7"/>
    </row>
    <row r="841" spans="1:16" ht="12.75" customHeight="1" x14ac:dyDescent="0.3">
      <c r="A841" s="514"/>
      <c r="D841" s="514"/>
      <c r="F841" s="514"/>
      <c r="G841" s="514"/>
      <c r="H841" s="514"/>
      <c r="I841" s="514"/>
      <c r="J841" s="514"/>
      <c r="K841" s="514"/>
      <c r="L841" s="514"/>
      <c r="M841" s="514"/>
      <c r="N841" s="514"/>
      <c r="O841" s="514"/>
      <c r="P841" s="7"/>
    </row>
    <row r="842" spans="1:16" ht="12.75" customHeight="1" x14ac:dyDescent="0.3">
      <c r="A842" s="514"/>
      <c r="D842" s="514"/>
      <c r="F842" s="514"/>
      <c r="G842" s="514"/>
      <c r="H842" s="514"/>
      <c r="I842" s="514"/>
      <c r="J842" s="514"/>
      <c r="K842" s="514"/>
      <c r="L842" s="514"/>
      <c r="M842" s="514"/>
      <c r="N842" s="514"/>
      <c r="O842" s="514"/>
      <c r="P842" s="7"/>
    </row>
    <row r="843" spans="1:16" ht="12.75" customHeight="1" x14ac:dyDescent="0.3">
      <c r="A843" s="514"/>
      <c r="D843" s="514"/>
      <c r="F843" s="514"/>
      <c r="G843" s="514"/>
      <c r="H843" s="514"/>
      <c r="I843" s="514"/>
      <c r="J843" s="514"/>
      <c r="K843" s="514"/>
      <c r="L843" s="514"/>
      <c r="M843" s="514"/>
      <c r="N843" s="514"/>
      <c r="O843" s="514"/>
      <c r="P843" s="7"/>
    </row>
    <row r="844" spans="1:16" ht="12.75" customHeight="1" x14ac:dyDescent="0.3">
      <c r="A844" s="514"/>
      <c r="D844" s="514"/>
      <c r="F844" s="514"/>
      <c r="G844" s="514"/>
      <c r="H844" s="514"/>
      <c r="I844" s="514"/>
      <c r="J844" s="514"/>
      <c r="K844" s="514"/>
      <c r="L844" s="514"/>
      <c r="M844" s="514"/>
      <c r="N844" s="514"/>
      <c r="O844" s="514"/>
      <c r="P844" s="7"/>
    </row>
    <row r="845" spans="1:16" ht="12.75" customHeight="1" x14ac:dyDescent="0.3">
      <c r="A845" s="514"/>
      <c r="D845" s="514"/>
      <c r="F845" s="514"/>
      <c r="G845" s="514"/>
      <c r="H845" s="514"/>
      <c r="I845" s="514"/>
      <c r="J845" s="514"/>
      <c r="K845" s="514"/>
      <c r="L845" s="514"/>
      <c r="M845" s="514"/>
      <c r="N845" s="514"/>
      <c r="O845" s="514"/>
      <c r="P845" s="7"/>
    </row>
    <row r="846" spans="1:16" ht="12.75" customHeight="1" x14ac:dyDescent="0.3">
      <c r="A846" s="514"/>
      <c r="D846" s="514"/>
      <c r="F846" s="514"/>
      <c r="G846" s="514"/>
      <c r="H846" s="514"/>
      <c r="I846" s="514"/>
      <c r="J846" s="514"/>
      <c r="K846" s="514"/>
      <c r="L846" s="514"/>
      <c r="M846" s="514"/>
      <c r="N846" s="514"/>
      <c r="O846" s="514"/>
      <c r="P846" s="7"/>
    </row>
    <row r="847" spans="1:16" ht="12.75" customHeight="1" x14ac:dyDescent="0.3">
      <c r="A847" s="514"/>
      <c r="D847" s="514"/>
      <c r="F847" s="514"/>
      <c r="G847" s="514"/>
      <c r="H847" s="514"/>
      <c r="I847" s="514"/>
      <c r="J847" s="514"/>
      <c r="K847" s="514"/>
      <c r="L847" s="514"/>
      <c r="M847" s="514"/>
      <c r="N847" s="514"/>
      <c r="O847" s="514"/>
      <c r="P847" s="7"/>
    </row>
    <row r="848" spans="1:16" ht="12.75" customHeight="1" x14ac:dyDescent="0.3">
      <c r="A848" s="514"/>
      <c r="D848" s="514"/>
      <c r="F848" s="514"/>
      <c r="G848" s="514"/>
      <c r="H848" s="514"/>
      <c r="I848" s="514"/>
      <c r="J848" s="514"/>
      <c r="K848" s="514"/>
      <c r="L848" s="514"/>
      <c r="M848" s="514"/>
      <c r="N848" s="514"/>
      <c r="O848" s="514"/>
      <c r="P848" s="7"/>
    </row>
    <row r="849" spans="1:16" ht="12.75" customHeight="1" x14ac:dyDescent="0.3">
      <c r="A849" s="514"/>
      <c r="D849" s="514"/>
      <c r="F849" s="514"/>
      <c r="G849" s="514"/>
      <c r="H849" s="514"/>
      <c r="I849" s="514"/>
      <c r="J849" s="514"/>
      <c r="K849" s="514"/>
      <c r="L849" s="514"/>
      <c r="M849" s="514"/>
      <c r="N849" s="514"/>
      <c r="O849" s="514"/>
      <c r="P849" s="7"/>
    </row>
    <row r="850" spans="1:16" ht="12.75" customHeight="1" x14ac:dyDescent="0.3">
      <c r="A850" s="514"/>
      <c r="D850" s="514"/>
      <c r="F850" s="514"/>
      <c r="G850" s="514"/>
      <c r="H850" s="514"/>
      <c r="I850" s="514"/>
      <c r="J850" s="514"/>
      <c r="K850" s="514"/>
      <c r="L850" s="514"/>
      <c r="M850" s="514"/>
      <c r="N850" s="514"/>
      <c r="O850" s="514"/>
      <c r="P850" s="7"/>
    </row>
    <row r="851" spans="1:16" ht="12.75" customHeight="1" x14ac:dyDescent="0.3">
      <c r="A851" s="514"/>
      <c r="D851" s="514"/>
      <c r="F851" s="514"/>
      <c r="G851" s="514"/>
      <c r="H851" s="514"/>
      <c r="I851" s="514"/>
      <c r="J851" s="514"/>
      <c r="K851" s="514"/>
      <c r="L851" s="514"/>
      <c r="M851" s="514"/>
      <c r="N851" s="514"/>
      <c r="O851" s="514"/>
      <c r="P851" s="7"/>
    </row>
    <row r="852" spans="1:16" ht="12.75" customHeight="1" x14ac:dyDescent="0.3">
      <c r="A852" s="514"/>
      <c r="D852" s="514"/>
      <c r="F852" s="514"/>
      <c r="G852" s="514"/>
      <c r="H852" s="514"/>
      <c r="I852" s="514"/>
      <c r="J852" s="514"/>
      <c r="K852" s="514"/>
      <c r="L852" s="514"/>
      <c r="M852" s="514"/>
      <c r="N852" s="514"/>
      <c r="O852" s="514"/>
      <c r="P852" s="7"/>
    </row>
    <row r="853" spans="1:16" ht="12.75" customHeight="1" x14ac:dyDescent="0.3">
      <c r="A853" s="514"/>
      <c r="D853" s="514"/>
      <c r="F853" s="514"/>
      <c r="G853" s="514"/>
      <c r="H853" s="514"/>
      <c r="I853" s="514"/>
      <c r="J853" s="514"/>
      <c r="K853" s="514"/>
      <c r="L853" s="514"/>
      <c r="M853" s="514"/>
      <c r="N853" s="514"/>
      <c r="O853" s="514"/>
      <c r="P853" s="7"/>
    </row>
    <row r="854" spans="1:16" ht="12.75" customHeight="1" x14ac:dyDescent="0.3">
      <c r="A854" s="514"/>
      <c r="D854" s="514"/>
      <c r="F854" s="514"/>
      <c r="G854" s="514"/>
      <c r="H854" s="514"/>
      <c r="I854" s="514"/>
      <c r="J854" s="514"/>
      <c r="K854" s="514"/>
      <c r="L854" s="514"/>
      <c r="M854" s="514"/>
      <c r="N854" s="514"/>
      <c r="O854" s="514"/>
      <c r="P854" s="7"/>
    </row>
    <row r="855" spans="1:16" ht="12.75" customHeight="1" x14ac:dyDescent="0.3">
      <c r="A855" s="514"/>
      <c r="D855" s="514"/>
      <c r="F855" s="514"/>
      <c r="G855" s="514"/>
      <c r="H855" s="514"/>
      <c r="I855" s="514"/>
      <c r="J855" s="514"/>
      <c r="K855" s="514"/>
      <c r="L855" s="514"/>
      <c r="M855" s="514"/>
      <c r="N855" s="514"/>
      <c r="O855" s="514"/>
      <c r="P855" s="7"/>
    </row>
    <row r="856" spans="1:16" ht="12.75" customHeight="1" x14ac:dyDescent="0.3">
      <c r="A856" s="514"/>
      <c r="D856" s="514"/>
      <c r="F856" s="514"/>
      <c r="G856" s="514"/>
      <c r="H856" s="514"/>
      <c r="I856" s="514"/>
      <c r="J856" s="514"/>
      <c r="K856" s="514"/>
      <c r="L856" s="514"/>
      <c r="M856" s="514"/>
      <c r="N856" s="514"/>
      <c r="O856" s="514"/>
      <c r="P856" s="7"/>
    </row>
    <row r="857" spans="1:16" ht="12.75" customHeight="1" x14ac:dyDescent="0.3">
      <c r="A857" s="514"/>
      <c r="D857" s="514"/>
      <c r="F857" s="514"/>
      <c r="G857" s="514"/>
      <c r="H857" s="514"/>
      <c r="I857" s="514"/>
      <c r="J857" s="514"/>
      <c r="K857" s="514"/>
      <c r="L857" s="514"/>
      <c r="M857" s="514"/>
      <c r="N857" s="514"/>
      <c r="O857" s="514"/>
      <c r="P857" s="7"/>
    </row>
    <row r="858" spans="1:16" ht="12.75" customHeight="1" x14ac:dyDescent="0.3">
      <c r="A858" s="514"/>
      <c r="D858" s="514"/>
      <c r="F858" s="514"/>
      <c r="G858" s="514"/>
      <c r="H858" s="514"/>
      <c r="I858" s="514"/>
      <c r="J858" s="514"/>
      <c r="K858" s="514"/>
      <c r="L858" s="514"/>
      <c r="M858" s="514"/>
      <c r="N858" s="514"/>
      <c r="O858" s="514"/>
      <c r="P858" s="7"/>
    </row>
    <row r="859" spans="1:16" ht="12.75" customHeight="1" x14ac:dyDescent="0.3">
      <c r="A859" s="514"/>
      <c r="D859" s="514"/>
      <c r="F859" s="514"/>
      <c r="G859" s="514"/>
      <c r="H859" s="514"/>
      <c r="I859" s="514"/>
      <c r="J859" s="514"/>
      <c r="K859" s="514"/>
      <c r="L859" s="514"/>
      <c r="M859" s="514"/>
      <c r="N859" s="514"/>
      <c r="O859" s="514"/>
      <c r="P859" s="7"/>
    </row>
    <row r="860" spans="1:16" ht="12.75" customHeight="1" x14ac:dyDescent="0.3">
      <c r="A860" s="514"/>
      <c r="D860" s="514"/>
      <c r="F860" s="514"/>
      <c r="G860" s="514"/>
      <c r="H860" s="514"/>
      <c r="I860" s="514"/>
      <c r="J860" s="514"/>
      <c r="K860" s="514"/>
      <c r="L860" s="514"/>
      <c r="M860" s="514"/>
      <c r="N860" s="514"/>
      <c r="O860" s="514"/>
      <c r="P860" s="7"/>
    </row>
    <row r="861" spans="1:16" ht="12.75" customHeight="1" x14ac:dyDescent="0.3">
      <c r="A861" s="514"/>
      <c r="D861" s="514"/>
      <c r="F861" s="514"/>
      <c r="G861" s="514"/>
      <c r="H861" s="514"/>
      <c r="I861" s="514"/>
      <c r="J861" s="514"/>
      <c r="K861" s="514"/>
      <c r="L861" s="514"/>
      <c r="M861" s="514"/>
      <c r="N861" s="514"/>
      <c r="O861" s="514"/>
      <c r="P861" s="7"/>
    </row>
    <row r="862" spans="1:16" ht="12.75" customHeight="1" x14ac:dyDescent="0.3">
      <c r="A862" s="514"/>
      <c r="D862" s="514"/>
      <c r="F862" s="514"/>
      <c r="G862" s="514"/>
      <c r="H862" s="514"/>
      <c r="I862" s="514"/>
      <c r="J862" s="514"/>
      <c r="K862" s="514"/>
      <c r="L862" s="514"/>
      <c r="M862" s="514"/>
      <c r="N862" s="514"/>
      <c r="O862" s="514"/>
      <c r="P862" s="7"/>
    </row>
    <row r="863" spans="1:16" ht="12.75" customHeight="1" x14ac:dyDescent="0.3">
      <c r="A863" s="514"/>
      <c r="D863" s="514"/>
      <c r="F863" s="514"/>
      <c r="G863" s="514"/>
      <c r="H863" s="514"/>
      <c r="I863" s="514"/>
      <c r="J863" s="514"/>
      <c r="K863" s="514"/>
      <c r="L863" s="514"/>
      <c r="M863" s="514"/>
      <c r="N863" s="514"/>
      <c r="O863" s="514"/>
      <c r="P863" s="7"/>
    </row>
    <row r="864" spans="1:16" ht="12.75" customHeight="1" x14ac:dyDescent="0.3">
      <c r="A864" s="514"/>
      <c r="D864" s="514"/>
      <c r="F864" s="514"/>
      <c r="G864" s="514"/>
      <c r="H864" s="514"/>
      <c r="I864" s="514"/>
      <c r="J864" s="514"/>
      <c r="K864" s="514"/>
      <c r="L864" s="514"/>
      <c r="M864" s="514"/>
      <c r="N864" s="514"/>
      <c r="O864" s="514"/>
      <c r="P864" s="7"/>
    </row>
    <row r="865" spans="1:16" ht="12.75" customHeight="1" x14ac:dyDescent="0.3">
      <c r="A865" s="514"/>
      <c r="D865" s="514"/>
      <c r="F865" s="514"/>
      <c r="G865" s="514"/>
      <c r="H865" s="514"/>
      <c r="I865" s="514"/>
      <c r="J865" s="514"/>
      <c r="K865" s="514"/>
      <c r="L865" s="514"/>
      <c r="M865" s="514"/>
      <c r="N865" s="514"/>
      <c r="O865" s="514"/>
      <c r="P865" s="7"/>
    </row>
    <row r="866" spans="1:16" ht="12.75" customHeight="1" x14ac:dyDescent="0.3">
      <c r="A866" s="514"/>
      <c r="D866" s="514"/>
      <c r="F866" s="514"/>
      <c r="G866" s="514"/>
      <c r="H866" s="514"/>
      <c r="I866" s="514"/>
      <c r="J866" s="514"/>
      <c r="K866" s="514"/>
      <c r="L866" s="514"/>
      <c r="M866" s="514"/>
      <c r="N866" s="514"/>
      <c r="O866" s="514"/>
      <c r="P866" s="7"/>
    </row>
    <row r="867" spans="1:16" ht="12.75" customHeight="1" x14ac:dyDescent="0.3">
      <c r="A867" s="514"/>
      <c r="D867" s="514"/>
      <c r="F867" s="514"/>
      <c r="G867" s="514"/>
      <c r="H867" s="514"/>
      <c r="I867" s="514"/>
      <c r="J867" s="514"/>
      <c r="K867" s="514"/>
      <c r="L867" s="514"/>
      <c r="M867" s="514"/>
      <c r="N867" s="514"/>
      <c r="O867" s="514"/>
      <c r="P867" s="7"/>
    </row>
    <row r="868" spans="1:16" ht="12.75" customHeight="1" x14ac:dyDescent="0.3">
      <c r="A868" s="514"/>
      <c r="D868" s="514"/>
      <c r="F868" s="514"/>
      <c r="G868" s="514"/>
      <c r="H868" s="514"/>
      <c r="I868" s="514"/>
      <c r="J868" s="514"/>
      <c r="K868" s="514"/>
      <c r="L868" s="514"/>
      <c r="M868" s="514"/>
      <c r="N868" s="514"/>
      <c r="O868" s="514"/>
      <c r="P868" s="7"/>
    </row>
    <row r="869" spans="1:16" ht="12.75" customHeight="1" x14ac:dyDescent="0.3">
      <c r="A869" s="514"/>
      <c r="D869" s="514"/>
      <c r="F869" s="514"/>
      <c r="G869" s="514"/>
      <c r="H869" s="514"/>
      <c r="I869" s="514"/>
      <c r="J869" s="514"/>
      <c r="K869" s="514"/>
      <c r="L869" s="514"/>
      <c r="M869" s="514"/>
      <c r="N869" s="514"/>
      <c r="O869" s="514"/>
      <c r="P869" s="7"/>
    </row>
    <row r="870" spans="1:16" ht="12.75" customHeight="1" x14ac:dyDescent="0.3">
      <c r="A870" s="514"/>
      <c r="D870" s="514"/>
      <c r="F870" s="514"/>
      <c r="G870" s="514"/>
      <c r="H870" s="514"/>
      <c r="I870" s="514"/>
      <c r="J870" s="514"/>
      <c r="K870" s="514"/>
      <c r="L870" s="514"/>
      <c r="M870" s="514"/>
      <c r="N870" s="514"/>
      <c r="O870" s="514"/>
      <c r="P870" s="7"/>
    </row>
    <row r="871" spans="1:16" ht="12.75" customHeight="1" x14ac:dyDescent="0.3">
      <c r="A871" s="514"/>
      <c r="D871" s="514"/>
      <c r="F871" s="514"/>
      <c r="G871" s="514"/>
      <c r="H871" s="514"/>
      <c r="I871" s="514"/>
      <c r="J871" s="514"/>
      <c r="K871" s="514"/>
      <c r="L871" s="514"/>
      <c r="M871" s="514"/>
      <c r="N871" s="514"/>
      <c r="O871" s="514"/>
      <c r="P871" s="7"/>
    </row>
    <row r="872" spans="1:16" ht="12.75" customHeight="1" x14ac:dyDescent="0.3">
      <c r="A872" s="514"/>
      <c r="D872" s="514"/>
      <c r="F872" s="514"/>
      <c r="G872" s="514"/>
      <c r="H872" s="514"/>
      <c r="I872" s="514"/>
      <c r="J872" s="514"/>
      <c r="K872" s="514"/>
      <c r="L872" s="514"/>
      <c r="M872" s="514"/>
      <c r="N872" s="514"/>
      <c r="O872" s="514"/>
      <c r="P872" s="7"/>
    </row>
    <row r="873" spans="1:16" ht="12.75" customHeight="1" x14ac:dyDescent="0.3">
      <c r="A873" s="514"/>
      <c r="D873" s="514"/>
      <c r="F873" s="514"/>
      <c r="G873" s="514"/>
      <c r="H873" s="514"/>
      <c r="I873" s="514"/>
      <c r="J873" s="514"/>
      <c r="K873" s="514"/>
      <c r="L873" s="514"/>
      <c r="M873" s="514"/>
      <c r="N873" s="514"/>
      <c r="O873" s="514"/>
      <c r="P873" s="7"/>
    </row>
    <row r="874" spans="1:16" ht="12.75" customHeight="1" x14ac:dyDescent="0.3">
      <c r="A874" s="514"/>
      <c r="D874" s="514"/>
      <c r="F874" s="514"/>
      <c r="G874" s="514"/>
      <c r="H874" s="514"/>
      <c r="I874" s="514"/>
      <c r="J874" s="514"/>
      <c r="K874" s="514"/>
      <c r="L874" s="514"/>
      <c r="M874" s="514"/>
      <c r="N874" s="514"/>
      <c r="O874" s="514"/>
      <c r="P874" s="7"/>
    </row>
    <row r="875" spans="1:16" ht="12.75" customHeight="1" x14ac:dyDescent="0.3">
      <c r="A875" s="514"/>
      <c r="D875" s="514"/>
      <c r="F875" s="514"/>
      <c r="G875" s="514"/>
      <c r="H875" s="514"/>
      <c r="I875" s="514"/>
      <c r="J875" s="514"/>
      <c r="K875" s="514"/>
      <c r="L875" s="514"/>
      <c r="M875" s="514"/>
      <c r="N875" s="514"/>
      <c r="O875" s="514"/>
      <c r="P875" s="7"/>
    </row>
    <row r="876" spans="1:16" ht="12.75" customHeight="1" x14ac:dyDescent="0.3">
      <c r="A876" s="514"/>
      <c r="D876" s="514"/>
      <c r="F876" s="514"/>
      <c r="G876" s="514"/>
      <c r="H876" s="514"/>
      <c r="I876" s="514"/>
      <c r="J876" s="514"/>
      <c r="K876" s="514"/>
      <c r="L876" s="514"/>
      <c r="M876" s="514"/>
      <c r="N876" s="514"/>
      <c r="O876" s="514"/>
      <c r="P876" s="7"/>
    </row>
    <row r="877" spans="1:16" ht="12.75" customHeight="1" x14ac:dyDescent="0.3">
      <c r="A877" s="514"/>
      <c r="D877" s="514"/>
      <c r="F877" s="514"/>
      <c r="G877" s="514"/>
      <c r="H877" s="514"/>
      <c r="I877" s="514"/>
      <c r="J877" s="514"/>
      <c r="K877" s="514"/>
      <c r="L877" s="514"/>
      <c r="M877" s="514"/>
      <c r="N877" s="514"/>
      <c r="O877" s="514"/>
      <c r="P877" s="7"/>
    </row>
    <row r="878" spans="1:16" ht="12.75" customHeight="1" x14ac:dyDescent="0.3">
      <c r="A878" s="514"/>
      <c r="D878" s="514"/>
      <c r="F878" s="514"/>
      <c r="G878" s="514"/>
      <c r="H878" s="514"/>
      <c r="I878" s="514"/>
      <c r="J878" s="514"/>
      <c r="K878" s="514"/>
      <c r="L878" s="514"/>
      <c r="M878" s="514"/>
      <c r="N878" s="514"/>
      <c r="O878" s="514"/>
      <c r="P878" s="7"/>
    </row>
    <row r="879" spans="1:16" ht="12.75" customHeight="1" x14ac:dyDescent="0.3">
      <c r="A879" s="514"/>
      <c r="D879" s="514"/>
      <c r="F879" s="514"/>
      <c r="G879" s="514"/>
      <c r="H879" s="514"/>
      <c r="I879" s="514"/>
      <c r="J879" s="514"/>
      <c r="K879" s="514"/>
      <c r="L879" s="514"/>
      <c r="M879" s="514"/>
      <c r="N879" s="514"/>
      <c r="O879" s="514"/>
      <c r="P879" s="7"/>
    </row>
    <row r="880" spans="1:16" ht="12.75" customHeight="1" x14ac:dyDescent="0.3">
      <c r="A880" s="514"/>
      <c r="D880" s="514"/>
      <c r="F880" s="514"/>
      <c r="G880" s="514"/>
      <c r="H880" s="514"/>
      <c r="I880" s="514"/>
      <c r="J880" s="514"/>
      <c r="K880" s="514"/>
      <c r="L880" s="514"/>
      <c r="M880" s="514"/>
      <c r="N880" s="514"/>
      <c r="O880" s="514"/>
      <c r="P880" s="7"/>
    </row>
    <row r="881" spans="1:16" ht="12.75" customHeight="1" x14ac:dyDescent="0.3">
      <c r="A881" s="514"/>
      <c r="D881" s="514"/>
      <c r="F881" s="514"/>
      <c r="G881" s="514"/>
      <c r="H881" s="514"/>
      <c r="I881" s="514"/>
      <c r="J881" s="514"/>
      <c r="K881" s="514"/>
      <c r="L881" s="514"/>
      <c r="M881" s="514"/>
      <c r="N881" s="514"/>
      <c r="O881" s="514"/>
      <c r="P881" s="7"/>
    </row>
    <row r="882" spans="1:16" ht="12.75" customHeight="1" x14ac:dyDescent="0.3">
      <c r="A882" s="514"/>
      <c r="D882" s="514"/>
      <c r="F882" s="514"/>
      <c r="G882" s="514"/>
      <c r="H882" s="514"/>
      <c r="I882" s="514"/>
      <c r="J882" s="514"/>
      <c r="K882" s="514"/>
      <c r="L882" s="514"/>
      <c r="M882" s="514"/>
      <c r="N882" s="514"/>
      <c r="O882" s="514"/>
      <c r="P882" s="7"/>
    </row>
    <row r="883" spans="1:16" ht="12.75" customHeight="1" x14ac:dyDescent="0.3">
      <c r="A883" s="514"/>
      <c r="D883" s="514"/>
      <c r="F883" s="514"/>
      <c r="G883" s="514"/>
      <c r="H883" s="514"/>
      <c r="I883" s="514"/>
      <c r="J883" s="514"/>
      <c r="K883" s="514"/>
      <c r="L883" s="514"/>
      <c r="M883" s="514"/>
      <c r="N883" s="514"/>
      <c r="O883" s="514"/>
      <c r="P883" s="7"/>
    </row>
    <row r="884" spans="1:16" ht="12.75" customHeight="1" x14ac:dyDescent="0.3">
      <c r="A884" s="514"/>
      <c r="D884" s="514"/>
      <c r="F884" s="514"/>
      <c r="G884" s="514"/>
      <c r="H884" s="514"/>
      <c r="I884" s="514"/>
      <c r="J884" s="514"/>
      <c r="K884" s="514"/>
      <c r="L884" s="514"/>
      <c r="M884" s="514"/>
      <c r="N884" s="514"/>
      <c r="O884" s="514"/>
      <c r="P884" s="7"/>
    </row>
    <row r="885" spans="1:16" ht="12.75" customHeight="1" x14ac:dyDescent="0.3">
      <c r="A885" s="514"/>
      <c r="D885" s="514"/>
      <c r="F885" s="514"/>
      <c r="G885" s="514"/>
      <c r="H885" s="514"/>
      <c r="I885" s="514"/>
      <c r="J885" s="514"/>
      <c r="K885" s="514"/>
      <c r="L885" s="514"/>
      <c r="M885" s="514"/>
      <c r="N885" s="514"/>
      <c r="O885" s="514"/>
      <c r="P885" s="7"/>
    </row>
    <row r="886" spans="1:16" ht="12.75" customHeight="1" x14ac:dyDescent="0.3">
      <c r="A886" s="514"/>
      <c r="D886" s="514"/>
      <c r="F886" s="514"/>
      <c r="G886" s="514"/>
      <c r="H886" s="514"/>
      <c r="I886" s="514"/>
      <c r="J886" s="514"/>
      <c r="K886" s="514"/>
      <c r="L886" s="514"/>
      <c r="M886" s="514"/>
      <c r="N886" s="514"/>
      <c r="O886" s="514"/>
      <c r="P886" s="7"/>
    </row>
    <row r="887" spans="1:16" ht="12.75" customHeight="1" x14ac:dyDescent="0.3">
      <c r="A887" s="514"/>
      <c r="D887" s="514"/>
      <c r="F887" s="514"/>
      <c r="G887" s="514"/>
      <c r="H887" s="514"/>
      <c r="I887" s="514"/>
      <c r="J887" s="514"/>
      <c r="K887" s="514"/>
      <c r="L887" s="514"/>
      <c r="M887" s="514"/>
      <c r="N887" s="514"/>
      <c r="O887" s="514"/>
      <c r="P887" s="7"/>
    </row>
    <row r="888" spans="1:16" ht="12.75" customHeight="1" x14ac:dyDescent="0.3">
      <c r="A888" s="514"/>
      <c r="D888" s="514"/>
      <c r="F888" s="514"/>
      <c r="G888" s="514"/>
      <c r="H888" s="514"/>
      <c r="I888" s="514"/>
      <c r="J888" s="514"/>
      <c r="K888" s="514"/>
      <c r="L888" s="514"/>
      <c r="M888" s="514"/>
      <c r="N888" s="514"/>
      <c r="O888" s="514"/>
      <c r="P888" s="7"/>
    </row>
    <row r="889" spans="1:16" ht="12.75" customHeight="1" x14ac:dyDescent="0.3">
      <c r="A889" s="514"/>
      <c r="D889" s="514"/>
      <c r="F889" s="514"/>
      <c r="G889" s="514"/>
      <c r="H889" s="514"/>
      <c r="I889" s="514"/>
      <c r="J889" s="514"/>
      <c r="K889" s="514"/>
      <c r="L889" s="514"/>
      <c r="M889" s="514"/>
      <c r="N889" s="514"/>
      <c r="O889" s="514"/>
      <c r="P889" s="7"/>
    </row>
    <row r="890" spans="1:16" ht="12.75" customHeight="1" x14ac:dyDescent="0.3">
      <c r="A890" s="514"/>
      <c r="D890" s="514"/>
      <c r="F890" s="514"/>
      <c r="G890" s="514"/>
      <c r="H890" s="514"/>
      <c r="I890" s="514"/>
      <c r="J890" s="514"/>
      <c r="K890" s="514"/>
      <c r="L890" s="514"/>
      <c r="M890" s="514"/>
      <c r="N890" s="514"/>
      <c r="O890" s="514"/>
      <c r="P890" s="7"/>
    </row>
    <row r="891" spans="1:16" ht="12.75" customHeight="1" x14ac:dyDescent="0.3">
      <c r="A891" s="514"/>
      <c r="D891" s="514"/>
      <c r="F891" s="514"/>
      <c r="G891" s="514"/>
      <c r="H891" s="514"/>
      <c r="I891" s="514"/>
      <c r="J891" s="514"/>
      <c r="K891" s="514"/>
      <c r="L891" s="514"/>
      <c r="M891" s="514"/>
      <c r="N891" s="514"/>
      <c r="O891" s="514"/>
      <c r="P891" s="7"/>
    </row>
    <row r="892" spans="1:16" ht="12.75" customHeight="1" x14ac:dyDescent="0.3">
      <c r="A892" s="514"/>
      <c r="D892" s="514"/>
      <c r="F892" s="514"/>
      <c r="G892" s="514"/>
      <c r="H892" s="514"/>
      <c r="I892" s="514"/>
      <c r="J892" s="514"/>
      <c r="K892" s="514"/>
      <c r="L892" s="514"/>
      <c r="M892" s="514"/>
      <c r="N892" s="514"/>
      <c r="O892" s="514"/>
      <c r="P892" s="7"/>
    </row>
    <row r="893" spans="1:16" ht="12.75" customHeight="1" x14ac:dyDescent="0.3">
      <c r="A893" s="514"/>
      <c r="D893" s="514"/>
      <c r="F893" s="514"/>
      <c r="G893" s="514"/>
      <c r="H893" s="514"/>
      <c r="I893" s="514"/>
      <c r="J893" s="514"/>
      <c r="K893" s="514"/>
      <c r="L893" s="514"/>
      <c r="M893" s="514"/>
      <c r="N893" s="514"/>
      <c r="O893" s="514"/>
      <c r="P893" s="7"/>
    </row>
    <row r="894" spans="1:16" ht="12.75" customHeight="1" x14ac:dyDescent="0.3">
      <c r="A894" s="514"/>
      <c r="D894" s="514"/>
      <c r="F894" s="514"/>
      <c r="G894" s="514"/>
      <c r="H894" s="514"/>
      <c r="I894" s="514"/>
      <c r="J894" s="514"/>
      <c r="K894" s="514"/>
      <c r="L894" s="514"/>
      <c r="M894" s="514"/>
      <c r="N894" s="514"/>
      <c r="O894" s="514"/>
      <c r="P894" s="7"/>
    </row>
    <row r="895" spans="1:16" ht="12.75" customHeight="1" x14ac:dyDescent="0.3">
      <c r="A895" s="514"/>
      <c r="D895" s="514"/>
      <c r="F895" s="514"/>
      <c r="G895" s="514"/>
      <c r="H895" s="514"/>
      <c r="I895" s="514"/>
      <c r="J895" s="514"/>
      <c r="K895" s="514"/>
      <c r="L895" s="514"/>
      <c r="M895" s="514"/>
      <c r="N895" s="514"/>
      <c r="O895" s="514"/>
      <c r="P895" s="7"/>
    </row>
    <row r="896" spans="1:16" ht="12.75" customHeight="1" x14ac:dyDescent="0.3">
      <c r="A896" s="514"/>
      <c r="D896" s="514"/>
      <c r="F896" s="514"/>
      <c r="G896" s="514"/>
      <c r="H896" s="514"/>
      <c r="I896" s="514"/>
      <c r="J896" s="514"/>
      <c r="K896" s="514"/>
      <c r="L896" s="514"/>
      <c r="M896" s="514"/>
      <c r="N896" s="514"/>
      <c r="O896" s="514"/>
      <c r="P896" s="7"/>
    </row>
    <row r="897" spans="1:16" ht="12.75" customHeight="1" x14ac:dyDescent="0.3">
      <c r="A897" s="514"/>
      <c r="D897" s="514"/>
      <c r="F897" s="514"/>
      <c r="G897" s="514"/>
      <c r="H897" s="514"/>
      <c r="I897" s="514"/>
      <c r="J897" s="514"/>
      <c r="K897" s="514"/>
      <c r="L897" s="514"/>
      <c r="M897" s="514"/>
      <c r="N897" s="514"/>
      <c r="O897" s="514"/>
      <c r="P897" s="7"/>
    </row>
    <row r="898" spans="1:16" ht="12.75" customHeight="1" x14ac:dyDescent="0.3">
      <c r="A898" s="514"/>
      <c r="D898" s="514"/>
      <c r="F898" s="514"/>
      <c r="G898" s="514"/>
      <c r="H898" s="514"/>
      <c r="I898" s="514"/>
      <c r="J898" s="514"/>
      <c r="K898" s="514"/>
      <c r="L898" s="514"/>
      <c r="M898" s="514"/>
      <c r="N898" s="514"/>
      <c r="O898" s="514"/>
      <c r="P898" s="7"/>
    </row>
    <row r="899" spans="1:16" ht="12.75" customHeight="1" x14ac:dyDescent="0.3">
      <c r="A899" s="514"/>
      <c r="D899" s="514"/>
      <c r="F899" s="514"/>
      <c r="G899" s="514"/>
      <c r="H899" s="514"/>
      <c r="I899" s="514"/>
      <c r="J899" s="514"/>
      <c r="K899" s="514"/>
      <c r="L899" s="514"/>
      <c r="M899" s="514"/>
      <c r="N899" s="514"/>
      <c r="O899" s="514"/>
      <c r="P899" s="7"/>
    </row>
    <row r="900" spans="1:16" ht="12.75" customHeight="1" x14ac:dyDescent="0.3">
      <c r="A900" s="514"/>
      <c r="D900" s="514"/>
      <c r="F900" s="514"/>
      <c r="G900" s="514"/>
      <c r="H900" s="514"/>
      <c r="I900" s="514"/>
      <c r="J900" s="514"/>
      <c r="K900" s="514"/>
      <c r="L900" s="514"/>
      <c r="M900" s="514"/>
      <c r="N900" s="514"/>
      <c r="O900" s="514"/>
      <c r="P900" s="7"/>
    </row>
    <row r="901" spans="1:16" ht="12.75" customHeight="1" x14ac:dyDescent="0.3">
      <c r="A901" s="514"/>
      <c r="D901" s="514"/>
      <c r="F901" s="514"/>
      <c r="G901" s="514"/>
      <c r="H901" s="514"/>
      <c r="I901" s="514"/>
      <c r="J901" s="514"/>
      <c r="K901" s="514"/>
      <c r="L901" s="514"/>
      <c r="M901" s="514"/>
      <c r="N901" s="514"/>
      <c r="O901" s="514"/>
      <c r="P901" s="7"/>
    </row>
    <row r="902" spans="1:16" ht="12.75" customHeight="1" x14ac:dyDescent="0.3">
      <c r="A902" s="514"/>
      <c r="D902" s="514"/>
      <c r="F902" s="514"/>
      <c r="G902" s="514"/>
      <c r="H902" s="514"/>
      <c r="I902" s="514"/>
      <c r="J902" s="514"/>
      <c r="K902" s="514"/>
      <c r="L902" s="514"/>
      <c r="M902" s="514"/>
      <c r="N902" s="514"/>
      <c r="O902" s="514"/>
      <c r="P902" s="7"/>
    </row>
    <row r="903" spans="1:16" ht="12.75" customHeight="1" x14ac:dyDescent="0.3">
      <c r="A903" s="514"/>
      <c r="D903" s="514"/>
      <c r="F903" s="514"/>
      <c r="G903" s="514"/>
      <c r="H903" s="514"/>
      <c r="I903" s="514"/>
      <c r="J903" s="514"/>
      <c r="K903" s="514"/>
      <c r="L903" s="514"/>
      <c r="M903" s="514"/>
      <c r="N903" s="514"/>
      <c r="O903" s="514"/>
      <c r="P903" s="7"/>
    </row>
    <row r="904" spans="1:16" ht="12.75" customHeight="1" x14ac:dyDescent="0.3">
      <c r="A904" s="514"/>
      <c r="D904" s="514"/>
      <c r="F904" s="514"/>
      <c r="G904" s="514"/>
      <c r="H904" s="514"/>
      <c r="I904" s="514"/>
      <c r="J904" s="514"/>
      <c r="K904" s="514"/>
      <c r="L904" s="514"/>
      <c r="M904" s="514"/>
      <c r="N904" s="514"/>
      <c r="O904" s="514"/>
      <c r="P904" s="7"/>
    </row>
    <row r="905" spans="1:16" ht="12.75" customHeight="1" x14ac:dyDescent="0.3">
      <c r="A905" s="514"/>
      <c r="D905" s="514"/>
      <c r="F905" s="514"/>
      <c r="G905" s="514"/>
      <c r="H905" s="514"/>
      <c r="I905" s="514"/>
      <c r="J905" s="514"/>
      <c r="K905" s="514"/>
      <c r="L905" s="514"/>
      <c r="M905" s="514"/>
      <c r="N905" s="514"/>
      <c r="O905" s="514"/>
      <c r="P905" s="7"/>
    </row>
    <row r="906" spans="1:16" ht="12.75" customHeight="1" x14ac:dyDescent="0.3">
      <c r="A906" s="514"/>
      <c r="D906" s="514"/>
      <c r="F906" s="514"/>
      <c r="G906" s="514"/>
      <c r="H906" s="514"/>
      <c r="I906" s="514"/>
      <c r="J906" s="514"/>
      <c r="K906" s="514"/>
      <c r="L906" s="514"/>
      <c r="M906" s="514"/>
      <c r="N906" s="514"/>
      <c r="O906" s="514"/>
      <c r="P906" s="7"/>
    </row>
    <row r="907" spans="1:16" ht="12.75" customHeight="1" x14ac:dyDescent="0.3">
      <c r="A907" s="514"/>
      <c r="D907" s="514"/>
      <c r="F907" s="514"/>
      <c r="G907" s="514"/>
      <c r="H907" s="514"/>
      <c r="I907" s="514"/>
      <c r="J907" s="514"/>
      <c r="K907" s="514"/>
      <c r="L907" s="514"/>
      <c r="M907" s="514"/>
      <c r="N907" s="514"/>
      <c r="O907" s="514"/>
      <c r="P907" s="7"/>
    </row>
    <row r="908" spans="1:16" ht="12.75" customHeight="1" x14ac:dyDescent="0.3">
      <c r="A908" s="514"/>
      <c r="D908" s="514"/>
      <c r="F908" s="514"/>
      <c r="G908" s="514"/>
      <c r="H908" s="514"/>
      <c r="I908" s="514"/>
      <c r="J908" s="514"/>
      <c r="K908" s="514"/>
      <c r="L908" s="514"/>
      <c r="M908" s="514"/>
      <c r="N908" s="514"/>
      <c r="O908" s="514"/>
      <c r="P908" s="7"/>
    </row>
    <row r="909" spans="1:16" ht="12.75" customHeight="1" x14ac:dyDescent="0.3">
      <c r="A909" s="514"/>
      <c r="D909" s="514"/>
      <c r="F909" s="514"/>
      <c r="G909" s="514"/>
      <c r="H909" s="514"/>
      <c r="I909" s="514"/>
      <c r="J909" s="514"/>
      <c r="K909" s="514"/>
      <c r="L909" s="514"/>
      <c r="M909" s="514"/>
      <c r="N909" s="514"/>
      <c r="O909" s="514"/>
      <c r="P909" s="7"/>
    </row>
    <row r="910" spans="1:16" ht="12.75" customHeight="1" x14ac:dyDescent="0.3">
      <c r="A910" s="514"/>
      <c r="D910" s="514"/>
      <c r="F910" s="514"/>
      <c r="G910" s="514"/>
      <c r="H910" s="514"/>
      <c r="I910" s="514"/>
      <c r="J910" s="514"/>
      <c r="K910" s="514"/>
      <c r="L910" s="514"/>
      <c r="M910" s="514"/>
      <c r="N910" s="514"/>
      <c r="O910" s="514"/>
      <c r="P910" s="7"/>
    </row>
    <row r="911" spans="1:16" ht="12.75" customHeight="1" x14ac:dyDescent="0.3">
      <c r="A911" s="514"/>
      <c r="D911" s="514"/>
      <c r="F911" s="514"/>
      <c r="G911" s="514"/>
      <c r="H911" s="514"/>
      <c r="I911" s="514"/>
      <c r="J911" s="514"/>
      <c r="K911" s="514"/>
      <c r="L911" s="514"/>
      <c r="M911" s="514"/>
      <c r="N911" s="514"/>
      <c r="O911" s="514"/>
      <c r="P911" s="7"/>
    </row>
    <row r="912" spans="1:16" ht="12.75" customHeight="1" x14ac:dyDescent="0.3">
      <c r="A912" s="514"/>
      <c r="D912" s="514"/>
      <c r="F912" s="514"/>
      <c r="G912" s="514"/>
      <c r="H912" s="514"/>
      <c r="I912" s="514"/>
      <c r="J912" s="514"/>
      <c r="K912" s="514"/>
      <c r="L912" s="514"/>
      <c r="M912" s="514"/>
      <c r="N912" s="514"/>
      <c r="O912" s="514"/>
      <c r="P912" s="7"/>
    </row>
    <row r="913" spans="1:16" ht="12.75" customHeight="1" x14ac:dyDescent="0.3">
      <c r="A913" s="514"/>
      <c r="D913" s="514"/>
      <c r="F913" s="514"/>
      <c r="G913" s="514"/>
      <c r="H913" s="514"/>
      <c r="I913" s="514"/>
      <c r="J913" s="514"/>
      <c r="K913" s="514"/>
      <c r="L913" s="514"/>
      <c r="M913" s="514"/>
      <c r="N913" s="514"/>
      <c r="O913" s="514"/>
      <c r="P913" s="7"/>
    </row>
    <row r="914" spans="1:16" ht="12.75" customHeight="1" x14ac:dyDescent="0.3">
      <c r="A914" s="514"/>
      <c r="D914" s="514"/>
      <c r="F914" s="514"/>
      <c r="G914" s="514"/>
      <c r="H914" s="514"/>
      <c r="I914" s="514"/>
      <c r="J914" s="514"/>
      <c r="K914" s="514"/>
      <c r="L914" s="514"/>
      <c r="M914" s="514"/>
      <c r="N914" s="514"/>
      <c r="O914" s="514"/>
      <c r="P914" s="7"/>
    </row>
    <row r="915" spans="1:16" ht="12.75" customHeight="1" x14ac:dyDescent="0.3">
      <c r="A915" s="514"/>
      <c r="D915" s="514"/>
      <c r="F915" s="514"/>
      <c r="G915" s="514"/>
      <c r="H915" s="514"/>
      <c r="I915" s="514"/>
      <c r="J915" s="514"/>
      <c r="K915" s="514"/>
      <c r="L915" s="514"/>
      <c r="M915" s="514"/>
      <c r="N915" s="514"/>
      <c r="O915" s="514"/>
      <c r="P915" s="7"/>
    </row>
    <row r="916" spans="1:16" ht="12.75" customHeight="1" x14ac:dyDescent="0.3">
      <c r="A916" s="514"/>
      <c r="D916" s="514"/>
      <c r="F916" s="514"/>
      <c r="G916" s="514"/>
      <c r="H916" s="514"/>
      <c r="I916" s="514"/>
      <c r="J916" s="514"/>
      <c r="K916" s="514"/>
      <c r="L916" s="514"/>
      <c r="M916" s="514"/>
      <c r="N916" s="514"/>
      <c r="O916" s="514"/>
      <c r="P916" s="7"/>
    </row>
    <row r="917" spans="1:16" ht="12.75" customHeight="1" x14ac:dyDescent="0.3">
      <c r="A917" s="514"/>
      <c r="D917" s="514"/>
      <c r="F917" s="514"/>
      <c r="G917" s="514"/>
      <c r="H917" s="514"/>
      <c r="I917" s="514"/>
      <c r="J917" s="514"/>
      <c r="K917" s="514"/>
      <c r="L917" s="514"/>
      <c r="M917" s="514"/>
      <c r="N917" s="514"/>
      <c r="O917" s="514"/>
      <c r="P917" s="7"/>
    </row>
    <row r="918" spans="1:16" ht="12.75" customHeight="1" x14ac:dyDescent="0.3">
      <c r="A918" s="514"/>
      <c r="D918" s="514"/>
      <c r="F918" s="514"/>
      <c r="G918" s="514"/>
      <c r="H918" s="514"/>
      <c r="I918" s="514"/>
      <c r="J918" s="514"/>
      <c r="K918" s="514"/>
      <c r="L918" s="514"/>
      <c r="M918" s="514"/>
      <c r="N918" s="514"/>
      <c r="O918" s="514"/>
      <c r="P918" s="7"/>
    </row>
    <row r="919" spans="1:16" ht="12.75" customHeight="1" x14ac:dyDescent="0.3">
      <c r="A919" s="514"/>
      <c r="D919" s="514"/>
      <c r="F919" s="514"/>
      <c r="G919" s="514"/>
      <c r="H919" s="514"/>
      <c r="I919" s="514"/>
      <c r="J919" s="514"/>
      <c r="K919" s="514"/>
      <c r="L919" s="514"/>
      <c r="M919" s="514"/>
      <c r="N919" s="514"/>
      <c r="O919" s="514"/>
      <c r="P919" s="7"/>
    </row>
    <row r="920" spans="1:16" ht="12.75" customHeight="1" x14ac:dyDescent="0.3">
      <c r="A920" s="514"/>
      <c r="D920" s="514"/>
      <c r="F920" s="514"/>
      <c r="G920" s="514"/>
      <c r="H920" s="514"/>
      <c r="I920" s="514"/>
      <c r="J920" s="514"/>
      <c r="K920" s="514"/>
      <c r="L920" s="514"/>
      <c r="M920" s="514"/>
      <c r="N920" s="514"/>
      <c r="O920" s="514"/>
      <c r="P920" s="7"/>
    </row>
    <row r="921" spans="1:16" ht="12.75" customHeight="1" x14ac:dyDescent="0.3">
      <c r="A921" s="514"/>
      <c r="D921" s="514"/>
      <c r="F921" s="514"/>
      <c r="G921" s="514"/>
      <c r="H921" s="514"/>
      <c r="I921" s="514"/>
      <c r="J921" s="514"/>
      <c r="K921" s="514"/>
      <c r="L921" s="514"/>
      <c r="M921" s="514"/>
      <c r="N921" s="514"/>
      <c r="O921" s="514"/>
      <c r="P921" s="7"/>
    </row>
    <row r="922" spans="1:16" ht="12.75" customHeight="1" x14ac:dyDescent="0.3">
      <c r="A922" s="514"/>
      <c r="D922" s="514"/>
      <c r="F922" s="514"/>
      <c r="G922" s="514"/>
      <c r="H922" s="514"/>
      <c r="I922" s="514"/>
      <c r="J922" s="514"/>
      <c r="K922" s="514"/>
      <c r="L922" s="514"/>
      <c r="M922" s="514"/>
      <c r="N922" s="514"/>
      <c r="O922" s="514"/>
      <c r="P922" s="7"/>
    </row>
    <row r="923" spans="1:16" ht="12.75" customHeight="1" x14ac:dyDescent="0.3">
      <c r="A923" s="514"/>
      <c r="D923" s="514"/>
      <c r="F923" s="514"/>
      <c r="G923" s="514"/>
      <c r="H923" s="514"/>
      <c r="I923" s="514"/>
      <c r="J923" s="514"/>
      <c r="K923" s="514"/>
      <c r="L923" s="514"/>
      <c r="M923" s="514"/>
      <c r="N923" s="514"/>
      <c r="O923" s="514"/>
      <c r="P923" s="7"/>
    </row>
    <row r="924" spans="1:16" ht="12.75" customHeight="1" x14ac:dyDescent="0.3">
      <c r="A924" s="514"/>
      <c r="D924" s="514"/>
      <c r="F924" s="514"/>
      <c r="G924" s="514"/>
      <c r="H924" s="514"/>
      <c r="I924" s="514"/>
      <c r="J924" s="514"/>
      <c r="K924" s="514"/>
      <c r="L924" s="514"/>
      <c r="M924" s="514"/>
      <c r="N924" s="514"/>
      <c r="O924" s="514"/>
      <c r="P924" s="7"/>
    </row>
    <row r="925" spans="1:16" ht="12.75" customHeight="1" x14ac:dyDescent="0.3">
      <c r="A925" s="514"/>
      <c r="D925" s="514"/>
      <c r="F925" s="514"/>
      <c r="G925" s="514"/>
      <c r="H925" s="514"/>
      <c r="I925" s="514"/>
      <c r="J925" s="514"/>
      <c r="K925" s="514"/>
      <c r="L925" s="514"/>
      <c r="M925" s="514"/>
      <c r="N925" s="514"/>
      <c r="O925" s="514"/>
      <c r="P925" s="7"/>
    </row>
    <row r="926" spans="1:16" ht="12.75" customHeight="1" x14ac:dyDescent="0.3">
      <c r="A926" s="514"/>
      <c r="D926" s="514"/>
      <c r="F926" s="514"/>
      <c r="G926" s="514"/>
      <c r="H926" s="514"/>
      <c r="I926" s="514"/>
      <c r="J926" s="514"/>
      <c r="K926" s="514"/>
      <c r="L926" s="514"/>
      <c r="M926" s="514"/>
      <c r="N926" s="514"/>
      <c r="O926" s="514"/>
      <c r="P926" s="7"/>
    </row>
    <row r="927" spans="1:16" ht="12.75" customHeight="1" x14ac:dyDescent="0.3">
      <c r="A927" s="514"/>
      <c r="D927" s="514"/>
      <c r="F927" s="514"/>
      <c r="G927" s="514"/>
      <c r="H927" s="514"/>
      <c r="I927" s="514"/>
      <c r="J927" s="514"/>
      <c r="K927" s="514"/>
      <c r="L927" s="514"/>
      <c r="M927" s="514"/>
      <c r="N927" s="514"/>
      <c r="O927" s="514"/>
      <c r="P927" s="7"/>
    </row>
    <row r="928" spans="1:16" ht="12.75" customHeight="1" x14ac:dyDescent="0.3">
      <c r="A928" s="514"/>
      <c r="D928" s="514"/>
      <c r="F928" s="514"/>
      <c r="G928" s="514"/>
      <c r="H928" s="514"/>
      <c r="I928" s="514"/>
      <c r="J928" s="514"/>
      <c r="K928" s="514"/>
      <c r="L928" s="514"/>
      <c r="M928" s="514"/>
      <c r="N928" s="514"/>
      <c r="O928" s="514"/>
      <c r="P928" s="7"/>
    </row>
    <row r="929" spans="1:16" ht="12.75" customHeight="1" x14ac:dyDescent="0.3">
      <c r="A929" s="514"/>
      <c r="D929" s="514"/>
      <c r="F929" s="514"/>
      <c r="G929" s="514"/>
      <c r="H929" s="514"/>
      <c r="I929" s="514"/>
      <c r="J929" s="514"/>
      <c r="K929" s="514"/>
      <c r="L929" s="514"/>
      <c r="M929" s="514"/>
      <c r="N929" s="514"/>
      <c r="O929" s="514"/>
      <c r="P929" s="7"/>
    </row>
    <row r="930" spans="1:16" ht="12.75" customHeight="1" x14ac:dyDescent="0.3">
      <c r="A930" s="514"/>
      <c r="D930" s="514"/>
      <c r="F930" s="514"/>
      <c r="G930" s="514"/>
      <c r="H930" s="514"/>
      <c r="I930" s="514"/>
      <c r="J930" s="514"/>
      <c r="K930" s="514"/>
      <c r="L930" s="514"/>
      <c r="M930" s="514"/>
      <c r="N930" s="514"/>
      <c r="O930" s="514"/>
      <c r="P930" s="7"/>
    </row>
    <row r="931" spans="1:16" ht="12.75" customHeight="1" x14ac:dyDescent="0.3">
      <c r="A931" s="514"/>
      <c r="D931" s="514"/>
      <c r="F931" s="514"/>
      <c r="G931" s="514"/>
      <c r="H931" s="514"/>
      <c r="I931" s="514"/>
      <c r="J931" s="514"/>
      <c r="K931" s="514"/>
      <c r="L931" s="514"/>
      <c r="M931" s="514"/>
      <c r="N931" s="514"/>
      <c r="O931" s="514"/>
      <c r="P931" s="7"/>
    </row>
    <row r="932" spans="1:16" ht="12.75" customHeight="1" x14ac:dyDescent="0.3">
      <c r="A932" s="514"/>
      <c r="D932" s="514"/>
      <c r="F932" s="514"/>
      <c r="G932" s="514"/>
      <c r="H932" s="514"/>
      <c r="I932" s="514"/>
      <c r="J932" s="514"/>
      <c r="K932" s="514"/>
      <c r="L932" s="514"/>
      <c r="M932" s="514"/>
      <c r="N932" s="514"/>
      <c r="O932" s="514"/>
      <c r="P932" s="7"/>
    </row>
    <row r="933" spans="1:16" ht="12.75" customHeight="1" x14ac:dyDescent="0.3">
      <c r="A933" s="514"/>
      <c r="D933" s="514"/>
      <c r="F933" s="514"/>
      <c r="G933" s="514"/>
      <c r="H933" s="514"/>
      <c r="I933" s="514"/>
      <c r="J933" s="514"/>
      <c r="K933" s="514"/>
      <c r="L933" s="514"/>
      <c r="M933" s="514"/>
      <c r="N933" s="514"/>
      <c r="O933" s="514"/>
      <c r="P933" s="7"/>
    </row>
    <row r="934" spans="1:16" ht="12.75" customHeight="1" x14ac:dyDescent="0.3">
      <c r="A934" s="514"/>
      <c r="D934" s="514"/>
      <c r="F934" s="514"/>
      <c r="G934" s="514"/>
      <c r="H934" s="514"/>
      <c r="I934" s="514"/>
      <c r="J934" s="514"/>
      <c r="K934" s="514"/>
      <c r="L934" s="514"/>
      <c r="M934" s="514"/>
      <c r="N934" s="514"/>
      <c r="O934" s="514"/>
      <c r="P934" s="7"/>
    </row>
    <row r="935" spans="1:16" ht="12.75" customHeight="1" x14ac:dyDescent="0.3">
      <c r="A935" s="514"/>
      <c r="D935" s="514"/>
      <c r="F935" s="514"/>
      <c r="G935" s="514"/>
      <c r="H935" s="514"/>
      <c r="I935" s="514"/>
      <c r="J935" s="514"/>
      <c r="K935" s="514"/>
      <c r="L935" s="514"/>
      <c r="M935" s="514"/>
      <c r="N935" s="514"/>
      <c r="O935" s="514"/>
      <c r="P935" s="7"/>
    </row>
    <row r="936" spans="1:16" ht="12.75" customHeight="1" x14ac:dyDescent="0.3">
      <c r="A936" s="514"/>
      <c r="D936" s="514"/>
      <c r="F936" s="514"/>
      <c r="G936" s="514"/>
      <c r="H936" s="514"/>
      <c r="I936" s="514"/>
      <c r="J936" s="514"/>
      <c r="K936" s="514"/>
      <c r="L936" s="514"/>
      <c r="M936" s="514"/>
      <c r="N936" s="514"/>
      <c r="O936" s="514"/>
      <c r="P936" s="7"/>
    </row>
    <row r="937" spans="1:16" ht="12.75" customHeight="1" x14ac:dyDescent="0.3">
      <c r="A937" s="514"/>
      <c r="D937" s="514"/>
      <c r="F937" s="514"/>
      <c r="G937" s="514"/>
      <c r="H937" s="514"/>
      <c r="I937" s="514"/>
      <c r="J937" s="514"/>
      <c r="K937" s="514"/>
      <c r="L937" s="514"/>
      <c r="M937" s="514"/>
      <c r="N937" s="514"/>
      <c r="O937" s="514"/>
      <c r="P937" s="7"/>
    </row>
    <row r="938" spans="1:16" ht="12.75" customHeight="1" x14ac:dyDescent="0.3">
      <c r="A938" s="514"/>
      <c r="D938" s="514"/>
      <c r="F938" s="514"/>
      <c r="G938" s="514"/>
      <c r="H938" s="514"/>
      <c r="I938" s="514"/>
      <c r="J938" s="514"/>
      <c r="K938" s="514"/>
      <c r="L938" s="514"/>
      <c r="M938" s="514"/>
      <c r="N938" s="514"/>
      <c r="O938" s="514"/>
      <c r="P938" s="7"/>
    </row>
    <row r="939" spans="1:16" ht="12.75" customHeight="1" x14ac:dyDescent="0.3">
      <c r="A939" s="514"/>
      <c r="D939" s="514"/>
      <c r="F939" s="514"/>
      <c r="G939" s="514"/>
      <c r="H939" s="514"/>
      <c r="I939" s="514"/>
      <c r="J939" s="514"/>
      <c r="K939" s="514"/>
      <c r="L939" s="514"/>
      <c r="M939" s="514"/>
      <c r="N939" s="514"/>
      <c r="O939" s="514"/>
      <c r="P939" s="7"/>
    </row>
    <row r="940" spans="1:16" ht="12.75" customHeight="1" x14ac:dyDescent="0.3">
      <c r="A940" s="514"/>
      <c r="D940" s="514"/>
      <c r="F940" s="514"/>
      <c r="G940" s="514"/>
      <c r="H940" s="514"/>
      <c r="I940" s="514"/>
      <c r="J940" s="514"/>
      <c r="K940" s="514"/>
      <c r="L940" s="514"/>
      <c r="M940" s="514"/>
      <c r="N940" s="514"/>
      <c r="O940" s="514"/>
      <c r="P940" s="7"/>
    </row>
    <row r="941" spans="1:16" ht="12.75" customHeight="1" x14ac:dyDescent="0.3">
      <c r="A941" s="514"/>
      <c r="D941" s="514"/>
      <c r="F941" s="514"/>
      <c r="G941" s="514"/>
      <c r="H941" s="514"/>
      <c r="I941" s="514"/>
      <c r="J941" s="514"/>
      <c r="K941" s="514"/>
      <c r="L941" s="514"/>
      <c r="M941" s="514"/>
      <c r="N941" s="514"/>
      <c r="O941" s="514"/>
      <c r="P941" s="7"/>
    </row>
    <row r="942" spans="1:16" ht="12.75" customHeight="1" x14ac:dyDescent="0.3">
      <c r="A942" s="514"/>
      <c r="D942" s="514"/>
      <c r="F942" s="514"/>
      <c r="G942" s="514"/>
      <c r="H942" s="514"/>
      <c r="I942" s="514"/>
      <c r="J942" s="514"/>
      <c r="K942" s="514"/>
      <c r="L942" s="514"/>
      <c r="M942" s="514"/>
      <c r="N942" s="514"/>
      <c r="O942" s="514"/>
      <c r="P942" s="7"/>
    </row>
    <row r="943" spans="1:16" ht="12.75" customHeight="1" x14ac:dyDescent="0.3">
      <c r="A943" s="514"/>
      <c r="D943" s="514"/>
      <c r="F943" s="514"/>
      <c r="G943" s="514"/>
      <c r="H943" s="514"/>
      <c r="I943" s="514"/>
      <c r="J943" s="514"/>
      <c r="K943" s="514"/>
      <c r="L943" s="514"/>
      <c r="M943" s="514"/>
      <c r="N943" s="514"/>
      <c r="O943" s="514"/>
      <c r="P943" s="7"/>
    </row>
    <row r="944" spans="1:16" ht="12.75" customHeight="1" x14ac:dyDescent="0.3">
      <c r="A944" s="514"/>
      <c r="D944" s="514"/>
      <c r="F944" s="514"/>
      <c r="G944" s="514"/>
      <c r="H944" s="514"/>
      <c r="I944" s="514"/>
      <c r="J944" s="514"/>
      <c r="K944" s="514"/>
      <c r="L944" s="514"/>
      <c r="M944" s="514"/>
      <c r="N944" s="514"/>
      <c r="O944" s="514"/>
      <c r="P944" s="7"/>
    </row>
    <row r="945" spans="1:16" ht="12.75" customHeight="1" x14ac:dyDescent="0.3">
      <c r="A945" s="514"/>
      <c r="D945" s="514"/>
      <c r="F945" s="514"/>
      <c r="G945" s="514"/>
      <c r="H945" s="514"/>
      <c r="I945" s="514"/>
      <c r="J945" s="514"/>
      <c r="K945" s="514"/>
      <c r="L945" s="514"/>
      <c r="M945" s="514"/>
      <c r="N945" s="514"/>
      <c r="O945" s="514"/>
      <c r="P945" s="7"/>
    </row>
    <row r="946" spans="1:16" ht="12.75" customHeight="1" x14ac:dyDescent="0.3">
      <c r="A946" s="514"/>
      <c r="D946" s="514"/>
      <c r="F946" s="514"/>
      <c r="G946" s="514"/>
      <c r="H946" s="514"/>
      <c r="I946" s="514"/>
      <c r="J946" s="514"/>
      <c r="K946" s="514"/>
      <c r="L946" s="514"/>
      <c r="M946" s="514"/>
      <c r="N946" s="514"/>
      <c r="O946" s="514"/>
      <c r="P946" s="7"/>
    </row>
    <row r="947" spans="1:16" ht="12.75" customHeight="1" x14ac:dyDescent="0.3">
      <c r="A947" s="514"/>
      <c r="D947" s="514"/>
      <c r="F947" s="514"/>
      <c r="G947" s="514"/>
      <c r="H947" s="514"/>
      <c r="I947" s="514"/>
      <c r="J947" s="514"/>
      <c r="K947" s="514"/>
      <c r="L947" s="514"/>
      <c r="M947" s="514"/>
      <c r="N947" s="514"/>
      <c r="O947" s="514"/>
      <c r="P947" s="7"/>
    </row>
    <row r="948" spans="1:16" ht="12.75" customHeight="1" x14ac:dyDescent="0.3">
      <c r="A948" s="514"/>
      <c r="D948" s="514"/>
      <c r="F948" s="514"/>
      <c r="G948" s="514"/>
      <c r="H948" s="514"/>
      <c r="I948" s="514"/>
      <c r="J948" s="514"/>
      <c r="K948" s="514"/>
      <c r="L948" s="514"/>
      <c r="M948" s="514"/>
      <c r="N948" s="514"/>
      <c r="O948" s="514"/>
      <c r="P948" s="7"/>
    </row>
    <row r="949" spans="1:16" ht="12.75" customHeight="1" x14ac:dyDescent="0.3">
      <c r="A949" s="514"/>
      <c r="D949" s="514"/>
      <c r="F949" s="514"/>
      <c r="G949" s="514"/>
      <c r="H949" s="514"/>
      <c r="I949" s="514"/>
      <c r="J949" s="514"/>
      <c r="K949" s="514"/>
      <c r="L949" s="514"/>
      <c r="M949" s="514"/>
      <c r="N949" s="514"/>
      <c r="O949" s="514"/>
      <c r="P949" s="7"/>
    </row>
    <row r="950" spans="1:16" ht="12.75" customHeight="1" x14ac:dyDescent="0.3">
      <c r="A950" s="514"/>
      <c r="D950" s="514"/>
      <c r="F950" s="514"/>
      <c r="G950" s="514"/>
      <c r="H950" s="514"/>
      <c r="I950" s="514"/>
      <c r="J950" s="514"/>
      <c r="K950" s="514"/>
      <c r="L950" s="514"/>
      <c r="M950" s="514"/>
      <c r="N950" s="514"/>
      <c r="O950" s="514"/>
      <c r="P950" s="7"/>
    </row>
    <row r="951" spans="1:16" ht="12.75" customHeight="1" x14ac:dyDescent="0.3">
      <c r="A951" s="514"/>
      <c r="D951" s="514"/>
      <c r="F951" s="514"/>
      <c r="G951" s="514"/>
      <c r="H951" s="514"/>
      <c r="I951" s="514"/>
      <c r="J951" s="514"/>
      <c r="K951" s="514"/>
      <c r="L951" s="514"/>
      <c r="M951" s="514"/>
      <c r="N951" s="514"/>
      <c r="O951" s="514"/>
      <c r="P951" s="7"/>
    </row>
    <row r="952" spans="1:16" ht="12.75" customHeight="1" x14ac:dyDescent="0.3">
      <c r="A952" s="514"/>
      <c r="D952" s="514"/>
      <c r="F952" s="514"/>
      <c r="G952" s="514"/>
      <c r="H952" s="514"/>
      <c r="I952" s="514"/>
      <c r="J952" s="514"/>
      <c r="K952" s="514"/>
      <c r="L952" s="514"/>
      <c r="M952" s="514"/>
      <c r="N952" s="514"/>
      <c r="O952" s="514"/>
      <c r="P952" s="7"/>
    </row>
    <row r="953" spans="1:16" ht="12.75" customHeight="1" x14ac:dyDescent="0.3">
      <c r="A953" s="514"/>
      <c r="D953" s="514"/>
      <c r="F953" s="514"/>
      <c r="G953" s="514"/>
      <c r="H953" s="514"/>
      <c r="I953" s="514"/>
      <c r="J953" s="514"/>
      <c r="K953" s="514"/>
      <c r="L953" s="514"/>
      <c r="M953" s="514"/>
      <c r="N953" s="514"/>
      <c r="O953" s="514"/>
      <c r="P953" s="7"/>
    </row>
    <row r="954" spans="1:16" ht="12.75" customHeight="1" x14ac:dyDescent="0.3">
      <c r="A954" s="514"/>
      <c r="D954" s="514"/>
      <c r="F954" s="514"/>
      <c r="G954" s="514"/>
      <c r="H954" s="514"/>
      <c r="I954" s="514"/>
      <c r="J954" s="514"/>
      <c r="K954" s="514"/>
      <c r="L954" s="514"/>
      <c r="M954" s="514"/>
      <c r="N954" s="514"/>
      <c r="O954" s="514"/>
      <c r="P954" s="7"/>
    </row>
    <row r="955" spans="1:16" ht="12.75" customHeight="1" x14ac:dyDescent="0.3">
      <c r="A955" s="514"/>
      <c r="D955" s="514"/>
      <c r="F955" s="514"/>
      <c r="G955" s="514"/>
      <c r="H955" s="514"/>
      <c r="I955" s="514"/>
      <c r="J955" s="514"/>
      <c r="K955" s="514"/>
      <c r="L955" s="514"/>
      <c r="M955" s="514"/>
      <c r="N955" s="514"/>
      <c r="O955" s="514"/>
      <c r="P955" s="7"/>
    </row>
    <row r="956" spans="1:16" ht="12.75" customHeight="1" x14ac:dyDescent="0.3">
      <c r="A956" s="514"/>
      <c r="D956" s="514"/>
      <c r="F956" s="514"/>
      <c r="G956" s="514"/>
      <c r="H956" s="514"/>
      <c r="I956" s="514"/>
      <c r="J956" s="514"/>
      <c r="K956" s="514"/>
      <c r="L956" s="514"/>
      <c r="M956" s="514"/>
      <c r="N956" s="514"/>
      <c r="O956" s="514"/>
      <c r="P956" s="7"/>
    </row>
    <row r="957" spans="1:16" ht="12.75" customHeight="1" x14ac:dyDescent="0.3">
      <c r="A957" s="514"/>
      <c r="D957" s="514"/>
      <c r="F957" s="514"/>
      <c r="G957" s="514"/>
      <c r="H957" s="514"/>
      <c r="I957" s="514"/>
      <c r="J957" s="514"/>
      <c r="K957" s="514"/>
      <c r="L957" s="514"/>
      <c r="M957" s="514"/>
      <c r="N957" s="514"/>
      <c r="O957" s="514"/>
      <c r="P957" s="7"/>
    </row>
    <row r="958" spans="1:16" ht="12.75" customHeight="1" x14ac:dyDescent="0.3">
      <c r="A958" s="514"/>
      <c r="D958" s="514"/>
      <c r="F958" s="514"/>
      <c r="G958" s="514"/>
      <c r="H958" s="514"/>
      <c r="I958" s="514"/>
      <c r="J958" s="514"/>
      <c r="K958" s="514"/>
      <c r="L958" s="514"/>
      <c r="M958" s="514"/>
      <c r="N958" s="514"/>
      <c r="O958" s="514"/>
      <c r="P958" s="7"/>
    </row>
    <row r="959" spans="1:16" ht="12.75" customHeight="1" x14ac:dyDescent="0.3">
      <c r="A959" s="514"/>
      <c r="D959" s="514"/>
      <c r="F959" s="514"/>
      <c r="G959" s="514"/>
      <c r="H959" s="514"/>
      <c r="I959" s="514"/>
      <c r="J959" s="514"/>
      <c r="K959" s="514"/>
      <c r="L959" s="514"/>
      <c r="M959" s="514"/>
      <c r="N959" s="514"/>
      <c r="O959" s="514"/>
      <c r="P959" s="7"/>
    </row>
    <row r="960" spans="1:16" ht="12.75" customHeight="1" x14ac:dyDescent="0.3">
      <c r="A960" s="514"/>
      <c r="D960" s="514"/>
      <c r="F960" s="514"/>
      <c r="G960" s="514"/>
      <c r="H960" s="514"/>
      <c r="I960" s="514"/>
      <c r="J960" s="514"/>
      <c r="K960" s="514"/>
      <c r="L960" s="514"/>
      <c r="M960" s="514"/>
      <c r="N960" s="514"/>
      <c r="O960" s="514"/>
      <c r="P960" s="7"/>
    </row>
    <row r="961" spans="1:16" ht="12.75" customHeight="1" x14ac:dyDescent="0.3">
      <c r="A961" s="514"/>
      <c r="D961" s="514"/>
      <c r="F961" s="514"/>
      <c r="G961" s="514"/>
      <c r="H961" s="514"/>
      <c r="I961" s="514"/>
      <c r="J961" s="514"/>
      <c r="K961" s="514"/>
      <c r="L961" s="514"/>
      <c r="M961" s="514"/>
      <c r="N961" s="514"/>
      <c r="O961" s="514"/>
      <c r="P961" s="7"/>
    </row>
    <row r="962" spans="1:16" ht="12.75" customHeight="1" x14ac:dyDescent="0.3">
      <c r="A962" s="514"/>
      <c r="D962" s="514"/>
      <c r="F962" s="514"/>
      <c r="G962" s="514"/>
      <c r="H962" s="514"/>
      <c r="I962" s="514"/>
      <c r="J962" s="514"/>
      <c r="K962" s="514"/>
      <c r="L962" s="514"/>
      <c r="M962" s="514"/>
      <c r="N962" s="514"/>
      <c r="O962" s="514"/>
      <c r="P962" s="7"/>
    </row>
    <row r="963" spans="1:16" ht="12.75" customHeight="1" x14ac:dyDescent="0.3">
      <c r="A963" s="514"/>
      <c r="D963" s="514"/>
      <c r="F963" s="514"/>
      <c r="G963" s="514"/>
      <c r="H963" s="514"/>
      <c r="I963" s="514"/>
      <c r="J963" s="514"/>
      <c r="K963" s="514"/>
      <c r="L963" s="514"/>
      <c r="M963" s="514"/>
      <c r="N963" s="514"/>
      <c r="O963" s="514"/>
      <c r="P963" s="7"/>
    </row>
    <row r="964" spans="1:16" ht="12.75" customHeight="1" x14ac:dyDescent="0.3">
      <c r="A964" s="514"/>
      <c r="D964" s="514"/>
      <c r="F964" s="514"/>
      <c r="G964" s="514"/>
      <c r="H964" s="514"/>
      <c r="I964" s="514"/>
      <c r="J964" s="514"/>
      <c r="K964" s="514"/>
      <c r="L964" s="514"/>
      <c r="M964" s="514"/>
      <c r="N964" s="514"/>
      <c r="O964" s="514"/>
      <c r="P964" s="7"/>
    </row>
    <row r="965" spans="1:16" ht="12.75" customHeight="1" x14ac:dyDescent="0.3">
      <c r="A965" s="514"/>
      <c r="D965" s="514"/>
      <c r="F965" s="514"/>
      <c r="G965" s="514"/>
      <c r="H965" s="514"/>
      <c r="I965" s="514"/>
      <c r="J965" s="514"/>
      <c r="K965" s="514"/>
      <c r="L965" s="514"/>
      <c r="M965" s="514"/>
      <c r="N965" s="514"/>
      <c r="O965" s="514"/>
      <c r="P965" s="7"/>
    </row>
    <row r="966" spans="1:16" ht="12.75" customHeight="1" x14ac:dyDescent="0.3">
      <c r="A966" s="514"/>
      <c r="D966" s="514"/>
      <c r="F966" s="514"/>
      <c r="G966" s="514"/>
      <c r="H966" s="514"/>
      <c r="I966" s="514"/>
      <c r="J966" s="514"/>
      <c r="K966" s="514"/>
      <c r="L966" s="514"/>
      <c r="M966" s="514"/>
      <c r="N966" s="514"/>
      <c r="O966" s="514"/>
      <c r="P966" s="7"/>
    </row>
    <row r="967" spans="1:16" ht="12.75" customHeight="1" x14ac:dyDescent="0.3">
      <c r="A967" s="514"/>
      <c r="D967" s="514"/>
      <c r="F967" s="514"/>
      <c r="G967" s="514"/>
      <c r="H967" s="514"/>
      <c r="I967" s="514"/>
      <c r="J967" s="514"/>
      <c r="K967" s="514"/>
      <c r="L967" s="514"/>
      <c r="M967" s="514"/>
      <c r="N967" s="514"/>
      <c r="O967" s="514"/>
      <c r="P967" s="7"/>
    </row>
    <row r="968" spans="1:16" ht="12.75" customHeight="1" x14ac:dyDescent="0.3">
      <c r="A968" s="514"/>
      <c r="D968" s="514"/>
      <c r="F968" s="514"/>
      <c r="G968" s="514"/>
      <c r="H968" s="514"/>
      <c r="I968" s="514"/>
      <c r="J968" s="514"/>
      <c r="K968" s="514"/>
      <c r="L968" s="514"/>
      <c r="M968" s="514"/>
      <c r="N968" s="514"/>
      <c r="O968" s="514"/>
      <c r="P968" s="7"/>
    </row>
    <row r="969" spans="1:16" ht="12.75" customHeight="1" x14ac:dyDescent="0.3">
      <c r="A969" s="514"/>
      <c r="D969" s="514"/>
      <c r="F969" s="514"/>
      <c r="G969" s="514"/>
      <c r="H969" s="514"/>
      <c r="I969" s="514"/>
      <c r="J969" s="514"/>
      <c r="K969" s="514"/>
      <c r="L969" s="514"/>
      <c r="M969" s="514"/>
      <c r="N969" s="514"/>
      <c r="O969" s="514"/>
      <c r="P969" s="7"/>
    </row>
    <row r="970" spans="1:16" ht="12.75" customHeight="1" x14ac:dyDescent="0.3">
      <c r="A970" s="514"/>
      <c r="D970" s="514"/>
      <c r="F970" s="514"/>
      <c r="G970" s="514"/>
      <c r="H970" s="514"/>
      <c r="I970" s="514"/>
      <c r="J970" s="514"/>
      <c r="K970" s="514"/>
      <c r="L970" s="514"/>
      <c r="M970" s="514"/>
      <c r="N970" s="514"/>
      <c r="O970" s="514"/>
      <c r="P970" s="7"/>
    </row>
    <row r="971" spans="1:16" ht="12.75" customHeight="1" x14ac:dyDescent="0.3">
      <c r="A971" s="514"/>
      <c r="D971" s="514"/>
      <c r="F971" s="514"/>
      <c r="G971" s="514"/>
      <c r="H971" s="514"/>
      <c r="I971" s="514"/>
      <c r="J971" s="514"/>
      <c r="K971" s="514"/>
      <c r="L971" s="514"/>
      <c r="M971" s="514"/>
      <c r="N971" s="514"/>
      <c r="O971" s="514"/>
      <c r="P971" s="7"/>
    </row>
    <row r="972" spans="1:16" ht="12.75" customHeight="1" x14ac:dyDescent="0.3">
      <c r="A972" s="514"/>
      <c r="D972" s="514"/>
      <c r="F972" s="514"/>
      <c r="G972" s="514"/>
      <c r="H972" s="514"/>
      <c r="I972" s="514"/>
      <c r="J972" s="514"/>
      <c r="K972" s="514"/>
      <c r="L972" s="514"/>
      <c r="M972" s="514"/>
      <c r="N972" s="514"/>
      <c r="O972" s="514"/>
      <c r="P972" s="7"/>
    </row>
    <row r="973" spans="1:16" ht="12.75" customHeight="1" x14ac:dyDescent="0.3">
      <c r="A973" s="514"/>
      <c r="D973" s="514"/>
      <c r="F973" s="514"/>
      <c r="G973" s="514"/>
      <c r="H973" s="514"/>
      <c r="I973" s="514"/>
      <c r="J973" s="514"/>
      <c r="K973" s="514"/>
      <c r="L973" s="514"/>
      <c r="M973" s="514"/>
      <c r="N973" s="514"/>
      <c r="O973" s="514"/>
      <c r="P973" s="7"/>
    </row>
    <row r="974" spans="1:16" ht="12.75" customHeight="1" x14ac:dyDescent="0.3">
      <c r="A974" s="514"/>
      <c r="D974" s="514"/>
      <c r="F974" s="514"/>
      <c r="G974" s="514"/>
      <c r="H974" s="514"/>
      <c r="I974" s="514"/>
      <c r="J974" s="514"/>
      <c r="K974" s="514"/>
      <c r="L974" s="514"/>
      <c r="M974" s="514"/>
      <c r="N974" s="514"/>
      <c r="O974" s="514"/>
      <c r="P974" s="7"/>
    </row>
    <row r="975" spans="1:16" ht="12.75" customHeight="1" x14ac:dyDescent="0.3">
      <c r="A975" s="514"/>
      <c r="D975" s="514"/>
      <c r="F975" s="514"/>
      <c r="G975" s="514"/>
      <c r="H975" s="514"/>
      <c r="I975" s="514"/>
      <c r="J975" s="514"/>
      <c r="K975" s="514"/>
      <c r="L975" s="514"/>
      <c r="M975" s="514"/>
      <c r="N975" s="514"/>
      <c r="O975" s="514"/>
      <c r="P975" s="7"/>
    </row>
    <row r="976" spans="1:16" ht="12.75" customHeight="1" x14ac:dyDescent="0.3">
      <c r="A976" s="514"/>
      <c r="D976" s="514"/>
      <c r="F976" s="514"/>
      <c r="G976" s="514"/>
      <c r="H976" s="514"/>
      <c r="I976" s="514"/>
      <c r="J976" s="514"/>
      <c r="K976" s="514"/>
      <c r="L976" s="514"/>
      <c r="M976" s="514"/>
      <c r="N976" s="514"/>
      <c r="O976" s="514"/>
      <c r="P976" s="7"/>
    </row>
    <row r="977" spans="1:16" ht="12.75" customHeight="1" x14ac:dyDescent="0.3">
      <c r="A977" s="514"/>
      <c r="D977" s="514"/>
      <c r="F977" s="514"/>
      <c r="G977" s="514"/>
      <c r="H977" s="514"/>
      <c r="I977" s="514"/>
      <c r="J977" s="514"/>
      <c r="K977" s="514"/>
      <c r="L977" s="514"/>
      <c r="M977" s="514"/>
      <c r="N977" s="514"/>
      <c r="O977" s="514"/>
      <c r="P977" s="7"/>
    </row>
    <row r="978" spans="1:16" ht="12.75" customHeight="1" x14ac:dyDescent="0.3">
      <c r="A978" s="514"/>
      <c r="D978" s="514"/>
      <c r="F978" s="514"/>
      <c r="G978" s="514"/>
      <c r="H978" s="514"/>
      <c r="I978" s="514"/>
      <c r="J978" s="514"/>
      <c r="K978" s="514"/>
      <c r="L978" s="514"/>
      <c r="M978" s="514"/>
      <c r="N978" s="514"/>
      <c r="O978" s="514"/>
      <c r="P978" s="7"/>
    </row>
    <row r="979" spans="1:16" ht="12.75" customHeight="1" x14ac:dyDescent="0.3">
      <c r="A979" s="514"/>
      <c r="D979" s="514"/>
      <c r="F979" s="514"/>
      <c r="G979" s="514"/>
      <c r="H979" s="514"/>
      <c r="I979" s="514"/>
      <c r="J979" s="514"/>
      <c r="K979" s="514"/>
      <c r="L979" s="514"/>
      <c r="M979" s="514"/>
      <c r="N979" s="514"/>
      <c r="O979" s="514"/>
      <c r="P979" s="7"/>
    </row>
    <row r="980" spans="1:16" ht="12.75" customHeight="1" x14ac:dyDescent="0.3">
      <c r="A980" s="514"/>
      <c r="D980" s="514"/>
      <c r="F980" s="514"/>
      <c r="G980" s="514"/>
      <c r="H980" s="514"/>
      <c r="I980" s="514"/>
      <c r="J980" s="514"/>
      <c r="K980" s="514"/>
      <c r="L980" s="514"/>
      <c r="M980" s="514"/>
      <c r="N980" s="514"/>
      <c r="O980" s="514"/>
      <c r="P980" s="7"/>
    </row>
    <row r="981" spans="1:16" ht="12.75" customHeight="1" x14ac:dyDescent="0.3">
      <c r="A981" s="514"/>
      <c r="D981" s="514"/>
      <c r="F981" s="514"/>
      <c r="G981" s="514"/>
      <c r="H981" s="514"/>
      <c r="I981" s="514"/>
      <c r="J981" s="514"/>
      <c r="K981" s="514"/>
      <c r="L981" s="514"/>
      <c r="M981" s="514"/>
      <c r="N981" s="514"/>
      <c r="O981" s="514"/>
      <c r="P981" s="7"/>
    </row>
    <row r="982" spans="1:16" ht="12.75" customHeight="1" x14ac:dyDescent="0.3">
      <c r="A982" s="514"/>
      <c r="D982" s="514"/>
      <c r="F982" s="514"/>
      <c r="G982" s="514"/>
      <c r="H982" s="514"/>
      <c r="I982" s="514"/>
      <c r="J982" s="514"/>
      <c r="K982" s="514"/>
      <c r="L982" s="514"/>
      <c r="M982" s="514"/>
      <c r="N982" s="514"/>
      <c r="O982" s="514"/>
      <c r="P982" s="7"/>
    </row>
    <row r="983" spans="1:16" ht="12.75" customHeight="1" x14ac:dyDescent="0.3">
      <c r="A983" s="514"/>
      <c r="D983" s="514"/>
      <c r="F983" s="514"/>
      <c r="G983" s="514"/>
      <c r="H983" s="514"/>
      <c r="I983" s="514"/>
      <c r="J983" s="514"/>
      <c r="K983" s="514"/>
      <c r="L983" s="514"/>
      <c r="M983" s="514"/>
      <c r="N983" s="514"/>
      <c r="O983" s="514"/>
      <c r="P983" s="7"/>
    </row>
    <row r="984" spans="1:16" ht="12.75" customHeight="1" x14ac:dyDescent="0.3">
      <c r="A984" s="514"/>
      <c r="D984" s="514"/>
      <c r="F984" s="514"/>
      <c r="G984" s="514"/>
      <c r="H984" s="514"/>
      <c r="I984" s="514"/>
      <c r="J984" s="514"/>
      <c r="K984" s="514"/>
      <c r="L984" s="514"/>
      <c r="M984" s="514"/>
      <c r="N984" s="514"/>
      <c r="O984" s="514"/>
      <c r="P984" s="7"/>
    </row>
    <row r="985" spans="1:16" ht="12.75" customHeight="1" x14ac:dyDescent="0.3">
      <c r="A985" s="514"/>
      <c r="D985" s="514"/>
      <c r="F985" s="514"/>
      <c r="G985" s="514"/>
      <c r="H985" s="514"/>
      <c r="I985" s="514"/>
      <c r="J985" s="514"/>
      <c r="K985" s="514"/>
      <c r="L985" s="514"/>
      <c r="M985" s="514"/>
      <c r="N985" s="514"/>
      <c r="O985" s="514"/>
      <c r="P985" s="7"/>
    </row>
    <row r="986" spans="1:16" ht="12.75" customHeight="1" x14ac:dyDescent="0.3">
      <c r="A986" s="514"/>
      <c r="D986" s="514"/>
      <c r="F986" s="514"/>
      <c r="G986" s="514"/>
      <c r="H986" s="514"/>
      <c r="I986" s="514"/>
      <c r="J986" s="514"/>
      <c r="K986" s="514"/>
      <c r="L986" s="514"/>
      <c r="M986" s="514"/>
      <c r="N986" s="514"/>
      <c r="O986" s="514"/>
      <c r="P986" s="7"/>
    </row>
    <row r="987" spans="1:16" ht="12.75" customHeight="1" x14ac:dyDescent="0.3">
      <c r="A987" s="514"/>
      <c r="D987" s="514"/>
      <c r="F987" s="514"/>
      <c r="G987" s="514"/>
      <c r="H987" s="514"/>
      <c r="I987" s="514"/>
      <c r="J987" s="514"/>
      <c r="K987" s="514"/>
      <c r="L987" s="514"/>
      <c r="M987" s="514"/>
      <c r="N987" s="514"/>
      <c r="O987" s="514"/>
      <c r="P987" s="7"/>
    </row>
    <row r="988" spans="1:16" ht="12.75" customHeight="1" x14ac:dyDescent="0.3">
      <c r="A988" s="514"/>
      <c r="D988" s="514"/>
      <c r="F988" s="514"/>
      <c r="G988" s="514"/>
      <c r="H988" s="514"/>
      <c r="I988" s="514"/>
      <c r="J988" s="514"/>
      <c r="K988" s="514"/>
      <c r="L988" s="514"/>
      <c r="M988" s="514"/>
      <c r="N988" s="514"/>
      <c r="O988" s="514"/>
      <c r="P988" s="7"/>
    </row>
    <row r="989" spans="1:16" ht="12.75" customHeight="1" x14ac:dyDescent="0.3">
      <c r="A989" s="514"/>
      <c r="D989" s="514"/>
      <c r="F989" s="514"/>
      <c r="G989" s="514"/>
      <c r="H989" s="514"/>
      <c r="I989" s="514"/>
      <c r="J989" s="514"/>
      <c r="K989" s="514"/>
      <c r="L989" s="514"/>
      <c r="M989" s="514"/>
      <c r="N989" s="514"/>
      <c r="O989" s="514"/>
      <c r="P989" s="7"/>
    </row>
    <row r="990" spans="1:16" ht="12.75" customHeight="1" x14ac:dyDescent="0.3">
      <c r="A990" s="514"/>
      <c r="D990" s="514"/>
      <c r="F990" s="514"/>
      <c r="G990" s="514"/>
      <c r="H990" s="514"/>
      <c r="I990" s="514"/>
      <c r="J990" s="514"/>
      <c r="K990" s="514"/>
      <c r="L990" s="514"/>
      <c r="M990" s="514"/>
      <c r="N990" s="514"/>
      <c r="O990" s="514"/>
      <c r="P990" s="7"/>
    </row>
    <row r="991" spans="1:16" ht="12.75" customHeight="1" x14ac:dyDescent="0.3">
      <c r="A991" s="514"/>
      <c r="D991" s="514"/>
      <c r="F991" s="514"/>
      <c r="G991" s="514"/>
      <c r="H991" s="514"/>
      <c r="I991" s="514"/>
      <c r="J991" s="514"/>
      <c r="K991" s="514"/>
      <c r="L991" s="514"/>
      <c r="M991" s="514"/>
      <c r="N991" s="514"/>
      <c r="O991" s="514"/>
      <c r="P991" s="7"/>
    </row>
    <row r="992" spans="1:16" ht="12.75" customHeight="1" x14ac:dyDescent="0.3">
      <c r="A992" s="514"/>
      <c r="D992" s="514"/>
      <c r="F992" s="514"/>
      <c r="G992" s="514"/>
      <c r="H992" s="514"/>
      <c r="I992" s="514"/>
      <c r="J992" s="514"/>
      <c r="K992" s="514"/>
      <c r="L992" s="514"/>
      <c r="M992" s="514"/>
      <c r="N992" s="514"/>
      <c r="O992" s="514"/>
      <c r="P992" s="7"/>
    </row>
    <row r="993" spans="1:16" ht="12.75" customHeight="1" x14ac:dyDescent="0.3">
      <c r="A993" s="514"/>
      <c r="D993" s="514"/>
      <c r="F993" s="514"/>
      <c r="G993" s="514"/>
      <c r="H993" s="514"/>
      <c r="I993" s="514"/>
      <c r="J993" s="514"/>
      <c r="K993" s="514"/>
      <c r="L993" s="514"/>
      <c r="M993" s="514"/>
      <c r="N993" s="514"/>
      <c r="O993" s="514"/>
      <c r="P993" s="7"/>
    </row>
    <row r="994" spans="1:16" ht="12.75" customHeight="1" x14ac:dyDescent="0.3">
      <c r="A994" s="514"/>
      <c r="D994" s="514"/>
      <c r="F994" s="514"/>
      <c r="G994" s="514"/>
      <c r="H994" s="514"/>
      <c r="I994" s="514"/>
      <c r="J994" s="514"/>
      <c r="K994" s="514"/>
      <c r="L994" s="514"/>
      <c r="M994" s="514"/>
      <c r="N994" s="514"/>
      <c r="O994" s="514"/>
      <c r="P994" s="7"/>
    </row>
    <row r="995" spans="1:16" ht="12.75" customHeight="1" x14ac:dyDescent="0.3">
      <c r="A995" s="514"/>
      <c r="D995" s="514"/>
      <c r="F995" s="514"/>
      <c r="G995" s="514"/>
      <c r="H995" s="514"/>
      <c r="I995" s="514"/>
      <c r="J995" s="514"/>
      <c r="K995" s="514"/>
      <c r="L995" s="514"/>
      <c r="M995" s="514"/>
      <c r="N995" s="514"/>
      <c r="O995" s="514"/>
      <c r="P995" s="7"/>
    </row>
    <row r="996" spans="1:16" ht="12.75" customHeight="1" x14ac:dyDescent="0.3">
      <c r="A996" s="514"/>
      <c r="D996" s="514"/>
      <c r="F996" s="514"/>
      <c r="G996" s="514"/>
      <c r="H996" s="514"/>
      <c r="I996" s="514"/>
      <c r="J996" s="514"/>
      <c r="K996" s="514"/>
      <c r="L996" s="514"/>
      <c r="M996" s="514"/>
      <c r="N996" s="514"/>
      <c r="O996" s="514"/>
      <c r="P996" s="7"/>
    </row>
    <row r="997" spans="1:16" ht="12.75" customHeight="1" x14ac:dyDescent="0.3">
      <c r="A997" s="514"/>
      <c r="D997" s="514"/>
      <c r="F997" s="514"/>
      <c r="G997" s="514"/>
      <c r="H997" s="514"/>
      <c r="I997" s="514"/>
      <c r="J997" s="514"/>
      <c r="K997" s="514"/>
      <c r="L997" s="514"/>
      <c r="M997" s="514"/>
      <c r="N997" s="514"/>
      <c r="O997" s="514"/>
      <c r="P997" s="7"/>
    </row>
    <row r="998" spans="1:16" ht="12.75" customHeight="1" x14ac:dyDescent="0.3">
      <c r="A998" s="514"/>
      <c r="D998" s="514"/>
      <c r="F998" s="514"/>
      <c r="G998" s="514"/>
      <c r="H998" s="514"/>
      <c r="I998" s="514"/>
      <c r="J998" s="514"/>
      <c r="K998" s="514"/>
      <c r="L998" s="514"/>
      <c r="M998" s="514"/>
      <c r="N998" s="514"/>
      <c r="O998" s="514"/>
      <c r="P998" s="7"/>
    </row>
    <row r="999" spans="1:16" ht="12.75" customHeight="1" x14ac:dyDescent="0.3">
      <c r="A999" s="514"/>
      <c r="D999" s="514"/>
      <c r="F999" s="514"/>
      <c r="G999" s="514"/>
      <c r="H999" s="514"/>
      <c r="I999" s="514"/>
      <c r="J999" s="514"/>
      <c r="K999" s="514"/>
      <c r="L999" s="514"/>
      <c r="M999" s="514"/>
      <c r="N999" s="514"/>
      <c r="O999" s="514"/>
      <c r="P999" s="7"/>
    </row>
    <row r="1000" spans="1:16" ht="12.75" customHeight="1" x14ac:dyDescent="0.3">
      <c r="A1000" s="514"/>
      <c r="D1000" s="514"/>
      <c r="F1000" s="514"/>
      <c r="G1000" s="514"/>
      <c r="H1000" s="514"/>
      <c r="I1000" s="514"/>
      <c r="J1000" s="514"/>
      <c r="K1000" s="514"/>
      <c r="L1000" s="514"/>
      <c r="M1000" s="514"/>
      <c r="N1000" s="514"/>
      <c r="O1000" s="514"/>
      <c r="P1000" s="7"/>
    </row>
    <row r="1001" spans="1:16" ht="12.75" customHeight="1" x14ac:dyDescent="0.3">
      <c r="A1001" s="514"/>
      <c r="D1001" s="514"/>
      <c r="F1001" s="514"/>
      <c r="G1001" s="514"/>
      <c r="H1001" s="514"/>
      <c r="I1001" s="514"/>
      <c r="J1001" s="514"/>
      <c r="K1001" s="514"/>
      <c r="L1001" s="514"/>
      <c r="M1001" s="514"/>
      <c r="N1001" s="514"/>
      <c r="O1001" s="514"/>
      <c r="P1001" s="7"/>
    </row>
    <row r="1002" spans="1:16" ht="12.75" customHeight="1" x14ac:dyDescent="0.3">
      <c r="A1002" s="514"/>
      <c r="D1002" s="514"/>
      <c r="F1002" s="514"/>
      <c r="G1002" s="514"/>
      <c r="H1002" s="514"/>
      <c r="I1002" s="514"/>
      <c r="J1002" s="514"/>
      <c r="K1002" s="514"/>
      <c r="L1002" s="514"/>
      <c r="M1002" s="514"/>
      <c r="N1002" s="514"/>
      <c r="O1002" s="514"/>
      <c r="P1002" s="7"/>
    </row>
    <row r="1003" spans="1:16" ht="12.75" customHeight="1" x14ac:dyDescent="0.3">
      <c r="A1003" s="514"/>
      <c r="D1003" s="514"/>
      <c r="F1003" s="514"/>
      <c r="G1003" s="514"/>
      <c r="H1003" s="514"/>
      <c r="I1003" s="514"/>
      <c r="J1003" s="514"/>
      <c r="K1003" s="514"/>
      <c r="L1003" s="514"/>
      <c r="M1003" s="514"/>
      <c r="N1003" s="514"/>
      <c r="O1003" s="514"/>
      <c r="P1003" s="7"/>
    </row>
    <row r="1004" spans="1:16" ht="12.75" customHeight="1" x14ac:dyDescent="0.3">
      <c r="A1004" s="514"/>
      <c r="D1004" s="514"/>
      <c r="F1004" s="514"/>
      <c r="G1004" s="514"/>
      <c r="H1004" s="514"/>
      <c r="I1004" s="514"/>
      <c r="J1004" s="514"/>
      <c r="K1004" s="514"/>
      <c r="L1004" s="514"/>
      <c r="M1004" s="514"/>
      <c r="N1004" s="514"/>
      <c r="O1004" s="514"/>
      <c r="P1004" s="7"/>
    </row>
    <row r="1005" spans="1:16" ht="12.75" customHeight="1" x14ac:dyDescent="0.3">
      <c r="A1005" s="514"/>
      <c r="D1005" s="514"/>
      <c r="F1005" s="514"/>
      <c r="G1005" s="514"/>
      <c r="H1005" s="514"/>
      <c r="I1005" s="514"/>
      <c r="J1005" s="514"/>
      <c r="K1005" s="514"/>
      <c r="L1005" s="514"/>
      <c r="M1005" s="514"/>
      <c r="N1005" s="514"/>
      <c r="O1005" s="514"/>
      <c r="P1005" s="7"/>
    </row>
    <row r="1006" spans="1:16" ht="12.75" customHeight="1" x14ac:dyDescent="0.3">
      <c r="A1006" s="514"/>
      <c r="D1006" s="514"/>
      <c r="F1006" s="514"/>
      <c r="G1006" s="514"/>
      <c r="H1006" s="514"/>
      <c r="I1006" s="514"/>
      <c r="J1006" s="514"/>
      <c r="K1006" s="514"/>
      <c r="L1006" s="514"/>
      <c r="M1006" s="514"/>
      <c r="N1006" s="514"/>
      <c r="O1006" s="514"/>
      <c r="P1006" s="7"/>
    </row>
    <row r="1007" spans="1:16" ht="12.75" customHeight="1" x14ac:dyDescent="0.3">
      <c r="A1007" s="514"/>
      <c r="D1007" s="514"/>
      <c r="F1007" s="514"/>
      <c r="G1007" s="514"/>
      <c r="H1007" s="514"/>
      <c r="I1007" s="514"/>
      <c r="J1007" s="514"/>
      <c r="K1007" s="514"/>
      <c r="L1007" s="514"/>
      <c r="M1007" s="514"/>
      <c r="N1007" s="514"/>
      <c r="O1007" s="514"/>
      <c r="P1007" s="7"/>
    </row>
    <row r="1008" spans="1:16" ht="12.75" customHeight="1" x14ac:dyDescent="0.3">
      <c r="A1008" s="514"/>
      <c r="D1008" s="514"/>
      <c r="F1008" s="514"/>
      <c r="G1008" s="514"/>
      <c r="H1008" s="514"/>
      <c r="I1008" s="514"/>
      <c r="J1008" s="514"/>
      <c r="K1008" s="514"/>
      <c r="L1008" s="514"/>
      <c r="M1008" s="514"/>
      <c r="N1008" s="514"/>
      <c r="O1008" s="514"/>
      <c r="P1008" s="7"/>
    </row>
    <row r="1009" spans="1:16" ht="12.75" customHeight="1" x14ac:dyDescent="0.3">
      <c r="A1009" s="514"/>
      <c r="D1009" s="514"/>
      <c r="F1009" s="514"/>
      <c r="G1009" s="514"/>
      <c r="H1009" s="514"/>
      <c r="I1009" s="514"/>
      <c r="J1009" s="514"/>
      <c r="K1009" s="514"/>
      <c r="L1009" s="514"/>
      <c r="M1009" s="514"/>
      <c r="N1009" s="514"/>
      <c r="O1009" s="514"/>
      <c r="P1009" s="7"/>
    </row>
    <row r="1010" spans="1:16" ht="12.75" customHeight="1" x14ac:dyDescent="0.3">
      <c r="A1010" s="514"/>
      <c r="D1010" s="514"/>
      <c r="F1010" s="514"/>
      <c r="G1010" s="514"/>
      <c r="H1010" s="514"/>
      <c r="I1010" s="514"/>
      <c r="J1010" s="514"/>
      <c r="K1010" s="514"/>
      <c r="L1010" s="514"/>
      <c r="M1010" s="514"/>
      <c r="N1010" s="514"/>
      <c r="O1010" s="514"/>
      <c r="P1010" s="7"/>
    </row>
    <row r="1011" spans="1:16" ht="12.75" customHeight="1" x14ac:dyDescent="0.3">
      <c r="A1011" s="514"/>
      <c r="D1011" s="514"/>
      <c r="F1011" s="514"/>
      <c r="G1011" s="514"/>
      <c r="H1011" s="514"/>
      <c r="I1011" s="514"/>
      <c r="J1011" s="514"/>
      <c r="K1011" s="514"/>
      <c r="L1011" s="514"/>
      <c r="M1011" s="514"/>
      <c r="N1011" s="514"/>
      <c r="O1011" s="514"/>
      <c r="P1011" s="7"/>
    </row>
    <row r="1012" spans="1:16" ht="12.75" customHeight="1" x14ac:dyDescent="0.3">
      <c r="A1012" s="514"/>
      <c r="D1012" s="514"/>
      <c r="F1012" s="514"/>
      <c r="G1012" s="514"/>
      <c r="H1012" s="514"/>
      <c r="I1012" s="514"/>
      <c r="J1012" s="514"/>
      <c r="K1012" s="514"/>
      <c r="L1012" s="514"/>
      <c r="M1012" s="514"/>
      <c r="N1012" s="514"/>
      <c r="O1012" s="514"/>
      <c r="P1012" s="7"/>
    </row>
    <row r="1013" spans="1:16" ht="12.75" customHeight="1" x14ac:dyDescent="0.3">
      <c r="A1013" s="514"/>
      <c r="D1013" s="514"/>
      <c r="F1013" s="514"/>
      <c r="G1013" s="514"/>
      <c r="H1013" s="514"/>
      <c r="I1013" s="514"/>
      <c r="J1013" s="514"/>
      <c r="K1013" s="514"/>
      <c r="L1013" s="514"/>
      <c r="M1013" s="514"/>
      <c r="N1013" s="514"/>
      <c r="O1013" s="514"/>
      <c r="P1013" s="7"/>
    </row>
    <row r="1014" spans="1:16" ht="12.75" customHeight="1" x14ac:dyDescent="0.3">
      <c r="A1014" s="514"/>
      <c r="D1014" s="514"/>
      <c r="F1014" s="514"/>
      <c r="G1014" s="514"/>
      <c r="H1014" s="514"/>
      <c r="I1014" s="514"/>
      <c r="J1014" s="514"/>
      <c r="K1014" s="514"/>
      <c r="L1014" s="514"/>
      <c r="M1014" s="514"/>
      <c r="N1014" s="514"/>
      <c r="O1014" s="514"/>
      <c r="P1014" s="7"/>
    </row>
    <row r="1015" spans="1:16" ht="12.75" customHeight="1" x14ac:dyDescent="0.3">
      <c r="A1015" s="514"/>
      <c r="D1015" s="514"/>
      <c r="F1015" s="514"/>
      <c r="G1015" s="514"/>
      <c r="H1015" s="514"/>
      <c r="I1015" s="514"/>
      <c r="J1015" s="514"/>
      <c r="K1015" s="514"/>
      <c r="L1015" s="514"/>
      <c r="M1015" s="514"/>
      <c r="N1015" s="514"/>
      <c r="O1015" s="514"/>
      <c r="P1015" s="7"/>
    </row>
    <row r="1016" spans="1:16" ht="12.75" customHeight="1" x14ac:dyDescent="0.3">
      <c r="A1016" s="514"/>
      <c r="D1016" s="514"/>
      <c r="F1016" s="514"/>
      <c r="G1016" s="514"/>
      <c r="H1016" s="514"/>
      <c r="I1016" s="514"/>
      <c r="J1016" s="514"/>
      <c r="K1016" s="514"/>
      <c r="L1016" s="514"/>
      <c r="M1016" s="514"/>
      <c r="N1016" s="514"/>
      <c r="O1016" s="514"/>
      <c r="P1016" s="7"/>
    </row>
    <row r="1017" spans="1:16" ht="12.75" customHeight="1" x14ac:dyDescent="0.3">
      <c r="A1017" s="514"/>
      <c r="D1017" s="514"/>
      <c r="F1017" s="514"/>
      <c r="G1017" s="514"/>
      <c r="H1017" s="514"/>
      <c r="I1017" s="514"/>
      <c r="J1017" s="514"/>
      <c r="K1017" s="514"/>
      <c r="L1017" s="514"/>
      <c r="M1017" s="514"/>
      <c r="N1017" s="514"/>
      <c r="O1017" s="514"/>
      <c r="P1017" s="7"/>
    </row>
    <row r="1018" spans="1:16" ht="12.75" customHeight="1" x14ac:dyDescent="0.3">
      <c r="A1018" s="514"/>
      <c r="D1018" s="514"/>
      <c r="F1018" s="514"/>
      <c r="G1018" s="514"/>
      <c r="H1018" s="514"/>
      <c r="I1018" s="514"/>
      <c r="J1018" s="514"/>
      <c r="K1018" s="514"/>
      <c r="L1018" s="514"/>
      <c r="M1018" s="514"/>
      <c r="N1018" s="514"/>
      <c r="O1018" s="514"/>
      <c r="P1018" s="7"/>
    </row>
    <row r="1019" spans="1:16" ht="12.75" customHeight="1" x14ac:dyDescent="0.3">
      <c r="A1019" s="514"/>
      <c r="D1019" s="514"/>
      <c r="F1019" s="514"/>
      <c r="G1019" s="514"/>
      <c r="H1019" s="514"/>
      <c r="I1019" s="514"/>
      <c r="J1019" s="514"/>
      <c r="K1019" s="514"/>
      <c r="L1019" s="514"/>
      <c r="M1019" s="514"/>
      <c r="N1019" s="514"/>
      <c r="O1019" s="514"/>
      <c r="P1019" s="7"/>
    </row>
    <row r="1020" spans="1:16" ht="12.75" customHeight="1" x14ac:dyDescent="0.3">
      <c r="A1020" s="514"/>
      <c r="D1020" s="514"/>
      <c r="F1020" s="514"/>
      <c r="G1020" s="514"/>
      <c r="H1020" s="514"/>
      <c r="I1020" s="514"/>
      <c r="J1020" s="514"/>
      <c r="K1020" s="514"/>
      <c r="L1020" s="514"/>
      <c r="M1020" s="514"/>
      <c r="N1020" s="514"/>
      <c r="O1020" s="514"/>
      <c r="P1020" s="7"/>
    </row>
    <row r="1021" spans="1:16" ht="12.75" customHeight="1" x14ac:dyDescent="0.3">
      <c r="A1021" s="514"/>
      <c r="D1021" s="514"/>
      <c r="F1021" s="514"/>
      <c r="G1021" s="514"/>
      <c r="H1021" s="514"/>
      <c r="I1021" s="514"/>
      <c r="J1021" s="514"/>
      <c r="K1021" s="514"/>
      <c r="L1021" s="514"/>
      <c r="M1021" s="514"/>
      <c r="N1021" s="514"/>
      <c r="O1021" s="514"/>
      <c r="P1021" s="7"/>
    </row>
    <row r="1022" spans="1:16" ht="12.75" customHeight="1" x14ac:dyDescent="0.3">
      <c r="A1022" s="514"/>
      <c r="D1022" s="514"/>
      <c r="F1022" s="514"/>
      <c r="G1022" s="514"/>
      <c r="H1022" s="514"/>
      <c r="I1022" s="514"/>
      <c r="J1022" s="514"/>
      <c r="K1022" s="514"/>
      <c r="L1022" s="514"/>
      <c r="M1022" s="514"/>
      <c r="N1022" s="514"/>
      <c r="O1022" s="514"/>
      <c r="P1022" s="7"/>
    </row>
    <row r="1023" spans="1:16" ht="12.75" customHeight="1" x14ac:dyDescent="0.3">
      <c r="A1023" s="514"/>
      <c r="D1023" s="514"/>
      <c r="F1023" s="514"/>
      <c r="G1023" s="514"/>
      <c r="H1023" s="514"/>
      <c r="I1023" s="514"/>
      <c r="J1023" s="514"/>
      <c r="K1023" s="514"/>
      <c r="L1023" s="514"/>
      <c r="M1023" s="514"/>
      <c r="N1023" s="514"/>
      <c r="O1023" s="514"/>
      <c r="P1023" s="7"/>
    </row>
    <row r="1024" spans="1:16" ht="12.75" customHeight="1" x14ac:dyDescent="0.3">
      <c r="A1024" s="514"/>
      <c r="D1024" s="514"/>
      <c r="F1024" s="514"/>
      <c r="G1024" s="514"/>
      <c r="H1024" s="514"/>
      <c r="I1024" s="514"/>
      <c r="J1024" s="514"/>
      <c r="K1024" s="514"/>
      <c r="L1024" s="514"/>
      <c r="M1024" s="514"/>
      <c r="N1024" s="514"/>
      <c r="O1024" s="514"/>
      <c r="P1024" s="7"/>
    </row>
    <row r="1025" spans="1:16" ht="12.75" customHeight="1" x14ac:dyDescent="0.3">
      <c r="A1025" s="514"/>
      <c r="D1025" s="514"/>
      <c r="F1025" s="514"/>
      <c r="G1025" s="514"/>
      <c r="H1025" s="514"/>
      <c r="I1025" s="514"/>
      <c r="J1025" s="514"/>
      <c r="K1025" s="514"/>
      <c r="L1025" s="514"/>
      <c r="M1025" s="514"/>
      <c r="N1025" s="514"/>
      <c r="O1025" s="514"/>
      <c r="P1025" s="7"/>
    </row>
    <row r="1026" spans="1:16" ht="12.75" customHeight="1" x14ac:dyDescent="0.3">
      <c r="A1026" s="514"/>
      <c r="D1026" s="514"/>
      <c r="F1026" s="514"/>
      <c r="G1026" s="514"/>
      <c r="H1026" s="514"/>
      <c r="I1026" s="514"/>
      <c r="J1026" s="514"/>
      <c r="K1026" s="514"/>
      <c r="L1026" s="514"/>
      <c r="M1026" s="514"/>
      <c r="N1026" s="514"/>
      <c r="O1026" s="514"/>
      <c r="P1026" s="7"/>
    </row>
    <row r="1027" spans="1:16" ht="12.75" customHeight="1" x14ac:dyDescent="0.3">
      <c r="A1027" s="514"/>
      <c r="D1027" s="514"/>
      <c r="F1027" s="514"/>
      <c r="G1027" s="514"/>
      <c r="H1027" s="514"/>
      <c r="I1027" s="514"/>
      <c r="J1027" s="514"/>
      <c r="K1027" s="514"/>
      <c r="L1027" s="514"/>
      <c r="M1027" s="514"/>
      <c r="N1027" s="514"/>
      <c r="O1027" s="514"/>
      <c r="P1027" s="7"/>
    </row>
    <row r="1028" spans="1:16" ht="12.75" customHeight="1" x14ac:dyDescent="0.3">
      <c r="A1028" s="514"/>
      <c r="D1028" s="514"/>
      <c r="F1028" s="514"/>
      <c r="G1028" s="514"/>
      <c r="H1028" s="514"/>
      <c r="I1028" s="514"/>
      <c r="J1028" s="514"/>
      <c r="K1028" s="514"/>
      <c r="L1028" s="514"/>
      <c r="M1028" s="514"/>
      <c r="N1028" s="514"/>
      <c r="O1028" s="514"/>
      <c r="P1028" s="7"/>
    </row>
    <row r="1029" spans="1:16" ht="12.75" customHeight="1" x14ac:dyDescent="0.3">
      <c r="A1029" s="514"/>
      <c r="D1029" s="514"/>
      <c r="F1029" s="514"/>
      <c r="G1029" s="514"/>
      <c r="H1029" s="514"/>
      <c r="I1029" s="514"/>
      <c r="J1029" s="514"/>
      <c r="K1029" s="514"/>
      <c r="L1029" s="514"/>
      <c r="M1029" s="514"/>
      <c r="N1029" s="514"/>
      <c r="O1029" s="514"/>
      <c r="P1029" s="7"/>
    </row>
    <row r="1030" spans="1:16" ht="12.75" customHeight="1" x14ac:dyDescent="0.3">
      <c r="A1030" s="514"/>
      <c r="D1030" s="514"/>
      <c r="F1030" s="514"/>
      <c r="G1030" s="514"/>
      <c r="H1030" s="514"/>
      <c r="I1030" s="514"/>
      <c r="J1030" s="514"/>
      <c r="K1030" s="514"/>
      <c r="L1030" s="514"/>
      <c r="M1030" s="514"/>
      <c r="N1030" s="514"/>
      <c r="O1030" s="514"/>
      <c r="P1030" s="7"/>
    </row>
    <row r="1031" spans="1:16" ht="12.75" customHeight="1" x14ac:dyDescent="0.3">
      <c r="A1031" s="514"/>
      <c r="D1031" s="514"/>
      <c r="F1031" s="514"/>
      <c r="G1031" s="514"/>
      <c r="H1031" s="514"/>
      <c r="I1031" s="514"/>
      <c r="J1031" s="514"/>
      <c r="K1031" s="514"/>
      <c r="L1031" s="514"/>
      <c r="M1031" s="514"/>
      <c r="N1031" s="514"/>
      <c r="O1031" s="514"/>
      <c r="P1031" s="7"/>
    </row>
    <row r="1032" spans="1:16" ht="12.75" customHeight="1" x14ac:dyDescent="0.3">
      <c r="A1032" s="514"/>
      <c r="D1032" s="514"/>
      <c r="F1032" s="514"/>
      <c r="G1032" s="514"/>
      <c r="H1032" s="514"/>
      <c r="I1032" s="514"/>
      <c r="J1032" s="514"/>
      <c r="K1032" s="514"/>
      <c r="L1032" s="514"/>
      <c r="M1032" s="514"/>
      <c r="N1032" s="514"/>
      <c r="O1032" s="514"/>
      <c r="P1032" s="7"/>
    </row>
    <row r="1033" spans="1:16" ht="12.75" customHeight="1" x14ac:dyDescent="0.3">
      <c r="A1033" s="514"/>
      <c r="D1033" s="514"/>
      <c r="F1033" s="514"/>
      <c r="G1033" s="514"/>
      <c r="H1033" s="514"/>
      <c r="I1033" s="514"/>
      <c r="J1033" s="514"/>
      <c r="K1033" s="514"/>
      <c r="L1033" s="514"/>
      <c r="M1033" s="514"/>
      <c r="N1033" s="514"/>
      <c r="O1033" s="514"/>
      <c r="P1033" s="7"/>
    </row>
    <row r="1034" spans="1:16" ht="12.75" customHeight="1" x14ac:dyDescent="0.3">
      <c r="A1034" s="514"/>
      <c r="D1034" s="514"/>
      <c r="F1034" s="514"/>
      <c r="G1034" s="514"/>
      <c r="H1034" s="514"/>
      <c r="I1034" s="514"/>
      <c r="J1034" s="514"/>
      <c r="K1034" s="514"/>
      <c r="L1034" s="514"/>
      <c r="M1034" s="514"/>
      <c r="N1034" s="514"/>
      <c r="O1034" s="514"/>
      <c r="P1034" s="7"/>
    </row>
    <row r="1035" spans="1:16" ht="12.75" customHeight="1" x14ac:dyDescent="0.3">
      <c r="A1035" s="514"/>
      <c r="D1035" s="514"/>
      <c r="F1035" s="514"/>
      <c r="G1035" s="514"/>
      <c r="H1035" s="514"/>
      <c r="I1035" s="514"/>
      <c r="J1035" s="514"/>
      <c r="K1035" s="514"/>
      <c r="L1035" s="514"/>
      <c r="M1035" s="514"/>
      <c r="N1035" s="514"/>
      <c r="O1035" s="514"/>
      <c r="P1035" s="7"/>
    </row>
    <row r="1036" spans="1:16" ht="12.75" customHeight="1" x14ac:dyDescent="0.3">
      <c r="A1036" s="514"/>
      <c r="D1036" s="514"/>
      <c r="F1036" s="514"/>
      <c r="G1036" s="514"/>
      <c r="H1036" s="514"/>
      <c r="I1036" s="514"/>
      <c r="J1036" s="514"/>
      <c r="K1036" s="514"/>
      <c r="L1036" s="514"/>
      <c r="M1036" s="514"/>
      <c r="N1036" s="514"/>
      <c r="O1036" s="514"/>
      <c r="P1036" s="7"/>
    </row>
    <row r="1037" spans="1:16" ht="12.75" customHeight="1" x14ac:dyDescent="0.3">
      <c r="A1037" s="514"/>
      <c r="D1037" s="514"/>
      <c r="F1037" s="514"/>
      <c r="G1037" s="514"/>
      <c r="H1037" s="514"/>
      <c r="I1037" s="514"/>
      <c r="J1037" s="514"/>
      <c r="K1037" s="514"/>
      <c r="L1037" s="514"/>
      <c r="M1037" s="514"/>
      <c r="N1037" s="514"/>
      <c r="O1037" s="514"/>
      <c r="P1037" s="7"/>
    </row>
    <row r="1038" spans="1:16" ht="12.75" customHeight="1" x14ac:dyDescent="0.3">
      <c r="A1038" s="514"/>
      <c r="D1038" s="514"/>
      <c r="F1038" s="514"/>
      <c r="G1038" s="514"/>
      <c r="H1038" s="514"/>
      <c r="I1038" s="514"/>
      <c r="J1038" s="514"/>
      <c r="K1038" s="514"/>
      <c r="L1038" s="514"/>
      <c r="M1038" s="514"/>
      <c r="N1038" s="514"/>
      <c r="O1038" s="514"/>
      <c r="P1038" s="7"/>
    </row>
    <row r="1039" spans="1:16" ht="12.75" customHeight="1" x14ac:dyDescent="0.3">
      <c r="A1039" s="514"/>
      <c r="D1039" s="514"/>
      <c r="F1039" s="514"/>
      <c r="G1039" s="514"/>
      <c r="H1039" s="514"/>
      <c r="I1039" s="514"/>
      <c r="J1039" s="514"/>
      <c r="K1039" s="514"/>
      <c r="L1039" s="514"/>
      <c r="M1039" s="514"/>
      <c r="N1039" s="514"/>
      <c r="O1039" s="514"/>
      <c r="P1039" s="7"/>
    </row>
    <row r="1040" spans="1:16" ht="12.75" customHeight="1" x14ac:dyDescent="0.3">
      <c r="A1040" s="514"/>
      <c r="D1040" s="514"/>
      <c r="F1040" s="514"/>
      <c r="G1040" s="514"/>
      <c r="H1040" s="514"/>
      <c r="I1040" s="514"/>
      <c r="J1040" s="514"/>
      <c r="K1040" s="514"/>
      <c r="L1040" s="514"/>
      <c r="M1040" s="514"/>
      <c r="N1040" s="514"/>
      <c r="O1040" s="514"/>
      <c r="P1040" s="7"/>
    </row>
    <row r="1041" spans="1:16" ht="12.75" customHeight="1" x14ac:dyDescent="0.3">
      <c r="A1041" s="514"/>
      <c r="D1041" s="514"/>
      <c r="F1041" s="514"/>
      <c r="G1041" s="514"/>
      <c r="H1041" s="514"/>
      <c r="I1041" s="514"/>
      <c r="J1041" s="514"/>
      <c r="K1041" s="514"/>
      <c r="L1041" s="514"/>
      <c r="M1041" s="514"/>
      <c r="N1041" s="514"/>
      <c r="O1041" s="514"/>
      <c r="P1041" s="7"/>
    </row>
    <row r="1042" spans="1:16" ht="12.75" customHeight="1" x14ac:dyDescent="0.3">
      <c r="A1042" s="514"/>
      <c r="D1042" s="514"/>
      <c r="F1042" s="514"/>
      <c r="G1042" s="514"/>
      <c r="H1042" s="514"/>
      <c r="I1042" s="514"/>
      <c r="J1042" s="514"/>
      <c r="K1042" s="514"/>
      <c r="L1042" s="514"/>
      <c r="M1042" s="514"/>
      <c r="N1042" s="514"/>
      <c r="O1042" s="514"/>
      <c r="P1042" s="7"/>
    </row>
    <row r="1043" spans="1:16" ht="12.75" customHeight="1" x14ac:dyDescent="0.3">
      <c r="A1043" s="514"/>
      <c r="D1043" s="514"/>
      <c r="F1043" s="514"/>
      <c r="G1043" s="514"/>
      <c r="H1043" s="514"/>
      <c r="I1043" s="514"/>
      <c r="J1043" s="514"/>
      <c r="K1043" s="514"/>
      <c r="L1043" s="514"/>
      <c r="M1043" s="514"/>
      <c r="N1043" s="514"/>
      <c r="O1043" s="514"/>
      <c r="P1043" s="7"/>
    </row>
    <row r="1044" spans="1:16" ht="12.75" customHeight="1" x14ac:dyDescent="0.3">
      <c r="A1044" s="514"/>
      <c r="D1044" s="514"/>
      <c r="F1044" s="514"/>
      <c r="G1044" s="514"/>
      <c r="H1044" s="514"/>
      <c r="I1044" s="514"/>
      <c r="J1044" s="514"/>
      <c r="K1044" s="514"/>
      <c r="L1044" s="514"/>
      <c r="M1044" s="514"/>
      <c r="N1044" s="514"/>
      <c r="O1044" s="514"/>
      <c r="P1044" s="7"/>
    </row>
    <row r="1045" spans="1:16" ht="12.75" customHeight="1" x14ac:dyDescent="0.3">
      <c r="A1045" s="514"/>
      <c r="D1045" s="514"/>
      <c r="F1045" s="514"/>
      <c r="G1045" s="514"/>
      <c r="H1045" s="514"/>
      <c r="I1045" s="514"/>
      <c r="J1045" s="514"/>
      <c r="K1045" s="514"/>
      <c r="L1045" s="514"/>
      <c r="M1045" s="514"/>
      <c r="N1045" s="514"/>
      <c r="O1045" s="514"/>
      <c r="P1045" s="7"/>
    </row>
    <row r="1046" spans="1:16" ht="12.75" customHeight="1" x14ac:dyDescent="0.3">
      <c r="A1046" s="514"/>
      <c r="D1046" s="514"/>
      <c r="F1046" s="514"/>
      <c r="G1046" s="514"/>
      <c r="H1046" s="514"/>
      <c r="I1046" s="514"/>
      <c r="J1046" s="514"/>
      <c r="K1046" s="514"/>
      <c r="L1046" s="514"/>
      <c r="M1046" s="514"/>
      <c r="N1046" s="514"/>
      <c r="O1046" s="514"/>
      <c r="P1046" s="7"/>
    </row>
    <row r="1047" spans="1:16" ht="12.75" customHeight="1" x14ac:dyDescent="0.3">
      <c r="A1047" s="514"/>
      <c r="D1047" s="514"/>
      <c r="F1047" s="514"/>
      <c r="G1047" s="514"/>
      <c r="H1047" s="514"/>
      <c r="I1047" s="514"/>
      <c r="J1047" s="514"/>
      <c r="K1047" s="514"/>
      <c r="L1047" s="514"/>
      <c r="M1047" s="514"/>
      <c r="N1047" s="514"/>
      <c r="O1047" s="514"/>
      <c r="P1047" s="7"/>
    </row>
    <row r="1048" spans="1:16" ht="12.75" customHeight="1" x14ac:dyDescent="0.3">
      <c r="A1048" s="514"/>
      <c r="D1048" s="514"/>
      <c r="F1048" s="514"/>
      <c r="G1048" s="514"/>
      <c r="H1048" s="514"/>
      <c r="I1048" s="514"/>
      <c r="J1048" s="514"/>
      <c r="K1048" s="514"/>
      <c r="L1048" s="514"/>
      <c r="M1048" s="514"/>
      <c r="N1048" s="514"/>
      <c r="O1048" s="514"/>
      <c r="P1048" s="7"/>
    </row>
    <row r="1049" spans="1:16" ht="12.75" customHeight="1" x14ac:dyDescent="0.3">
      <c r="A1049" s="514"/>
      <c r="D1049" s="514"/>
      <c r="F1049" s="514"/>
      <c r="G1049" s="514"/>
      <c r="H1049" s="514"/>
      <c r="I1049" s="514"/>
      <c r="J1049" s="514"/>
      <c r="K1049" s="514"/>
      <c r="L1049" s="514"/>
      <c r="M1049" s="514"/>
      <c r="N1049" s="514"/>
      <c r="O1049" s="514"/>
      <c r="P1049" s="7"/>
    </row>
    <row r="1050" spans="1:16" ht="12.75" customHeight="1" x14ac:dyDescent="0.3">
      <c r="A1050" s="514"/>
      <c r="D1050" s="514"/>
      <c r="F1050" s="514"/>
      <c r="G1050" s="514"/>
      <c r="H1050" s="514"/>
      <c r="I1050" s="514"/>
      <c r="J1050" s="514"/>
      <c r="K1050" s="514"/>
      <c r="L1050" s="514"/>
      <c r="M1050" s="514"/>
      <c r="N1050" s="514"/>
      <c r="O1050" s="514"/>
      <c r="P1050" s="7"/>
    </row>
    <row r="1051" spans="1:16" ht="12.75" customHeight="1" x14ac:dyDescent="0.3">
      <c r="A1051" s="514"/>
      <c r="D1051" s="514"/>
      <c r="F1051" s="514"/>
      <c r="G1051" s="514"/>
      <c r="H1051" s="514"/>
      <c r="I1051" s="514"/>
      <c r="J1051" s="514"/>
      <c r="K1051" s="514"/>
      <c r="L1051" s="514"/>
      <c r="M1051" s="514"/>
      <c r="N1051" s="514"/>
      <c r="O1051" s="514"/>
      <c r="P1051" s="7"/>
    </row>
    <row r="1052" spans="1:16" ht="12.75" customHeight="1" x14ac:dyDescent="0.3">
      <c r="A1052" s="514"/>
      <c r="D1052" s="514"/>
      <c r="F1052" s="514"/>
      <c r="G1052" s="514"/>
      <c r="H1052" s="514"/>
      <c r="I1052" s="514"/>
      <c r="J1052" s="514"/>
      <c r="K1052" s="514"/>
      <c r="L1052" s="514"/>
      <c r="M1052" s="514"/>
      <c r="N1052" s="514"/>
      <c r="O1052" s="514"/>
    </row>
    <row r="1053" spans="1:16" ht="12.75" customHeight="1" x14ac:dyDescent="0.3">
      <c r="A1053" s="514"/>
      <c r="D1053" s="514"/>
      <c r="F1053" s="514"/>
      <c r="G1053" s="514"/>
      <c r="H1053" s="514"/>
      <c r="I1053" s="514"/>
      <c r="J1053" s="514"/>
      <c r="K1053" s="514"/>
      <c r="L1053" s="514"/>
      <c r="M1053" s="514"/>
      <c r="N1053" s="514"/>
      <c r="O1053" s="514"/>
    </row>
    <row r="1054" spans="1:16" ht="12.75" customHeight="1" x14ac:dyDescent="0.3">
      <c r="A1054" s="514"/>
      <c r="D1054" s="514"/>
      <c r="F1054" s="514"/>
      <c r="G1054" s="514"/>
      <c r="H1054" s="514"/>
      <c r="I1054" s="514"/>
      <c r="J1054" s="514"/>
      <c r="K1054" s="514"/>
      <c r="L1054" s="514"/>
      <c r="M1054" s="514"/>
      <c r="N1054" s="514"/>
      <c r="O1054" s="514"/>
    </row>
    <row r="1055" spans="1:16" ht="12.75" customHeight="1" x14ac:dyDescent="0.3">
      <c r="A1055" s="514"/>
      <c r="D1055" s="514"/>
      <c r="F1055" s="514"/>
      <c r="G1055" s="514"/>
      <c r="H1055" s="514"/>
      <c r="I1055" s="514"/>
      <c r="J1055" s="514"/>
      <c r="K1055" s="514"/>
      <c r="L1055" s="514"/>
      <c r="M1055" s="514"/>
      <c r="N1055" s="514"/>
      <c r="O1055" s="514"/>
    </row>
    <row r="1056" spans="1:16" ht="12.75" customHeight="1" x14ac:dyDescent="0.3">
      <c r="A1056" s="514"/>
      <c r="D1056" s="514"/>
      <c r="F1056" s="514"/>
      <c r="G1056" s="514"/>
      <c r="H1056" s="514"/>
      <c r="I1056" s="514"/>
      <c r="J1056" s="514"/>
      <c r="K1056" s="514"/>
      <c r="L1056" s="514"/>
      <c r="M1056" s="514"/>
      <c r="N1056" s="514"/>
      <c r="O1056" s="514"/>
    </row>
    <row r="1057" spans="1:22" ht="12.75" customHeight="1" x14ac:dyDescent="0.3">
      <c r="A1057" s="514"/>
      <c r="D1057" s="514"/>
      <c r="F1057" s="514"/>
      <c r="G1057" s="514"/>
      <c r="H1057" s="514"/>
      <c r="I1057" s="514"/>
      <c r="J1057" s="514"/>
      <c r="K1057" s="514"/>
      <c r="L1057" s="514"/>
      <c r="M1057" s="514"/>
      <c r="N1057" s="514"/>
      <c r="O1057" s="514"/>
    </row>
    <row r="1058" spans="1:22" ht="12.75" customHeight="1" x14ac:dyDescent="0.3">
      <c r="A1058" s="514"/>
      <c r="D1058" s="514"/>
      <c r="F1058" s="514"/>
      <c r="G1058" s="514"/>
      <c r="H1058" s="514"/>
      <c r="I1058" s="514"/>
      <c r="J1058" s="514"/>
      <c r="K1058" s="514"/>
      <c r="L1058" s="514"/>
      <c r="M1058" s="514"/>
      <c r="N1058" s="514"/>
      <c r="O1058" s="514"/>
    </row>
    <row r="1059" spans="1:22" ht="12.75" customHeight="1" x14ac:dyDescent="0.3">
      <c r="A1059" s="514"/>
      <c r="D1059" s="514"/>
      <c r="F1059" s="514"/>
      <c r="G1059" s="514"/>
      <c r="H1059" s="514"/>
      <c r="I1059" s="514"/>
      <c r="J1059" s="514"/>
      <c r="K1059" s="514"/>
      <c r="L1059" s="514"/>
      <c r="M1059" s="514"/>
      <c r="N1059" s="514"/>
      <c r="O1059" s="514"/>
    </row>
    <row r="1060" spans="1:22" ht="12.75" customHeight="1" x14ac:dyDescent="0.3">
      <c r="A1060" s="514"/>
      <c r="D1060" s="514"/>
      <c r="F1060" s="514"/>
      <c r="G1060" s="514"/>
      <c r="H1060" s="514"/>
      <c r="I1060" s="514"/>
      <c r="J1060" s="514"/>
      <c r="K1060" s="514"/>
      <c r="L1060" s="514"/>
      <c r="M1060" s="514"/>
      <c r="N1060" s="514"/>
      <c r="O1060" s="514"/>
    </row>
    <row r="1061" spans="1:22" ht="12.75" customHeight="1" x14ac:dyDescent="0.3">
      <c r="A1061" s="514"/>
      <c r="D1061" s="514"/>
      <c r="F1061" s="514"/>
      <c r="G1061" s="514"/>
      <c r="H1061" s="514"/>
      <c r="I1061" s="514"/>
      <c r="J1061" s="514"/>
      <c r="K1061" s="514"/>
      <c r="L1061" s="514"/>
      <c r="M1061" s="514"/>
      <c r="N1061" s="514"/>
      <c r="O1061" s="514"/>
      <c r="P1061" s="514"/>
      <c r="Q1061" s="514"/>
      <c r="R1061" s="514"/>
      <c r="S1061" s="514"/>
      <c r="T1061" s="514"/>
      <c r="U1061" s="514"/>
      <c r="V1061" s="514"/>
    </row>
    <row r="1062" spans="1:22" ht="12.75" customHeight="1" x14ac:dyDescent="0.3">
      <c r="A1062" s="514"/>
      <c r="D1062" s="514"/>
      <c r="F1062" s="514"/>
      <c r="G1062" s="514"/>
      <c r="H1062" s="514"/>
      <c r="I1062" s="514"/>
      <c r="J1062" s="514"/>
      <c r="K1062" s="514"/>
      <c r="L1062" s="514"/>
      <c r="M1062" s="514"/>
      <c r="N1062" s="514"/>
      <c r="O1062" s="514"/>
      <c r="P1062" s="514"/>
      <c r="Q1062" s="514"/>
      <c r="R1062" s="514"/>
      <c r="S1062" s="514"/>
      <c r="T1062" s="514"/>
      <c r="U1062" s="514"/>
      <c r="V1062" s="514"/>
    </row>
    <row r="1063" spans="1:22" ht="12.75" customHeight="1" x14ac:dyDescent="0.3">
      <c r="A1063" s="514"/>
      <c r="D1063" s="514"/>
      <c r="F1063" s="514"/>
      <c r="G1063" s="514"/>
      <c r="H1063" s="514"/>
      <c r="I1063" s="514"/>
      <c r="J1063" s="514"/>
      <c r="K1063" s="514"/>
      <c r="L1063" s="514"/>
      <c r="M1063" s="514"/>
      <c r="N1063" s="514"/>
      <c r="O1063" s="514"/>
      <c r="P1063" s="514"/>
      <c r="Q1063" s="514"/>
      <c r="R1063" s="514"/>
      <c r="S1063" s="514"/>
      <c r="T1063" s="514"/>
      <c r="U1063" s="514"/>
      <c r="V1063" s="514"/>
    </row>
    <row r="1064" spans="1:22" ht="12.75" customHeight="1" x14ac:dyDescent="0.3">
      <c r="A1064" s="514"/>
      <c r="D1064" s="514"/>
      <c r="F1064" s="514"/>
      <c r="G1064" s="514"/>
      <c r="H1064" s="514"/>
      <c r="I1064" s="514"/>
      <c r="J1064" s="514"/>
      <c r="K1064" s="514"/>
      <c r="L1064" s="514"/>
      <c r="M1064" s="514"/>
      <c r="N1064" s="514"/>
      <c r="O1064" s="514"/>
      <c r="P1064" s="514"/>
      <c r="Q1064" s="514"/>
      <c r="R1064" s="514"/>
      <c r="S1064" s="514"/>
      <c r="T1064" s="514"/>
      <c r="U1064" s="514"/>
      <c r="V1064" s="514"/>
    </row>
    <row r="1065" spans="1:22" ht="12.75" customHeight="1" x14ac:dyDescent="0.3">
      <c r="A1065" s="514"/>
      <c r="D1065" s="514"/>
      <c r="F1065" s="514"/>
      <c r="G1065" s="514"/>
      <c r="H1065" s="514"/>
      <c r="I1065" s="514"/>
      <c r="J1065" s="514"/>
      <c r="K1065" s="514"/>
      <c r="L1065" s="514"/>
      <c r="M1065" s="514"/>
      <c r="N1065" s="514"/>
      <c r="O1065" s="514"/>
      <c r="P1065" s="514"/>
      <c r="Q1065" s="514"/>
      <c r="R1065" s="514"/>
      <c r="S1065" s="514"/>
      <c r="T1065" s="514"/>
      <c r="U1065" s="514"/>
      <c r="V1065" s="514"/>
    </row>
    <row r="1066" spans="1:22" ht="12.75" customHeight="1" x14ac:dyDescent="0.3">
      <c r="A1066" s="514"/>
      <c r="D1066" s="514"/>
      <c r="F1066" s="514"/>
      <c r="G1066" s="514"/>
      <c r="H1066" s="514"/>
      <c r="I1066" s="514"/>
      <c r="J1066" s="514"/>
      <c r="K1066" s="514"/>
      <c r="L1066" s="514"/>
      <c r="M1066" s="514"/>
      <c r="N1066" s="514"/>
      <c r="O1066" s="514"/>
      <c r="P1066" s="514"/>
      <c r="Q1066" s="514"/>
      <c r="R1066" s="514"/>
      <c r="S1066" s="514"/>
      <c r="T1066" s="514"/>
      <c r="U1066" s="514"/>
      <c r="V1066" s="514"/>
    </row>
    <row r="1067" spans="1:22" ht="12.75" customHeight="1" x14ac:dyDescent="0.3">
      <c r="A1067" s="514"/>
      <c r="D1067" s="514"/>
      <c r="F1067" s="514"/>
      <c r="G1067" s="514"/>
      <c r="H1067" s="514"/>
      <c r="I1067" s="514"/>
      <c r="J1067" s="514"/>
      <c r="K1067" s="514"/>
      <c r="L1067" s="514"/>
      <c r="M1067" s="514"/>
      <c r="N1067" s="514"/>
      <c r="O1067" s="514"/>
      <c r="P1067" s="514"/>
      <c r="Q1067" s="514"/>
      <c r="R1067" s="514"/>
      <c r="S1067" s="514"/>
      <c r="T1067" s="514"/>
      <c r="U1067" s="514"/>
      <c r="V1067" s="514"/>
    </row>
    <row r="1068" spans="1:22" ht="12.75" customHeight="1" x14ac:dyDescent="0.3">
      <c r="A1068" s="514"/>
      <c r="D1068" s="514"/>
      <c r="F1068" s="514"/>
      <c r="G1068" s="514"/>
      <c r="H1068" s="514"/>
      <c r="I1068" s="514"/>
      <c r="J1068" s="514"/>
      <c r="K1068" s="514"/>
      <c r="L1068" s="514"/>
      <c r="M1068" s="514"/>
      <c r="N1068" s="514"/>
      <c r="O1068" s="514"/>
      <c r="P1068" s="514"/>
      <c r="Q1068" s="514"/>
      <c r="R1068" s="514"/>
      <c r="S1068" s="514"/>
      <c r="T1068" s="514"/>
      <c r="U1068" s="514"/>
      <c r="V1068" s="514"/>
    </row>
    <row r="1069" spans="1:22" ht="12.75" customHeight="1" x14ac:dyDescent="0.3">
      <c r="A1069" s="514"/>
      <c r="D1069" s="514"/>
      <c r="F1069" s="514"/>
      <c r="G1069" s="514"/>
      <c r="H1069" s="514"/>
      <c r="I1069" s="514"/>
      <c r="J1069" s="514"/>
      <c r="K1069" s="514"/>
      <c r="L1069" s="514"/>
      <c r="M1069" s="514"/>
      <c r="N1069" s="514"/>
      <c r="O1069" s="514"/>
      <c r="P1069" s="514"/>
      <c r="Q1069" s="514"/>
      <c r="R1069" s="514"/>
      <c r="S1069" s="514"/>
      <c r="T1069" s="514"/>
      <c r="U1069" s="514"/>
      <c r="V1069" s="514"/>
    </row>
    <row r="1070" spans="1:22" ht="12.75" customHeight="1" x14ac:dyDescent="0.3">
      <c r="A1070" s="514"/>
      <c r="D1070" s="514"/>
      <c r="F1070" s="514"/>
      <c r="G1070" s="514"/>
      <c r="H1070" s="514"/>
      <c r="I1070" s="514"/>
      <c r="J1070" s="514"/>
      <c r="K1070" s="514"/>
      <c r="L1070" s="514"/>
      <c r="M1070" s="514"/>
      <c r="N1070" s="514"/>
      <c r="O1070" s="514"/>
      <c r="P1070" s="514"/>
      <c r="Q1070" s="514"/>
      <c r="R1070" s="514"/>
      <c r="S1070" s="514"/>
      <c r="T1070" s="514"/>
      <c r="U1070" s="514"/>
      <c r="V1070" s="514"/>
    </row>
    <row r="1071" spans="1:22" ht="12.75" customHeight="1" x14ac:dyDescent="0.3">
      <c r="A1071" s="514"/>
      <c r="D1071" s="514"/>
      <c r="F1071" s="514"/>
      <c r="G1071" s="514"/>
      <c r="H1071" s="514"/>
      <c r="I1071" s="514"/>
      <c r="J1071" s="514"/>
      <c r="K1071" s="514"/>
      <c r="L1071" s="514"/>
      <c r="M1071" s="514"/>
      <c r="N1071" s="514"/>
      <c r="O1071" s="514"/>
      <c r="P1071" s="514"/>
      <c r="Q1071" s="514"/>
      <c r="R1071" s="514"/>
      <c r="S1071" s="514"/>
      <c r="T1071" s="514"/>
      <c r="U1071" s="514"/>
      <c r="V1071" s="514"/>
    </row>
    <row r="1072" spans="1:22" ht="12.75" customHeight="1" x14ac:dyDescent="0.3">
      <c r="A1072" s="514"/>
      <c r="D1072" s="514"/>
      <c r="F1072" s="514"/>
      <c r="G1072" s="514"/>
      <c r="H1072" s="514"/>
      <c r="I1072" s="514"/>
      <c r="J1072" s="514"/>
      <c r="K1072" s="514"/>
      <c r="L1072" s="514"/>
      <c r="M1072" s="514"/>
      <c r="N1072" s="514"/>
      <c r="O1072" s="514"/>
      <c r="P1072" s="514"/>
      <c r="Q1072" s="514"/>
      <c r="R1072" s="514"/>
      <c r="S1072" s="514"/>
      <c r="T1072" s="514"/>
      <c r="U1072" s="514"/>
      <c r="V1072" s="514"/>
    </row>
    <row r="1073" s="514" customFormat="1" ht="12.75" customHeight="1" x14ac:dyDescent="0.3"/>
    <row r="1074" s="514" customFormat="1" ht="12.75" customHeight="1" x14ac:dyDescent="0.3"/>
    <row r="1075" s="514" customFormat="1" ht="12.75" customHeight="1" x14ac:dyDescent="0.3"/>
    <row r="1076" s="514" customFormat="1" ht="12.75" customHeight="1" x14ac:dyDescent="0.3"/>
    <row r="1077" s="514" customFormat="1" ht="12.75" customHeight="1" x14ac:dyDescent="0.3"/>
    <row r="1078" s="514" customFormat="1" ht="12.75" customHeight="1" x14ac:dyDescent="0.3"/>
    <row r="1079" s="514" customFormat="1" ht="12.75" customHeight="1" x14ac:dyDescent="0.3"/>
    <row r="1080" s="514" customFormat="1" ht="12.75" customHeight="1" x14ac:dyDescent="0.3"/>
    <row r="1081" s="514" customFormat="1" ht="12.75" customHeight="1" x14ac:dyDescent="0.3"/>
    <row r="1082" s="514" customFormat="1" ht="12.75" customHeight="1" x14ac:dyDescent="0.3"/>
    <row r="1083" s="514" customFormat="1" ht="12.75" customHeight="1" x14ac:dyDescent="0.3"/>
    <row r="1084" s="514" customFormat="1" ht="12.75" customHeight="1" x14ac:dyDescent="0.3"/>
    <row r="1085" s="514" customFormat="1" ht="12.75" customHeight="1" x14ac:dyDescent="0.3"/>
    <row r="1086" s="514" customFormat="1" ht="12.75" customHeight="1" x14ac:dyDescent="0.3"/>
    <row r="1087" s="514" customFormat="1" ht="12.75" customHeight="1" x14ac:dyDescent="0.3"/>
    <row r="1088" s="514" customFormat="1" ht="12.75" customHeight="1" x14ac:dyDescent="0.3"/>
    <row r="1089" s="514" customFormat="1" ht="12.75" customHeight="1" x14ac:dyDescent="0.3"/>
    <row r="1090" s="514" customFormat="1" ht="12.75" customHeight="1" x14ac:dyDescent="0.3"/>
    <row r="1091" s="514" customFormat="1" ht="12.75" customHeight="1" x14ac:dyDescent="0.3"/>
    <row r="1092" s="514" customFormat="1" ht="12.75" customHeight="1" x14ac:dyDescent="0.3"/>
    <row r="1093" s="514" customFormat="1" ht="12.75" customHeight="1" x14ac:dyDescent="0.3"/>
    <row r="1094" s="514" customFormat="1" ht="12.75" customHeight="1" x14ac:dyDescent="0.3"/>
    <row r="1095" s="514" customFormat="1" ht="12.75" customHeight="1" x14ac:dyDescent="0.3"/>
    <row r="1096" s="514" customFormat="1" ht="12.75" customHeight="1" x14ac:dyDescent="0.3"/>
    <row r="1097" s="514" customFormat="1" ht="12.75" customHeight="1" x14ac:dyDescent="0.3"/>
    <row r="1098" s="514" customFormat="1" ht="12.75" customHeight="1" x14ac:dyDescent="0.3"/>
    <row r="1099" s="514" customFormat="1" ht="12.75" customHeight="1" x14ac:dyDescent="0.3"/>
    <row r="1100" s="514" customFormat="1" ht="12.75" customHeight="1" x14ac:dyDescent="0.3"/>
    <row r="1101" s="514" customFormat="1" ht="12.75" customHeight="1" x14ac:dyDescent="0.3"/>
    <row r="1102" s="514" customFormat="1" ht="12.75" customHeight="1" x14ac:dyDescent="0.3"/>
    <row r="1103" s="514" customFormat="1" ht="12.75" customHeight="1" x14ac:dyDescent="0.3"/>
    <row r="1104" s="514" customFormat="1" ht="12.75" customHeight="1" x14ac:dyDescent="0.3"/>
    <row r="1105" s="514" customFormat="1" ht="12.75" customHeight="1" x14ac:dyDescent="0.3"/>
    <row r="1106" s="514" customFormat="1" ht="12.75" customHeight="1" x14ac:dyDescent="0.3"/>
    <row r="1107" s="514" customFormat="1" ht="12.75" customHeight="1" x14ac:dyDescent="0.3"/>
    <row r="1108" s="514" customFormat="1" ht="12.75" customHeight="1" x14ac:dyDescent="0.3"/>
    <row r="1109" s="514" customFormat="1" ht="12.75" customHeight="1" x14ac:dyDescent="0.3"/>
    <row r="1110" s="514" customFormat="1" ht="12.75" customHeight="1" x14ac:dyDescent="0.3"/>
    <row r="1111" s="514" customFormat="1" ht="12.75" customHeight="1" x14ac:dyDescent="0.3"/>
    <row r="1112" s="514" customFormat="1" ht="12.75" customHeight="1" x14ac:dyDescent="0.3"/>
    <row r="1113" s="514" customFormat="1" ht="12.75" customHeight="1" x14ac:dyDescent="0.3"/>
    <row r="1114" s="514" customFormat="1" ht="12.75" customHeight="1" x14ac:dyDescent="0.3"/>
    <row r="1115" s="514" customFormat="1" ht="12.75" customHeight="1" x14ac:dyDescent="0.3"/>
    <row r="1116" s="514" customFormat="1" ht="12.75" customHeight="1" x14ac:dyDescent="0.3"/>
    <row r="1117" s="514" customFormat="1" ht="12.75" customHeight="1" x14ac:dyDescent="0.3"/>
    <row r="1118" s="514" customFormat="1" ht="12.75" customHeight="1" x14ac:dyDescent="0.3"/>
    <row r="1119" s="514" customFormat="1" ht="12.75" customHeight="1" x14ac:dyDescent="0.3"/>
    <row r="1120" s="514" customFormat="1" ht="12.75" customHeight="1" x14ac:dyDescent="0.3"/>
    <row r="1121" s="514" customFormat="1" ht="12.75" customHeight="1" x14ac:dyDescent="0.3"/>
    <row r="1122" s="514" customFormat="1" ht="12.75" customHeight="1" x14ac:dyDescent="0.3"/>
    <row r="1123" s="514" customFormat="1" ht="12.75" customHeight="1" x14ac:dyDescent="0.3"/>
    <row r="1124" s="514" customFormat="1" ht="12.75" customHeight="1" x14ac:dyDescent="0.3"/>
    <row r="1125" s="514" customFormat="1" ht="12.75" customHeight="1" x14ac:dyDescent="0.3"/>
    <row r="1126" s="514" customFormat="1" ht="12.75" customHeight="1" x14ac:dyDescent="0.3"/>
    <row r="1127" s="514" customFormat="1" ht="12.75" customHeight="1" x14ac:dyDescent="0.3"/>
    <row r="1128" s="514" customFormat="1" ht="12.75" customHeight="1" x14ac:dyDescent="0.3"/>
    <row r="1129" s="514" customFormat="1" ht="12.75" customHeight="1" x14ac:dyDescent="0.3"/>
    <row r="1130" s="514" customFormat="1" ht="12.75" customHeight="1" x14ac:dyDescent="0.3"/>
    <row r="1131" s="514" customFormat="1" ht="12.75" customHeight="1" x14ac:dyDescent="0.3"/>
    <row r="1132" s="514" customFormat="1" ht="12.75" customHeight="1" x14ac:dyDescent="0.3"/>
    <row r="1133" s="514" customFormat="1" ht="12.75" customHeight="1" x14ac:dyDescent="0.3"/>
    <row r="1134" s="514" customFormat="1" ht="12.75" customHeight="1" x14ac:dyDescent="0.3"/>
    <row r="1135" s="514" customFormat="1" ht="12.75" customHeight="1" x14ac:dyDescent="0.3"/>
    <row r="1136" s="514" customFormat="1" ht="12.75" customHeight="1" x14ac:dyDescent="0.3"/>
    <row r="1137" s="514" customFormat="1" ht="12.75" customHeight="1" x14ac:dyDescent="0.3"/>
    <row r="1138" s="514" customFormat="1" ht="12.75" customHeight="1" x14ac:dyDescent="0.3"/>
    <row r="1139" s="514" customFormat="1" ht="12.75" customHeight="1" x14ac:dyDescent="0.3"/>
    <row r="1140" s="514" customFormat="1" ht="12.75" customHeight="1" x14ac:dyDescent="0.3"/>
    <row r="1141" s="514" customFormat="1" ht="12.75" customHeight="1" x14ac:dyDescent="0.3"/>
    <row r="1142" s="514" customFormat="1" ht="12.75" customHeight="1" x14ac:dyDescent="0.3"/>
    <row r="1143" s="514" customFormat="1" ht="12.75" customHeight="1" x14ac:dyDescent="0.3"/>
    <row r="1144" s="514" customFormat="1" ht="12.75" customHeight="1" x14ac:dyDescent="0.3"/>
    <row r="1145" s="514" customFormat="1" ht="12.75" customHeight="1" x14ac:dyDescent="0.3"/>
    <row r="1146" s="514" customFormat="1" ht="12.75" customHeight="1" x14ac:dyDescent="0.3"/>
    <row r="1147" s="514" customFormat="1" ht="12.75" customHeight="1" x14ac:dyDescent="0.3"/>
    <row r="1148" s="514" customFormat="1" ht="12.75" customHeight="1" x14ac:dyDescent="0.3"/>
    <row r="1149" s="514" customFormat="1" ht="12.75" customHeight="1" x14ac:dyDescent="0.3"/>
    <row r="1150" s="514" customFormat="1" ht="12.75" customHeight="1" x14ac:dyDescent="0.3"/>
    <row r="1151" s="514" customFormat="1" ht="12.75" customHeight="1" x14ac:dyDescent="0.3"/>
    <row r="1152" s="514" customFormat="1" ht="12.75" customHeight="1" x14ac:dyDescent="0.3"/>
    <row r="1153" s="514" customFormat="1" ht="12.75" customHeight="1" x14ac:dyDescent="0.3"/>
    <row r="1154" s="514" customFormat="1" ht="12.75" customHeight="1" x14ac:dyDescent="0.3"/>
    <row r="1155" s="514" customFormat="1" ht="12.75" customHeight="1" x14ac:dyDescent="0.3"/>
    <row r="1156" s="514" customFormat="1" ht="12.75" customHeight="1" x14ac:dyDescent="0.3"/>
    <row r="1157" s="514" customFormat="1" ht="12.75" customHeight="1" x14ac:dyDescent="0.3"/>
    <row r="1158" s="514" customFormat="1" ht="12.75" customHeight="1" x14ac:dyDescent="0.3"/>
    <row r="1159" s="514" customFormat="1" ht="12.75" customHeight="1" x14ac:dyDescent="0.3"/>
    <row r="1160" s="514" customFormat="1" ht="12.75" customHeight="1" x14ac:dyDescent="0.3"/>
    <row r="1161" s="514" customFormat="1" ht="12.75" customHeight="1" x14ac:dyDescent="0.3"/>
    <row r="1162" s="514" customFormat="1" ht="12.75" customHeight="1" x14ac:dyDescent="0.3"/>
    <row r="1163" s="514" customFormat="1" ht="12.75" customHeight="1" x14ac:dyDescent="0.3"/>
    <row r="1164" s="514" customFormat="1" ht="12.75" customHeight="1" x14ac:dyDescent="0.3"/>
    <row r="1165" s="514" customFormat="1" ht="12.75" customHeight="1" x14ac:dyDescent="0.3"/>
    <row r="1166" s="514" customFormat="1" ht="12.75" customHeight="1" x14ac:dyDescent="0.3"/>
    <row r="1167" s="514" customFormat="1" ht="12.75" customHeight="1" x14ac:dyDescent="0.3"/>
    <row r="1168" s="514" customFormat="1" ht="12.75" customHeight="1" x14ac:dyDescent="0.3"/>
    <row r="1169" s="514" customFormat="1" ht="12.75" customHeight="1" x14ac:dyDescent="0.3"/>
    <row r="1170" s="514" customFormat="1" ht="12.75" customHeight="1" x14ac:dyDescent="0.3"/>
    <row r="1171" s="514" customFormat="1" ht="12.75" customHeight="1" x14ac:dyDescent="0.3"/>
    <row r="1172" s="514" customFormat="1" ht="12.75" customHeight="1" x14ac:dyDescent="0.3"/>
    <row r="1173" s="514" customFormat="1" ht="12.75" customHeight="1" x14ac:dyDescent="0.3"/>
    <row r="1174" s="514" customFormat="1" ht="12.75" customHeight="1" x14ac:dyDescent="0.3"/>
    <row r="1175" s="514" customFormat="1" ht="12.75" customHeight="1" x14ac:dyDescent="0.3"/>
    <row r="1176" s="514" customFormat="1" ht="12.75" customHeight="1" x14ac:dyDescent="0.3"/>
    <row r="1177" s="514" customFormat="1" ht="12.75" customHeight="1" x14ac:dyDescent="0.3"/>
    <row r="1178" s="514" customFormat="1" ht="12.75" customHeight="1" x14ac:dyDescent="0.3"/>
    <row r="1179" s="514" customFormat="1" ht="12.75" customHeight="1" x14ac:dyDescent="0.3"/>
    <row r="1180" s="514" customFormat="1" ht="12.75" customHeight="1" x14ac:dyDescent="0.3"/>
    <row r="1181" s="514" customFormat="1" ht="12.75" customHeight="1" x14ac:dyDescent="0.3"/>
    <row r="1182" s="514" customFormat="1" ht="12.75" customHeight="1" x14ac:dyDescent="0.3"/>
    <row r="1183" s="514" customFormat="1" ht="12.75" customHeight="1" x14ac:dyDescent="0.3"/>
    <row r="1184" s="514" customFormat="1" ht="12.75" customHeight="1" x14ac:dyDescent="0.3"/>
    <row r="1185" s="514" customFormat="1" ht="12.75" customHeight="1" x14ac:dyDescent="0.3"/>
    <row r="1186" s="514" customFormat="1" ht="12.75" customHeight="1" x14ac:dyDescent="0.3"/>
    <row r="1187" s="514" customFormat="1" ht="12.75" customHeight="1" x14ac:dyDescent="0.3"/>
    <row r="1188" s="514" customFormat="1" ht="12.75" customHeight="1" x14ac:dyDescent="0.3"/>
    <row r="1189" s="514" customFormat="1" ht="12.75" customHeight="1" x14ac:dyDescent="0.3"/>
    <row r="1190" s="514" customFormat="1" ht="12.75" customHeight="1" x14ac:dyDescent="0.3"/>
    <row r="1191" s="514" customFormat="1" ht="12.75" customHeight="1" x14ac:dyDescent="0.3"/>
    <row r="1192" s="514" customFormat="1" ht="12.75" customHeight="1" x14ac:dyDescent="0.3"/>
    <row r="1193" s="514" customFormat="1" ht="12.75" customHeight="1" x14ac:dyDescent="0.3"/>
    <row r="1194" s="514" customFormat="1" ht="12.75" customHeight="1" x14ac:dyDescent="0.3"/>
    <row r="1195" s="514" customFormat="1" ht="12.75" customHeight="1" x14ac:dyDescent="0.3"/>
    <row r="1196" s="514" customFormat="1" ht="12.75" customHeight="1" x14ac:dyDescent="0.3"/>
    <row r="1197" s="514" customFormat="1" ht="12.75" customHeight="1" x14ac:dyDescent="0.3"/>
    <row r="1198" s="514" customFormat="1" ht="12.75" customHeight="1" x14ac:dyDescent="0.3"/>
    <row r="1199" s="514" customFormat="1" ht="12.75" customHeight="1" x14ac:dyDescent="0.3"/>
    <row r="1200" s="514" customFormat="1" ht="12.75" customHeight="1" x14ac:dyDescent="0.3"/>
    <row r="1201" s="514" customFormat="1" ht="12.75" customHeight="1" x14ac:dyDescent="0.3"/>
    <row r="1202" s="514" customFormat="1" ht="12.75" customHeight="1" x14ac:dyDescent="0.3"/>
    <row r="1203" s="514" customFormat="1" ht="12.75" customHeight="1" x14ac:dyDescent="0.3"/>
    <row r="1204" s="514" customFormat="1" ht="12.75" customHeight="1" x14ac:dyDescent="0.3"/>
    <row r="1205" s="514" customFormat="1" ht="12.75" customHeight="1" x14ac:dyDescent="0.3"/>
    <row r="1206" s="514" customFormat="1" ht="12.75" customHeight="1" x14ac:dyDescent="0.3"/>
    <row r="1207" s="514" customFormat="1" ht="12.75" customHeight="1" x14ac:dyDescent="0.3"/>
    <row r="1208" s="514" customFormat="1" ht="12.75" customHeight="1" x14ac:dyDescent="0.3"/>
    <row r="1209" s="514" customFormat="1" ht="12.75" customHeight="1" x14ac:dyDescent="0.3"/>
    <row r="1210" s="514" customFormat="1" ht="12.75" customHeight="1" x14ac:dyDescent="0.3"/>
    <row r="1211" s="514" customFormat="1" ht="12.75" customHeight="1" x14ac:dyDescent="0.3"/>
    <row r="1212" s="514" customFormat="1" ht="12.75" customHeight="1" x14ac:dyDescent="0.3"/>
    <row r="1213" s="514" customFormat="1" ht="12.75" customHeight="1" x14ac:dyDescent="0.3"/>
    <row r="1214" s="514" customFormat="1" ht="12.75" customHeight="1" x14ac:dyDescent="0.3"/>
    <row r="1215" s="514" customFormat="1" ht="12.75" customHeight="1" x14ac:dyDescent="0.3"/>
    <row r="1216" s="514" customFormat="1" ht="12.75" customHeight="1" x14ac:dyDescent="0.3"/>
    <row r="1217" s="514" customFormat="1" ht="12.75" customHeight="1" x14ac:dyDescent="0.3"/>
    <row r="1218" s="514" customFormat="1" ht="12.75" customHeight="1" x14ac:dyDescent="0.3"/>
    <row r="1219" s="514" customFormat="1" ht="12.75" customHeight="1" x14ac:dyDescent="0.3"/>
    <row r="1220" s="514" customFormat="1" ht="12.75" customHeight="1" x14ac:dyDescent="0.3"/>
    <row r="1221" s="514" customFormat="1" ht="12.75" customHeight="1" x14ac:dyDescent="0.3"/>
    <row r="1222" s="514" customFormat="1" ht="12.75" customHeight="1" x14ac:dyDescent="0.3"/>
    <row r="1223" s="514" customFormat="1" ht="12.75" customHeight="1" x14ac:dyDescent="0.3"/>
    <row r="1224" s="514" customFormat="1" ht="12.75" customHeight="1" x14ac:dyDescent="0.3"/>
    <row r="1225" s="514" customFormat="1" ht="12.75" customHeight="1" x14ac:dyDescent="0.3"/>
    <row r="1226" s="514" customFormat="1" ht="12.75" customHeight="1" x14ac:dyDescent="0.3"/>
    <row r="1227" s="514" customFormat="1" ht="12.75" customHeight="1" x14ac:dyDescent="0.3"/>
    <row r="1228" s="514" customFormat="1" ht="12.75" customHeight="1" x14ac:dyDescent="0.3"/>
    <row r="1229" s="514" customFormat="1" ht="12.75" customHeight="1" x14ac:dyDescent="0.3"/>
    <row r="1230" s="514" customFormat="1" ht="12.75" customHeight="1" x14ac:dyDescent="0.3"/>
    <row r="1231" s="514" customFormat="1" ht="12.75" customHeight="1" x14ac:dyDescent="0.3"/>
    <row r="1232" s="514" customFormat="1" ht="12.75" customHeight="1" x14ac:dyDescent="0.3"/>
    <row r="1233" s="514" customFormat="1" ht="12.75" customHeight="1" x14ac:dyDescent="0.3"/>
    <row r="1234" s="514" customFormat="1" ht="12.75" customHeight="1" x14ac:dyDescent="0.3"/>
    <row r="1235" s="514" customFormat="1" ht="12.75" customHeight="1" x14ac:dyDescent="0.3"/>
    <row r="1236" s="514" customFormat="1" ht="12.75" customHeight="1" x14ac:dyDescent="0.3"/>
    <row r="1237" s="514" customFormat="1" ht="12.75" customHeight="1" x14ac:dyDescent="0.3"/>
    <row r="1238" s="514" customFormat="1" ht="12.75" customHeight="1" x14ac:dyDescent="0.3"/>
    <row r="1239" s="514" customFormat="1" ht="12.75" customHeight="1" x14ac:dyDescent="0.3"/>
    <row r="1240" s="514" customFormat="1" ht="12.75" customHeight="1" x14ac:dyDescent="0.3"/>
    <row r="1241" s="514" customFormat="1" ht="12.75" customHeight="1" x14ac:dyDescent="0.3"/>
    <row r="1242" s="514" customFormat="1" ht="12.75" customHeight="1" x14ac:dyDescent="0.3"/>
    <row r="1243" s="514" customFormat="1" ht="12.75" customHeight="1" x14ac:dyDescent="0.3"/>
    <row r="1244" s="514" customFormat="1" ht="12.75" customHeight="1" x14ac:dyDescent="0.3"/>
    <row r="1245" s="514" customFormat="1" ht="12.75" customHeight="1" x14ac:dyDescent="0.3"/>
    <row r="1246" s="514" customFormat="1" ht="12.75" customHeight="1" x14ac:dyDescent="0.3"/>
    <row r="1247" s="514" customFormat="1" ht="12.75" customHeight="1" x14ac:dyDescent="0.3"/>
    <row r="1248" s="514" customFormat="1" ht="12.75" customHeight="1" x14ac:dyDescent="0.3"/>
    <row r="1249" s="514" customFormat="1" ht="12.75" customHeight="1" x14ac:dyDescent="0.3"/>
    <row r="1250" s="514" customFormat="1" ht="12.75" customHeight="1" x14ac:dyDescent="0.3"/>
    <row r="1251" s="514" customFormat="1" ht="12.75" customHeight="1" x14ac:dyDescent="0.3"/>
    <row r="1252" s="514" customFormat="1" ht="12.75" customHeight="1" x14ac:dyDescent="0.3"/>
    <row r="1253" s="514" customFormat="1" ht="12.75" customHeight="1" x14ac:dyDescent="0.3"/>
    <row r="1254" s="514" customFormat="1" ht="12.75" customHeight="1" x14ac:dyDescent="0.3"/>
    <row r="1255" s="514" customFormat="1" ht="12.75" customHeight="1" x14ac:dyDescent="0.3"/>
    <row r="1256" s="514" customFormat="1" ht="12.75" customHeight="1" x14ac:dyDescent="0.3"/>
    <row r="1257" s="514" customFormat="1" ht="12.75" customHeight="1" x14ac:dyDescent="0.3"/>
    <row r="1258" s="514" customFormat="1" ht="12.75" customHeight="1" x14ac:dyDescent="0.3"/>
    <row r="1259" s="514" customFormat="1" ht="12.75" customHeight="1" x14ac:dyDescent="0.3"/>
    <row r="1260" s="514" customFormat="1" ht="12.75" customHeight="1" x14ac:dyDescent="0.3"/>
    <row r="1261" s="514" customFormat="1" ht="12.75" customHeight="1" x14ac:dyDescent="0.3"/>
    <row r="1262" s="514" customFormat="1" ht="12.75" customHeight="1" x14ac:dyDescent="0.3"/>
    <row r="1263" s="514" customFormat="1" ht="12.75" customHeight="1" x14ac:dyDescent="0.3"/>
    <row r="1264" s="514" customFormat="1" ht="12.75" customHeight="1" x14ac:dyDescent="0.3"/>
    <row r="1265" s="514" customFormat="1" ht="12.75" customHeight="1" x14ac:dyDescent="0.3"/>
    <row r="1266" s="514" customFormat="1" ht="12.75" customHeight="1" x14ac:dyDescent="0.3"/>
    <row r="1267" s="514" customFormat="1" ht="12.75" customHeight="1" x14ac:dyDescent="0.3"/>
    <row r="1268" s="514" customFormat="1" ht="12.75" customHeight="1" x14ac:dyDescent="0.3"/>
    <row r="1269" s="514" customFormat="1" ht="12.75" customHeight="1" x14ac:dyDescent="0.3"/>
    <row r="1270" s="514" customFormat="1" ht="12.75" customHeight="1" x14ac:dyDescent="0.3"/>
    <row r="1271" s="514" customFormat="1" ht="12.75" customHeight="1" x14ac:dyDescent="0.3"/>
    <row r="1272" s="514" customFormat="1" ht="12.75" customHeight="1" x14ac:dyDescent="0.3"/>
    <row r="1273" s="514" customFormat="1" ht="12.75" customHeight="1" x14ac:dyDescent="0.3"/>
    <row r="1274" s="514" customFormat="1" ht="12.75" customHeight="1" x14ac:dyDescent="0.3"/>
    <row r="1275" s="514" customFormat="1" ht="12.75" customHeight="1" x14ac:dyDescent="0.3"/>
    <row r="1276" s="514" customFormat="1" ht="12.75" customHeight="1" x14ac:dyDescent="0.3"/>
    <row r="1277" s="514" customFormat="1" ht="12.75" customHeight="1" x14ac:dyDescent="0.3"/>
    <row r="1278" s="514" customFormat="1" ht="12.75" customHeight="1" x14ac:dyDescent="0.3"/>
    <row r="1279" s="514" customFormat="1" ht="12.75" customHeight="1" x14ac:dyDescent="0.3"/>
    <row r="1280" s="514" customFormat="1" ht="12.75" customHeight="1" x14ac:dyDescent="0.3"/>
    <row r="1281" s="514" customFormat="1" ht="12.75" customHeight="1" x14ac:dyDescent="0.3"/>
    <row r="1282" s="514" customFormat="1" ht="12.75" customHeight="1" x14ac:dyDescent="0.3"/>
    <row r="1283" s="514" customFormat="1" ht="12.75" customHeight="1" x14ac:dyDescent="0.3"/>
    <row r="1284" s="514" customFormat="1" ht="12.75" customHeight="1" x14ac:dyDescent="0.3"/>
    <row r="1285" s="514" customFormat="1" ht="12.75" customHeight="1" x14ac:dyDescent="0.3"/>
    <row r="1286" s="514" customFormat="1" ht="12.75" customHeight="1" x14ac:dyDescent="0.3"/>
    <row r="1287" s="514" customFormat="1" ht="12.75" customHeight="1" x14ac:dyDescent="0.3"/>
    <row r="1288" s="514" customFormat="1" ht="12.75" customHeight="1" x14ac:dyDescent="0.3"/>
    <row r="1289" s="514" customFormat="1" ht="12.75" customHeight="1" x14ac:dyDescent="0.3"/>
    <row r="1290" s="514" customFormat="1" ht="12.75" customHeight="1" x14ac:dyDescent="0.3"/>
    <row r="1291" s="514" customFormat="1" ht="12.75" customHeight="1" x14ac:dyDescent="0.3"/>
    <row r="1292" s="514" customFormat="1" ht="12.75" customHeight="1" x14ac:dyDescent="0.3"/>
    <row r="1293" s="514" customFormat="1" ht="12.75" customHeight="1" x14ac:dyDescent="0.3"/>
    <row r="1294" s="514" customFormat="1" ht="12.75" customHeight="1" x14ac:dyDescent="0.3"/>
    <row r="1295" s="514" customFormat="1" ht="12.75" customHeight="1" x14ac:dyDescent="0.3"/>
    <row r="1296" s="514" customFormat="1" ht="12.75" customHeight="1" x14ac:dyDescent="0.3"/>
  </sheetData>
  <phoneticPr fontId="9" type="noConversion"/>
  <conditionalFormatting sqref="G8:L10 N8:V10 J6:V6 S13:U15 F12 L12 N12:O15 Q12:S12 G3:V5 G11:V11 G1:V1 G7:V7">
    <cfRule type="cellIs" dxfId="184" priority="622" operator="equal">
      <formula>0</formula>
    </cfRule>
  </conditionalFormatting>
  <conditionalFormatting sqref="M8:M10">
    <cfRule type="cellIs" dxfId="183" priority="279" operator="equal">
      <formula>0</formula>
    </cfRule>
  </conditionalFormatting>
  <conditionalFormatting sqref="N13 N15 N24 N27 N29 N33">
    <cfRule type="expression" dxfId="182" priority="623" stopIfTrue="1">
      <formula>RiskColorCellsSimOutput</formula>
    </cfRule>
    <cfRule type="expression" dxfId="181" priority="624" stopIfTrue="1">
      <formula>RiskColorCellsSimInput</formula>
    </cfRule>
    <cfRule type="expression" dxfId="180" priority="625" stopIfTrue="1">
      <formula>RiskColorCellsSimStatistics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C09-040E-4413-A9AC-3CC30198709D}">
  <dimension ref="A1:U1003"/>
  <sheetViews>
    <sheetView workbookViewId="0">
      <pane ySplit="2" topLeftCell="A3" activePane="bottomLeft" state="frozen"/>
      <selection pane="bottomLeft" activeCell="I5" sqref="I5"/>
    </sheetView>
  </sheetViews>
  <sheetFormatPr defaultRowHeight="13" x14ac:dyDescent="0.3"/>
  <cols>
    <col min="4" max="6" width="9.59765625" customWidth="1"/>
    <col min="8" max="8" width="5.8984375" style="741" bestFit="1" customWidth="1"/>
    <col min="10" max="10" width="12.59765625"/>
  </cols>
  <sheetData>
    <row r="1" spans="1:21" ht="15.5" x14ac:dyDescent="0.35">
      <c r="H1"/>
      <c r="I1" s="753" t="s">
        <v>2642</v>
      </c>
      <c r="J1" s="753"/>
      <c r="K1" s="753" t="s">
        <v>2643</v>
      </c>
      <c r="L1" s="753"/>
      <c r="M1" s="754" t="s">
        <v>2644</v>
      </c>
      <c r="N1" s="754"/>
    </row>
    <row r="2" spans="1:21" ht="15.5" x14ac:dyDescent="0.35">
      <c r="A2" t="s">
        <v>2635</v>
      </c>
      <c r="B2" t="s">
        <v>2636</v>
      </c>
      <c r="C2" t="s">
        <v>2637</v>
      </c>
      <c r="D2" s="734" t="s">
        <v>2638</v>
      </c>
      <c r="E2" s="734" t="s">
        <v>2639</v>
      </c>
      <c r="F2" s="734" t="s">
        <v>2640</v>
      </c>
      <c r="H2" s="736" t="s">
        <v>2645</v>
      </c>
      <c r="I2" s="737" t="s">
        <v>2646</v>
      </c>
      <c r="J2" s="738" t="s">
        <v>2647</v>
      </c>
      <c r="K2" s="737" t="s">
        <v>2646</v>
      </c>
      <c r="L2" s="738" t="s">
        <v>2647</v>
      </c>
      <c r="M2" s="739" t="s">
        <v>2646</v>
      </c>
      <c r="N2" s="740" t="s">
        <v>2647</v>
      </c>
      <c r="Q2" t="s">
        <v>2648</v>
      </c>
    </row>
    <row r="3" spans="1:21" ht="15.5" x14ac:dyDescent="0.35">
      <c r="A3">
        <v>465.14129695895599</v>
      </c>
      <c r="B3">
        <v>525.96989759806104</v>
      </c>
      <c r="C3">
        <v>3592.55529070481</v>
      </c>
      <c r="D3" s="735">
        <v>13800.814630580615</v>
      </c>
      <c r="E3" s="735">
        <v>39712.550455222859</v>
      </c>
      <c r="F3" s="735">
        <v>147.08689759113994</v>
      </c>
      <c r="H3" s="741">
        <v>1</v>
      </c>
      <c r="I3" s="735">
        <v>65.660138041417994</v>
      </c>
      <c r="J3">
        <f>(10^(LOG(I3)-0.3))^(1/0.7)</f>
        <v>147.08689759113994</v>
      </c>
      <c r="K3" s="735">
        <v>3305.5934990000001</v>
      </c>
      <c r="L3">
        <f>(10^(LOG(K3)-0.3))^(1/0.7)</f>
        <v>39712.550455222859</v>
      </c>
      <c r="M3" s="742">
        <v>1577.3690160000001</v>
      </c>
      <c r="N3" s="351">
        <f>(10^(LOG(M3)-0.3))^(1/0.7)</f>
        <v>13800.814630580615</v>
      </c>
      <c r="Q3" t="s">
        <v>2649</v>
      </c>
      <c r="U3" t="s">
        <v>2650</v>
      </c>
    </row>
    <row r="4" spans="1:21" ht="15.5" x14ac:dyDescent="0.35">
      <c r="A4">
        <v>2005.39549961587</v>
      </c>
      <c r="B4">
        <v>1408.44504004393</v>
      </c>
      <c r="C4">
        <v>5680.4936601641202</v>
      </c>
      <c r="D4" s="735">
        <v>168633.27572493991</v>
      </c>
      <c r="E4" s="735">
        <v>449739.10867458233</v>
      </c>
      <c r="F4" s="735">
        <v>1318.891672713625</v>
      </c>
      <c r="H4" s="741">
        <v>2</v>
      </c>
      <c r="I4" s="735">
        <v>304.89225216382698</v>
      </c>
      <c r="J4">
        <f t="shared" ref="J4:L67" si="0">(10^(LOG(I4)-0.3))^(1/0.7)</f>
        <v>1318.891672713625</v>
      </c>
      <c r="K4" s="735">
        <v>18074.75663</v>
      </c>
      <c r="L4">
        <f t="shared" si="0"/>
        <v>449739.10867458233</v>
      </c>
      <c r="M4" s="742">
        <v>9096.2061310000008</v>
      </c>
      <c r="N4">
        <f t="shared" ref="N4:N67" si="1">(10^(LOG(M4)-0.3))^(1/0.7)</f>
        <v>168633.27572493991</v>
      </c>
      <c r="Q4" t="s">
        <v>2651</v>
      </c>
    </row>
    <row r="5" spans="1:21" ht="15.5" x14ac:dyDescent="0.35">
      <c r="A5">
        <v>2477.7643974350099</v>
      </c>
      <c r="B5">
        <v>625.29346907333195</v>
      </c>
      <c r="C5">
        <v>17.6356529388671</v>
      </c>
      <c r="D5" s="735">
        <v>7508.5683237383273</v>
      </c>
      <c r="E5" s="735">
        <v>18884.603282184278</v>
      </c>
      <c r="F5" s="735">
        <v>9995.5735853618135</v>
      </c>
      <c r="H5" s="741">
        <v>3</v>
      </c>
      <c r="I5" s="735">
        <v>1258.53530907859</v>
      </c>
      <c r="J5">
        <f t="shared" si="0"/>
        <v>9995.5735853618135</v>
      </c>
      <c r="K5" s="735">
        <v>1964.6061810000001</v>
      </c>
      <c r="L5">
        <f t="shared" si="0"/>
        <v>18884.603282184278</v>
      </c>
      <c r="M5" s="742">
        <v>1030.1251629999999</v>
      </c>
      <c r="N5">
        <f t="shared" si="1"/>
        <v>7508.5683237383273</v>
      </c>
      <c r="Q5" t="s">
        <v>2652</v>
      </c>
      <c r="U5" t="s">
        <v>2653</v>
      </c>
    </row>
    <row r="6" spans="1:21" ht="15.5" x14ac:dyDescent="0.35">
      <c r="A6">
        <v>7288.3527274328399</v>
      </c>
      <c r="B6">
        <v>49.814030105984102</v>
      </c>
      <c r="C6">
        <v>4630.6142028059003</v>
      </c>
      <c r="D6" s="735">
        <v>31375.791109618291</v>
      </c>
      <c r="E6" s="735">
        <v>18922.005360873205</v>
      </c>
      <c r="F6" s="735">
        <v>7258.4376642223115</v>
      </c>
      <c r="H6" s="741">
        <v>4</v>
      </c>
      <c r="I6" s="735">
        <v>1005.9819908145899</v>
      </c>
      <c r="J6">
        <f t="shared" si="0"/>
        <v>7258.4376642223115</v>
      </c>
      <c r="K6" s="735">
        <v>1967.329086</v>
      </c>
      <c r="L6">
        <f t="shared" si="0"/>
        <v>18922.005360873205</v>
      </c>
      <c r="M6" s="742">
        <v>2802.9559939999999</v>
      </c>
      <c r="N6">
        <f t="shared" si="1"/>
        <v>31375.791109618291</v>
      </c>
      <c r="Q6" t="s">
        <v>2654</v>
      </c>
      <c r="U6" s="743" t="s">
        <v>2655</v>
      </c>
    </row>
    <row r="7" spans="1:21" ht="15.5" x14ac:dyDescent="0.35">
      <c r="A7">
        <v>372.43042073822897</v>
      </c>
      <c r="B7">
        <v>871.41588824740495</v>
      </c>
      <c r="C7">
        <v>162.772649689682</v>
      </c>
      <c r="D7" s="735">
        <v>59058.662591754925</v>
      </c>
      <c r="E7" s="735">
        <v>66166.438494956717</v>
      </c>
      <c r="F7" s="735">
        <v>4207.2128284189803</v>
      </c>
      <c r="H7" s="741">
        <v>5</v>
      </c>
      <c r="I7" s="735">
        <v>686.74599826653605</v>
      </c>
      <c r="J7">
        <f t="shared" si="0"/>
        <v>4207.2128284189803</v>
      </c>
      <c r="K7" s="735">
        <v>4725.4854590000004</v>
      </c>
      <c r="L7">
        <f t="shared" si="0"/>
        <v>66166.438494956717</v>
      </c>
      <c r="M7" s="742">
        <v>4364.1385069999997</v>
      </c>
      <c r="N7">
        <f t="shared" si="1"/>
        <v>59058.662591754925</v>
      </c>
      <c r="Q7" t="s">
        <v>2656</v>
      </c>
    </row>
    <row r="8" spans="1:21" ht="15.5" x14ac:dyDescent="0.35">
      <c r="A8">
        <v>583.25228973164099</v>
      </c>
      <c r="B8">
        <v>137.05072875926399</v>
      </c>
      <c r="C8">
        <v>3098.76932876418</v>
      </c>
      <c r="D8" s="735">
        <v>169237.97639393655</v>
      </c>
      <c r="E8" s="735">
        <v>19502281.075239524</v>
      </c>
      <c r="F8" s="735">
        <v>655.43234373884115</v>
      </c>
      <c r="H8" s="741">
        <v>6</v>
      </c>
      <c r="I8" s="735">
        <v>186.882875642431</v>
      </c>
      <c r="J8">
        <f t="shared" si="0"/>
        <v>655.43234373884115</v>
      </c>
      <c r="K8" s="735">
        <v>252964.62210000001</v>
      </c>
      <c r="L8">
        <f t="shared" si="0"/>
        <v>19502281.075239524</v>
      </c>
      <c r="M8" s="742">
        <v>9119.0264759999991</v>
      </c>
      <c r="N8">
        <f t="shared" si="1"/>
        <v>169237.97639393655</v>
      </c>
    </row>
    <row r="9" spans="1:21" ht="15.5" x14ac:dyDescent="0.35">
      <c r="A9">
        <v>165.34005851473299</v>
      </c>
      <c r="B9">
        <v>365.62902611282402</v>
      </c>
      <c r="C9">
        <v>4917.5073842735901</v>
      </c>
      <c r="D9" s="735">
        <v>92553.248347186178</v>
      </c>
      <c r="E9" s="735">
        <v>5787.4524233449192</v>
      </c>
      <c r="F9" s="735">
        <v>85.404929203204944</v>
      </c>
      <c r="H9" s="741">
        <v>7</v>
      </c>
      <c r="I9" s="735">
        <v>44.878471385358999</v>
      </c>
      <c r="J9">
        <f t="shared" si="0"/>
        <v>85.404929203204944</v>
      </c>
      <c r="K9" s="735">
        <v>858.50178740000001</v>
      </c>
      <c r="L9">
        <f t="shared" si="0"/>
        <v>5787.4524233449192</v>
      </c>
      <c r="M9" s="742">
        <v>5976.8749029999999</v>
      </c>
      <c r="N9">
        <f t="shared" si="1"/>
        <v>92553.248347186178</v>
      </c>
    </row>
    <row r="10" spans="1:21" ht="15.5" x14ac:dyDescent="0.35">
      <c r="A10">
        <v>21.4415049096988</v>
      </c>
      <c r="B10">
        <v>729.14486719432</v>
      </c>
      <c r="C10">
        <v>4193.59706426915</v>
      </c>
      <c r="D10" s="735">
        <v>4146.3624917723828</v>
      </c>
      <c r="E10" s="735">
        <v>26375.368763575232</v>
      </c>
      <c r="F10" s="735">
        <v>771.48048613767105</v>
      </c>
      <c r="H10" s="741">
        <v>8</v>
      </c>
      <c r="I10" s="735">
        <v>209.47271507033901</v>
      </c>
      <c r="J10">
        <f t="shared" si="0"/>
        <v>771.48048613767105</v>
      </c>
      <c r="K10" s="735">
        <v>2482.212614</v>
      </c>
      <c r="L10">
        <f t="shared" si="0"/>
        <v>26375.368763575232</v>
      </c>
      <c r="M10" s="742">
        <v>679.7779716</v>
      </c>
      <c r="N10">
        <f t="shared" si="1"/>
        <v>4146.3624917723828</v>
      </c>
      <c r="Q10" t="s">
        <v>2657</v>
      </c>
    </row>
    <row r="11" spans="1:21" ht="15.5" x14ac:dyDescent="0.35">
      <c r="A11">
        <v>531.52847064655703</v>
      </c>
      <c r="B11">
        <v>122.012543146628</v>
      </c>
      <c r="C11">
        <v>7561.9773510843497</v>
      </c>
      <c r="D11" s="735">
        <v>26407.557345349218</v>
      </c>
      <c r="E11" s="735">
        <v>309626.78159897611</v>
      </c>
      <c r="F11" s="735">
        <v>261.7942058726664</v>
      </c>
      <c r="H11" s="741">
        <v>9</v>
      </c>
      <c r="I11" s="735">
        <v>98.304188228315397</v>
      </c>
      <c r="J11">
        <f t="shared" si="0"/>
        <v>261.7942058726664</v>
      </c>
      <c r="K11" s="735">
        <v>13918.32467</v>
      </c>
      <c r="L11">
        <f t="shared" si="0"/>
        <v>309626.78159897611</v>
      </c>
      <c r="M11" s="742">
        <v>2484.3327359999998</v>
      </c>
      <c r="N11">
        <f t="shared" si="1"/>
        <v>26407.557345349218</v>
      </c>
      <c r="Q11" t="s">
        <v>2658</v>
      </c>
    </row>
    <row r="12" spans="1:21" ht="15.5" x14ac:dyDescent="0.35">
      <c r="A12">
        <v>466.63213363595401</v>
      </c>
      <c r="B12">
        <v>99.097879696716006</v>
      </c>
      <c r="C12">
        <v>33254.395822112499</v>
      </c>
      <c r="D12" s="735">
        <v>576431.46115084528</v>
      </c>
      <c r="E12" s="735">
        <v>39415.319243848484</v>
      </c>
      <c r="F12" s="735">
        <v>1565.4237917073965</v>
      </c>
      <c r="H12" s="741">
        <v>10</v>
      </c>
      <c r="I12" s="735">
        <v>343.74971837782101</v>
      </c>
      <c r="J12">
        <f t="shared" si="0"/>
        <v>1565.4237917073965</v>
      </c>
      <c r="K12" s="735">
        <v>3288.2553389999998</v>
      </c>
      <c r="L12">
        <f t="shared" si="0"/>
        <v>39415.319243848484</v>
      </c>
      <c r="M12" s="742">
        <v>21504.204099999999</v>
      </c>
      <c r="N12">
        <f t="shared" si="1"/>
        <v>576431.46115084528</v>
      </c>
    </row>
    <row r="13" spans="1:21" ht="15.5" x14ac:dyDescent="0.35">
      <c r="A13">
        <v>910.21087996691199</v>
      </c>
      <c r="B13">
        <v>480.52473772221299</v>
      </c>
      <c r="C13">
        <v>49826.670045401501</v>
      </c>
      <c r="D13" s="735">
        <v>15624.692483907915</v>
      </c>
      <c r="E13" s="735">
        <v>256.00602309942548</v>
      </c>
      <c r="F13" s="735">
        <v>177.50393675162232</v>
      </c>
      <c r="H13" s="741">
        <v>11</v>
      </c>
      <c r="I13" s="735">
        <v>74.893752751286002</v>
      </c>
      <c r="J13">
        <f t="shared" si="0"/>
        <v>177.50393675162232</v>
      </c>
      <c r="K13" s="735">
        <v>96.777662489999997</v>
      </c>
      <c r="L13">
        <f t="shared" si="0"/>
        <v>256.00602309942548</v>
      </c>
      <c r="M13" s="742">
        <v>1720.5529200000001</v>
      </c>
      <c r="N13">
        <f t="shared" si="1"/>
        <v>15624.692483907915</v>
      </c>
    </row>
    <row r="14" spans="1:21" ht="15.5" x14ac:dyDescent="0.35">
      <c r="A14">
        <v>72.790072709144894</v>
      </c>
      <c r="B14">
        <v>191.37719351627601</v>
      </c>
      <c r="C14">
        <v>305.50830217920702</v>
      </c>
      <c r="D14" s="735">
        <v>8460.5200917871371</v>
      </c>
      <c r="E14" s="735">
        <v>4851280.9368276028</v>
      </c>
      <c r="F14" s="735">
        <v>1004.7135261691852</v>
      </c>
      <c r="H14" s="741">
        <v>12</v>
      </c>
      <c r="I14" s="735">
        <v>252.01684733685099</v>
      </c>
      <c r="J14">
        <f t="shared" si="0"/>
        <v>1004.7135261691852</v>
      </c>
      <c r="K14" s="735">
        <v>95521.140169999999</v>
      </c>
      <c r="L14">
        <f t="shared" si="0"/>
        <v>4851280.9368276028</v>
      </c>
      <c r="M14" s="742">
        <v>1119.896643</v>
      </c>
      <c r="N14">
        <f t="shared" si="1"/>
        <v>8460.5200917871371</v>
      </c>
    </row>
    <row r="15" spans="1:21" ht="15.5" x14ac:dyDescent="0.35">
      <c r="A15">
        <v>444.68155492679199</v>
      </c>
      <c r="B15">
        <v>274.06209546060501</v>
      </c>
      <c r="C15">
        <v>11956.841114359</v>
      </c>
      <c r="D15" s="735">
        <v>202902.05951529654</v>
      </c>
      <c r="E15" s="735">
        <v>64647.410685506278</v>
      </c>
      <c r="F15" s="735">
        <v>213.96420989039726</v>
      </c>
      <c r="H15" s="741">
        <v>13</v>
      </c>
      <c r="I15" s="735">
        <v>85.356931463650795</v>
      </c>
      <c r="J15">
        <f t="shared" si="0"/>
        <v>213.96420989039726</v>
      </c>
      <c r="K15" s="735">
        <v>4649.2809880000004</v>
      </c>
      <c r="L15">
        <f t="shared" si="0"/>
        <v>64647.410685506278</v>
      </c>
      <c r="M15" s="742">
        <v>10353.81781</v>
      </c>
      <c r="N15">
        <f t="shared" si="1"/>
        <v>202902.05951529654</v>
      </c>
    </row>
    <row r="16" spans="1:21" ht="15.5" x14ac:dyDescent="0.35">
      <c r="A16">
        <v>924.44127761227401</v>
      </c>
      <c r="B16">
        <v>501.45236851578699</v>
      </c>
      <c r="C16">
        <v>3541.1315808876102</v>
      </c>
      <c r="D16" s="735">
        <v>9637.0158471372379</v>
      </c>
      <c r="E16" s="735">
        <v>1096.3932376467822</v>
      </c>
      <c r="F16" s="735">
        <v>1015.8781633451177</v>
      </c>
      <c r="H16" s="741">
        <v>14</v>
      </c>
      <c r="I16" s="735">
        <v>253.97392899141201</v>
      </c>
      <c r="J16">
        <f t="shared" si="0"/>
        <v>1015.8781633451177</v>
      </c>
      <c r="K16" s="735">
        <v>267.90230100000002</v>
      </c>
      <c r="L16">
        <f t="shared" si="0"/>
        <v>1096.3932376467822</v>
      </c>
      <c r="M16" s="742">
        <v>1226.7605490000001</v>
      </c>
      <c r="N16">
        <f t="shared" si="1"/>
        <v>9637.0158471372379</v>
      </c>
    </row>
    <row r="17" spans="1:14" ht="15.5" x14ac:dyDescent="0.35">
      <c r="A17">
        <v>1350.7068804062601</v>
      </c>
      <c r="B17">
        <v>47.622750162895997</v>
      </c>
      <c r="C17">
        <v>2691.9111750781199</v>
      </c>
      <c r="D17" s="735">
        <v>34612.113272619157</v>
      </c>
      <c r="E17" s="735">
        <v>915.93593781459856</v>
      </c>
      <c r="F17" s="735">
        <v>2.9701182647740576</v>
      </c>
      <c r="H17" s="741">
        <v>15</v>
      </c>
      <c r="I17" s="735">
        <v>4.2750541465405902</v>
      </c>
      <c r="J17">
        <f t="shared" si="0"/>
        <v>2.9701182647740576</v>
      </c>
      <c r="K17" s="735">
        <v>236.213965</v>
      </c>
      <c r="L17">
        <f t="shared" si="0"/>
        <v>915.93593781459856</v>
      </c>
      <c r="M17" s="742">
        <v>3002.3386799999998</v>
      </c>
      <c r="N17">
        <f t="shared" si="1"/>
        <v>34612.113272619157</v>
      </c>
    </row>
    <row r="18" spans="1:14" ht="15.5" x14ac:dyDescent="0.35">
      <c r="A18">
        <v>2389.0692430588601</v>
      </c>
      <c r="B18">
        <v>159.610543165053</v>
      </c>
      <c r="C18">
        <v>6004.30560159582</v>
      </c>
      <c r="D18" s="735">
        <v>15043.960099672133</v>
      </c>
      <c r="E18" s="735">
        <v>20335.039857976026</v>
      </c>
      <c r="F18" s="735">
        <v>41572.763525523595</v>
      </c>
      <c r="H18" s="741">
        <v>16</v>
      </c>
      <c r="I18" s="735">
        <v>3413.2352839741002</v>
      </c>
      <c r="J18">
        <f t="shared" si="0"/>
        <v>41572.763525523595</v>
      </c>
      <c r="K18" s="735">
        <v>2069.0525429999998</v>
      </c>
      <c r="L18">
        <f t="shared" si="0"/>
        <v>20335.039857976026</v>
      </c>
      <c r="M18" s="742">
        <v>1675.535065</v>
      </c>
      <c r="N18">
        <f t="shared" si="1"/>
        <v>15043.960099672133</v>
      </c>
    </row>
    <row r="19" spans="1:14" ht="15.5" x14ac:dyDescent="0.35">
      <c r="A19">
        <v>2771.4499660787601</v>
      </c>
      <c r="B19">
        <v>52.4686951655911</v>
      </c>
      <c r="C19">
        <v>39708.864164377803</v>
      </c>
      <c r="D19" s="735">
        <v>9531.1698629455295</v>
      </c>
      <c r="E19" s="735">
        <v>103823.2602226712</v>
      </c>
      <c r="F19" s="735">
        <v>66502.913957673736</v>
      </c>
      <c r="H19" s="741">
        <v>17</v>
      </c>
      <c r="I19" s="735">
        <v>4742.29397750101</v>
      </c>
      <c r="J19">
        <f t="shared" si="0"/>
        <v>66502.913957673736</v>
      </c>
      <c r="K19" s="735">
        <v>6477.482728</v>
      </c>
      <c r="L19">
        <f t="shared" si="0"/>
        <v>103823.2602226712</v>
      </c>
      <c r="M19" s="742">
        <v>1217.3132430000001</v>
      </c>
      <c r="N19">
        <f t="shared" si="1"/>
        <v>9531.1698629455295</v>
      </c>
    </row>
    <row r="20" spans="1:14" ht="15.5" x14ac:dyDescent="0.35">
      <c r="A20">
        <v>75.443812445035107</v>
      </c>
      <c r="B20">
        <v>397.01964152432902</v>
      </c>
      <c r="C20">
        <v>1042.5624172278301</v>
      </c>
      <c r="D20" s="735">
        <v>55227.568434605768</v>
      </c>
      <c r="E20" s="735">
        <v>229787.23218744036</v>
      </c>
      <c r="F20" s="735">
        <v>104.65122696626547</v>
      </c>
      <c r="H20" s="741">
        <v>18</v>
      </c>
      <c r="I20" s="735">
        <v>51.739357002498203</v>
      </c>
      <c r="J20">
        <f t="shared" si="0"/>
        <v>104.65122696626547</v>
      </c>
      <c r="K20" s="735">
        <v>11296.089529999999</v>
      </c>
      <c r="L20">
        <f t="shared" si="0"/>
        <v>229787.23218744036</v>
      </c>
      <c r="M20" s="742">
        <v>4163.9848979999997</v>
      </c>
      <c r="N20">
        <f t="shared" si="1"/>
        <v>55227.568434605768</v>
      </c>
    </row>
    <row r="21" spans="1:14" ht="15.5" x14ac:dyDescent="0.35">
      <c r="A21">
        <v>3306.64765066359</v>
      </c>
      <c r="B21">
        <v>402.18355743776101</v>
      </c>
      <c r="C21">
        <v>14596.7084166082</v>
      </c>
      <c r="D21" s="735">
        <v>30382.609200427763</v>
      </c>
      <c r="E21" s="735">
        <v>349112.99606026441</v>
      </c>
      <c r="F21" s="735">
        <v>1507.2753984825094</v>
      </c>
      <c r="H21" s="741">
        <v>19</v>
      </c>
      <c r="I21" s="735">
        <v>334.76097763649301</v>
      </c>
      <c r="J21">
        <f t="shared" si="0"/>
        <v>1507.2753984825094</v>
      </c>
      <c r="K21" s="735">
        <v>15138.268760000001</v>
      </c>
      <c r="L21">
        <f t="shared" si="0"/>
        <v>349112.99606026441</v>
      </c>
      <c r="M21" s="742">
        <v>2740.548847</v>
      </c>
      <c r="N21">
        <f t="shared" si="1"/>
        <v>30382.609200427763</v>
      </c>
    </row>
    <row r="22" spans="1:14" ht="15.5" x14ac:dyDescent="0.35">
      <c r="A22">
        <v>48.300905256358099</v>
      </c>
      <c r="B22">
        <v>1813.2078803956999</v>
      </c>
      <c r="C22">
        <v>2664.7188902215798</v>
      </c>
      <c r="D22" s="735">
        <v>83212.061330832119</v>
      </c>
      <c r="E22" s="735">
        <v>839.44944724568279</v>
      </c>
      <c r="F22" s="735">
        <v>1707.1276220661366</v>
      </c>
      <c r="H22" s="741">
        <v>20</v>
      </c>
      <c r="I22" s="735">
        <v>365.24660904703597</v>
      </c>
      <c r="J22">
        <f t="shared" si="0"/>
        <v>1707.1276220661366</v>
      </c>
      <c r="K22" s="735">
        <v>222.22667240000001</v>
      </c>
      <c r="L22">
        <f t="shared" si="0"/>
        <v>839.44944724568279</v>
      </c>
      <c r="M22" s="742">
        <v>5547.9226360000002</v>
      </c>
      <c r="N22">
        <f t="shared" si="1"/>
        <v>83212.061330832119</v>
      </c>
    </row>
    <row r="23" spans="1:14" ht="15.5" x14ac:dyDescent="0.35">
      <c r="A23">
        <v>2777.94004710426</v>
      </c>
      <c r="B23">
        <v>295.54752987159401</v>
      </c>
      <c r="C23">
        <v>3053.3949891213401</v>
      </c>
      <c r="D23" s="735">
        <v>75909.663494470864</v>
      </c>
      <c r="E23" s="735">
        <v>72138.634693126573</v>
      </c>
      <c r="F23" s="735">
        <v>323.89018440201397</v>
      </c>
      <c r="H23" s="741">
        <v>21</v>
      </c>
      <c r="I23" s="735">
        <v>114.098110057176</v>
      </c>
      <c r="J23">
        <f t="shared" si="0"/>
        <v>323.89018440201397</v>
      </c>
      <c r="K23" s="735">
        <v>5020.159815</v>
      </c>
      <c r="L23">
        <f t="shared" si="0"/>
        <v>72138.634693126573</v>
      </c>
      <c r="M23" s="742">
        <v>5202.4503759999998</v>
      </c>
      <c r="N23">
        <f t="shared" si="1"/>
        <v>75909.663494470864</v>
      </c>
    </row>
    <row r="24" spans="1:14" ht="15.5" x14ac:dyDescent="0.35">
      <c r="A24">
        <v>12394.9350405571</v>
      </c>
      <c r="B24">
        <v>232.491711042183</v>
      </c>
      <c r="C24">
        <v>2211.8949180202899</v>
      </c>
      <c r="D24" s="735">
        <v>39626.549137841183</v>
      </c>
      <c r="E24" s="735">
        <v>24342.203186217208</v>
      </c>
      <c r="F24" s="735">
        <v>984.41235891009694</v>
      </c>
      <c r="H24" s="741">
        <v>22</v>
      </c>
      <c r="I24" s="735">
        <v>248.44138417461301</v>
      </c>
      <c r="J24">
        <f t="shared" si="0"/>
        <v>984.41235891009694</v>
      </c>
      <c r="K24" s="735">
        <v>2346.6694429999998</v>
      </c>
      <c r="L24">
        <f t="shared" si="0"/>
        <v>24342.203186217208</v>
      </c>
      <c r="M24" s="742">
        <v>3300.5808649999999</v>
      </c>
      <c r="N24">
        <f t="shared" si="1"/>
        <v>39626.549137841183</v>
      </c>
    </row>
    <row r="25" spans="1:14" ht="15.5" x14ac:dyDescent="0.35">
      <c r="A25">
        <v>241.14442434449899</v>
      </c>
      <c r="B25">
        <v>1164.97861322829</v>
      </c>
      <c r="C25">
        <v>20883.248465238601</v>
      </c>
      <c r="D25" s="735">
        <v>29578.835583062384</v>
      </c>
      <c r="E25" s="735">
        <v>2755014.9342571814</v>
      </c>
      <c r="F25" s="735">
        <v>68.964438957941994</v>
      </c>
      <c r="H25" s="741">
        <v>23</v>
      </c>
      <c r="I25" s="735">
        <v>38.640046931414098</v>
      </c>
      <c r="J25">
        <f t="shared" si="0"/>
        <v>68.964438957941994</v>
      </c>
      <c r="K25" s="735">
        <v>64281.613640000003</v>
      </c>
      <c r="L25">
        <f t="shared" si="0"/>
        <v>2755014.9342571814</v>
      </c>
      <c r="M25" s="742">
        <v>2689.594149</v>
      </c>
      <c r="N25">
        <f t="shared" si="1"/>
        <v>29578.835583062384</v>
      </c>
    </row>
    <row r="26" spans="1:14" ht="15.5" x14ac:dyDescent="0.35">
      <c r="A26">
        <v>507.83678352670597</v>
      </c>
      <c r="B26">
        <v>171.02519913518401</v>
      </c>
      <c r="C26">
        <v>37.422543337495902</v>
      </c>
      <c r="D26" s="735">
        <v>27419.402429878053</v>
      </c>
      <c r="E26" s="735">
        <v>63684.438604838862</v>
      </c>
      <c r="F26" s="735">
        <v>250.67971764043895</v>
      </c>
      <c r="H26" s="741">
        <v>24</v>
      </c>
      <c r="I26" s="735">
        <v>95.363775746010504</v>
      </c>
      <c r="J26">
        <f t="shared" si="0"/>
        <v>250.67971764043895</v>
      </c>
      <c r="K26" s="735">
        <v>4600.6937749999997</v>
      </c>
      <c r="L26">
        <f t="shared" si="0"/>
        <v>63684.438604838862</v>
      </c>
      <c r="M26" s="742">
        <v>2550.5896320000002</v>
      </c>
      <c r="N26">
        <f t="shared" si="1"/>
        <v>27419.402429878053</v>
      </c>
    </row>
    <row r="27" spans="1:14" ht="15.5" x14ac:dyDescent="0.35">
      <c r="A27">
        <v>289.00838575287298</v>
      </c>
      <c r="B27">
        <v>96.421995228063906</v>
      </c>
      <c r="C27">
        <v>4544.9958524898202</v>
      </c>
      <c r="D27" s="735">
        <v>19243.052308473456</v>
      </c>
      <c r="E27" s="735">
        <v>2325.2199741339755</v>
      </c>
      <c r="F27" s="735">
        <v>3293.9294392415709</v>
      </c>
      <c r="H27" s="741">
        <v>25</v>
      </c>
      <c r="I27" s="735">
        <v>578.62874441356803</v>
      </c>
      <c r="J27">
        <f t="shared" si="0"/>
        <v>3293.9294392415709</v>
      </c>
      <c r="K27" s="735">
        <v>453.4452235</v>
      </c>
      <c r="L27">
        <f t="shared" si="0"/>
        <v>2325.2199741339755</v>
      </c>
      <c r="M27" s="742">
        <v>1990.635626</v>
      </c>
      <c r="N27">
        <f t="shared" si="1"/>
        <v>19243.052308473456</v>
      </c>
    </row>
    <row r="28" spans="1:14" ht="15.5" x14ac:dyDescent="0.35">
      <c r="A28">
        <v>208.44656048988199</v>
      </c>
      <c r="B28">
        <v>385.69731149321302</v>
      </c>
      <c r="C28">
        <v>35143.715645475</v>
      </c>
      <c r="D28" s="735">
        <v>9427.561883830851</v>
      </c>
      <c r="E28" s="735">
        <v>1462.7597085330558</v>
      </c>
      <c r="F28" s="735">
        <v>1796.6805278370391</v>
      </c>
      <c r="H28" s="741">
        <v>26</v>
      </c>
      <c r="I28" s="735">
        <v>378.55553688257498</v>
      </c>
      <c r="J28">
        <f t="shared" si="0"/>
        <v>1796.6805278370391</v>
      </c>
      <c r="K28" s="735">
        <v>327.80916569999999</v>
      </c>
      <c r="L28">
        <f t="shared" si="0"/>
        <v>1462.7597085330558</v>
      </c>
      <c r="M28" s="742">
        <v>1208.035159</v>
      </c>
      <c r="N28">
        <f t="shared" si="1"/>
        <v>9427.561883830851</v>
      </c>
    </row>
    <row r="29" spans="1:14" ht="15.5" x14ac:dyDescent="0.35">
      <c r="A29">
        <v>7751.4943391937104</v>
      </c>
      <c r="B29">
        <v>19.576301613115302</v>
      </c>
      <c r="C29">
        <v>3244.94536615078</v>
      </c>
      <c r="D29" s="735">
        <v>48144.636350034729</v>
      </c>
      <c r="E29" s="735">
        <v>2498757.5224998468</v>
      </c>
      <c r="F29" s="735">
        <v>1284.4829877159721</v>
      </c>
      <c r="H29" s="741">
        <v>27</v>
      </c>
      <c r="I29" s="735">
        <v>299.30215902738797</v>
      </c>
      <c r="J29">
        <f t="shared" si="0"/>
        <v>1284.4829877159721</v>
      </c>
      <c r="K29" s="735">
        <v>60035.326959999999</v>
      </c>
      <c r="L29">
        <f t="shared" si="0"/>
        <v>2498757.5224998468</v>
      </c>
      <c r="M29" s="742">
        <v>3782.5400709999999</v>
      </c>
      <c r="N29">
        <f t="shared" si="1"/>
        <v>48144.636350034729</v>
      </c>
    </row>
    <row r="30" spans="1:14" ht="15.5" x14ac:dyDescent="0.35">
      <c r="A30">
        <v>144.950361121138</v>
      </c>
      <c r="B30">
        <v>182.03365003242001</v>
      </c>
      <c r="C30">
        <v>117.42745449152601</v>
      </c>
      <c r="D30" s="735">
        <v>9461.9764175223045</v>
      </c>
      <c r="E30" s="735">
        <v>13354.731983415819</v>
      </c>
      <c r="F30" s="735">
        <v>543.41256235457035</v>
      </c>
      <c r="H30" s="741">
        <v>28</v>
      </c>
      <c r="I30" s="735">
        <v>163.90446018926201</v>
      </c>
      <c r="J30">
        <f t="shared" si="0"/>
        <v>543.41256235457035</v>
      </c>
      <c r="K30" s="735">
        <v>1541.5038850000001</v>
      </c>
      <c r="L30">
        <f t="shared" si="0"/>
        <v>13354.731983415819</v>
      </c>
      <c r="M30" s="742">
        <v>1211.1203539999999</v>
      </c>
      <c r="N30">
        <f t="shared" si="1"/>
        <v>9461.9764175223045</v>
      </c>
    </row>
    <row r="31" spans="1:14" ht="15.5" x14ac:dyDescent="0.35">
      <c r="A31">
        <v>16.636269795750099</v>
      </c>
      <c r="B31">
        <v>2245.1233684051699</v>
      </c>
      <c r="C31">
        <v>5553.7853437739004</v>
      </c>
      <c r="D31" s="735">
        <v>176693.27558831361</v>
      </c>
      <c r="E31" s="735">
        <v>148312.99163042253</v>
      </c>
      <c r="F31" s="735">
        <v>1685.745131692232</v>
      </c>
      <c r="H31" s="741">
        <v>29</v>
      </c>
      <c r="I31" s="735">
        <v>362.03815241467402</v>
      </c>
      <c r="J31">
        <f t="shared" si="0"/>
        <v>1685.745131692232</v>
      </c>
      <c r="K31" s="735">
        <v>8314.2951329999996</v>
      </c>
      <c r="L31">
        <f t="shared" si="0"/>
        <v>148312.99163042253</v>
      </c>
      <c r="M31" s="742">
        <v>9398.4019580000004</v>
      </c>
      <c r="N31">
        <f t="shared" si="1"/>
        <v>176693.27558831361</v>
      </c>
    </row>
    <row r="32" spans="1:14" ht="15.5" x14ac:dyDescent="0.35">
      <c r="A32">
        <v>791.76583234658403</v>
      </c>
      <c r="B32">
        <v>53.966403626431799</v>
      </c>
      <c r="C32">
        <v>40580.317352511403</v>
      </c>
      <c r="D32" s="735">
        <v>55784.226079532236</v>
      </c>
      <c r="E32" s="735">
        <v>3049.9274004666418</v>
      </c>
      <c r="F32" s="735">
        <v>17.586724670096384</v>
      </c>
      <c r="H32" s="741">
        <v>30</v>
      </c>
      <c r="I32" s="735">
        <v>14.8466843470322</v>
      </c>
      <c r="J32">
        <f t="shared" si="0"/>
        <v>17.586724670096384</v>
      </c>
      <c r="K32" s="735">
        <v>548.28031190000002</v>
      </c>
      <c r="L32">
        <f t="shared" si="0"/>
        <v>3049.9274004666418</v>
      </c>
      <c r="M32" s="742">
        <v>4193.319837</v>
      </c>
      <c r="N32">
        <f t="shared" si="1"/>
        <v>55784.226079532236</v>
      </c>
    </row>
    <row r="33" spans="1:14" ht="15.5" x14ac:dyDescent="0.35">
      <c r="A33">
        <v>1555.1133172069999</v>
      </c>
      <c r="B33">
        <v>78.934079871546501</v>
      </c>
      <c r="C33">
        <v>33566.358888897499</v>
      </c>
      <c r="D33" s="735">
        <v>11918.859545735733</v>
      </c>
      <c r="E33" s="735">
        <v>334850.20642198325</v>
      </c>
      <c r="F33" s="735">
        <v>1838.7692573076104</v>
      </c>
      <c r="H33" s="741">
        <v>31</v>
      </c>
      <c r="I33" s="735">
        <v>384.74152659470099</v>
      </c>
      <c r="J33">
        <f t="shared" si="0"/>
        <v>1838.7692573076104</v>
      </c>
      <c r="K33" s="735">
        <v>14702.64258</v>
      </c>
      <c r="L33">
        <f t="shared" si="0"/>
        <v>334850.20642198325</v>
      </c>
      <c r="M33" s="742">
        <v>1423.522354</v>
      </c>
      <c r="N33">
        <f t="shared" si="1"/>
        <v>11918.859545735733</v>
      </c>
    </row>
    <row r="34" spans="1:14" ht="15.5" x14ac:dyDescent="0.35">
      <c r="A34">
        <v>120.56123729514</v>
      </c>
      <c r="B34">
        <v>274.46588587520603</v>
      </c>
      <c r="C34">
        <v>4893.0608400512101</v>
      </c>
      <c r="D34" s="735">
        <v>4739.6662390353667</v>
      </c>
      <c r="E34" s="735">
        <v>18604.833962151955</v>
      </c>
      <c r="F34" s="735">
        <v>207.98535863483863</v>
      </c>
      <c r="H34" s="741">
        <v>32</v>
      </c>
      <c r="I34" s="735">
        <v>83.680243326158902</v>
      </c>
      <c r="J34">
        <f t="shared" si="0"/>
        <v>207.98535863483863</v>
      </c>
      <c r="K34" s="735">
        <v>1944.1871080000001</v>
      </c>
      <c r="L34">
        <f t="shared" si="0"/>
        <v>18604.833962151955</v>
      </c>
      <c r="M34" s="742">
        <v>746.48903389999998</v>
      </c>
      <c r="N34">
        <f t="shared" si="1"/>
        <v>4739.6662390353667</v>
      </c>
    </row>
    <row r="35" spans="1:14" ht="15.5" x14ac:dyDescent="0.35">
      <c r="A35">
        <v>12.206511453913</v>
      </c>
      <c r="B35">
        <v>3081.3681276515799</v>
      </c>
      <c r="C35">
        <v>1777.80285432132</v>
      </c>
      <c r="D35" s="735">
        <v>19818.898345053662</v>
      </c>
      <c r="E35" s="735">
        <v>4362313.0261171088</v>
      </c>
      <c r="F35" s="735">
        <v>132.51931817520139</v>
      </c>
      <c r="H35" s="741">
        <v>33</v>
      </c>
      <c r="I35" s="735">
        <v>61.037316958194097</v>
      </c>
      <c r="J35">
        <f t="shared" si="0"/>
        <v>132.51931817520139</v>
      </c>
      <c r="K35" s="735">
        <v>88675.118640000001</v>
      </c>
      <c r="L35">
        <f t="shared" si="0"/>
        <v>4362313.0261171088</v>
      </c>
      <c r="M35" s="742">
        <v>2032.1495110000001</v>
      </c>
      <c r="N35">
        <f t="shared" si="1"/>
        <v>19818.898345053662</v>
      </c>
    </row>
    <row r="36" spans="1:14" ht="15.5" x14ac:dyDescent="0.35">
      <c r="A36">
        <v>1092.2804523652301</v>
      </c>
      <c r="B36">
        <v>231.10446554885999</v>
      </c>
      <c r="C36">
        <v>204.548611366058</v>
      </c>
      <c r="D36" s="735">
        <v>90123.031629266698</v>
      </c>
      <c r="E36" s="735">
        <v>2283.1580936755731</v>
      </c>
      <c r="F36" s="735">
        <v>1335.4581109208518</v>
      </c>
      <c r="H36" s="741">
        <v>34</v>
      </c>
      <c r="I36" s="735">
        <v>307.56802867778498</v>
      </c>
      <c r="J36">
        <f t="shared" si="0"/>
        <v>1335.4581109208518</v>
      </c>
      <c r="K36" s="735">
        <v>447.68772749999999</v>
      </c>
      <c r="L36">
        <f t="shared" si="0"/>
        <v>2283.1580936755731</v>
      </c>
      <c r="M36" s="742">
        <v>5866.5807750000004</v>
      </c>
      <c r="N36">
        <f t="shared" si="1"/>
        <v>90123.031629266698</v>
      </c>
    </row>
    <row r="37" spans="1:14" ht="15.5" x14ac:dyDescent="0.35">
      <c r="A37">
        <v>362.31533460750899</v>
      </c>
      <c r="B37">
        <v>206.53979412717999</v>
      </c>
      <c r="C37">
        <v>2509.95417590135</v>
      </c>
      <c r="D37" s="735">
        <v>4627.9876839004774</v>
      </c>
      <c r="E37" s="735">
        <v>9462.1554154321875</v>
      </c>
      <c r="F37" s="735">
        <v>36.642287534218411</v>
      </c>
      <c r="H37" s="741">
        <v>35</v>
      </c>
      <c r="I37" s="735">
        <v>24.819201491728698</v>
      </c>
      <c r="J37">
        <f t="shared" si="0"/>
        <v>36.642287534218411</v>
      </c>
      <c r="K37" s="735">
        <v>1211.1363919999999</v>
      </c>
      <c r="L37">
        <f t="shared" si="0"/>
        <v>9462.1554154321875</v>
      </c>
      <c r="M37" s="742">
        <v>734.13264449999997</v>
      </c>
      <c r="N37">
        <f t="shared" si="1"/>
        <v>4627.9876839004774</v>
      </c>
    </row>
    <row r="38" spans="1:14" ht="15.5" x14ac:dyDescent="0.35">
      <c r="A38">
        <v>1584.3708568264799</v>
      </c>
      <c r="B38">
        <v>739.51014308213098</v>
      </c>
      <c r="C38">
        <v>4982.9920617231701</v>
      </c>
      <c r="D38" s="735">
        <v>6394.6609894355606</v>
      </c>
      <c r="E38" s="735">
        <v>26344.911430546694</v>
      </c>
      <c r="F38" s="735">
        <v>3018.7432839599896</v>
      </c>
      <c r="H38" s="741">
        <v>36</v>
      </c>
      <c r="I38" s="735">
        <v>544.35012542222705</v>
      </c>
      <c r="J38">
        <f t="shared" si="0"/>
        <v>3018.7432839599896</v>
      </c>
      <c r="K38" s="735">
        <v>2480.2058069999998</v>
      </c>
      <c r="L38">
        <f t="shared" si="0"/>
        <v>26344.911430546694</v>
      </c>
      <c r="M38" s="742">
        <v>920.60274990000005</v>
      </c>
      <c r="N38">
        <f t="shared" si="1"/>
        <v>6394.6609894355606</v>
      </c>
    </row>
    <row r="39" spans="1:14" ht="15.5" x14ac:dyDescent="0.35">
      <c r="A39">
        <v>1161.4556863842599</v>
      </c>
      <c r="B39">
        <v>117.911737737127</v>
      </c>
      <c r="C39">
        <v>6165.86934108077</v>
      </c>
      <c r="D39" s="735">
        <v>586668.75737760181</v>
      </c>
      <c r="E39" s="735">
        <v>10368.884903664861</v>
      </c>
      <c r="F39" s="735">
        <v>1011.871454119478</v>
      </c>
      <c r="H39" s="741">
        <v>37</v>
      </c>
      <c r="I39" s="735">
        <v>253.272327220595</v>
      </c>
      <c r="J39">
        <f t="shared" si="0"/>
        <v>1011.871454119478</v>
      </c>
      <c r="K39" s="735">
        <v>1291.256253</v>
      </c>
      <c r="L39">
        <f t="shared" si="0"/>
        <v>10368.884903664861</v>
      </c>
      <c r="M39" s="742">
        <v>21770.834309999998</v>
      </c>
      <c r="N39">
        <f t="shared" si="1"/>
        <v>586668.75737760181</v>
      </c>
    </row>
    <row r="40" spans="1:14" ht="15.5" x14ac:dyDescent="0.35">
      <c r="A40">
        <v>316.542055881701</v>
      </c>
      <c r="B40">
        <v>819.08368639362902</v>
      </c>
      <c r="C40">
        <v>8683.1572390372094</v>
      </c>
      <c r="D40" s="735">
        <v>11199.428497061017</v>
      </c>
      <c r="E40" s="735">
        <v>186362.35908467259</v>
      </c>
      <c r="F40" s="735">
        <v>1030.1175773176167</v>
      </c>
      <c r="H40" s="741">
        <v>38</v>
      </c>
      <c r="I40" s="735">
        <v>256.46066168772302</v>
      </c>
      <c r="J40">
        <f t="shared" si="0"/>
        <v>1030.1175773176167</v>
      </c>
      <c r="K40" s="735">
        <v>9755.5270970000001</v>
      </c>
      <c r="L40">
        <f t="shared" si="0"/>
        <v>186362.35908467259</v>
      </c>
      <c r="M40" s="742">
        <v>1362.815621</v>
      </c>
      <c r="N40">
        <f t="shared" si="1"/>
        <v>11199.428497061017</v>
      </c>
    </row>
    <row r="41" spans="1:14" ht="15.5" x14ac:dyDescent="0.35">
      <c r="A41">
        <v>403.73445130076402</v>
      </c>
      <c r="B41">
        <v>130.852750096915</v>
      </c>
      <c r="C41">
        <v>2765.4126551156101</v>
      </c>
      <c r="D41" s="735">
        <v>31548.232273968901</v>
      </c>
      <c r="E41" s="735">
        <v>161598.4183792008</v>
      </c>
      <c r="F41" s="735">
        <v>9408.309888264328</v>
      </c>
      <c r="H41" s="741">
        <v>39</v>
      </c>
      <c r="I41" s="735">
        <v>1206.30778211557</v>
      </c>
      <c r="J41">
        <f t="shared" si="0"/>
        <v>9408.309888264328</v>
      </c>
      <c r="K41" s="735">
        <v>8828.8873199999998</v>
      </c>
      <c r="L41">
        <f t="shared" si="0"/>
        <v>161598.4183792008</v>
      </c>
      <c r="M41" s="742">
        <v>2813.730646</v>
      </c>
      <c r="N41">
        <f t="shared" si="1"/>
        <v>31548.232273968901</v>
      </c>
    </row>
    <row r="42" spans="1:14" ht="15.5" x14ac:dyDescent="0.35">
      <c r="A42">
        <v>25.499342018444999</v>
      </c>
      <c r="B42">
        <v>53.855705436826703</v>
      </c>
      <c r="C42">
        <v>20392.569455550201</v>
      </c>
      <c r="D42" s="735">
        <v>121085.71590076739</v>
      </c>
      <c r="E42" s="735">
        <v>123547.27218868533</v>
      </c>
      <c r="F42" s="735">
        <v>37.263712835476767</v>
      </c>
      <c r="H42" s="741">
        <v>40</v>
      </c>
      <c r="I42" s="735">
        <v>25.113097749476299</v>
      </c>
      <c r="J42">
        <f t="shared" si="0"/>
        <v>37.263712835476767</v>
      </c>
      <c r="K42" s="735">
        <v>7316.160304</v>
      </c>
      <c r="L42">
        <f t="shared" si="0"/>
        <v>123547.27218868533</v>
      </c>
      <c r="M42" s="742">
        <v>7213.8156499999996</v>
      </c>
      <c r="N42">
        <f t="shared" si="1"/>
        <v>121085.71590076739</v>
      </c>
    </row>
    <row r="43" spans="1:14" ht="15.5" x14ac:dyDescent="0.35">
      <c r="A43">
        <v>9736.6779038980603</v>
      </c>
      <c r="B43">
        <v>610.87375616161705</v>
      </c>
      <c r="C43">
        <v>8392.5373446259291</v>
      </c>
      <c r="D43" s="735">
        <v>71571.183477499289</v>
      </c>
      <c r="E43" s="735">
        <v>22260.25834455861</v>
      </c>
      <c r="F43" s="735">
        <v>1030.3930356134658</v>
      </c>
      <c r="H43" s="741">
        <v>41</v>
      </c>
      <c r="I43" s="735">
        <v>256.508664915297</v>
      </c>
      <c r="J43">
        <f t="shared" si="0"/>
        <v>1030.3930356134658</v>
      </c>
      <c r="K43" s="735">
        <v>2204.3022310000001</v>
      </c>
      <c r="L43">
        <f t="shared" si="0"/>
        <v>22260.25834455861</v>
      </c>
      <c r="M43" s="742">
        <v>4992.4846589999997</v>
      </c>
      <c r="N43">
        <f t="shared" si="1"/>
        <v>71571.183477499289</v>
      </c>
    </row>
    <row r="44" spans="1:14" ht="15.5" x14ac:dyDescent="0.35">
      <c r="A44">
        <v>378.42986117066198</v>
      </c>
      <c r="B44">
        <v>767.81119862140201</v>
      </c>
      <c r="C44">
        <v>14754.463770209</v>
      </c>
      <c r="D44" s="735">
        <v>15723.776572210785</v>
      </c>
      <c r="E44" s="735">
        <v>937.81458388342946</v>
      </c>
      <c r="F44" s="735">
        <v>4327.21722515497</v>
      </c>
      <c r="H44" s="741">
        <v>42</v>
      </c>
      <c r="I44" s="735">
        <v>700.39992039252695</v>
      </c>
      <c r="J44">
        <f t="shared" si="0"/>
        <v>4327.21722515497</v>
      </c>
      <c r="K44" s="735">
        <v>240.14961099999999</v>
      </c>
      <c r="L44">
        <f t="shared" si="0"/>
        <v>937.81458388342946</v>
      </c>
      <c r="M44" s="742">
        <v>1728.183303</v>
      </c>
      <c r="N44">
        <f t="shared" si="1"/>
        <v>15723.776572210785</v>
      </c>
    </row>
    <row r="45" spans="1:14" ht="15.5" x14ac:dyDescent="0.35">
      <c r="A45">
        <v>186.652086393367</v>
      </c>
      <c r="B45">
        <v>638.87347291077197</v>
      </c>
      <c r="C45">
        <v>30132.390115067501</v>
      </c>
      <c r="D45" s="735">
        <v>2663.2513529069552</v>
      </c>
      <c r="E45" s="735">
        <v>3098.0390262967858</v>
      </c>
      <c r="F45" s="735">
        <v>202.03423622538565</v>
      </c>
      <c r="H45" s="741">
        <v>43</v>
      </c>
      <c r="I45" s="735">
        <v>81.996908588327301</v>
      </c>
      <c r="J45">
        <f t="shared" si="0"/>
        <v>202.03423622538565</v>
      </c>
      <c r="K45" s="735">
        <v>554.32034550000003</v>
      </c>
      <c r="L45">
        <f t="shared" si="0"/>
        <v>3098.0390262967858</v>
      </c>
      <c r="M45" s="742">
        <v>498.64160229999999</v>
      </c>
      <c r="N45">
        <f t="shared" si="1"/>
        <v>2663.2513529069552</v>
      </c>
    </row>
    <row r="46" spans="1:14" ht="15.5" x14ac:dyDescent="0.35">
      <c r="A46">
        <v>732.336744599555</v>
      </c>
      <c r="B46">
        <v>563.18973258568894</v>
      </c>
      <c r="C46">
        <v>6077.2267792534503</v>
      </c>
      <c r="D46" s="735">
        <v>14205.253078395444</v>
      </c>
      <c r="E46" s="735">
        <v>13666.887308085992</v>
      </c>
      <c r="F46" s="735">
        <v>897.641900194051</v>
      </c>
      <c r="H46" s="741">
        <v>44</v>
      </c>
      <c r="I46" s="735">
        <v>232.90144416135701</v>
      </c>
      <c r="J46">
        <f t="shared" si="0"/>
        <v>897.641900194051</v>
      </c>
      <c r="K46" s="735">
        <v>1566.6382630000001</v>
      </c>
      <c r="L46">
        <f t="shared" si="0"/>
        <v>13666.887308085992</v>
      </c>
      <c r="M46" s="742">
        <v>1609.5863589999999</v>
      </c>
      <c r="N46">
        <f t="shared" si="1"/>
        <v>14205.253078395444</v>
      </c>
    </row>
    <row r="47" spans="1:14" ht="15.5" x14ac:dyDescent="0.35">
      <c r="A47">
        <v>2766.3480684648598</v>
      </c>
      <c r="B47">
        <v>358.46261454021402</v>
      </c>
      <c r="C47">
        <v>86178.529109699099</v>
      </c>
      <c r="D47" s="735">
        <v>475537.16702562413</v>
      </c>
      <c r="E47" s="735">
        <v>45.807584962303849</v>
      </c>
      <c r="F47" s="735">
        <v>1987.8130065019018</v>
      </c>
      <c r="H47" s="741">
        <v>45</v>
      </c>
      <c r="I47" s="735">
        <v>406.315013094162</v>
      </c>
      <c r="J47">
        <f t="shared" si="0"/>
        <v>1987.8130065019018</v>
      </c>
      <c r="K47" s="735">
        <v>29.017245030000002</v>
      </c>
      <c r="L47">
        <f t="shared" si="0"/>
        <v>45.807584962303849</v>
      </c>
      <c r="M47" s="742">
        <v>18794.42859</v>
      </c>
      <c r="N47">
        <f t="shared" si="1"/>
        <v>475537.16702562413</v>
      </c>
    </row>
    <row r="48" spans="1:14" ht="15.5" x14ac:dyDescent="0.35">
      <c r="A48">
        <v>70.494842691790694</v>
      </c>
      <c r="B48">
        <v>67.592808341738504</v>
      </c>
      <c r="C48">
        <v>4199.3896276856503</v>
      </c>
      <c r="D48" s="735">
        <v>19749.594359304898</v>
      </c>
      <c r="E48" s="735">
        <v>12238.625648866597</v>
      </c>
      <c r="F48" s="735">
        <v>2816.3472420475046</v>
      </c>
      <c r="H48" s="741">
        <v>46</v>
      </c>
      <c r="I48" s="735">
        <v>518.53770372083795</v>
      </c>
      <c r="J48">
        <f t="shared" si="0"/>
        <v>2816.3472420475046</v>
      </c>
      <c r="K48" s="735">
        <v>1450.149762</v>
      </c>
      <c r="L48">
        <f t="shared" si="0"/>
        <v>12238.625648866597</v>
      </c>
      <c r="M48" s="742">
        <v>2027.172593</v>
      </c>
      <c r="N48">
        <f t="shared" si="1"/>
        <v>19749.594359304898</v>
      </c>
    </row>
    <row r="49" spans="1:14" ht="15.5" x14ac:dyDescent="0.35">
      <c r="A49">
        <v>14.0043848905805</v>
      </c>
      <c r="B49">
        <v>96.724520717041202</v>
      </c>
      <c r="C49">
        <v>90.6795466166555</v>
      </c>
      <c r="D49" s="735">
        <v>5306.3007473227426</v>
      </c>
      <c r="E49" s="735">
        <v>1727.9725406294165</v>
      </c>
      <c r="F49" s="735">
        <v>3.9563301624009366</v>
      </c>
      <c r="H49" s="741">
        <v>47</v>
      </c>
      <c r="I49" s="735">
        <v>5.2252222673117901</v>
      </c>
      <c r="J49">
        <f t="shared" si="0"/>
        <v>3.9563301624009366</v>
      </c>
      <c r="K49" s="735">
        <v>368.36281719999999</v>
      </c>
      <c r="L49">
        <f t="shared" si="0"/>
        <v>1727.9725406294165</v>
      </c>
      <c r="M49" s="742">
        <v>807.89385110000001</v>
      </c>
      <c r="N49">
        <f t="shared" si="1"/>
        <v>5306.3007473227426</v>
      </c>
    </row>
    <row r="50" spans="1:14" ht="15.5" x14ac:dyDescent="0.35">
      <c r="A50">
        <v>4751.7628287120497</v>
      </c>
      <c r="B50">
        <v>216.81736090564101</v>
      </c>
      <c r="C50">
        <v>781.29508292232595</v>
      </c>
      <c r="D50" s="735">
        <v>39722.715295748734</v>
      </c>
      <c r="E50" s="735">
        <v>518.33900312041567</v>
      </c>
      <c r="F50" s="735">
        <v>640.97692219561122</v>
      </c>
      <c r="H50" s="741">
        <v>48</v>
      </c>
      <c r="I50" s="735">
        <v>183.988074925006</v>
      </c>
      <c r="J50">
        <f t="shared" si="0"/>
        <v>640.97692219561122</v>
      </c>
      <c r="K50" s="735">
        <v>158.57317520000001</v>
      </c>
      <c r="L50">
        <f t="shared" si="0"/>
        <v>518.33900312041567</v>
      </c>
      <c r="M50" s="742">
        <v>3306.185747</v>
      </c>
      <c r="N50">
        <f t="shared" si="1"/>
        <v>39722.715295748734</v>
      </c>
    </row>
    <row r="51" spans="1:14" ht="15.5" x14ac:dyDescent="0.35">
      <c r="A51">
        <v>34.833713343428798</v>
      </c>
      <c r="B51">
        <v>282.43657331722301</v>
      </c>
      <c r="C51">
        <v>736.87586645928195</v>
      </c>
      <c r="D51" s="735">
        <v>27787.297086397662</v>
      </c>
      <c r="E51" s="735">
        <v>232483.50872962436</v>
      </c>
      <c r="F51" s="735">
        <v>504.85873584919631</v>
      </c>
      <c r="H51" s="741">
        <v>49</v>
      </c>
      <c r="I51" s="735">
        <v>155.675013784377</v>
      </c>
      <c r="J51">
        <f t="shared" si="0"/>
        <v>504.85873584919631</v>
      </c>
      <c r="K51" s="735">
        <v>11388.70926</v>
      </c>
      <c r="L51">
        <f t="shared" si="0"/>
        <v>232483.50872962436</v>
      </c>
      <c r="M51" s="742">
        <v>2574.497136</v>
      </c>
      <c r="N51">
        <f t="shared" si="1"/>
        <v>27787.297086397662</v>
      </c>
    </row>
    <row r="52" spans="1:14" ht="15.5" x14ac:dyDescent="0.35">
      <c r="A52">
        <v>641.50273638655801</v>
      </c>
      <c r="B52">
        <v>369.36154137248298</v>
      </c>
      <c r="C52">
        <v>4009.0112475392202</v>
      </c>
      <c r="D52" s="735">
        <v>29064.593473848949</v>
      </c>
      <c r="E52" s="735">
        <v>14230.374421923723</v>
      </c>
      <c r="F52" s="735">
        <v>362.10205183936694</v>
      </c>
      <c r="H52" s="741">
        <v>50</v>
      </c>
      <c r="I52" s="735">
        <v>123.362081885525</v>
      </c>
      <c r="J52">
        <f t="shared" si="0"/>
        <v>362.10205183936694</v>
      </c>
      <c r="K52" s="735">
        <v>1611.5783670000001</v>
      </c>
      <c r="L52">
        <f t="shared" si="0"/>
        <v>14230.374421923723</v>
      </c>
      <c r="M52" s="742">
        <v>2656.7762299999999</v>
      </c>
      <c r="N52">
        <f t="shared" si="1"/>
        <v>29064.593473848949</v>
      </c>
    </row>
    <row r="53" spans="1:14" ht="15.5" x14ac:dyDescent="0.35">
      <c r="A53">
        <v>756.70613788645596</v>
      </c>
      <c r="B53">
        <v>598.67641555094201</v>
      </c>
      <c r="C53">
        <v>8314.1778771643603</v>
      </c>
      <c r="D53" s="735">
        <v>173395.99966962571</v>
      </c>
      <c r="E53" s="735">
        <v>11008255.932429437</v>
      </c>
      <c r="F53" s="735">
        <v>36.725997398856833</v>
      </c>
      <c r="H53" s="741">
        <v>51</v>
      </c>
      <c r="I53" s="735">
        <v>24.8588777953481</v>
      </c>
      <c r="J53">
        <f t="shared" si="0"/>
        <v>36.725997398856833</v>
      </c>
      <c r="K53" s="735">
        <v>169512.98149999999</v>
      </c>
      <c r="L53">
        <f t="shared" si="0"/>
        <v>11008255.932429437</v>
      </c>
      <c r="M53" s="742">
        <v>9275.2868949999993</v>
      </c>
      <c r="N53">
        <f t="shared" si="1"/>
        <v>173395.99966962571</v>
      </c>
    </row>
    <row r="54" spans="1:14" ht="15.5" x14ac:dyDescent="0.35">
      <c r="A54">
        <v>175.071640656467</v>
      </c>
      <c r="B54">
        <v>774.90158767633602</v>
      </c>
      <c r="C54">
        <v>1156.28955724909</v>
      </c>
      <c r="D54" s="735">
        <v>13630.727767778106</v>
      </c>
      <c r="E54" s="735">
        <v>5540.6021244542935</v>
      </c>
      <c r="F54" s="735">
        <v>518.76702752206518</v>
      </c>
      <c r="H54" s="741">
        <v>52</v>
      </c>
      <c r="I54" s="735">
        <v>158.664824388619</v>
      </c>
      <c r="J54">
        <f t="shared" si="0"/>
        <v>518.76702752206518</v>
      </c>
      <c r="K54" s="735">
        <v>832.70251229999997</v>
      </c>
      <c r="L54">
        <f t="shared" si="0"/>
        <v>5540.6021244542935</v>
      </c>
      <c r="M54" s="742">
        <v>1563.735627</v>
      </c>
      <c r="N54">
        <f t="shared" si="1"/>
        <v>13630.727767778106</v>
      </c>
    </row>
    <row r="55" spans="1:14" ht="15.5" x14ac:dyDescent="0.35">
      <c r="A55">
        <v>1149.21111544006</v>
      </c>
      <c r="B55">
        <v>1617.37072434432</v>
      </c>
      <c r="C55">
        <v>2607.6230774505698</v>
      </c>
      <c r="D55" s="735">
        <v>226817.16710980766</v>
      </c>
      <c r="E55" s="735">
        <v>41306.21708072177</v>
      </c>
      <c r="F55" s="735">
        <v>6707.3869711342022</v>
      </c>
      <c r="H55" s="741">
        <v>53</v>
      </c>
      <c r="I55" s="735">
        <v>951.89129241051103</v>
      </c>
      <c r="J55">
        <f t="shared" si="0"/>
        <v>6707.3869711342022</v>
      </c>
      <c r="K55" s="735">
        <v>3397.901586</v>
      </c>
      <c r="L55">
        <f t="shared" si="0"/>
        <v>41306.21708072177</v>
      </c>
      <c r="M55" s="742">
        <v>11193.68665</v>
      </c>
      <c r="N55">
        <f t="shared" si="1"/>
        <v>226817.16710980766</v>
      </c>
    </row>
    <row r="56" spans="1:14" ht="15.5" x14ac:dyDescent="0.35">
      <c r="A56">
        <v>8752.1237734025308</v>
      </c>
      <c r="B56">
        <v>498.21476222592702</v>
      </c>
      <c r="C56">
        <v>1701.1460276953601</v>
      </c>
      <c r="D56" s="735">
        <v>4973.4113988750623</v>
      </c>
      <c r="E56" s="735">
        <v>26120.867947488092</v>
      </c>
      <c r="F56" s="735">
        <v>190.80832904033568</v>
      </c>
      <c r="H56" s="741">
        <v>54</v>
      </c>
      <c r="I56" s="735">
        <v>78.780390613818199</v>
      </c>
      <c r="J56">
        <f t="shared" si="0"/>
        <v>190.80832904033568</v>
      </c>
      <c r="K56" s="735">
        <v>2465.4223149999998</v>
      </c>
      <c r="L56">
        <f t="shared" si="0"/>
        <v>26120.867947488092</v>
      </c>
      <c r="M56" s="742">
        <v>772.07247500000005</v>
      </c>
      <c r="N56">
        <f t="shared" si="1"/>
        <v>4973.4113988750623</v>
      </c>
    </row>
    <row r="57" spans="1:14" ht="15.5" x14ac:dyDescent="0.35">
      <c r="A57">
        <v>860.26580195340205</v>
      </c>
      <c r="B57">
        <v>481.43951295018002</v>
      </c>
      <c r="C57">
        <v>925.198224753462</v>
      </c>
      <c r="D57" s="735">
        <v>21109.28803788665</v>
      </c>
      <c r="E57" s="735">
        <v>144088.05662057237</v>
      </c>
      <c r="F57" s="735">
        <v>2208.294101689416</v>
      </c>
      <c r="H57" s="741">
        <v>55</v>
      </c>
      <c r="I57" s="735">
        <v>437.36078333018497</v>
      </c>
      <c r="J57">
        <f t="shared" si="0"/>
        <v>2208.294101689416</v>
      </c>
      <c r="K57" s="735">
        <v>8147.7855289999998</v>
      </c>
      <c r="L57">
        <f t="shared" si="0"/>
        <v>144088.05662057237</v>
      </c>
      <c r="M57" s="742">
        <v>2123.887506</v>
      </c>
      <c r="N57">
        <f t="shared" si="1"/>
        <v>21109.28803788665</v>
      </c>
    </row>
    <row r="58" spans="1:14" ht="15.5" x14ac:dyDescent="0.35">
      <c r="A58">
        <v>849.70526044267297</v>
      </c>
      <c r="B58">
        <v>366.42736992511101</v>
      </c>
      <c r="C58">
        <v>21379.176023684799</v>
      </c>
      <c r="D58" s="735">
        <v>30684.54469650202</v>
      </c>
      <c r="E58" s="735">
        <v>164.95526063079078</v>
      </c>
      <c r="F58" s="735">
        <v>86.357992550399175</v>
      </c>
      <c r="H58" s="741">
        <v>56</v>
      </c>
      <c r="I58" s="735">
        <v>45.2284575285952</v>
      </c>
      <c r="J58">
        <f t="shared" si="0"/>
        <v>86.357992550399175</v>
      </c>
      <c r="K58" s="735">
        <v>71.146955270000007</v>
      </c>
      <c r="L58">
        <f t="shared" si="0"/>
        <v>164.95526063079078</v>
      </c>
      <c r="M58" s="742">
        <v>2759.5850180000002</v>
      </c>
      <c r="N58">
        <f t="shared" si="1"/>
        <v>30684.54469650202</v>
      </c>
    </row>
    <row r="59" spans="1:14" ht="15.5" x14ac:dyDescent="0.35">
      <c r="A59">
        <v>142.630444247702</v>
      </c>
      <c r="B59">
        <v>47.393863000275601</v>
      </c>
      <c r="C59">
        <v>2864.2053040568399</v>
      </c>
      <c r="D59" s="735">
        <v>83741.971636495131</v>
      </c>
      <c r="E59" s="735">
        <v>1812.8338383733574</v>
      </c>
      <c r="F59" s="735">
        <v>933.14229232579066</v>
      </c>
      <c r="H59" s="741">
        <v>57</v>
      </c>
      <c r="I59" s="735">
        <v>239.31146820299</v>
      </c>
      <c r="J59">
        <f t="shared" si="0"/>
        <v>933.14229232579066</v>
      </c>
      <c r="K59" s="735">
        <v>380.93475640000003</v>
      </c>
      <c r="L59">
        <f t="shared" si="0"/>
        <v>1812.8338383733574</v>
      </c>
      <c r="M59" s="742">
        <v>5572.6302390000001</v>
      </c>
      <c r="N59">
        <f t="shared" si="1"/>
        <v>83741.971636495131</v>
      </c>
    </row>
    <row r="60" spans="1:14" ht="15.5" x14ac:dyDescent="0.35">
      <c r="A60">
        <v>21.5978465578448</v>
      </c>
      <c r="B60">
        <v>162.47882018790401</v>
      </c>
      <c r="C60">
        <v>23105.843736082399</v>
      </c>
      <c r="D60" s="735">
        <v>75238.451534510314</v>
      </c>
      <c r="E60" s="735">
        <v>27556.208815274702</v>
      </c>
      <c r="F60" s="735">
        <v>379.18447568814929</v>
      </c>
      <c r="H60" s="741">
        <v>58</v>
      </c>
      <c r="I60" s="735">
        <v>127.407614376628</v>
      </c>
      <c r="J60">
        <f t="shared" si="0"/>
        <v>379.18447568814929</v>
      </c>
      <c r="K60" s="735">
        <v>2559.4911189999998</v>
      </c>
      <c r="L60">
        <f t="shared" si="0"/>
        <v>27556.208815274702</v>
      </c>
      <c r="M60" s="742">
        <v>5170.2065579999999</v>
      </c>
      <c r="N60">
        <f t="shared" si="1"/>
        <v>75238.451534510314</v>
      </c>
    </row>
    <row r="61" spans="1:14" ht="15.5" x14ac:dyDescent="0.35">
      <c r="A61">
        <v>100.74350649545499</v>
      </c>
      <c r="B61">
        <v>105.122894344871</v>
      </c>
      <c r="C61">
        <v>39568.951207603597</v>
      </c>
      <c r="D61" s="735">
        <v>91291.420389043487</v>
      </c>
      <c r="E61" s="735">
        <v>31053.219201607353</v>
      </c>
      <c r="F61" s="735">
        <v>1318.8596192583909</v>
      </c>
      <c r="H61" s="741">
        <v>59</v>
      </c>
      <c r="I61" s="735">
        <v>304.88706521770399</v>
      </c>
      <c r="J61">
        <f t="shared" si="0"/>
        <v>1318.8596192583909</v>
      </c>
      <c r="K61" s="735">
        <v>2782.752876</v>
      </c>
      <c r="L61">
        <f t="shared" si="0"/>
        <v>31053.219201607353</v>
      </c>
      <c r="M61" s="742">
        <v>5919.7174059999998</v>
      </c>
      <c r="N61">
        <f t="shared" si="1"/>
        <v>91291.420389043487</v>
      </c>
    </row>
    <row r="62" spans="1:14" ht="15.5" x14ac:dyDescent="0.35">
      <c r="A62">
        <v>880.57272817696196</v>
      </c>
      <c r="B62">
        <v>152.680691081025</v>
      </c>
      <c r="C62">
        <v>180.81853311482499</v>
      </c>
      <c r="D62" s="735">
        <v>804369.71046690468</v>
      </c>
      <c r="E62" s="735">
        <v>24356.025536697965</v>
      </c>
      <c r="F62" s="735">
        <v>2494.2641904609327</v>
      </c>
      <c r="H62" s="741">
        <v>60</v>
      </c>
      <c r="I62" s="735">
        <v>476.27711710885399</v>
      </c>
      <c r="J62">
        <f t="shared" si="0"/>
        <v>2494.2641904609327</v>
      </c>
      <c r="K62" s="735">
        <v>2347.602128</v>
      </c>
      <c r="L62">
        <f t="shared" si="0"/>
        <v>24356.025536697965</v>
      </c>
      <c r="M62" s="742">
        <v>27153.073540000001</v>
      </c>
      <c r="N62">
        <f t="shared" si="1"/>
        <v>804369.71046690468</v>
      </c>
    </row>
    <row r="63" spans="1:14" ht="15.5" x14ac:dyDescent="0.35">
      <c r="A63">
        <v>2424.0889752287799</v>
      </c>
      <c r="B63">
        <v>136.47407346930899</v>
      </c>
      <c r="C63">
        <v>403.56115566457999</v>
      </c>
      <c r="D63" s="735">
        <v>2701255.1174327238</v>
      </c>
      <c r="E63" s="735">
        <v>396.87696688121434</v>
      </c>
      <c r="F63" s="735">
        <v>1739.7570419040387</v>
      </c>
      <c r="H63" s="741">
        <v>61</v>
      </c>
      <c r="I63" s="735">
        <v>370.11954714961598</v>
      </c>
      <c r="J63">
        <f t="shared" si="0"/>
        <v>1739.7570419040387</v>
      </c>
      <c r="K63" s="735">
        <v>131.54039040000001</v>
      </c>
      <c r="L63">
        <f t="shared" si="0"/>
        <v>396.87696688121434</v>
      </c>
      <c r="M63" s="742">
        <v>63400.972840000002</v>
      </c>
      <c r="N63">
        <f t="shared" si="1"/>
        <v>2701255.1174327238</v>
      </c>
    </row>
    <row r="64" spans="1:14" ht="15.5" x14ac:dyDescent="0.35">
      <c r="A64">
        <v>698.63126338535801</v>
      </c>
      <c r="B64">
        <v>1018.84316536735</v>
      </c>
      <c r="C64">
        <v>949.44207407212696</v>
      </c>
      <c r="D64" s="735">
        <v>641490.09955894446</v>
      </c>
      <c r="E64" s="735">
        <v>33646.888761647868</v>
      </c>
      <c r="F64" s="735">
        <v>315.50533556676783</v>
      </c>
      <c r="H64" s="741">
        <v>62</v>
      </c>
      <c r="I64" s="735">
        <v>112.02235428498599</v>
      </c>
      <c r="J64">
        <f t="shared" si="0"/>
        <v>315.50533556676783</v>
      </c>
      <c r="K64" s="735">
        <v>2943.482368</v>
      </c>
      <c r="L64">
        <f t="shared" si="0"/>
        <v>33646.888761647868</v>
      </c>
      <c r="M64" s="742">
        <v>23175.705880000001</v>
      </c>
      <c r="N64">
        <f t="shared" si="1"/>
        <v>641490.09955894446</v>
      </c>
    </row>
    <row r="65" spans="1:14" ht="15.5" x14ac:dyDescent="0.35">
      <c r="A65">
        <v>464.97117587735698</v>
      </c>
      <c r="B65">
        <v>34.654331994755999</v>
      </c>
      <c r="C65">
        <v>9509.2817729982398</v>
      </c>
      <c r="D65" s="735">
        <v>188014.20802543208</v>
      </c>
      <c r="E65" s="735">
        <v>189.823438803686</v>
      </c>
      <c r="F65" s="735">
        <v>6747.6661527611723</v>
      </c>
      <c r="H65" s="741">
        <v>63</v>
      </c>
      <c r="I65" s="735">
        <v>955.88910383599296</v>
      </c>
      <c r="J65">
        <f t="shared" si="0"/>
        <v>6747.6661527611723</v>
      </c>
      <c r="K65" s="735">
        <v>78.495522690000001</v>
      </c>
      <c r="L65">
        <f t="shared" si="0"/>
        <v>189.823438803686</v>
      </c>
      <c r="M65" s="742">
        <v>9815.9755679999998</v>
      </c>
      <c r="N65">
        <f t="shared" si="1"/>
        <v>188014.20802543208</v>
      </c>
    </row>
    <row r="66" spans="1:14" ht="15.5" x14ac:dyDescent="0.35">
      <c r="A66">
        <v>51.560692199256799</v>
      </c>
      <c r="B66">
        <v>1223.49051515009</v>
      </c>
      <c r="C66">
        <v>7322.9453570770302</v>
      </c>
      <c r="D66" s="735">
        <v>807.93861879072062</v>
      </c>
      <c r="E66" s="735">
        <v>116910.91888108087</v>
      </c>
      <c r="F66" s="735">
        <v>1904.4493602171517</v>
      </c>
      <c r="H66" s="741">
        <v>64</v>
      </c>
      <c r="I66" s="735">
        <v>394.31073466032399</v>
      </c>
      <c r="J66">
        <f t="shared" si="0"/>
        <v>1904.4493602171517</v>
      </c>
      <c r="K66" s="735">
        <v>7038.7988070000001</v>
      </c>
      <c r="L66">
        <f t="shared" si="0"/>
        <v>116910.91888108087</v>
      </c>
      <c r="M66" s="742">
        <v>216.3539643</v>
      </c>
      <c r="N66">
        <f t="shared" si="1"/>
        <v>807.93861879072062</v>
      </c>
    </row>
    <row r="67" spans="1:14" ht="15.5" x14ac:dyDescent="0.35">
      <c r="A67">
        <v>10958.497970484599</v>
      </c>
      <c r="B67">
        <v>147.911506122779</v>
      </c>
      <c r="C67">
        <v>2722.0741464266998</v>
      </c>
      <c r="D67" s="735">
        <v>157935.98389535083</v>
      </c>
      <c r="E67" s="735">
        <v>66798.765250559532</v>
      </c>
      <c r="F67" s="735">
        <v>24214.667115490971</v>
      </c>
      <c r="H67" s="741">
        <v>65</v>
      </c>
      <c r="I67" s="735">
        <v>2338.0562325222299</v>
      </c>
      <c r="J67">
        <f t="shared" si="0"/>
        <v>24214.667115490971</v>
      </c>
      <c r="K67" s="735">
        <v>4757.0520610000003</v>
      </c>
      <c r="L67">
        <f t="shared" si="0"/>
        <v>66798.765250559532</v>
      </c>
      <c r="M67" s="742">
        <v>8688.3391080000001</v>
      </c>
      <c r="N67">
        <f t="shared" si="1"/>
        <v>157935.98389535083</v>
      </c>
    </row>
    <row r="68" spans="1:14" ht="15.5" x14ac:dyDescent="0.35">
      <c r="A68">
        <v>832.37964862474996</v>
      </c>
      <c r="B68">
        <v>274.74388476004998</v>
      </c>
      <c r="C68">
        <v>2715.41825938177</v>
      </c>
      <c r="D68" s="735">
        <v>203939.13350023827</v>
      </c>
      <c r="E68" s="735">
        <v>706.90075520325195</v>
      </c>
      <c r="F68" s="735">
        <v>7.4296747149372173</v>
      </c>
      <c r="H68" s="741">
        <v>66</v>
      </c>
      <c r="I68" s="735">
        <v>8.1222968897512793</v>
      </c>
      <c r="J68">
        <f t="shared" ref="J68:L131" si="2">(10^(LOG(I68)-0.3))^(1/0.7)</f>
        <v>7.4296747149372173</v>
      </c>
      <c r="K68" s="735">
        <v>197.03841800000001</v>
      </c>
      <c r="L68">
        <f t="shared" si="2"/>
        <v>706.90075520325195</v>
      </c>
      <c r="M68" s="742">
        <v>10390.83381</v>
      </c>
      <c r="N68">
        <f t="shared" ref="N68:N131" si="3">(10^(LOG(M68)-0.3))^(1/0.7)</f>
        <v>203939.13350023827</v>
      </c>
    </row>
    <row r="69" spans="1:14" ht="15.5" x14ac:dyDescent="0.35">
      <c r="A69">
        <v>2652.4838239045598</v>
      </c>
      <c r="B69">
        <v>55.419576858677701</v>
      </c>
      <c r="C69">
        <v>29793.7632910309</v>
      </c>
      <c r="D69" s="735">
        <v>16897.260063176927</v>
      </c>
      <c r="E69" s="735">
        <v>2331.3632196865992</v>
      </c>
      <c r="F69" s="735">
        <v>647.51129580051611</v>
      </c>
      <c r="H69" s="741">
        <v>67</v>
      </c>
      <c r="I69" s="735">
        <v>185.29902934151301</v>
      </c>
      <c r="J69">
        <f t="shared" si="2"/>
        <v>647.51129580051611</v>
      </c>
      <c r="K69" s="735">
        <v>454.28349509999998</v>
      </c>
      <c r="L69">
        <f t="shared" si="2"/>
        <v>2331.3632196865992</v>
      </c>
      <c r="M69" s="742">
        <v>1817.4873709999999</v>
      </c>
      <c r="N69">
        <f t="shared" si="3"/>
        <v>16897.260063176927</v>
      </c>
    </row>
    <row r="70" spans="1:14" ht="15.5" x14ac:dyDescent="0.35">
      <c r="A70">
        <v>126.377995020797</v>
      </c>
      <c r="B70">
        <v>1938.0782394041601</v>
      </c>
      <c r="C70">
        <v>12146.664457630301</v>
      </c>
      <c r="D70" s="735">
        <v>19458.517426207352</v>
      </c>
      <c r="E70" s="735">
        <v>444.64554248236703</v>
      </c>
      <c r="F70" s="735">
        <v>835.44428012953949</v>
      </c>
      <c r="H70" s="741">
        <v>68</v>
      </c>
      <c r="I70" s="735">
        <v>221.48394120454799</v>
      </c>
      <c r="J70">
        <f t="shared" si="2"/>
        <v>835.44428012953949</v>
      </c>
      <c r="K70" s="735">
        <v>142.4327174</v>
      </c>
      <c r="L70">
        <f t="shared" si="2"/>
        <v>444.64554248236703</v>
      </c>
      <c r="M70" s="742">
        <v>2006.211998</v>
      </c>
      <c r="N70">
        <f t="shared" si="3"/>
        <v>19458.517426207352</v>
      </c>
    </row>
    <row r="71" spans="1:14" ht="15.5" x14ac:dyDescent="0.35">
      <c r="A71">
        <v>1218.14509813327</v>
      </c>
      <c r="B71">
        <v>193.43869454365199</v>
      </c>
      <c r="C71">
        <v>581.32576630357096</v>
      </c>
      <c r="D71" s="735">
        <v>42132.865530862262</v>
      </c>
      <c r="E71" s="735">
        <v>1122.0720926650924</v>
      </c>
      <c r="F71" s="735">
        <v>432.35081195268634</v>
      </c>
      <c r="H71" s="741">
        <v>69</v>
      </c>
      <c r="I71" s="735">
        <v>139.66429556949001</v>
      </c>
      <c r="J71">
        <f t="shared" si="2"/>
        <v>432.35081195268634</v>
      </c>
      <c r="K71" s="735">
        <v>272.27924189999999</v>
      </c>
      <c r="L71">
        <f t="shared" si="2"/>
        <v>1122.0720926650924</v>
      </c>
      <c r="M71" s="742">
        <v>3445.3607200000001</v>
      </c>
      <c r="N71">
        <f t="shared" si="3"/>
        <v>42132.865530862262</v>
      </c>
    </row>
    <row r="72" spans="1:14" ht="15.5" x14ac:dyDescent="0.35">
      <c r="A72">
        <v>357.95278928931498</v>
      </c>
      <c r="B72">
        <v>79.045623460694401</v>
      </c>
      <c r="C72">
        <v>12361.4710546072</v>
      </c>
      <c r="D72" s="735">
        <v>3990.0189721429319</v>
      </c>
      <c r="E72" s="735">
        <v>299249.36692464876</v>
      </c>
      <c r="F72" s="735">
        <v>126.00211462873014</v>
      </c>
      <c r="H72" s="741">
        <v>70</v>
      </c>
      <c r="I72" s="735">
        <v>58.920236800464203</v>
      </c>
      <c r="J72">
        <f t="shared" si="2"/>
        <v>126.00211462873014</v>
      </c>
      <c r="K72" s="735">
        <v>13590.119269999999</v>
      </c>
      <c r="L72">
        <f t="shared" si="2"/>
        <v>299249.36692464876</v>
      </c>
      <c r="M72" s="742">
        <v>661.73251159999995</v>
      </c>
      <c r="N72">
        <f t="shared" si="3"/>
        <v>3990.0189721429319</v>
      </c>
    </row>
    <row r="73" spans="1:14" ht="15.5" x14ac:dyDescent="0.35">
      <c r="A73">
        <v>57.897603348399599</v>
      </c>
      <c r="B73">
        <v>1180.89958343745</v>
      </c>
      <c r="C73">
        <v>65708.188751886599</v>
      </c>
      <c r="D73" s="735">
        <v>150019.69840714603</v>
      </c>
      <c r="E73" s="735">
        <v>66487.095656809397</v>
      </c>
      <c r="F73" s="735">
        <v>20.383330572410681</v>
      </c>
      <c r="H73" s="741">
        <v>71</v>
      </c>
      <c r="I73" s="735">
        <v>16.4623792881629</v>
      </c>
      <c r="J73">
        <f t="shared" si="2"/>
        <v>20.383330572410681</v>
      </c>
      <c r="K73" s="735">
        <v>4741.5043519999999</v>
      </c>
      <c r="L73">
        <f t="shared" si="2"/>
        <v>66487.095656809397</v>
      </c>
      <c r="M73" s="742">
        <v>8381.1536319999996</v>
      </c>
      <c r="N73">
        <f t="shared" si="3"/>
        <v>150019.69840714603</v>
      </c>
    </row>
    <row r="74" spans="1:14" ht="15.5" x14ac:dyDescent="0.35">
      <c r="A74">
        <v>45.029350891386301</v>
      </c>
      <c r="B74">
        <v>565.98736723768104</v>
      </c>
      <c r="C74">
        <v>1207.29152107347</v>
      </c>
      <c r="D74" s="735">
        <v>7895.3950781180456</v>
      </c>
      <c r="E74" s="735">
        <v>315890.93754091201</v>
      </c>
      <c r="F74" s="735">
        <v>1614.5933194763668</v>
      </c>
      <c r="H74" s="741">
        <v>72</v>
      </c>
      <c r="I74" s="735">
        <v>351.27254388398899</v>
      </c>
      <c r="J74">
        <f t="shared" si="2"/>
        <v>1614.5933194763668</v>
      </c>
      <c r="K74" s="735">
        <v>14114.84186</v>
      </c>
      <c r="L74">
        <f t="shared" si="2"/>
        <v>315890.93754091201</v>
      </c>
      <c r="M74" s="742">
        <v>1066.9933349999999</v>
      </c>
      <c r="N74">
        <f t="shared" si="3"/>
        <v>7895.3950781180456</v>
      </c>
    </row>
    <row r="75" spans="1:14" ht="15.5" x14ac:dyDescent="0.35">
      <c r="A75">
        <v>22.7385017916497</v>
      </c>
      <c r="B75">
        <v>54.0727415742776</v>
      </c>
      <c r="C75">
        <v>31534.245206144398</v>
      </c>
      <c r="D75" s="735">
        <v>22252.641831352223</v>
      </c>
      <c r="E75" s="735">
        <v>984993.25251349737</v>
      </c>
      <c r="F75" s="735">
        <v>41915.287530751528</v>
      </c>
      <c r="H75" s="741">
        <v>73</v>
      </c>
      <c r="I75" s="735">
        <v>3432.8965387379299</v>
      </c>
      <c r="J75">
        <f t="shared" si="2"/>
        <v>41915.287530751528</v>
      </c>
      <c r="K75" s="735">
        <v>31289.835419999999</v>
      </c>
      <c r="L75">
        <f t="shared" si="2"/>
        <v>984993.25251349737</v>
      </c>
      <c r="M75" s="742">
        <v>2203.7742509999998</v>
      </c>
      <c r="N75">
        <f t="shared" si="3"/>
        <v>22252.641831352223</v>
      </c>
    </row>
    <row r="76" spans="1:14" ht="15.5" x14ac:dyDescent="0.35">
      <c r="A76">
        <v>573.45304869427503</v>
      </c>
      <c r="B76">
        <v>64.500054170009406</v>
      </c>
      <c r="C76">
        <v>4868.3088801495696</v>
      </c>
      <c r="D76" s="735">
        <v>35187.409115808972</v>
      </c>
      <c r="E76" s="735">
        <v>888.23984572771599</v>
      </c>
      <c r="F76" s="735">
        <v>414.79052769870583</v>
      </c>
      <c r="H76" s="741">
        <v>74</v>
      </c>
      <c r="I76" s="735">
        <v>135.66886167756701</v>
      </c>
      <c r="J76">
        <f t="shared" si="2"/>
        <v>414.79052769870583</v>
      </c>
      <c r="K76" s="735">
        <v>231.19113440000001</v>
      </c>
      <c r="L76">
        <f t="shared" si="2"/>
        <v>888.23984572771599</v>
      </c>
      <c r="M76" s="742">
        <v>3037.1840000000002</v>
      </c>
      <c r="N76">
        <f t="shared" si="3"/>
        <v>35187.409115808972</v>
      </c>
    </row>
    <row r="77" spans="1:14" ht="15.5" x14ac:dyDescent="0.35">
      <c r="A77">
        <v>744.59592428661904</v>
      </c>
      <c r="B77">
        <v>5.4862055160690701</v>
      </c>
      <c r="C77">
        <v>2116.9859767336802</v>
      </c>
      <c r="D77" s="735">
        <v>2338061.5482162409</v>
      </c>
      <c r="E77" s="735">
        <v>263055.7030112475</v>
      </c>
      <c r="F77" s="735">
        <v>84.571865248362002</v>
      </c>
      <c r="H77" s="741">
        <v>75</v>
      </c>
      <c r="I77" s="735">
        <v>44.571590972251897</v>
      </c>
      <c r="J77">
        <f t="shared" si="2"/>
        <v>84.571865248362002</v>
      </c>
      <c r="K77" s="735">
        <v>12417.47817</v>
      </c>
      <c r="L77">
        <f t="shared" si="2"/>
        <v>263055.7030112475</v>
      </c>
      <c r="M77" s="742">
        <v>57305.876259999997</v>
      </c>
      <c r="N77">
        <f t="shared" si="3"/>
        <v>2338061.5482162409</v>
      </c>
    </row>
    <row r="78" spans="1:14" ht="15.5" x14ac:dyDescent="0.35">
      <c r="A78">
        <v>623.97678453515402</v>
      </c>
      <c r="B78">
        <v>137.372526027323</v>
      </c>
      <c r="C78">
        <v>885.44706120983801</v>
      </c>
      <c r="D78" s="735">
        <v>43706.696890735002</v>
      </c>
      <c r="E78" s="735">
        <v>1807.8653878381278</v>
      </c>
      <c r="F78" s="735">
        <v>1736.812358923677</v>
      </c>
      <c r="H78" s="741">
        <v>76</v>
      </c>
      <c r="I78" s="735">
        <v>369.68091512728</v>
      </c>
      <c r="J78">
        <f t="shared" si="2"/>
        <v>1736.812358923677</v>
      </c>
      <c r="K78" s="735">
        <v>380.20363359999999</v>
      </c>
      <c r="L78">
        <f t="shared" si="2"/>
        <v>1807.8653878381278</v>
      </c>
      <c r="M78" s="742">
        <v>3534.9525640000002</v>
      </c>
      <c r="N78">
        <f t="shared" si="3"/>
        <v>43706.696890735002</v>
      </c>
    </row>
    <row r="79" spans="1:14" ht="15.5" x14ac:dyDescent="0.35">
      <c r="A79">
        <v>642.20667470243802</v>
      </c>
      <c r="B79">
        <v>390.12993302406801</v>
      </c>
      <c r="C79">
        <v>18936.688662812401</v>
      </c>
      <c r="D79" s="735">
        <v>26070.348295096454</v>
      </c>
      <c r="E79" s="735">
        <v>51475.988421910937</v>
      </c>
      <c r="F79" s="735">
        <v>1569.8556800431199</v>
      </c>
      <c r="H79" s="741">
        <v>77</v>
      </c>
      <c r="I79" s="735">
        <v>344.43066493267003</v>
      </c>
      <c r="J79">
        <f t="shared" si="2"/>
        <v>1569.8556800431199</v>
      </c>
      <c r="K79" s="735">
        <v>3963.905444</v>
      </c>
      <c r="L79">
        <f t="shared" si="2"/>
        <v>51475.988421910937</v>
      </c>
      <c r="M79" s="742">
        <v>2462.0835320000001</v>
      </c>
      <c r="N79">
        <f t="shared" si="3"/>
        <v>26070.348295096454</v>
      </c>
    </row>
    <row r="80" spans="1:14" ht="15.5" x14ac:dyDescent="0.35">
      <c r="A80">
        <v>558.48506545382702</v>
      </c>
      <c r="B80">
        <v>1067.36214668873</v>
      </c>
      <c r="C80">
        <v>5463.2330928082301</v>
      </c>
      <c r="D80" s="735">
        <v>60404.245447471098</v>
      </c>
      <c r="E80" s="735">
        <v>266.71909364347198</v>
      </c>
      <c r="F80" s="735">
        <v>12528.444288291876</v>
      </c>
      <c r="H80" s="741">
        <v>78</v>
      </c>
      <c r="I80" s="735">
        <v>1474.10358457863</v>
      </c>
      <c r="J80">
        <f t="shared" si="2"/>
        <v>12528.444288291876</v>
      </c>
      <c r="K80" s="735">
        <v>99.595077680000003</v>
      </c>
      <c r="L80">
        <f t="shared" si="2"/>
        <v>266.71909364347198</v>
      </c>
      <c r="M80" s="742">
        <v>4433.5052240000005</v>
      </c>
      <c r="N80">
        <f t="shared" si="3"/>
        <v>60404.245447471098</v>
      </c>
    </row>
    <row r="81" spans="1:14" ht="15.5" x14ac:dyDescent="0.35">
      <c r="A81">
        <v>3048.0683654866598</v>
      </c>
      <c r="B81">
        <v>605.31618559791195</v>
      </c>
      <c r="C81">
        <v>16.885666665752499</v>
      </c>
      <c r="D81" s="735">
        <v>6339.4973563760423</v>
      </c>
      <c r="E81" s="735">
        <v>31250.544022788341</v>
      </c>
      <c r="F81" s="735">
        <v>8151.2080291051961</v>
      </c>
      <c r="H81" s="741">
        <v>79</v>
      </c>
      <c r="I81" s="735">
        <v>1091.07695731742</v>
      </c>
      <c r="J81">
        <f t="shared" si="2"/>
        <v>8151.2080291051961</v>
      </c>
      <c r="K81" s="735">
        <v>2795.1190329999999</v>
      </c>
      <c r="L81">
        <f t="shared" si="2"/>
        <v>31250.544022788341</v>
      </c>
      <c r="M81" s="742">
        <v>915.03641470000002</v>
      </c>
      <c r="N81">
        <f t="shared" si="3"/>
        <v>6339.4973563760423</v>
      </c>
    </row>
    <row r="82" spans="1:14" ht="15.5" x14ac:dyDescent="0.35">
      <c r="A82">
        <v>2018.63749913218</v>
      </c>
      <c r="B82">
        <v>66.018660104965207</v>
      </c>
      <c r="C82">
        <v>6958.7157699759</v>
      </c>
      <c r="D82" s="735">
        <v>15232.404109337305</v>
      </c>
      <c r="E82" s="735">
        <v>18794.4672340996</v>
      </c>
      <c r="F82" s="735">
        <v>2217.7680818933641</v>
      </c>
      <c r="H82" s="741">
        <v>80</v>
      </c>
      <c r="I82" s="735">
        <v>438.67338933774801</v>
      </c>
      <c r="J82">
        <f t="shared" si="2"/>
        <v>2217.7680818933641</v>
      </c>
      <c r="K82" s="735">
        <v>1958.037538</v>
      </c>
      <c r="L82">
        <f t="shared" si="2"/>
        <v>18794.4672340996</v>
      </c>
      <c r="M82" s="742">
        <v>1690.199298</v>
      </c>
      <c r="N82">
        <f t="shared" si="3"/>
        <v>15232.404109337305</v>
      </c>
    </row>
    <row r="83" spans="1:14" ht="15.5" x14ac:dyDescent="0.35">
      <c r="A83">
        <v>337.97976859064403</v>
      </c>
      <c r="B83">
        <v>152.71526133060701</v>
      </c>
      <c r="C83">
        <v>558.24117861337504</v>
      </c>
      <c r="D83" s="735">
        <v>19801.742284378885</v>
      </c>
      <c r="E83" s="735">
        <v>8013.1148044039719</v>
      </c>
      <c r="F83" s="735">
        <v>8806.20399373705</v>
      </c>
      <c r="H83" s="741">
        <v>81</v>
      </c>
      <c r="I83" s="735">
        <v>1151.7338180650199</v>
      </c>
      <c r="J83">
        <f t="shared" si="2"/>
        <v>8806.20399373705</v>
      </c>
      <c r="K83" s="735">
        <v>1078.10474</v>
      </c>
      <c r="L83">
        <f t="shared" si="2"/>
        <v>8013.1148044039719</v>
      </c>
      <c r="M83" s="742">
        <v>2030.917972</v>
      </c>
      <c r="N83">
        <f t="shared" si="3"/>
        <v>19801.742284378885</v>
      </c>
    </row>
    <row r="84" spans="1:14" ht="15.5" x14ac:dyDescent="0.35">
      <c r="A84">
        <v>87.536343117439401</v>
      </c>
      <c r="B84">
        <v>461.81565310009398</v>
      </c>
      <c r="C84">
        <v>3700.3757841618999</v>
      </c>
      <c r="D84" s="735">
        <v>17289.143135207407</v>
      </c>
      <c r="E84" s="735">
        <v>133969.54229408439</v>
      </c>
      <c r="F84" s="735">
        <v>451.72091727470871</v>
      </c>
      <c r="H84" s="741">
        <v>82</v>
      </c>
      <c r="I84" s="735">
        <v>144.01546829673001</v>
      </c>
      <c r="J84">
        <f t="shared" si="2"/>
        <v>451.72091727470871</v>
      </c>
      <c r="K84" s="735">
        <v>7742.9107180000001</v>
      </c>
      <c r="L84">
        <f t="shared" si="2"/>
        <v>133969.54229408439</v>
      </c>
      <c r="M84" s="742">
        <v>1846.891697</v>
      </c>
      <c r="N84">
        <f t="shared" si="3"/>
        <v>17289.143135207407</v>
      </c>
    </row>
    <row r="85" spans="1:14" ht="15.5" x14ac:dyDescent="0.35">
      <c r="A85">
        <v>674.20155310534801</v>
      </c>
      <c r="B85">
        <v>810.00459466181599</v>
      </c>
      <c r="C85">
        <v>279.313546576048</v>
      </c>
      <c r="D85" s="735">
        <v>6771.4860367314823</v>
      </c>
      <c r="E85" s="735">
        <v>3709.2062265400195</v>
      </c>
      <c r="F85" s="735">
        <v>3039.9526801276584</v>
      </c>
      <c r="H85" s="741">
        <v>83</v>
      </c>
      <c r="I85" s="735">
        <v>547.02449818883997</v>
      </c>
      <c r="J85">
        <f t="shared" si="2"/>
        <v>3039.9526801276584</v>
      </c>
      <c r="K85" s="735">
        <v>628.77705619999995</v>
      </c>
      <c r="L85">
        <f t="shared" si="2"/>
        <v>3709.2062265400195</v>
      </c>
      <c r="M85" s="742">
        <v>958.24991869999997</v>
      </c>
      <c r="N85">
        <f t="shared" si="3"/>
        <v>6771.4860367314823</v>
      </c>
    </row>
    <row r="86" spans="1:14" ht="15.5" x14ac:dyDescent="0.35">
      <c r="A86">
        <v>422.45706196929098</v>
      </c>
      <c r="B86">
        <v>101.38182437018</v>
      </c>
      <c r="C86">
        <v>39.744613394176604</v>
      </c>
      <c r="D86" s="735">
        <v>28004.899231181789</v>
      </c>
      <c r="E86" s="735">
        <v>1000003.3054092388</v>
      </c>
      <c r="F86" s="735">
        <v>15498.617129596825</v>
      </c>
      <c r="H86" s="741">
        <v>84</v>
      </c>
      <c r="I86" s="735">
        <v>1710.82293955718</v>
      </c>
      <c r="J86">
        <f t="shared" si="2"/>
        <v>15498.617129596825</v>
      </c>
      <c r="K86" s="735">
        <v>31622.849770000001</v>
      </c>
      <c r="L86">
        <f t="shared" si="2"/>
        <v>1000003.3054092388</v>
      </c>
      <c r="M86" s="742">
        <v>2588.5932240000002</v>
      </c>
      <c r="N86">
        <f t="shared" si="3"/>
        <v>28004.899231181789</v>
      </c>
    </row>
    <row r="87" spans="1:14" ht="15.5" x14ac:dyDescent="0.35">
      <c r="A87">
        <v>2070.0358011308199</v>
      </c>
      <c r="B87">
        <v>432.78028648506898</v>
      </c>
      <c r="C87">
        <v>3846.3019533265501</v>
      </c>
      <c r="D87" s="735">
        <v>2721.1735023495003</v>
      </c>
      <c r="E87" s="735">
        <v>19012.640463717009</v>
      </c>
      <c r="F87" s="735">
        <v>72.88950388517047</v>
      </c>
      <c r="H87" s="741">
        <v>85</v>
      </c>
      <c r="I87" s="735">
        <v>40.166639271020898</v>
      </c>
      <c r="J87">
        <f t="shared" si="2"/>
        <v>72.88950388517047</v>
      </c>
      <c r="K87" s="735">
        <v>1973.9207160000001</v>
      </c>
      <c r="L87">
        <f t="shared" si="2"/>
        <v>19012.640463717009</v>
      </c>
      <c r="M87" s="742">
        <v>506.20841840000003</v>
      </c>
      <c r="N87">
        <f t="shared" si="3"/>
        <v>2721.1735023495003</v>
      </c>
    </row>
    <row r="88" spans="1:14" ht="15.5" x14ac:dyDescent="0.35">
      <c r="A88">
        <v>7063.0811352994897</v>
      </c>
      <c r="B88">
        <v>3271.5270343611701</v>
      </c>
      <c r="C88">
        <v>36567.616968681003</v>
      </c>
      <c r="D88" s="735">
        <v>12288.611310704406</v>
      </c>
      <c r="E88" s="735">
        <v>4837.2631176469167</v>
      </c>
      <c r="F88" s="735">
        <v>103.84136411710362</v>
      </c>
      <c r="H88" s="741">
        <v>86</v>
      </c>
      <c r="I88" s="735">
        <v>51.4587543618591</v>
      </c>
      <c r="J88">
        <f t="shared" si="2"/>
        <v>103.84136411710362</v>
      </c>
      <c r="K88" s="735">
        <v>757.21602729999995</v>
      </c>
      <c r="L88">
        <f t="shared" si="2"/>
        <v>4837.2631176469167</v>
      </c>
      <c r="M88" s="742">
        <v>1454.293173</v>
      </c>
      <c r="N88">
        <f t="shared" si="3"/>
        <v>12288.611310704406</v>
      </c>
    </row>
    <row r="89" spans="1:14" ht="15.5" x14ac:dyDescent="0.35">
      <c r="A89">
        <v>321.683967969028</v>
      </c>
      <c r="B89">
        <v>715.66876562592995</v>
      </c>
      <c r="C89">
        <v>29310.993115268499</v>
      </c>
      <c r="D89" s="735">
        <v>5274.6987527179854</v>
      </c>
      <c r="E89" s="735">
        <v>1685.9657310768441</v>
      </c>
      <c r="F89" s="735">
        <v>158.13208799764166</v>
      </c>
      <c r="H89" s="741">
        <v>87</v>
      </c>
      <c r="I89" s="735">
        <v>69.073904183538502</v>
      </c>
      <c r="J89">
        <f t="shared" si="2"/>
        <v>158.13208799764166</v>
      </c>
      <c r="K89" s="735">
        <v>362.07131559999999</v>
      </c>
      <c r="L89">
        <f t="shared" si="2"/>
        <v>1685.9657310768441</v>
      </c>
      <c r="M89" s="742">
        <v>804.52281210000001</v>
      </c>
      <c r="N89">
        <f t="shared" si="3"/>
        <v>5274.6987527179854</v>
      </c>
    </row>
    <row r="90" spans="1:14" ht="15.5" x14ac:dyDescent="0.35">
      <c r="A90">
        <v>263.92623364160499</v>
      </c>
      <c r="B90">
        <v>166.236117542638</v>
      </c>
      <c r="C90">
        <v>1212.0125316522899</v>
      </c>
      <c r="D90" s="735">
        <v>48203.667381513049</v>
      </c>
      <c r="E90" s="735">
        <v>40473.752079896927</v>
      </c>
      <c r="F90" s="735">
        <v>324.37942541617173</v>
      </c>
      <c r="H90" s="741">
        <v>88</v>
      </c>
      <c r="I90" s="735">
        <v>114.21872558278299</v>
      </c>
      <c r="J90">
        <f t="shared" si="2"/>
        <v>324.37942541617173</v>
      </c>
      <c r="K90" s="735">
        <v>3349.8196589999998</v>
      </c>
      <c r="L90">
        <f t="shared" si="2"/>
        <v>40473.752079896927</v>
      </c>
      <c r="M90" s="742">
        <v>3785.7859640000001</v>
      </c>
      <c r="N90">
        <f t="shared" si="3"/>
        <v>48203.667381513049</v>
      </c>
    </row>
    <row r="91" spans="1:14" ht="15.5" x14ac:dyDescent="0.35">
      <c r="A91">
        <v>801.65050736153796</v>
      </c>
      <c r="B91">
        <v>266.96490898740302</v>
      </c>
      <c r="C91">
        <v>96.046796540956606</v>
      </c>
      <c r="D91" s="735">
        <v>83949.428249312492</v>
      </c>
      <c r="E91" s="735">
        <v>49374.906101106091</v>
      </c>
      <c r="F91" s="735">
        <v>87.195783495506902</v>
      </c>
      <c r="H91" s="741">
        <v>89</v>
      </c>
      <c r="I91" s="735">
        <v>45.535157078443497</v>
      </c>
      <c r="J91">
        <f t="shared" si="2"/>
        <v>87.195783495506902</v>
      </c>
      <c r="K91" s="735">
        <v>3849.9438709999999</v>
      </c>
      <c r="L91">
        <f t="shared" si="2"/>
        <v>49374.906101106091</v>
      </c>
      <c r="M91" s="742">
        <v>5582.290328</v>
      </c>
      <c r="N91">
        <f t="shared" si="3"/>
        <v>83949.428249312492</v>
      </c>
    </row>
    <row r="92" spans="1:14" ht="15.5" x14ac:dyDescent="0.35">
      <c r="A92">
        <v>7687.5908941243497</v>
      </c>
      <c r="B92">
        <v>979.71763629639202</v>
      </c>
      <c r="C92">
        <v>152.595693423402</v>
      </c>
      <c r="D92" s="735">
        <v>160257.28970262583</v>
      </c>
      <c r="E92" s="735">
        <v>253.97523658821271</v>
      </c>
      <c r="F92" s="735">
        <v>2572.2022311017095</v>
      </c>
      <c r="H92" s="741">
        <v>90</v>
      </c>
      <c r="I92" s="735">
        <v>486.64646994186</v>
      </c>
      <c r="J92">
        <f t="shared" si="2"/>
        <v>2572.2022311017095</v>
      </c>
      <c r="K92" s="735">
        <v>96.239633729999994</v>
      </c>
      <c r="L92">
        <f t="shared" si="2"/>
        <v>253.97523658821271</v>
      </c>
      <c r="M92" s="742">
        <v>8777.5326889999997</v>
      </c>
      <c r="N92">
        <f t="shared" si="3"/>
        <v>160257.28970262583</v>
      </c>
    </row>
    <row r="93" spans="1:14" ht="15.5" x14ac:dyDescent="0.35">
      <c r="A93">
        <v>75.505832525923196</v>
      </c>
      <c r="B93">
        <v>689.44862314475904</v>
      </c>
      <c r="C93">
        <v>4466.2618875868702</v>
      </c>
      <c r="D93" s="735">
        <v>21694.39130365432</v>
      </c>
      <c r="E93" s="735">
        <v>358062.66101455886</v>
      </c>
      <c r="F93" s="735">
        <v>2201.8398302686387</v>
      </c>
      <c r="H93" s="741">
        <v>91</v>
      </c>
      <c r="I93" s="735">
        <v>436.46558597520402</v>
      </c>
      <c r="J93">
        <f t="shared" si="2"/>
        <v>2201.8398302686387</v>
      </c>
      <c r="K93" s="735">
        <v>15408.888919999999</v>
      </c>
      <c r="L93">
        <f t="shared" si="2"/>
        <v>358062.66101455886</v>
      </c>
      <c r="M93" s="742">
        <v>2164.9268590000001</v>
      </c>
      <c r="N93">
        <f t="shared" si="3"/>
        <v>21694.39130365432</v>
      </c>
    </row>
    <row r="94" spans="1:14" ht="15.5" x14ac:dyDescent="0.35">
      <c r="A94">
        <v>48.948453778084001</v>
      </c>
      <c r="B94">
        <v>29.880959926638599</v>
      </c>
      <c r="C94">
        <v>41827.2186677278</v>
      </c>
      <c r="D94" s="735">
        <v>8128.8239022839898</v>
      </c>
      <c r="E94" s="735">
        <v>25417.655137109999</v>
      </c>
      <c r="F94" s="735">
        <v>6482.2960095552735</v>
      </c>
      <c r="H94" s="741">
        <v>92</v>
      </c>
      <c r="I94" s="735">
        <v>929.41612112480004</v>
      </c>
      <c r="J94">
        <f t="shared" si="2"/>
        <v>6482.2960095552735</v>
      </c>
      <c r="K94" s="735">
        <v>2418.7714740000001</v>
      </c>
      <c r="L94">
        <f t="shared" si="2"/>
        <v>25417.655137109999</v>
      </c>
      <c r="M94" s="742">
        <v>1088.9787389999999</v>
      </c>
      <c r="N94">
        <f t="shared" si="3"/>
        <v>8128.8239022839898</v>
      </c>
    </row>
    <row r="95" spans="1:14" ht="15.5" x14ac:dyDescent="0.35">
      <c r="A95">
        <v>4986.2065938739097</v>
      </c>
      <c r="B95">
        <v>578.03462171724505</v>
      </c>
      <c r="C95">
        <v>2172.8107923852199</v>
      </c>
      <c r="D95" s="735">
        <v>2543.0657522389688</v>
      </c>
      <c r="E95" s="735">
        <v>60986.18782738367</v>
      </c>
      <c r="F95" s="735">
        <v>2521.3751679030179</v>
      </c>
      <c r="H95" s="741">
        <v>93</v>
      </c>
      <c r="I95" s="735">
        <v>479.895005362772</v>
      </c>
      <c r="J95">
        <f t="shared" si="2"/>
        <v>2521.3751679030179</v>
      </c>
      <c r="K95" s="735">
        <v>4463.3612730000004</v>
      </c>
      <c r="L95">
        <f t="shared" si="2"/>
        <v>60986.18782738367</v>
      </c>
      <c r="M95" s="742">
        <v>482.78115839999998</v>
      </c>
      <c r="N95">
        <f t="shared" si="3"/>
        <v>2543.0657522389688</v>
      </c>
    </row>
    <row r="96" spans="1:14" ht="15.5" x14ac:dyDescent="0.35">
      <c r="A96">
        <v>274.30136478038298</v>
      </c>
      <c r="B96">
        <v>602.14274092758603</v>
      </c>
      <c r="C96">
        <v>66949.7143510733</v>
      </c>
      <c r="D96" s="735">
        <v>9350.7900204103371</v>
      </c>
      <c r="E96" s="735">
        <v>58735.518151932694</v>
      </c>
      <c r="F96" s="735">
        <v>14777.121782769689</v>
      </c>
      <c r="H96" s="741">
        <v>94</v>
      </c>
      <c r="I96" s="735">
        <v>1654.67572932024</v>
      </c>
      <c r="J96">
        <f t="shared" si="2"/>
        <v>14777.121782769689</v>
      </c>
      <c r="K96" s="735">
        <v>4347.4096300000001</v>
      </c>
      <c r="L96">
        <f t="shared" si="2"/>
        <v>58735.518151932694</v>
      </c>
      <c r="M96" s="742">
        <v>1201.1405070000001</v>
      </c>
      <c r="N96">
        <f t="shared" si="3"/>
        <v>9350.7900204103371</v>
      </c>
    </row>
    <row r="97" spans="1:14" ht="15.5" x14ac:dyDescent="0.35">
      <c r="A97">
        <v>2649.0439297756302</v>
      </c>
      <c r="B97">
        <v>902.64786933718597</v>
      </c>
      <c r="C97">
        <v>131.57609329291</v>
      </c>
      <c r="D97" s="735">
        <v>3085.0879738999283</v>
      </c>
      <c r="E97" s="735">
        <v>3763.2014999617377</v>
      </c>
      <c r="F97" s="735">
        <v>21319.940492160556</v>
      </c>
      <c r="H97" s="741">
        <v>95</v>
      </c>
      <c r="I97" s="735">
        <v>2138.70158708178</v>
      </c>
      <c r="J97">
        <f t="shared" si="2"/>
        <v>21319.940492160556</v>
      </c>
      <c r="K97" s="735">
        <v>635.17037100000005</v>
      </c>
      <c r="L97">
        <f t="shared" si="2"/>
        <v>3763.2014999617377</v>
      </c>
      <c r="M97" s="742">
        <v>552.69722869999998</v>
      </c>
      <c r="N97">
        <f t="shared" si="3"/>
        <v>3085.0879738999283</v>
      </c>
    </row>
    <row r="98" spans="1:14" ht="15.5" x14ac:dyDescent="0.35">
      <c r="A98">
        <v>232.230793413822</v>
      </c>
      <c r="B98">
        <v>150.97766844951099</v>
      </c>
      <c r="C98">
        <v>73805.080946586997</v>
      </c>
      <c r="D98" s="735">
        <v>70841.528111108943</v>
      </c>
      <c r="E98" s="735">
        <v>25007.196409933036</v>
      </c>
      <c r="F98" s="735">
        <v>15.149888794039738</v>
      </c>
      <c r="H98" s="741">
        <v>96</v>
      </c>
      <c r="I98" s="735">
        <v>13.374778902870499</v>
      </c>
      <c r="J98">
        <f t="shared" si="2"/>
        <v>15.149888794039738</v>
      </c>
      <c r="K98" s="735">
        <v>2391.3629900000001</v>
      </c>
      <c r="L98">
        <f t="shared" si="2"/>
        <v>25007.196409933036</v>
      </c>
      <c r="M98" s="742">
        <v>4956.8016939999998</v>
      </c>
      <c r="N98">
        <f t="shared" si="3"/>
        <v>70841.528111108943</v>
      </c>
    </row>
    <row r="99" spans="1:14" ht="15.5" x14ac:dyDescent="0.35">
      <c r="A99">
        <v>401.753046733605</v>
      </c>
      <c r="B99">
        <v>277.59154420178498</v>
      </c>
      <c r="C99">
        <v>2171.74932910798</v>
      </c>
      <c r="D99" s="735">
        <v>1344.4692356194114</v>
      </c>
      <c r="E99" s="735">
        <v>189707.17212771211</v>
      </c>
      <c r="F99" s="735">
        <v>125.0997900429085</v>
      </c>
      <c r="H99" s="741">
        <v>97</v>
      </c>
      <c r="I99" s="735">
        <v>58.6245614011615</v>
      </c>
      <c r="J99">
        <f t="shared" si="2"/>
        <v>125.0997900429085</v>
      </c>
      <c r="K99" s="735">
        <v>9877.7635320000009</v>
      </c>
      <c r="L99">
        <f t="shared" si="2"/>
        <v>189707.17212771211</v>
      </c>
      <c r="M99" s="742">
        <v>309.01930279999999</v>
      </c>
      <c r="N99">
        <f t="shared" si="3"/>
        <v>1344.4692356194114</v>
      </c>
    </row>
    <row r="100" spans="1:14" ht="15.5" x14ac:dyDescent="0.35">
      <c r="A100">
        <v>202.32304448221399</v>
      </c>
      <c r="B100">
        <v>73.393708691735995</v>
      </c>
      <c r="C100">
        <v>22282.980156368401</v>
      </c>
      <c r="D100" s="735">
        <v>71378.526158412424</v>
      </c>
      <c r="E100" s="735">
        <v>813.69092757086958</v>
      </c>
      <c r="F100" s="735">
        <v>94.428292512628701</v>
      </c>
      <c r="H100" s="741">
        <v>98</v>
      </c>
      <c r="I100" s="735">
        <v>48.147250983196898</v>
      </c>
      <c r="J100">
        <f t="shared" si="2"/>
        <v>94.428292512628701</v>
      </c>
      <c r="K100" s="735">
        <v>217.43108430000001</v>
      </c>
      <c r="L100">
        <f t="shared" si="2"/>
        <v>813.69092757086958</v>
      </c>
      <c r="M100" s="742">
        <v>4983.0736189999998</v>
      </c>
      <c r="N100">
        <f t="shared" si="3"/>
        <v>71378.526158412424</v>
      </c>
    </row>
    <row r="101" spans="1:14" ht="15.5" x14ac:dyDescent="0.35">
      <c r="A101">
        <v>66.088694919355007</v>
      </c>
      <c r="B101">
        <v>245.293016157643</v>
      </c>
      <c r="C101">
        <v>89.695294651713695</v>
      </c>
      <c r="D101" s="735">
        <v>40819.008844881937</v>
      </c>
      <c r="E101" s="735">
        <v>1570.6681223094761</v>
      </c>
      <c r="F101" s="735">
        <v>92.668021659561191</v>
      </c>
      <c r="H101" s="741">
        <v>99</v>
      </c>
      <c r="I101" s="735">
        <v>47.5172090348035</v>
      </c>
      <c r="J101">
        <f t="shared" si="2"/>
        <v>92.668021659561191</v>
      </c>
      <c r="K101" s="735">
        <v>344.55543169999999</v>
      </c>
      <c r="L101">
        <f t="shared" si="2"/>
        <v>1570.6681223094761</v>
      </c>
      <c r="M101" s="742">
        <v>3369.7968390000001</v>
      </c>
      <c r="N101">
        <f t="shared" si="3"/>
        <v>40819.008844881937</v>
      </c>
    </row>
    <row r="102" spans="1:14" ht="15.5" x14ac:dyDescent="0.35">
      <c r="A102">
        <v>119.389336288671</v>
      </c>
      <c r="B102">
        <v>232.30292795858301</v>
      </c>
      <c r="C102">
        <v>1463.5091293363901</v>
      </c>
      <c r="D102" s="735">
        <v>32606.74496647215</v>
      </c>
      <c r="E102" s="735">
        <v>34703.154676747414</v>
      </c>
      <c r="F102" s="735">
        <v>211.87689536228751</v>
      </c>
      <c r="H102" s="741">
        <v>100</v>
      </c>
      <c r="I102" s="735">
        <v>84.773188930048903</v>
      </c>
      <c r="J102">
        <f t="shared" si="2"/>
        <v>211.87689536228751</v>
      </c>
      <c r="K102" s="735">
        <v>3007.8645080000001</v>
      </c>
      <c r="L102">
        <f t="shared" si="2"/>
        <v>34703.154676747414</v>
      </c>
      <c r="M102" s="742">
        <v>2879.4875999999999</v>
      </c>
      <c r="N102">
        <f t="shared" si="3"/>
        <v>32606.74496647215</v>
      </c>
    </row>
    <row r="103" spans="1:14" ht="15.5" x14ac:dyDescent="0.35">
      <c r="A103">
        <v>176.38730179220499</v>
      </c>
      <c r="B103">
        <v>385.49173526672803</v>
      </c>
      <c r="C103">
        <v>29777.626027988001</v>
      </c>
      <c r="D103" s="735">
        <v>11634.64983835079</v>
      </c>
      <c r="E103" s="735">
        <v>1290.5305536721594</v>
      </c>
      <c r="F103" s="735">
        <v>531.46119660231329</v>
      </c>
      <c r="H103" s="741">
        <v>101</v>
      </c>
      <c r="I103" s="735">
        <v>161.37271013401701</v>
      </c>
      <c r="J103">
        <f t="shared" si="2"/>
        <v>531.46119660231329</v>
      </c>
      <c r="K103" s="735">
        <v>300.28787990000001</v>
      </c>
      <c r="L103">
        <f t="shared" si="2"/>
        <v>1290.5305536721594</v>
      </c>
      <c r="M103" s="742">
        <v>1399.675375</v>
      </c>
      <c r="N103">
        <f t="shared" si="3"/>
        <v>11634.64983835079</v>
      </c>
    </row>
    <row r="104" spans="1:14" ht="15.5" x14ac:dyDescent="0.35">
      <c r="A104">
        <v>423.603394742879</v>
      </c>
      <c r="B104">
        <v>772.01700741856098</v>
      </c>
      <c r="C104">
        <v>7561.08180351189</v>
      </c>
      <c r="D104" s="735">
        <v>11176.909259279011</v>
      </c>
      <c r="E104" s="735">
        <v>737167.90803405724</v>
      </c>
      <c r="F104" s="735">
        <v>2561.5541231013758</v>
      </c>
      <c r="H104" s="741">
        <v>102</v>
      </c>
      <c r="I104" s="735">
        <v>485.23539840543401</v>
      </c>
      <c r="J104">
        <f t="shared" si="2"/>
        <v>2561.5541231013758</v>
      </c>
      <c r="K104" s="735">
        <v>25544.446349999998</v>
      </c>
      <c r="L104">
        <f t="shared" si="2"/>
        <v>737167.90803405724</v>
      </c>
      <c r="M104" s="742">
        <v>1360.8968460000001</v>
      </c>
      <c r="N104">
        <f t="shared" si="3"/>
        <v>11176.909259279011</v>
      </c>
    </row>
    <row r="105" spans="1:14" ht="15.5" x14ac:dyDescent="0.35">
      <c r="A105">
        <v>263.09773152699501</v>
      </c>
      <c r="B105">
        <v>1125.9085771861801</v>
      </c>
      <c r="C105">
        <v>60816.010578393303</v>
      </c>
      <c r="D105" s="735">
        <v>895121.79091940983</v>
      </c>
      <c r="E105" s="735">
        <v>51463.782941690588</v>
      </c>
      <c r="F105" s="735">
        <v>779.87336256572121</v>
      </c>
      <c r="H105" s="741">
        <v>103</v>
      </c>
      <c r="I105" s="735">
        <v>211.06531038443299</v>
      </c>
      <c r="J105">
        <f t="shared" si="2"/>
        <v>779.87336256572121</v>
      </c>
      <c r="K105" s="735">
        <v>3963.2475030000001</v>
      </c>
      <c r="L105">
        <f t="shared" si="2"/>
        <v>51463.782941690588</v>
      </c>
      <c r="M105" s="742">
        <v>29262.908599999999</v>
      </c>
      <c r="N105">
        <f t="shared" si="3"/>
        <v>895121.79091940983</v>
      </c>
    </row>
    <row r="106" spans="1:14" ht="15.5" x14ac:dyDescent="0.35">
      <c r="A106">
        <v>370.62767226821001</v>
      </c>
      <c r="B106">
        <v>396.37754546044602</v>
      </c>
      <c r="C106">
        <v>5733.04156723493</v>
      </c>
      <c r="D106" s="735">
        <v>321255.61570347782</v>
      </c>
      <c r="E106" s="735">
        <v>19.636198494360645</v>
      </c>
      <c r="F106" s="735">
        <v>1533.0720935154379</v>
      </c>
      <c r="H106" s="741">
        <v>104</v>
      </c>
      <c r="I106" s="735">
        <v>338.76131090024103</v>
      </c>
      <c r="J106">
        <f t="shared" si="2"/>
        <v>1533.0720935154379</v>
      </c>
      <c r="K106" s="735">
        <v>16.037629989999999</v>
      </c>
      <c r="L106">
        <f t="shared" si="2"/>
        <v>19.636198494360645</v>
      </c>
      <c r="M106" s="742">
        <v>14282.21313</v>
      </c>
      <c r="N106">
        <f t="shared" si="3"/>
        <v>321255.61570347782</v>
      </c>
    </row>
    <row r="107" spans="1:14" ht="15.5" x14ac:dyDescent="0.35">
      <c r="A107">
        <v>2202.8817026158099</v>
      </c>
      <c r="B107">
        <v>2447.8144751016998</v>
      </c>
      <c r="C107">
        <v>719.59538508629601</v>
      </c>
      <c r="D107" s="735">
        <v>8157.8136480917055</v>
      </c>
      <c r="E107" s="735">
        <v>4146929.0007208474</v>
      </c>
      <c r="F107" s="735">
        <v>50.569348342232708</v>
      </c>
      <c r="H107" s="741">
        <v>105</v>
      </c>
      <c r="I107" s="735">
        <v>31.097190205946401</v>
      </c>
      <c r="J107">
        <f t="shared" si="2"/>
        <v>50.569348342232708</v>
      </c>
      <c r="K107" s="735">
        <v>85587.16085</v>
      </c>
      <c r="L107">
        <f t="shared" si="2"/>
        <v>4146929.0007208474</v>
      </c>
      <c r="M107" s="742">
        <v>1091.695817</v>
      </c>
      <c r="N107">
        <f t="shared" si="3"/>
        <v>8157.8136480917055</v>
      </c>
    </row>
    <row r="108" spans="1:14" ht="15.5" x14ac:dyDescent="0.35">
      <c r="A108">
        <v>678.34952688368196</v>
      </c>
      <c r="B108">
        <v>198.277573146729</v>
      </c>
      <c r="C108">
        <v>2377.8220092064498</v>
      </c>
      <c r="D108" s="735">
        <v>64373.805726418912</v>
      </c>
      <c r="E108" s="735">
        <v>434094.57330082566</v>
      </c>
      <c r="F108" s="735">
        <v>8.1143771684066408</v>
      </c>
      <c r="H108" s="741">
        <v>106</v>
      </c>
      <c r="I108" s="735">
        <v>8.6393015553918708</v>
      </c>
      <c r="J108">
        <f t="shared" si="2"/>
        <v>8.1143771684066408</v>
      </c>
      <c r="K108" s="735">
        <v>17632.303380000001</v>
      </c>
      <c r="L108">
        <f t="shared" si="2"/>
        <v>434094.57330082566</v>
      </c>
      <c r="M108" s="742">
        <v>4635.4983359999997</v>
      </c>
      <c r="N108">
        <f t="shared" si="3"/>
        <v>64373.805726418912</v>
      </c>
    </row>
    <row r="109" spans="1:14" ht="15.5" x14ac:dyDescent="0.35">
      <c r="A109">
        <v>1210.0475279980101</v>
      </c>
      <c r="B109">
        <v>1616.4332666580401</v>
      </c>
      <c r="C109">
        <v>5047.2675284111301</v>
      </c>
      <c r="D109" s="735">
        <v>191088.10498961457</v>
      </c>
      <c r="E109" s="735">
        <v>43171.293860935395</v>
      </c>
      <c r="F109" s="735">
        <v>11.235968991185493</v>
      </c>
      <c r="H109" s="741">
        <v>107</v>
      </c>
      <c r="I109" s="735">
        <v>10.8499408951881</v>
      </c>
      <c r="J109">
        <f t="shared" si="2"/>
        <v>11.235968991185493</v>
      </c>
      <c r="K109" s="735">
        <v>3504.5845770000001</v>
      </c>
      <c r="L109">
        <f t="shared" si="2"/>
        <v>43171.293860935395</v>
      </c>
      <c r="M109" s="742">
        <v>9928.0408970000008</v>
      </c>
      <c r="N109">
        <f t="shared" si="3"/>
        <v>191088.10498961457</v>
      </c>
    </row>
    <row r="110" spans="1:14" ht="15.5" x14ac:dyDescent="0.35">
      <c r="A110">
        <v>119.112408483232</v>
      </c>
      <c r="B110">
        <v>490.10252421139199</v>
      </c>
      <c r="C110">
        <v>611.33355133799603</v>
      </c>
      <c r="D110" s="735">
        <v>81943.727575916884</v>
      </c>
      <c r="E110" s="735">
        <v>385.48007864028062</v>
      </c>
      <c r="F110" s="735">
        <v>279.91774506268047</v>
      </c>
      <c r="H110" s="741">
        <v>108</v>
      </c>
      <c r="I110" s="735">
        <v>103.019942146584</v>
      </c>
      <c r="J110">
        <f t="shared" si="2"/>
        <v>279.91774506268047</v>
      </c>
      <c r="K110" s="735">
        <v>128.8846977</v>
      </c>
      <c r="L110">
        <f t="shared" si="2"/>
        <v>385.48007864028062</v>
      </c>
      <c r="M110" s="742">
        <v>5488.5926680000002</v>
      </c>
      <c r="N110">
        <f t="shared" si="3"/>
        <v>81943.727575916884</v>
      </c>
    </row>
    <row r="111" spans="1:14" ht="15.5" x14ac:dyDescent="0.35">
      <c r="A111">
        <v>156.25992983890399</v>
      </c>
      <c r="B111">
        <v>501.69447163506402</v>
      </c>
      <c r="C111">
        <v>1302.65538423096</v>
      </c>
      <c r="D111" s="735">
        <v>120906.0019014741</v>
      </c>
      <c r="E111" s="735">
        <v>4195.4559392909314</v>
      </c>
      <c r="F111" s="735">
        <v>1843.7409178569033</v>
      </c>
      <c r="H111" s="741">
        <v>109</v>
      </c>
      <c r="I111" s="735">
        <v>385.46941595643102</v>
      </c>
      <c r="J111">
        <f t="shared" si="2"/>
        <v>1843.7409178569033</v>
      </c>
      <c r="K111" s="735">
        <v>685.40207539999994</v>
      </c>
      <c r="L111">
        <f t="shared" si="2"/>
        <v>4195.4559392909314</v>
      </c>
      <c r="M111" s="742">
        <v>7206.3193179999998</v>
      </c>
      <c r="N111">
        <f t="shared" si="3"/>
        <v>120906.0019014741</v>
      </c>
    </row>
    <row r="112" spans="1:14" ht="15.5" x14ac:dyDescent="0.35">
      <c r="A112">
        <v>1875.1219899181799</v>
      </c>
      <c r="B112">
        <v>57.031085588420297</v>
      </c>
      <c r="C112">
        <v>172.470873981263</v>
      </c>
      <c r="D112" s="735">
        <v>72645.436636199753</v>
      </c>
      <c r="E112" s="735">
        <v>892.50953121123894</v>
      </c>
      <c r="F112" s="735">
        <v>14596.496987212529</v>
      </c>
      <c r="H112" s="741">
        <v>110</v>
      </c>
      <c r="I112" s="735">
        <v>1640.49174513107</v>
      </c>
      <c r="J112">
        <f t="shared" si="2"/>
        <v>14596.496987212529</v>
      </c>
      <c r="K112" s="735">
        <v>231.96849449999999</v>
      </c>
      <c r="L112">
        <f t="shared" si="2"/>
        <v>892.50953121123894</v>
      </c>
      <c r="M112" s="742">
        <v>5044.8218790000001</v>
      </c>
      <c r="N112">
        <f t="shared" si="3"/>
        <v>72645.436636199753</v>
      </c>
    </row>
    <row r="113" spans="1:14" ht="15.5" x14ac:dyDescent="0.35">
      <c r="A113">
        <v>944.30991870119203</v>
      </c>
      <c r="B113">
        <v>68.601929184342893</v>
      </c>
      <c r="C113">
        <v>1505.6914344844799</v>
      </c>
      <c r="D113" s="735">
        <v>186702.70964179371</v>
      </c>
      <c r="E113" s="735">
        <v>29866.74125935552</v>
      </c>
      <c r="F113" s="735">
        <v>1724.0230993477303</v>
      </c>
      <c r="H113" s="741">
        <v>111</v>
      </c>
      <c r="I113" s="735">
        <v>367.77326581299002</v>
      </c>
      <c r="J113">
        <f t="shared" si="2"/>
        <v>1724.0230993477303</v>
      </c>
      <c r="K113" s="735">
        <v>2707.892926</v>
      </c>
      <c r="L113">
        <f t="shared" si="2"/>
        <v>29866.74125935552</v>
      </c>
      <c r="M113" s="742">
        <v>9767.9951359999995</v>
      </c>
      <c r="N113">
        <f t="shared" si="3"/>
        <v>186702.70964179371</v>
      </c>
    </row>
    <row r="114" spans="1:14" ht="15.5" x14ac:dyDescent="0.35">
      <c r="A114">
        <v>7032.3053864758504</v>
      </c>
      <c r="B114">
        <v>771.81643218249997</v>
      </c>
      <c r="C114">
        <v>3593.5362165678398</v>
      </c>
      <c r="D114" s="735">
        <v>73051.927623057578</v>
      </c>
      <c r="E114" s="735">
        <v>32156.840852670048</v>
      </c>
      <c r="F114" s="735">
        <v>1144.7693052072416</v>
      </c>
      <c r="H114" s="741">
        <v>112</v>
      </c>
      <c r="I114" s="735">
        <v>276.12300003995</v>
      </c>
      <c r="J114">
        <f t="shared" si="2"/>
        <v>1144.7693052072416</v>
      </c>
      <c r="K114" s="735">
        <v>2851.618105</v>
      </c>
      <c r="L114">
        <f t="shared" si="2"/>
        <v>32156.840852670048</v>
      </c>
      <c r="M114" s="742">
        <v>5064.5653119999997</v>
      </c>
      <c r="N114">
        <f t="shared" si="3"/>
        <v>73051.927623057578</v>
      </c>
    </row>
    <row r="115" spans="1:14" ht="15.5" x14ac:dyDescent="0.35">
      <c r="A115">
        <v>41.902372208329098</v>
      </c>
      <c r="B115">
        <v>226.49517646080301</v>
      </c>
      <c r="C115">
        <v>11122.6324901936</v>
      </c>
      <c r="D115" s="735">
        <v>29849.268829474404</v>
      </c>
      <c r="E115" s="735">
        <v>1.7386918153080213</v>
      </c>
      <c r="F115" s="735">
        <v>117.96830445738095</v>
      </c>
      <c r="H115" s="741">
        <v>113</v>
      </c>
      <c r="I115" s="735">
        <v>56.264664839399003</v>
      </c>
      <c r="J115">
        <f t="shared" si="2"/>
        <v>117.96830445738095</v>
      </c>
      <c r="K115" s="735">
        <v>2.9387038830000001</v>
      </c>
      <c r="L115">
        <f t="shared" si="2"/>
        <v>1.7386918153080213</v>
      </c>
      <c r="M115" s="742">
        <v>2706.7839220000001</v>
      </c>
      <c r="N115">
        <f t="shared" si="3"/>
        <v>29849.268829474404</v>
      </c>
    </row>
    <row r="116" spans="1:14" ht="15.5" x14ac:dyDescent="0.35">
      <c r="A116">
        <v>1563.77994050038</v>
      </c>
      <c r="B116">
        <v>2485.9153286822602</v>
      </c>
      <c r="C116">
        <v>1552.0735120313</v>
      </c>
      <c r="D116" s="735">
        <v>32597.258930782249</v>
      </c>
      <c r="E116" s="735">
        <v>1159239.2102713727</v>
      </c>
      <c r="F116" s="735">
        <v>438.10930539426772</v>
      </c>
      <c r="H116" s="741">
        <v>114</v>
      </c>
      <c r="I116" s="735">
        <v>140.96384405507499</v>
      </c>
      <c r="J116">
        <f t="shared" si="2"/>
        <v>438.10930539426772</v>
      </c>
      <c r="K116" s="735">
        <v>35068.81925</v>
      </c>
      <c r="L116">
        <f t="shared" si="2"/>
        <v>1159239.2102713727</v>
      </c>
      <c r="M116" s="742">
        <v>2878.901179</v>
      </c>
      <c r="N116">
        <f t="shared" si="3"/>
        <v>32597.258930782249</v>
      </c>
    </row>
    <row r="117" spans="1:14" ht="15.5" x14ac:dyDescent="0.35">
      <c r="A117">
        <v>702.05532271964205</v>
      </c>
      <c r="B117">
        <v>1505.61045299645</v>
      </c>
      <c r="C117">
        <v>6269.9649917660699</v>
      </c>
      <c r="D117" s="735">
        <v>5166.9677511781874</v>
      </c>
      <c r="E117" s="735">
        <v>4043.870307926943</v>
      </c>
      <c r="F117" s="735">
        <v>72.434235341063413</v>
      </c>
      <c r="H117" s="741">
        <v>115</v>
      </c>
      <c r="I117" s="735">
        <v>39.990857437063099</v>
      </c>
      <c r="J117">
        <f t="shared" si="2"/>
        <v>72.434235341063413</v>
      </c>
      <c r="K117" s="735">
        <v>667.97168469999997</v>
      </c>
      <c r="L117">
        <f t="shared" si="2"/>
        <v>4043.870307926943</v>
      </c>
      <c r="M117" s="742">
        <v>792.98509739999997</v>
      </c>
      <c r="N117">
        <f t="shared" si="3"/>
        <v>5166.9677511781874</v>
      </c>
    </row>
    <row r="118" spans="1:14" ht="15.5" x14ac:dyDescent="0.35">
      <c r="A118">
        <v>184.78868979046601</v>
      </c>
      <c r="B118">
        <v>33.174777717894699</v>
      </c>
      <c r="C118">
        <v>1221.7415409616799</v>
      </c>
      <c r="D118" s="735">
        <v>1802.7184561648871</v>
      </c>
      <c r="E118" s="735">
        <v>5180.9330861501403</v>
      </c>
      <c r="F118" s="735">
        <v>109.95246830934256</v>
      </c>
      <c r="H118" s="741">
        <v>116</v>
      </c>
      <c r="I118" s="735">
        <v>53.560360104664902</v>
      </c>
      <c r="J118">
        <f t="shared" si="2"/>
        <v>109.95246830934256</v>
      </c>
      <c r="K118" s="735">
        <v>794.48479180000004</v>
      </c>
      <c r="L118">
        <f t="shared" si="2"/>
        <v>5180.9330861501403</v>
      </c>
      <c r="M118" s="742">
        <v>379.4456108</v>
      </c>
      <c r="N118">
        <f t="shared" si="3"/>
        <v>1802.7184561648871</v>
      </c>
    </row>
    <row r="119" spans="1:14" ht="15.5" x14ac:dyDescent="0.35">
      <c r="A119">
        <v>2333.7733788166602</v>
      </c>
      <c r="B119">
        <v>1364.18733771295</v>
      </c>
      <c r="C119">
        <v>12440.8161616415</v>
      </c>
      <c r="D119" s="735">
        <v>3850.7181396233736</v>
      </c>
      <c r="E119" s="735">
        <v>3210.9810473702746</v>
      </c>
      <c r="F119" s="735">
        <v>84.894854019704312</v>
      </c>
      <c r="H119" s="741">
        <v>117</v>
      </c>
      <c r="I119" s="735">
        <v>44.690679311567798</v>
      </c>
      <c r="J119">
        <f t="shared" si="2"/>
        <v>84.894854019704312</v>
      </c>
      <c r="K119" s="735">
        <v>568.38998819999995</v>
      </c>
      <c r="L119">
        <f t="shared" si="2"/>
        <v>3210.9810473702746</v>
      </c>
      <c r="M119" s="742">
        <v>645.47468100000003</v>
      </c>
      <c r="N119">
        <f t="shared" si="3"/>
        <v>3850.7181396233736</v>
      </c>
    </row>
    <row r="120" spans="1:14" ht="15.5" x14ac:dyDescent="0.35">
      <c r="A120">
        <v>1916.7344886364001</v>
      </c>
      <c r="B120">
        <v>182.66183176864999</v>
      </c>
      <c r="C120">
        <v>71364.038244176205</v>
      </c>
      <c r="D120" s="735">
        <v>11643.254224734881</v>
      </c>
      <c r="E120" s="735">
        <v>2009.4073176223217</v>
      </c>
      <c r="F120" s="735">
        <v>3002.1071531287662</v>
      </c>
      <c r="H120" s="741">
        <v>118</v>
      </c>
      <c r="I120" s="735">
        <v>542.248466530153</v>
      </c>
      <c r="J120">
        <f t="shared" si="2"/>
        <v>3002.1071531287662</v>
      </c>
      <c r="K120" s="735">
        <v>409.39976180000002</v>
      </c>
      <c r="L120">
        <f t="shared" si="2"/>
        <v>2009.4073176223217</v>
      </c>
      <c r="M120" s="742">
        <v>1400.3998839999999</v>
      </c>
      <c r="N120">
        <f t="shared" si="3"/>
        <v>11643.254224734881</v>
      </c>
    </row>
    <row r="121" spans="1:14" ht="15.5" x14ac:dyDescent="0.35">
      <c r="A121">
        <v>142.07328604122401</v>
      </c>
      <c r="B121">
        <v>2322.3818526607702</v>
      </c>
      <c r="C121">
        <v>385.22172059334798</v>
      </c>
      <c r="D121" s="735">
        <v>63665.877925075365</v>
      </c>
      <c r="E121" s="735">
        <v>86566.395831975387</v>
      </c>
      <c r="F121" s="735">
        <v>48.167812961896864</v>
      </c>
      <c r="H121" s="741">
        <v>119</v>
      </c>
      <c r="I121" s="735">
        <v>30.055907776587802</v>
      </c>
      <c r="J121">
        <f t="shared" si="2"/>
        <v>48.167812961896864</v>
      </c>
      <c r="K121" s="735">
        <v>5703.5405730000002</v>
      </c>
      <c r="L121">
        <f t="shared" si="2"/>
        <v>86566.395831975387</v>
      </c>
      <c r="M121" s="742">
        <v>4599.7551309999999</v>
      </c>
      <c r="N121">
        <f t="shared" si="3"/>
        <v>63665.877925075365</v>
      </c>
    </row>
    <row r="122" spans="1:14" ht="15.5" x14ac:dyDescent="0.35">
      <c r="A122">
        <v>89.501449703431305</v>
      </c>
      <c r="B122">
        <v>499.10734425997799</v>
      </c>
      <c r="C122">
        <v>535.19277250200503</v>
      </c>
      <c r="D122" s="735">
        <v>128127.32202635623</v>
      </c>
      <c r="E122" s="735">
        <v>365.71478135165239</v>
      </c>
      <c r="F122" s="735">
        <v>43.004597246631327</v>
      </c>
      <c r="H122" s="741">
        <v>120</v>
      </c>
      <c r="I122" s="735">
        <v>27.7626181175144</v>
      </c>
      <c r="J122">
        <f t="shared" si="2"/>
        <v>43.004597246631327</v>
      </c>
      <c r="K122" s="735">
        <v>124.2223554</v>
      </c>
      <c r="L122">
        <f t="shared" si="2"/>
        <v>365.71478135165239</v>
      </c>
      <c r="M122" s="742">
        <v>7504.9745590000002</v>
      </c>
      <c r="N122">
        <f t="shared" si="3"/>
        <v>128127.32202635623</v>
      </c>
    </row>
    <row r="123" spans="1:14" ht="15.5" x14ac:dyDescent="0.35">
      <c r="A123">
        <v>13.9457721776723</v>
      </c>
      <c r="B123">
        <v>119.70126466095</v>
      </c>
      <c r="C123">
        <v>2835.38725134072</v>
      </c>
      <c r="D123" s="735">
        <v>5281.678405663758</v>
      </c>
      <c r="E123" s="735">
        <v>8925.1865849982441</v>
      </c>
      <c r="F123" s="735">
        <v>1843.0298699913228</v>
      </c>
      <c r="H123" s="741">
        <v>121</v>
      </c>
      <c r="I123" s="735">
        <v>385.36534919594101</v>
      </c>
      <c r="J123">
        <f t="shared" si="2"/>
        <v>1843.0298699913228</v>
      </c>
      <c r="K123" s="735">
        <v>1162.6048029999999</v>
      </c>
      <c r="L123">
        <f t="shared" si="2"/>
        <v>8925.1865849982441</v>
      </c>
      <c r="M123" s="742">
        <v>805.26786379999999</v>
      </c>
      <c r="N123">
        <f t="shared" si="3"/>
        <v>5281.678405663758</v>
      </c>
    </row>
    <row r="124" spans="1:14" ht="15.5" x14ac:dyDescent="0.35">
      <c r="A124">
        <v>40.663630545315399</v>
      </c>
      <c r="B124">
        <v>182.77915243249001</v>
      </c>
      <c r="C124">
        <v>361.29918728906802</v>
      </c>
      <c r="D124" s="735">
        <v>149858.95557524651</v>
      </c>
      <c r="E124" s="735">
        <v>20884.16438157381</v>
      </c>
      <c r="F124" s="735">
        <v>2724.6540805634581</v>
      </c>
      <c r="H124" s="741">
        <v>122</v>
      </c>
      <c r="I124" s="735">
        <v>506.66156557986602</v>
      </c>
      <c r="J124">
        <f t="shared" si="2"/>
        <v>2724.6540805634581</v>
      </c>
      <c r="K124" s="735">
        <v>2108.0066280000001</v>
      </c>
      <c r="L124">
        <f t="shared" si="2"/>
        <v>20884.16438157381</v>
      </c>
      <c r="M124" s="742">
        <v>8374.8664649999992</v>
      </c>
      <c r="N124">
        <f t="shared" si="3"/>
        <v>149858.95557524651</v>
      </c>
    </row>
    <row r="125" spans="1:14" ht="15.5" x14ac:dyDescent="0.35">
      <c r="A125">
        <v>14304.8247694896</v>
      </c>
      <c r="B125">
        <v>1369.3320702527501</v>
      </c>
      <c r="C125">
        <v>42855.535679177403</v>
      </c>
      <c r="D125" s="735">
        <v>193227.47532103604</v>
      </c>
      <c r="E125" s="735">
        <v>7913.4592701338461</v>
      </c>
      <c r="F125" s="735">
        <v>29.993394380417953</v>
      </c>
      <c r="H125" s="741">
        <v>123</v>
      </c>
      <c r="I125" s="735">
        <v>21.5733670499915</v>
      </c>
      <c r="J125">
        <f t="shared" si="2"/>
        <v>29.993394380417953</v>
      </c>
      <c r="K125" s="735">
        <v>1068.701601</v>
      </c>
      <c r="L125">
        <f t="shared" si="2"/>
        <v>7913.4592701338461</v>
      </c>
      <c r="M125" s="742">
        <v>10005.71701</v>
      </c>
      <c r="N125">
        <f t="shared" si="3"/>
        <v>193227.47532103604</v>
      </c>
    </row>
    <row r="126" spans="1:14" ht="15.5" x14ac:dyDescent="0.35">
      <c r="A126">
        <v>25.5224055446302</v>
      </c>
      <c r="B126">
        <v>234.26294694396</v>
      </c>
      <c r="C126">
        <v>773.81622969497903</v>
      </c>
      <c r="D126" s="735">
        <v>12804.385278420858</v>
      </c>
      <c r="E126" s="735">
        <v>18107.30351508905</v>
      </c>
      <c r="F126" s="735">
        <v>35663.772049867315</v>
      </c>
      <c r="H126" s="741">
        <v>124</v>
      </c>
      <c r="I126" s="735">
        <v>3065.90781678535</v>
      </c>
      <c r="J126">
        <f t="shared" si="2"/>
        <v>35663.772049867315</v>
      </c>
      <c r="K126" s="735">
        <v>1907.6453879999999</v>
      </c>
      <c r="L126">
        <f t="shared" si="2"/>
        <v>18107.30351508905</v>
      </c>
      <c r="M126" s="742">
        <v>1496.7563640000001</v>
      </c>
      <c r="N126">
        <f t="shared" si="3"/>
        <v>12804.385278420858</v>
      </c>
    </row>
    <row r="127" spans="1:14" ht="15.5" x14ac:dyDescent="0.35">
      <c r="A127">
        <v>15.7791692974368</v>
      </c>
      <c r="B127">
        <v>972.87076474491505</v>
      </c>
      <c r="C127">
        <v>1086.2005156259499</v>
      </c>
      <c r="D127" s="735">
        <v>12609.926550115464</v>
      </c>
      <c r="E127" s="735">
        <v>8061.9046410799801</v>
      </c>
      <c r="F127" s="735">
        <v>31.15672735682363</v>
      </c>
      <c r="H127" s="741">
        <v>125</v>
      </c>
      <c r="I127" s="735">
        <v>22.155741211154499</v>
      </c>
      <c r="J127">
        <f t="shared" si="2"/>
        <v>31.15672735682363</v>
      </c>
      <c r="K127" s="735">
        <v>1082.6955700000001</v>
      </c>
      <c r="L127">
        <f t="shared" si="2"/>
        <v>8061.9046410799801</v>
      </c>
      <c r="M127" s="742">
        <v>1480.808129</v>
      </c>
      <c r="N127">
        <f t="shared" si="3"/>
        <v>12609.926550115464</v>
      </c>
    </row>
    <row r="128" spans="1:14" ht="15.5" x14ac:dyDescent="0.35">
      <c r="A128">
        <v>1664.3981262663201</v>
      </c>
      <c r="B128">
        <v>1346.2200379527401</v>
      </c>
      <c r="C128">
        <v>11822.169339005201</v>
      </c>
      <c r="D128" s="735">
        <v>167167.92840674581</v>
      </c>
      <c r="E128" s="735">
        <v>264.59989020403412</v>
      </c>
      <c r="F128" s="735">
        <v>51.880524135274591</v>
      </c>
      <c r="H128" s="741">
        <v>126</v>
      </c>
      <c r="I128" s="735">
        <v>31.659426864540901</v>
      </c>
      <c r="J128">
        <f t="shared" si="2"/>
        <v>51.880524135274591</v>
      </c>
      <c r="K128" s="735">
        <v>99.040485759999996</v>
      </c>
      <c r="L128">
        <f t="shared" si="2"/>
        <v>264.59989020403412</v>
      </c>
      <c r="M128" s="742">
        <v>9040.8043820000003</v>
      </c>
      <c r="N128">
        <f t="shared" si="3"/>
        <v>167167.92840674581</v>
      </c>
    </row>
    <row r="129" spans="1:14" ht="15.5" x14ac:dyDescent="0.35">
      <c r="A129">
        <v>2004.4548379570101</v>
      </c>
      <c r="B129">
        <v>41.059603980314797</v>
      </c>
      <c r="C129">
        <v>20845.913053162702</v>
      </c>
      <c r="D129" s="735">
        <v>372303.31321895821</v>
      </c>
      <c r="E129" s="735">
        <v>2083.8188018173882</v>
      </c>
      <c r="F129" s="735">
        <v>6778.6841880674374</v>
      </c>
      <c r="H129" s="741">
        <v>127</v>
      </c>
      <c r="I129" s="735">
        <v>958.96284493149801</v>
      </c>
      <c r="J129">
        <f t="shared" si="2"/>
        <v>6778.6841880674374</v>
      </c>
      <c r="K129" s="735">
        <v>419.95423629999999</v>
      </c>
      <c r="L129">
        <f t="shared" si="2"/>
        <v>2083.8188018173882</v>
      </c>
      <c r="M129" s="742">
        <v>15835.35598</v>
      </c>
      <c r="N129">
        <f t="shared" si="3"/>
        <v>372303.31321895821</v>
      </c>
    </row>
    <row r="130" spans="1:14" ht="15.5" x14ac:dyDescent="0.35">
      <c r="A130">
        <v>198.68480125801801</v>
      </c>
      <c r="B130">
        <v>210.53734113920399</v>
      </c>
      <c r="C130">
        <v>1096.6323552152101</v>
      </c>
      <c r="D130" s="735">
        <v>12305.740913630076</v>
      </c>
      <c r="E130" s="735">
        <v>610.88708287800534</v>
      </c>
      <c r="F130" s="735">
        <v>738.71552708751619</v>
      </c>
      <c r="H130" s="741">
        <v>128</v>
      </c>
      <c r="I130" s="735">
        <v>203.204845330739</v>
      </c>
      <c r="J130">
        <f t="shared" si="2"/>
        <v>738.71552708751619</v>
      </c>
      <c r="K130" s="735">
        <v>177.8986529</v>
      </c>
      <c r="L130">
        <f t="shared" si="2"/>
        <v>610.88708287800534</v>
      </c>
      <c r="M130" s="742">
        <v>1455.711916</v>
      </c>
      <c r="N130">
        <f t="shared" si="3"/>
        <v>12305.740913630076</v>
      </c>
    </row>
    <row r="131" spans="1:14" ht="15.5" x14ac:dyDescent="0.35">
      <c r="A131">
        <v>45.784285833307301</v>
      </c>
      <c r="B131">
        <v>2412.6730680374799</v>
      </c>
      <c r="C131">
        <v>186.54824615406099</v>
      </c>
      <c r="D131" s="735">
        <v>32708.49896754259</v>
      </c>
      <c r="E131" s="735">
        <v>111.69454503170648</v>
      </c>
      <c r="F131" s="735">
        <v>398.98609587218658</v>
      </c>
      <c r="H131" s="741">
        <v>129</v>
      </c>
      <c r="I131" s="735">
        <v>132.02933412135101</v>
      </c>
      <c r="J131">
        <f t="shared" si="2"/>
        <v>398.98609587218658</v>
      </c>
      <c r="K131" s="735">
        <v>54.15298173</v>
      </c>
      <c r="L131">
        <f t="shared" si="2"/>
        <v>111.69454503170648</v>
      </c>
      <c r="M131" s="742">
        <v>2885.7747559999998</v>
      </c>
      <c r="N131">
        <f t="shared" si="3"/>
        <v>32708.49896754259</v>
      </c>
    </row>
    <row r="132" spans="1:14" ht="15.5" x14ac:dyDescent="0.35">
      <c r="A132">
        <v>10.840371519167</v>
      </c>
      <c r="B132">
        <v>41.545971586083198</v>
      </c>
      <c r="C132">
        <v>3853.3522430829098</v>
      </c>
      <c r="D132" s="735">
        <v>14102.124248743639</v>
      </c>
      <c r="E132" s="735">
        <v>67977.233608556446</v>
      </c>
      <c r="F132" s="735">
        <v>502.47058337251599</v>
      </c>
      <c r="H132" s="741">
        <v>130</v>
      </c>
      <c r="I132" s="735">
        <v>155.15917046932699</v>
      </c>
      <c r="J132">
        <f t="shared" ref="J132:L195" si="4">(10^(LOG(I132)-0.3))^(1/0.7)</f>
        <v>502.47058337251599</v>
      </c>
      <c r="K132" s="735">
        <v>4815.6447399999997</v>
      </c>
      <c r="L132">
        <f t="shared" si="4"/>
        <v>67977.233608556446</v>
      </c>
      <c r="M132" s="742">
        <v>1601.3976090000001</v>
      </c>
      <c r="N132">
        <f t="shared" ref="N132:N195" si="5">(10^(LOG(M132)-0.3))^(1/0.7)</f>
        <v>14102.124248743639</v>
      </c>
    </row>
    <row r="133" spans="1:14" ht="15.5" x14ac:dyDescent="0.35">
      <c r="A133">
        <v>492.59272910949699</v>
      </c>
      <c r="B133">
        <v>592.68208417104495</v>
      </c>
      <c r="C133">
        <v>27221.750497290501</v>
      </c>
      <c r="D133" s="735">
        <v>258924.70541504084</v>
      </c>
      <c r="E133" s="735">
        <v>13474.265947657334</v>
      </c>
      <c r="F133" s="735">
        <v>12194.695666179405</v>
      </c>
      <c r="H133" s="741">
        <v>131</v>
      </c>
      <c r="I133" s="735">
        <v>1446.5041251100899</v>
      </c>
      <c r="J133">
        <f t="shared" si="4"/>
        <v>12194.695666179405</v>
      </c>
      <c r="K133" s="735">
        <v>1551.149226</v>
      </c>
      <c r="L133">
        <f t="shared" si="4"/>
        <v>13474.265947657334</v>
      </c>
      <c r="M133" s="742">
        <v>12280.652529999999</v>
      </c>
      <c r="N133">
        <f t="shared" si="5"/>
        <v>258924.70541504084</v>
      </c>
    </row>
    <row r="134" spans="1:14" ht="15.5" x14ac:dyDescent="0.35">
      <c r="A134">
        <v>187.92208567526799</v>
      </c>
      <c r="B134">
        <v>119.00794196237899</v>
      </c>
      <c r="C134">
        <v>36338.152961600099</v>
      </c>
      <c r="D134" s="735">
        <v>92062.255539089834</v>
      </c>
      <c r="E134" s="735">
        <v>11076.257248325339</v>
      </c>
      <c r="F134" s="735">
        <v>39.707695561693278</v>
      </c>
      <c r="H134" s="741">
        <v>132</v>
      </c>
      <c r="I134" s="735">
        <v>26.2550154654779</v>
      </c>
      <c r="J134">
        <f t="shared" si="4"/>
        <v>39.707695561693278</v>
      </c>
      <c r="K134" s="735">
        <v>1352.3064629999999</v>
      </c>
      <c r="L134">
        <f t="shared" si="4"/>
        <v>11076.257248325339</v>
      </c>
      <c r="M134" s="742">
        <v>5954.6621740000001</v>
      </c>
      <c r="N134">
        <f t="shared" si="5"/>
        <v>92062.255539089834</v>
      </c>
    </row>
    <row r="135" spans="1:14" ht="15.5" x14ac:dyDescent="0.35">
      <c r="A135">
        <v>206.978658973471</v>
      </c>
      <c r="B135">
        <v>234.31517640571599</v>
      </c>
      <c r="C135">
        <v>11310.8947015715</v>
      </c>
      <c r="D135" s="735">
        <v>13473.03633418718</v>
      </c>
      <c r="E135" s="735">
        <v>205217.19156629135</v>
      </c>
      <c r="F135" s="735">
        <v>102.57390946544233</v>
      </c>
      <c r="H135" s="741">
        <v>133</v>
      </c>
      <c r="I135" s="735">
        <v>51.018282688923598</v>
      </c>
      <c r="J135">
        <f t="shared" si="4"/>
        <v>102.57390946544233</v>
      </c>
      <c r="K135" s="735">
        <v>10436.373610000001</v>
      </c>
      <c r="L135">
        <f t="shared" si="4"/>
        <v>205217.19156629135</v>
      </c>
      <c r="M135" s="742">
        <v>1551.0501380000001</v>
      </c>
      <c r="N135">
        <f t="shared" si="5"/>
        <v>13473.03633418718</v>
      </c>
    </row>
    <row r="136" spans="1:14" ht="15.5" x14ac:dyDescent="0.35">
      <c r="A136">
        <v>175.04529015970601</v>
      </c>
      <c r="B136">
        <v>123.700881509562</v>
      </c>
      <c r="C136">
        <v>65781.028020984595</v>
      </c>
      <c r="D136" s="735">
        <v>1940090.6166659086</v>
      </c>
      <c r="E136" s="735">
        <v>4697.9768625495863</v>
      </c>
      <c r="F136" s="735">
        <v>6394.7876132055708</v>
      </c>
      <c r="H136" s="741">
        <v>134</v>
      </c>
      <c r="I136" s="735">
        <v>920.61551037180197</v>
      </c>
      <c r="J136">
        <f t="shared" si="4"/>
        <v>6394.7876132055708</v>
      </c>
      <c r="K136" s="735">
        <v>741.88674449999996</v>
      </c>
      <c r="L136">
        <f t="shared" si="4"/>
        <v>4697.9768625495863</v>
      </c>
      <c r="M136" s="742">
        <v>50289.279170000002</v>
      </c>
      <c r="N136">
        <f t="shared" si="5"/>
        <v>1940090.6166659086</v>
      </c>
    </row>
    <row r="137" spans="1:14" ht="15.5" x14ac:dyDescent="0.35">
      <c r="A137">
        <v>1077.0810831006299</v>
      </c>
      <c r="B137">
        <v>114.258069652411</v>
      </c>
      <c r="C137">
        <v>1420.02616601212</v>
      </c>
      <c r="D137" s="735">
        <v>39884.979453013228</v>
      </c>
      <c r="E137" s="735">
        <v>793729.06459705345</v>
      </c>
      <c r="F137" s="735">
        <v>544.93425284709235</v>
      </c>
      <c r="H137" s="741">
        <v>135</v>
      </c>
      <c r="I137" s="735">
        <v>164.22560671485101</v>
      </c>
      <c r="J137">
        <f t="shared" si="4"/>
        <v>544.93425284709235</v>
      </c>
      <c r="K137" s="735">
        <v>26901.13466</v>
      </c>
      <c r="L137">
        <f t="shared" si="4"/>
        <v>793729.06459705345</v>
      </c>
      <c r="M137" s="742">
        <v>3315.63382</v>
      </c>
      <c r="N137">
        <f t="shared" si="5"/>
        <v>39884.979453013228</v>
      </c>
    </row>
    <row r="138" spans="1:14" ht="15.5" x14ac:dyDescent="0.35">
      <c r="A138">
        <v>617.38897170138205</v>
      </c>
      <c r="B138">
        <v>1127.9689869957101</v>
      </c>
      <c r="C138">
        <v>11372.081484647801</v>
      </c>
      <c r="D138" s="735">
        <v>97987.42559221173</v>
      </c>
      <c r="E138" s="735">
        <v>27454.758018477376</v>
      </c>
      <c r="F138" s="735">
        <v>4036.1725321279923</v>
      </c>
      <c r="H138" s="741">
        <v>136</v>
      </c>
      <c r="I138" s="735">
        <v>667.081360407538</v>
      </c>
      <c r="J138">
        <f t="shared" si="4"/>
        <v>4036.1725321279923</v>
      </c>
      <c r="K138" s="735">
        <v>2552.8913640000001</v>
      </c>
      <c r="L138">
        <f t="shared" si="4"/>
        <v>27454.758018477376</v>
      </c>
      <c r="M138" s="742">
        <v>6220.4133300000003</v>
      </c>
      <c r="N138">
        <f t="shared" si="5"/>
        <v>97987.42559221173</v>
      </c>
    </row>
    <row r="139" spans="1:14" ht="15.5" x14ac:dyDescent="0.35">
      <c r="A139">
        <v>2066.5203115794802</v>
      </c>
      <c r="B139">
        <v>771.70173546185094</v>
      </c>
      <c r="C139">
        <v>6039.9643513096398</v>
      </c>
      <c r="D139" s="735">
        <v>22071.523418211902</v>
      </c>
      <c r="E139" s="735">
        <v>1454.7539409843653</v>
      </c>
      <c r="F139" s="735">
        <v>20731.153119354185</v>
      </c>
      <c r="H139" s="741">
        <v>137</v>
      </c>
      <c r="I139" s="735">
        <v>2097.1834486698799</v>
      </c>
      <c r="J139">
        <f t="shared" si="4"/>
        <v>20731.153119354185</v>
      </c>
      <c r="K139" s="735">
        <v>326.55224939999999</v>
      </c>
      <c r="L139">
        <f t="shared" si="4"/>
        <v>1454.7539409843653</v>
      </c>
      <c r="M139" s="742">
        <v>2191.2030159999999</v>
      </c>
      <c r="N139">
        <f t="shared" si="5"/>
        <v>22071.523418211902</v>
      </c>
    </row>
    <row r="140" spans="1:14" ht="15.5" x14ac:dyDescent="0.35">
      <c r="A140">
        <v>1603.48391278953</v>
      </c>
      <c r="B140">
        <v>715.92415403496898</v>
      </c>
      <c r="C140">
        <v>1385.42061069901</v>
      </c>
      <c r="D140" s="735">
        <v>124795.7236159289</v>
      </c>
      <c r="E140" s="735">
        <v>16196.499317709049</v>
      </c>
      <c r="F140" s="735">
        <v>2106.5706186429311</v>
      </c>
      <c r="H140" s="741">
        <v>138</v>
      </c>
      <c r="I140" s="735">
        <v>423.15864305145197</v>
      </c>
      <c r="J140">
        <f t="shared" si="4"/>
        <v>2106.5706186429311</v>
      </c>
      <c r="K140" s="735">
        <v>1764.390903</v>
      </c>
      <c r="L140">
        <f t="shared" si="4"/>
        <v>16196.499317709049</v>
      </c>
      <c r="M140" s="742">
        <v>7367.8333220000004</v>
      </c>
      <c r="N140">
        <f t="shared" si="5"/>
        <v>124795.7236159289</v>
      </c>
    </row>
    <row r="141" spans="1:14" ht="15.5" x14ac:dyDescent="0.35">
      <c r="A141">
        <v>14.128934276119301</v>
      </c>
      <c r="B141">
        <v>224.71861865727601</v>
      </c>
      <c r="C141">
        <v>66074.807203129501</v>
      </c>
      <c r="D141" s="735">
        <v>4607.2979235065723</v>
      </c>
      <c r="E141" s="735">
        <v>4218.4646460290232</v>
      </c>
      <c r="F141" s="735">
        <v>665.96203759568675</v>
      </c>
      <c r="H141" s="741">
        <v>139</v>
      </c>
      <c r="I141" s="735">
        <v>188.979472058619</v>
      </c>
      <c r="J141">
        <f t="shared" si="4"/>
        <v>665.96203759568675</v>
      </c>
      <c r="K141" s="735">
        <v>688.03113199999996</v>
      </c>
      <c r="L141">
        <f t="shared" si="4"/>
        <v>4218.4646460290232</v>
      </c>
      <c r="M141" s="742">
        <v>731.83370500000001</v>
      </c>
      <c r="N141">
        <f t="shared" si="5"/>
        <v>4607.2979235065723</v>
      </c>
    </row>
    <row r="142" spans="1:14" ht="15.5" x14ac:dyDescent="0.35">
      <c r="A142">
        <v>539.66703176754299</v>
      </c>
      <c r="B142">
        <v>3424.7950554454701</v>
      </c>
      <c r="C142">
        <v>48293.974558301103</v>
      </c>
      <c r="D142" s="735">
        <v>467219.3786985047</v>
      </c>
      <c r="E142" s="735">
        <v>842.5399128198161</v>
      </c>
      <c r="F142" s="735">
        <v>2538.8959030978945</v>
      </c>
      <c r="H142" s="741">
        <v>140</v>
      </c>
      <c r="I142" s="735">
        <v>482.22689272296498</v>
      </c>
      <c r="J142">
        <f t="shared" si="4"/>
        <v>2538.8959030978945</v>
      </c>
      <c r="K142" s="735">
        <v>222.79905189999999</v>
      </c>
      <c r="L142">
        <f t="shared" si="4"/>
        <v>842.5399128198161</v>
      </c>
      <c r="M142" s="742">
        <v>18563.702219999999</v>
      </c>
      <c r="N142">
        <f t="shared" si="5"/>
        <v>467219.3786985047</v>
      </c>
    </row>
    <row r="143" spans="1:14" ht="15.5" x14ac:dyDescent="0.35">
      <c r="A143">
        <v>47.854564720350702</v>
      </c>
      <c r="B143">
        <v>157.25878892676801</v>
      </c>
      <c r="C143">
        <v>31569.090729468498</v>
      </c>
      <c r="D143" s="735">
        <v>60985.947033467761</v>
      </c>
      <c r="E143" s="735">
        <v>1920.289116692657</v>
      </c>
      <c r="F143" s="735">
        <v>350.99588914426613</v>
      </c>
      <c r="H143" s="741">
        <v>141</v>
      </c>
      <c r="I143" s="735">
        <v>120.701153642237</v>
      </c>
      <c r="J143">
        <f t="shared" si="4"/>
        <v>350.99588914426613</v>
      </c>
      <c r="K143" s="735">
        <v>396.60358389999999</v>
      </c>
      <c r="L143">
        <f t="shared" si="4"/>
        <v>1920.289116692657</v>
      </c>
      <c r="M143" s="742">
        <v>4463.3489369999998</v>
      </c>
      <c r="N143">
        <f t="shared" si="5"/>
        <v>60985.947033467761</v>
      </c>
    </row>
    <row r="144" spans="1:14" ht="15.5" x14ac:dyDescent="0.35">
      <c r="A144">
        <v>1505.73720346194</v>
      </c>
      <c r="B144">
        <v>410.24481699583703</v>
      </c>
      <c r="C144">
        <v>8177.8094911579401</v>
      </c>
      <c r="D144" s="735">
        <v>87911.842053095461</v>
      </c>
      <c r="E144" s="735">
        <v>1396.9178732909572</v>
      </c>
      <c r="F144" s="735">
        <v>241.92184577710816</v>
      </c>
      <c r="H144" s="741">
        <v>142</v>
      </c>
      <c r="I144" s="735">
        <v>93.019191656544905</v>
      </c>
      <c r="J144">
        <f t="shared" si="4"/>
        <v>241.92184577710816</v>
      </c>
      <c r="K144" s="735">
        <v>317.4092741</v>
      </c>
      <c r="L144">
        <f t="shared" si="4"/>
        <v>1396.9178732909572</v>
      </c>
      <c r="M144" s="742">
        <v>5765.449415</v>
      </c>
      <c r="N144">
        <f t="shared" si="5"/>
        <v>87911.842053095461</v>
      </c>
    </row>
    <row r="145" spans="1:14" ht="15.5" x14ac:dyDescent="0.35">
      <c r="A145">
        <v>19.469513906944599</v>
      </c>
      <c r="B145">
        <v>146.244452760982</v>
      </c>
      <c r="C145">
        <v>13076.9956932519</v>
      </c>
      <c r="D145" s="735">
        <v>21410.46235265319</v>
      </c>
      <c r="E145" s="735">
        <v>152734.97309630428</v>
      </c>
      <c r="F145" s="735">
        <v>996.89626915071847</v>
      </c>
      <c r="H145" s="741">
        <v>143</v>
      </c>
      <c r="I145" s="735">
        <v>250.64265337776601</v>
      </c>
      <c r="J145">
        <f t="shared" si="4"/>
        <v>996.89626915071847</v>
      </c>
      <c r="K145" s="735">
        <v>8487.0535990000008</v>
      </c>
      <c r="L145">
        <f t="shared" si="4"/>
        <v>152734.97309630428</v>
      </c>
      <c r="M145" s="742">
        <v>2145.0540120000001</v>
      </c>
      <c r="N145">
        <f t="shared" si="5"/>
        <v>21410.46235265319</v>
      </c>
    </row>
    <row r="146" spans="1:14" ht="15.5" x14ac:dyDescent="0.35">
      <c r="A146">
        <v>298.941980987639</v>
      </c>
      <c r="B146">
        <v>1177.2232990365101</v>
      </c>
      <c r="C146">
        <v>3042.2862233441301</v>
      </c>
      <c r="D146" s="735">
        <v>14136.312965760628</v>
      </c>
      <c r="E146" s="735">
        <v>49283.210146947284</v>
      </c>
      <c r="F146" s="735">
        <v>1306.878418223635</v>
      </c>
      <c r="H146" s="741">
        <v>144</v>
      </c>
      <c r="I146" s="735">
        <v>302.94558681776402</v>
      </c>
      <c r="J146">
        <f t="shared" si="4"/>
        <v>1306.878418223635</v>
      </c>
      <c r="K146" s="735">
        <v>3844.9375650000002</v>
      </c>
      <c r="L146">
        <f t="shared" si="4"/>
        <v>49283.210146947284</v>
      </c>
      <c r="M146" s="742">
        <v>1604.114284</v>
      </c>
      <c r="N146">
        <f t="shared" si="5"/>
        <v>14136.312965760628</v>
      </c>
    </row>
    <row r="147" spans="1:14" ht="15.5" x14ac:dyDescent="0.35">
      <c r="A147">
        <v>1418.10704840383</v>
      </c>
      <c r="B147">
        <v>162.06540424279399</v>
      </c>
      <c r="C147">
        <v>1609.7425963230201</v>
      </c>
      <c r="D147" s="735">
        <v>25564.089652635284</v>
      </c>
      <c r="E147" s="735">
        <v>820.64090393906406</v>
      </c>
      <c r="F147" s="735">
        <v>428.04085255850748</v>
      </c>
      <c r="H147" s="741">
        <v>145</v>
      </c>
      <c r="I147" s="735">
        <v>138.68824556606901</v>
      </c>
      <c r="J147">
        <f t="shared" si="4"/>
        <v>428.04085255850748</v>
      </c>
      <c r="K147" s="735">
        <v>218.7294254</v>
      </c>
      <c r="L147">
        <f t="shared" si="4"/>
        <v>820.64090393906406</v>
      </c>
      <c r="M147" s="742">
        <v>2428.517472</v>
      </c>
      <c r="N147">
        <f t="shared" si="5"/>
        <v>25564.089652635284</v>
      </c>
    </row>
    <row r="148" spans="1:14" ht="15.5" x14ac:dyDescent="0.35">
      <c r="A148">
        <v>1288.4825172051501</v>
      </c>
      <c r="B148">
        <v>316.476534043431</v>
      </c>
      <c r="C148">
        <v>300.16580694905599</v>
      </c>
      <c r="D148" s="735">
        <v>10205.413422902286</v>
      </c>
      <c r="E148" s="735">
        <v>12067.410712245664</v>
      </c>
      <c r="F148" s="735">
        <v>1056.8771714405616</v>
      </c>
      <c r="H148" s="741">
        <v>146</v>
      </c>
      <c r="I148" s="735">
        <v>261.10618661816397</v>
      </c>
      <c r="J148">
        <f t="shared" si="4"/>
        <v>1056.8771714405616</v>
      </c>
      <c r="K148" s="735">
        <v>1435.9187480000001</v>
      </c>
      <c r="L148">
        <f t="shared" si="4"/>
        <v>12067.410712245664</v>
      </c>
      <c r="M148" s="742">
        <v>1276.972139</v>
      </c>
      <c r="N148">
        <f t="shared" si="5"/>
        <v>10205.413422902286</v>
      </c>
    </row>
    <row r="149" spans="1:14" ht="15.5" x14ac:dyDescent="0.35">
      <c r="A149">
        <v>187.51163709547001</v>
      </c>
      <c r="B149">
        <v>831.03140794242597</v>
      </c>
      <c r="C149">
        <v>9952.41759880471</v>
      </c>
      <c r="D149" s="735">
        <v>48201.65451984293</v>
      </c>
      <c r="E149" s="735">
        <v>29796.160527799606</v>
      </c>
      <c r="F149" s="735">
        <v>216.74015683126257</v>
      </c>
      <c r="H149" s="741">
        <v>147</v>
      </c>
      <c r="I149" s="735">
        <v>86.130618980423705</v>
      </c>
      <c r="J149">
        <f t="shared" si="4"/>
        <v>216.74015683126257</v>
      </c>
      <c r="K149" s="735">
        <v>2703.4118539999999</v>
      </c>
      <c r="L149">
        <f t="shared" si="4"/>
        <v>29796.160527799606</v>
      </c>
      <c r="M149" s="742">
        <v>3785.6753039999999</v>
      </c>
      <c r="N149">
        <f t="shared" si="5"/>
        <v>48201.65451984293</v>
      </c>
    </row>
    <row r="150" spans="1:14" ht="15.5" x14ac:dyDescent="0.35">
      <c r="A150">
        <v>1271.71571675933</v>
      </c>
      <c r="B150">
        <v>757.55730468819297</v>
      </c>
      <c r="C150">
        <v>902.87165666542398</v>
      </c>
      <c r="D150" s="735">
        <v>48801.622175241115</v>
      </c>
      <c r="E150" s="735">
        <v>17573.781154366305</v>
      </c>
      <c r="F150" s="735">
        <v>224.58346500307911</v>
      </c>
      <c r="H150" s="741">
        <v>148</v>
      </c>
      <c r="I150" s="735">
        <v>88.300760635012907</v>
      </c>
      <c r="J150">
        <f t="shared" si="4"/>
        <v>224.58346500307911</v>
      </c>
      <c r="K150" s="735">
        <v>1868.1237839999999</v>
      </c>
      <c r="L150">
        <f t="shared" si="4"/>
        <v>17573.781154366305</v>
      </c>
      <c r="M150" s="742">
        <v>3818.598352</v>
      </c>
      <c r="N150">
        <f t="shared" si="5"/>
        <v>48801.622175241115</v>
      </c>
    </row>
    <row r="151" spans="1:14" ht="15.5" x14ac:dyDescent="0.35">
      <c r="A151">
        <v>929.33354767216099</v>
      </c>
      <c r="B151">
        <v>490.364779992575</v>
      </c>
      <c r="C151">
        <v>445.497149418042</v>
      </c>
      <c r="D151" s="735">
        <v>5935.0413516497165</v>
      </c>
      <c r="E151" s="735">
        <v>23914.880926423521</v>
      </c>
      <c r="F151" s="735">
        <v>214.79623936117426</v>
      </c>
      <c r="H151" s="741">
        <v>149</v>
      </c>
      <c r="I151" s="735">
        <v>85.589141742107302</v>
      </c>
      <c r="J151">
        <f t="shared" si="4"/>
        <v>214.79623936117426</v>
      </c>
      <c r="K151" s="735">
        <v>2317.7562240000002</v>
      </c>
      <c r="L151">
        <f t="shared" si="4"/>
        <v>23914.880926423521</v>
      </c>
      <c r="M151" s="742">
        <v>873.76898370000004</v>
      </c>
      <c r="N151">
        <f t="shared" si="5"/>
        <v>5935.0413516497165</v>
      </c>
    </row>
    <row r="152" spans="1:14" ht="15.5" x14ac:dyDescent="0.35">
      <c r="A152">
        <v>760.91432307044897</v>
      </c>
      <c r="B152">
        <v>249.08341645295101</v>
      </c>
      <c r="C152">
        <v>699.99585834597497</v>
      </c>
      <c r="D152" s="735">
        <v>76994.567529576205</v>
      </c>
      <c r="E152" s="735">
        <v>104851.57757942255</v>
      </c>
      <c r="F152" s="735">
        <v>712.80815873532811</v>
      </c>
      <c r="H152" s="741">
        <v>150</v>
      </c>
      <c r="I152" s="735">
        <v>198.189601014555</v>
      </c>
      <c r="J152">
        <f t="shared" si="4"/>
        <v>712.80815873532811</v>
      </c>
      <c r="K152" s="735">
        <v>6522.3256460000002</v>
      </c>
      <c r="L152">
        <f t="shared" si="4"/>
        <v>104851.57757942255</v>
      </c>
      <c r="M152" s="742">
        <v>5254.3870260000003</v>
      </c>
      <c r="N152">
        <f t="shared" si="5"/>
        <v>76994.567529576205</v>
      </c>
    </row>
    <row r="153" spans="1:14" ht="15.5" x14ac:dyDescent="0.35">
      <c r="A153">
        <v>237.813142472409</v>
      </c>
      <c r="B153">
        <v>459.01728139069502</v>
      </c>
      <c r="C153">
        <v>626.83543425284495</v>
      </c>
      <c r="D153" s="735">
        <v>14574.37367625108</v>
      </c>
      <c r="E153" s="735">
        <v>16404.384727765642</v>
      </c>
      <c r="F153" s="735">
        <v>3530.4652095108936</v>
      </c>
      <c r="H153" s="741">
        <v>151</v>
      </c>
      <c r="I153" s="735">
        <v>607.410584240856</v>
      </c>
      <c r="J153">
        <f t="shared" si="4"/>
        <v>3530.4652095108936</v>
      </c>
      <c r="K153" s="735">
        <v>1780.212976</v>
      </c>
      <c r="L153">
        <f t="shared" si="4"/>
        <v>16404.384727765642</v>
      </c>
      <c r="M153" s="742">
        <v>1638.750851</v>
      </c>
      <c r="N153">
        <f t="shared" si="5"/>
        <v>14574.37367625108</v>
      </c>
    </row>
    <row r="154" spans="1:14" ht="15.5" x14ac:dyDescent="0.35">
      <c r="A154">
        <v>195.89382658999801</v>
      </c>
      <c r="B154">
        <v>89.184659954162598</v>
      </c>
      <c r="C154">
        <v>171.56484998994799</v>
      </c>
      <c r="D154" s="735">
        <v>994225.8139059383</v>
      </c>
      <c r="E154" s="735">
        <v>7987.0631505527581</v>
      </c>
      <c r="F154" s="735">
        <v>2294.2886255457561</v>
      </c>
      <c r="H154" s="741">
        <v>152</v>
      </c>
      <c r="I154" s="735">
        <v>449.21436572999897</v>
      </c>
      <c r="J154">
        <f t="shared" si="4"/>
        <v>2294.2886255457561</v>
      </c>
      <c r="K154" s="735">
        <v>1075.650003</v>
      </c>
      <c r="L154">
        <f t="shared" si="4"/>
        <v>7987.0631505527581</v>
      </c>
      <c r="M154" s="742">
        <v>31494.848559999999</v>
      </c>
      <c r="N154">
        <f t="shared" si="5"/>
        <v>994225.8139059383</v>
      </c>
    </row>
    <row r="155" spans="1:14" ht="15.5" x14ac:dyDescent="0.35">
      <c r="A155">
        <v>38.124678371576401</v>
      </c>
      <c r="B155">
        <v>12.6645663172993</v>
      </c>
      <c r="C155">
        <v>556.69021298663495</v>
      </c>
      <c r="D155" s="735">
        <v>135591.16000437189</v>
      </c>
      <c r="E155" s="735">
        <v>2665779.3627576306</v>
      </c>
      <c r="F155" s="735">
        <v>19300.129359713999</v>
      </c>
      <c r="H155" s="741">
        <v>153</v>
      </c>
      <c r="I155" s="735">
        <v>1994.76690342809</v>
      </c>
      <c r="J155">
        <f t="shared" si="4"/>
        <v>19300.129359713999</v>
      </c>
      <c r="K155" s="735">
        <v>62816.963759999999</v>
      </c>
      <c r="L155">
        <f t="shared" si="4"/>
        <v>2665779.3627576306</v>
      </c>
      <c r="M155" s="742">
        <v>7808.3983920000001</v>
      </c>
      <c r="N155">
        <f t="shared" si="5"/>
        <v>135591.16000437189</v>
      </c>
    </row>
    <row r="156" spans="1:14" ht="15.5" x14ac:dyDescent="0.35">
      <c r="A156">
        <v>448.354037989755</v>
      </c>
      <c r="B156">
        <v>517.15482704797</v>
      </c>
      <c r="C156">
        <v>42392.438726034998</v>
      </c>
      <c r="D156" s="735">
        <v>440932.47306917666</v>
      </c>
      <c r="E156" s="735">
        <v>13109.487931993084</v>
      </c>
      <c r="F156" s="735">
        <v>14928.562438502917</v>
      </c>
      <c r="H156" s="741">
        <v>154</v>
      </c>
      <c r="I156" s="735">
        <v>1666.5279133398301</v>
      </c>
      <c r="J156">
        <f t="shared" si="4"/>
        <v>14928.562438502917</v>
      </c>
      <c r="K156" s="735">
        <v>1521.6333199999999</v>
      </c>
      <c r="L156">
        <f t="shared" si="4"/>
        <v>13109.487931993084</v>
      </c>
      <c r="M156" s="742">
        <v>17826.269130000001</v>
      </c>
      <c r="N156">
        <f t="shared" si="5"/>
        <v>440932.47306917666</v>
      </c>
    </row>
    <row r="157" spans="1:14" ht="15.5" x14ac:dyDescent="0.35">
      <c r="A157">
        <v>25433.7149557181</v>
      </c>
      <c r="B157">
        <v>34.393206882535303</v>
      </c>
      <c r="C157">
        <v>57564.1312496764</v>
      </c>
      <c r="D157" s="735">
        <v>1853698.9936168722</v>
      </c>
      <c r="E157" s="735">
        <v>3654.4108511738918</v>
      </c>
      <c r="F157" s="735">
        <v>733.45173701061458</v>
      </c>
      <c r="H157" s="741">
        <v>155</v>
      </c>
      <c r="I157" s="735">
        <v>202.19018936366601</v>
      </c>
      <c r="J157">
        <f t="shared" si="4"/>
        <v>733.45173701061458</v>
      </c>
      <c r="K157" s="735">
        <v>622.26039490000005</v>
      </c>
      <c r="L157">
        <f t="shared" si="4"/>
        <v>3654.4108511738918</v>
      </c>
      <c r="M157" s="742">
        <v>48711.04537</v>
      </c>
      <c r="N157">
        <f t="shared" si="5"/>
        <v>1853698.9936168722</v>
      </c>
    </row>
    <row r="158" spans="1:14" ht="15.5" x14ac:dyDescent="0.35">
      <c r="A158">
        <v>865.35419479225197</v>
      </c>
      <c r="B158">
        <v>103.905907539656</v>
      </c>
      <c r="C158">
        <v>16198.6529892707</v>
      </c>
      <c r="D158" s="735">
        <v>58615.994382811914</v>
      </c>
      <c r="E158" s="735">
        <v>9598.0929615723871</v>
      </c>
      <c r="F158" s="735">
        <v>1867.8759328295318</v>
      </c>
      <c r="H158" s="741">
        <v>156</v>
      </c>
      <c r="I158" s="735">
        <v>388.99464113694899</v>
      </c>
      <c r="J158">
        <f t="shared" si="4"/>
        <v>1867.8759328295318</v>
      </c>
      <c r="K158" s="735">
        <v>1223.290115</v>
      </c>
      <c r="L158">
        <f t="shared" si="4"/>
        <v>9598.0929615723871</v>
      </c>
      <c r="M158" s="742">
        <v>4341.2150089999996</v>
      </c>
      <c r="N158">
        <f t="shared" si="5"/>
        <v>58615.994382811914</v>
      </c>
    </row>
    <row r="159" spans="1:14" ht="15.5" x14ac:dyDescent="0.35">
      <c r="A159">
        <v>24.898969573279999</v>
      </c>
      <c r="B159">
        <v>529.70132437848997</v>
      </c>
      <c r="C159">
        <v>46715.820717900802</v>
      </c>
      <c r="D159" s="735">
        <v>28128.704260998304</v>
      </c>
      <c r="E159" s="735">
        <v>11034.25436721424</v>
      </c>
      <c r="F159" s="735">
        <v>292.98893295338507</v>
      </c>
      <c r="H159" s="741">
        <v>157</v>
      </c>
      <c r="I159" s="735">
        <v>106.36429142464399</v>
      </c>
      <c r="J159">
        <f t="shared" si="4"/>
        <v>292.98893295338507</v>
      </c>
      <c r="K159" s="735">
        <v>1348.7147090000001</v>
      </c>
      <c r="L159">
        <f t="shared" si="4"/>
        <v>11034.25436721424</v>
      </c>
      <c r="M159" s="742">
        <v>2596.5985420000002</v>
      </c>
      <c r="N159">
        <f t="shared" si="5"/>
        <v>28128.704260998304</v>
      </c>
    </row>
    <row r="160" spans="1:14" ht="15.5" x14ac:dyDescent="0.35">
      <c r="A160">
        <v>322.98305268847702</v>
      </c>
      <c r="B160">
        <v>1326.85584704598</v>
      </c>
      <c r="C160">
        <v>3136.6104906998698</v>
      </c>
      <c r="D160" s="735">
        <v>5834.4374423788113</v>
      </c>
      <c r="E160" s="735">
        <v>323.38290383462692</v>
      </c>
      <c r="F160" s="735">
        <v>65.665203053544204</v>
      </c>
      <c r="H160" s="741">
        <v>158</v>
      </c>
      <c r="I160" s="735">
        <v>37.336594586450097</v>
      </c>
      <c r="J160">
        <f t="shared" si="4"/>
        <v>65.665203053544204</v>
      </c>
      <c r="K160" s="735">
        <v>113.9729894</v>
      </c>
      <c r="L160">
        <f t="shared" si="4"/>
        <v>323.38290383462692</v>
      </c>
      <c r="M160" s="742">
        <v>863.37464680000005</v>
      </c>
      <c r="N160">
        <f t="shared" si="5"/>
        <v>5834.4374423788113</v>
      </c>
    </row>
    <row r="161" spans="1:14" ht="15.5" x14ac:dyDescent="0.35">
      <c r="A161">
        <v>130.36260643933699</v>
      </c>
      <c r="B161">
        <v>503.58379389613498</v>
      </c>
      <c r="C161">
        <v>50533.364146071399</v>
      </c>
      <c r="D161" s="735">
        <v>162841.71655625282</v>
      </c>
      <c r="E161" s="735">
        <v>33762.741872358129</v>
      </c>
      <c r="F161" s="735">
        <v>108835.60971624461</v>
      </c>
      <c r="H161" s="741">
        <v>159</v>
      </c>
      <c r="I161" s="735">
        <v>6694.83241487539</v>
      </c>
      <c r="J161">
        <f t="shared" si="4"/>
        <v>108835.60971624461</v>
      </c>
      <c r="K161" s="735">
        <v>2950.5732170000001</v>
      </c>
      <c r="L161">
        <f t="shared" si="4"/>
        <v>33762.741872358129</v>
      </c>
      <c r="M161" s="742">
        <v>8876.3817170000002</v>
      </c>
      <c r="N161">
        <f t="shared" si="5"/>
        <v>162841.71655625282</v>
      </c>
    </row>
    <row r="162" spans="1:14" ht="15.5" x14ac:dyDescent="0.35">
      <c r="A162">
        <v>12.632229103994501</v>
      </c>
      <c r="B162">
        <v>262.969184938794</v>
      </c>
      <c r="C162">
        <v>1123.35871177736</v>
      </c>
      <c r="D162" s="735">
        <v>91882.289477270155</v>
      </c>
      <c r="E162" s="735">
        <v>40511.82496807164</v>
      </c>
      <c r="F162" s="735">
        <v>955.07765971367917</v>
      </c>
      <c r="H162" s="741">
        <v>160</v>
      </c>
      <c r="I162" s="735">
        <v>243.23556748244101</v>
      </c>
      <c r="J162">
        <f t="shared" si="4"/>
        <v>955.07765971367917</v>
      </c>
      <c r="K162" s="735">
        <v>3352.025126</v>
      </c>
      <c r="L162">
        <f t="shared" si="4"/>
        <v>40511.82496807164</v>
      </c>
      <c r="M162" s="742">
        <v>5946.511536</v>
      </c>
      <c r="N162">
        <f t="shared" si="5"/>
        <v>91882.289477270155</v>
      </c>
    </row>
    <row r="163" spans="1:14" ht="15.5" x14ac:dyDescent="0.35">
      <c r="A163">
        <v>1382.5842393969999</v>
      </c>
      <c r="B163">
        <v>219.563818892575</v>
      </c>
      <c r="C163">
        <v>10577.598776893799</v>
      </c>
      <c r="D163" s="735">
        <v>12062.816575070403</v>
      </c>
      <c r="E163" s="735">
        <v>491.5694079751496</v>
      </c>
      <c r="F163" s="735">
        <v>4406.4275752985759</v>
      </c>
      <c r="H163" s="741">
        <v>161</v>
      </c>
      <c r="I163" s="735">
        <v>709.35011825438096</v>
      </c>
      <c r="J163">
        <f t="shared" si="4"/>
        <v>4406.4275752985759</v>
      </c>
      <c r="K163" s="735">
        <v>152.79508809999999</v>
      </c>
      <c r="L163">
        <f t="shared" si="4"/>
        <v>491.5694079751496</v>
      </c>
      <c r="M163" s="742">
        <v>1435.5360619999999</v>
      </c>
      <c r="N163">
        <f t="shared" si="5"/>
        <v>12062.816575070403</v>
      </c>
    </row>
    <row r="164" spans="1:14" ht="15.5" x14ac:dyDescent="0.35">
      <c r="A164">
        <v>1252.88990814667</v>
      </c>
      <c r="B164">
        <v>88.849779749981806</v>
      </c>
      <c r="C164">
        <v>565.93107465611899</v>
      </c>
      <c r="D164" s="735">
        <v>15671.904202381438</v>
      </c>
      <c r="E164" s="735">
        <v>25431.108493527252</v>
      </c>
      <c r="F164" s="735">
        <v>241.35557735582464</v>
      </c>
      <c r="H164" s="741">
        <v>162</v>
      </c>
      <c r="I164" s="735">
        <v>92.866726547523001</v>
      </c>
      <c r="J164">
        <f t="shared" si="4"/>
        <v>241.35557735582464</v>
      </c>
      <c r="K164" s="735">
        <v>2419.6675679999998</v>
      </c>
      <c r="L164">
        <f t="shared" si="4"/>
        <v>25431.108493527252</v>
      </c>
      <c r="M164" s="742">
        <v>1724.19046</v>
      </c>
      <c r="N164">
        <f t="shared" si="5"/>
        <v>15671.904202381438</v>
      </c>
    </row>
    <row r="165" spans="1:14" ht="15.5" x14ac:dyDescent="0.35">
      <c r="A165">
        <v>1448.5297447192499</v>
      </c>
      <c r="B165">
        <v>18.8175457083087</v>
      </c>
      <c r="C165">
        <v>72078.098305532505</v>
      </c>
      <c r="D165" s="735">
        <v>34235.150834258719</v>
      </c>
      <c r="E165" s="735">
        <v>186913.65021181645</v>
      </c>
      <c r="F165" s="735">
        <v>4488.802768552775</v>
      </c>
      <c r="H165" s="741">
        <v>163</v>
      </c>
      <c r="I165" s="735">
        <v>718.606872768328</v>
      </c>
      <c r="J165">
        <f t="shared" si="4"/>
        <v>4488.802768552775</v>
      </c>
      <c r="K165" s="735">
        <v>9775.7190850000006</v>
      </c>
      <c r="L165">
        <f t="shared" si="4"/>
        <v>186913.65021181645</v>
      </c>
      <c r="M165" s="742">
        <v>2979.4120640000001</v>
      </c>
      <c r="N165">
        <f t="shared" si="5"/>
        <v>34235.150834258719</v>
      </c>
    </row>
    <row r="166" spans="1:14" ht="15.5" x14ac:dyDescent="0.35">
      <c r="A166">
        <v>244.74023314191601</v>
      </c>
      <c r="B166">
        <v>2060.7327810534898</v>
      </c>
      <c r="C166">
        <v>6239.7078876130699</v>
      </c>
      <c r="D166" s="735">
        <v>15972.945091991278</v>
      </c>
      <c r="E166" s="735">
        <v>1379979.3221048363</v>
      </c>
      <c r="F166" s="735">
        <v>10.990044847287717</v>
      </c>
      <c r="H166" s="741">
        <v>164</v>
      </c>
      <c r="I166" s="735">
        <v>10.683157354640899</v>
      </c>
      <c r="J166">
        <f t="shared" si="4"/>
        <v>10.990044847287717</v>
      </c>
      <c r="K166" s="735">
        <v>39619.665560000001</v>
      </c>
      <c r="L166">
        <f t="shared" si="4"/>
        <v>1379979.3221048363</v>
      </c>
      <c r="M166" s="742">
        <v>1747.3081360000001</v>
      </c>
      <c r="N166">
        <f t="shared" si="5"/>
        <v>15972.945091991278</v>
      </c>
    </row>
    <row r="167" spans="1:14" ht="15.5" x14ac:dyDescent="0.35">
      <c r="A167">
        <v>349.11957397632898</v>
      </c>
      <c r="B167">
        <v>113.31281410228</v>
      </c>
      <c r="C167">
        <v>797.32342061838403</v>
      </c>
      <c r="D167" s="735">
        <v>76266.432120064506</v>
      </c>
      <c r="E167" s="735">
        <v>51831.06496566553</v>
      </c>
      <c r="F167" s="735">
        <v>0.96387951352688284</v>
      </c>
      <c r="H167" s="741">
        <v>165</v>
      </c>
      <c r="I167" s="735">
        <v>1.9445357180296801</v>
      </c>
      <c r="J167">
        <f t="shared" si="4"/>
        <v>0.96387951352688284</v>
      </c>
      <c r="K167" s="735">
        <v>3983.0255529999999</v>
      </c>
      <c r="L167">
        <f t="shared" si="4"/>
        <v>51831.06496566553</v>
      </c>
      <c r="M167" s="742">
        <v>5219.5540700000001</v>
      </c>
      <c r="N167">
        <f t="shared" si="5"/>
        <v>76266.432120064506</v>
      </c>
    </row>
    <row r="168" spans="1:14" ht="15.5" x14ac:dyDescent="0.35">
      <c r="A168">
        <v>279.35565642099198</v>
      </c>
      <c r="B168">
        <v>166.702764847541</v>
      </c>
      <c r="C168">
        <v>547.67925806699202</v>
      </c>
      <c r="D168" s="735">
        <v>15506.490791500653</v>
      </c>
      <c r="E168" s="735">
        <v>7297.6901366551256</v>
      </c>
      <c r="F168" s="735">
        <v>18.186484832376511</v>
      </c>
      <c r="H168" s="741">
        <v>166</v>
      </c>
      <c r="I168" s="735">
        <v>15.1993191869421</v>
      </c>
      <c r="J168">
        <f t="shared" si="4"/>
        <v>18.186484832376511</v>
      </c>
      <c r="K168" s="735">
        <v>1009.787042</v>
      </c>
      <c r="L168">
        <f t="shared" si="4"/>
        <v>7297.6901366551256</v>
      </c>
      <c r="M168" s="742">
        <v>1711.43129</v>
      </c>
      <c r="N168">
        <f t="shared" si="5"/>
        <v>15506.490791500653</v>
      </c>
    </row>
    <row r="169" spans="1:14" ht="15.5" x14ac:dyDescent="0.35">
      <c r="A169">
        <v>1685.8736039769001</v>
      </c>
      <c r="B169">
        <v>51.339155701190599</v>
      </c>
      <c r="C169">
        <v>68.400813478502698</v>
      </c>
      <c r="D169" s="735">
        <v>47033.397874365881</v>
      </c>
      <c r="E169" s="735">
        <v>1237.6538163509751</v>
      </c>
      <c r="F169" s="735">
        <v>13828.944529149026</v>
      </c>
      <c r="H169" s="741">
        <v>167</v>
      </c>
      <c r="I169" s="735">
        <v>1579.6189102425601</v>
      </c>
      <c r="J169">
        <f t="shared" si="4"/>
        <v>13828.944529149026</v>
      </c>
      <c r="K169" s="735">
        <v>291.6214263</v>
      </c>
      <c r="L169">
        <f t="shared" si="4"/>
        <v>1237.6538163509751</v>
      </c>
      <c r="M169" s="742">
        <v>3721.2123059999999</v>
      </c>
      <c r="N169">
        <f t="shared" si="5"/>
        <v>47033.397874365881</v>
      </c>
    </row>
    <row r="170" spans="1:14" ht="15.5" x14ac:dyDescent="0.35">
      <c r="A170">
        <v>38.205589952476799</v>
      </c>
      <c r="B170">
        <v>426.58474952342601</v>
      </c>
      <c r="C170">
        <v>9492.9100619615692</v>
      </c>
      <c r="D170" s="735">
        <v>2858.9321497590245</v>
      </c>
      <c r="E170" s="735">
        <v>2670.547032175908</v>
      </c>
      <c r="F170" s="735">
        <v>2635.1969159368541</v>
      </c>
      <c r="H170" s="741">
        <v>168</v>
      </c>
      <c r="I170" s="735">
        <v>494.95891556255299</v>
      </c>
      <c r="J170">
        <f t="shared" si="4"/>
        <v>2635.1969159368541</v>
      </c>
      <c r="K170" s="735">
        <v>499.59739089999999</v>
      </c>
      <c r="L170">
        <f t="shared" si="4"/>
        <v>2670.547032175908</v>
      </c>
      <c r="M170" s="742">
        <v>524.01376330000005</v>
      </c>
      <c r="N170">
        <f t="shared" si="5"/>
        <v>2858.9321497590245</v>
      </c>
    </row>
    <row r="171" spans="1:14" ht="15.5" x14ac:dyDescent="0.35">
      <c r="A171">
        <v>13.876817896984599</v>
      </c>
      <c r="B171">
        <v>17.654979304913802</v>
      </c>
      <c r="C171">
        <v>2666.09479174014</v>
      </c>
      <c r="D171" s="735">
        <v>10381.249908485823</v>
      </c>
      <c r="E171" s="735">
        <v>88079.383580674883</v>
      </c>
      <c r="F171" s="735">
        <v>32155.374241763922</v>
      </c>
      <c r="H171" s="741">
        <v>169</v>
      </c>
      <c r="I171" s="735">
        <v>2851.5270646521399</v>
      </c>
      <c r="J171">
        <f t="shared" si="4"/>
        <v>32155.374241763922</v>
      </c>
      <c r="K171" s="735">
        <v>5773.1386339999999</v>
      </c>
      <c r="L171">
        <f t="shared" si="4"/>
        <v>88079.383580674883</v>
      </c>
      <c r="M171" s="742">
        <v>1292.333946</v>
      </c>
      <c r="N171">
        <f t="shared" si="5"/>
        <v>10381.249908485823</v>
      </c>
    </row>
    <row r="172" spans="1:14" ht="15.5" x14ac:dyDescent="0.35">
      <c r="A172">
        <v>98.249443631660796</v>
      </c>
      <c r="B172">
        <v>602.53806690517604</v>
      </c>
      <c r="C172">
        <v>543.49577695025403</v>
      </c>
      <c r="D172" s="735">
        <v>3176.3669707495378</v>
      </c>
      <c r="E172" s="735">
        <v>2533.0263907121052</v>
      </c>
      <c r="F172" s="735">
        <v>193.40365422748039</v>
      </c>
      <c r="H172" s="741">
        <v>170</v>
      </c>
      <c r="I172" s="735">
        <v>79.528954440318799</v>
      </c>
      <c r="J172">
        <f t="shared" si="4"/>
        <v>193.40365422748039</v>
      </c>
      <c r="K172" s="735">
        <v>481.44624099999999</v>
      </c>
      <c r="L172">
        <f t="shared" si="4"/>
        <v>2533.0263907121052</v>
      </c>
      <c r="M172" s="742">
        <v>564.09398650000003</v>
      </c>
      <c r="N172">
        <f t="shared" si="5"/>
        <v>3176.3669707495378</v>
      </c>
    </row>
    <row r="173" spans="1:14" ht="15.5" x14ac:dyDescent="0.35">
      <c r="A173">
        <v>170.313242727899</v>
      </c>
      <c r="B173">
        <v>133.369270636316</v>
      </c>
      <c r="C173">
        <v>6045.0412453694598</v>
      </c>
      <c r="D173" s="735">
        <v>8628.476428430291</v>
      </c>
      <c r="E173" s="735">
        <v>7594369.9089088999</v>
      </c>
      <c r="F173" s="735">
        <v>150.69593536825229</v>
      </c>
      <c r="H173" s="741">
        <v>171</v>
      </c>
      <c r="I173" s="735">
        <v>66.783792336644098</v>
      </c>
      <c r="J173">
        <f t="shared" si="4"/>
        <v>150.69593536825229</v>
      </c>
      <c r="K173" s="735">
        <v>130720.65730000001</v>
      </c>
      <c r="L173">
        <f t="shared" si="4"/>
        <v>7594369.9089088999</v>
      </c>
      <c r="M173" s="742">
        <v>1135.413051</v>
      </c>
      <c r="N173">
        <f t="shared" si="5"/>
        <v>8628.476428430291</v>
      </c>
    </row>
    <row r="174" spans="1:14" ht="15.5" x14ac:dyDescent="0.35">
      <c r="A174">
        <v>412.65264430099199</v>
      </c>
      <c r="B174">
        <v>387.88023233126302</v>
      </c>
      <c r="C174">
        <v>2040.25674586534</v>
      </c>
      <c r="D174" s="735">
        <v>187313.5972693178</v>
      </c>
      <c r="E174" s="735">
        <v>11141.462750139093</v>
      </c>
      <c r="F174" s="735">
        <v>10193.45626259504</v>
      </c>
      <c r="H174" s="741">
        <v>172</v>
      </c>
      <c r="I174" s="735">
        <v>1275.92464083914</v>
      </c>
      <c r="J174">
        <f t="shared" si="4"/>
        <v>10193.45626259504</v>
      </c>
      <c r="K174" s="735">
        <v>1357.8742380000001</v>
      </c>
      <c r="L174">
        <f t="shared" si="4"/>
        <v>11141.462750139093</v>
      </c>
      <c r="M174" s="742">
        <v>9790.3566539999993</v>
      </c>
      <c r="N174">
        <f t="shared" si="5"/>
        <v>187313.5972693178</v>
      </c>
    </row>
    <row r="175" spans="1:14" ht="15.5" x14ac:dyDescent="0.35">
      <c r="A175">
        <v>2476.5629838759301</v>
      </c>
      <c r="B175">
        <v>148.14272348344599</v>
      </c>
      <c r="C175">
        <v>1736.99422523826</v>
      </c>
      <c r="D175" s="735">
        <v>22244.865537483893</v>
      </c>
      <c r="E175" s="735">
        <v>2435.5525831446016</v>
      </c>
      <c r="F175" s="735">
        <v>2074.5902702942262</v>
      </c>
      <c r="H175" s="741">
        <v>173</v>
      </c>
      <c r="I175" s="735">
        <v>418.651484701002</v>
      </c>
      <c r="J175">
        <f t="shared" si="4"/>
        <v>2074.5902702942262</v>
      </c>
      <c r="K175" s="735">
        <v>468.4014785</v>
      </c>
      <c r="L175">
        <f t="shared" si="4"/>
        <v>2435.5525831446016</v>
      </c>
      <c r="M175" s="742">
        <v>2203.2351389999999</v>
      </c>
      <c r="N175">
        <f t="shared" si="5"/>
        <v>22244.865537483893</v>
      </c>
    </row>
    <row r="176" spans="1:14" ht="15.5" x14ac:dyDescent="0.35">
      <c r="A176">
        <v>607.21273307141303</v>
      </c>
      <c r="B176">
        <v>60.065770574517103</v>
      </c>
      <c r="C176">
        <v>296.21735839899202</v>
      </c>
      <c r="D176" s="735">
        <v>12946.788691126168</v>
      </c>
      <c r="E176" s="735">
        <v>59.731125700227565</v>
      </c>
      <c r="F176" s="735">
        <v>727.74291779291923</v>
      </c>
      <c r="H176" s="741">
        <v>174</v>
      </c>
      <c r="I176" s="735">
        <v>201.08727615611801</v>
      </c>
      <c r="J176">
        <f t="shared" si="4"/>
        <v>727.74291779291923</v>
      </c>
      <c r="K176" s="735">
        <v>34.941415110000001</v>
      </c>
      <c r="L176">
        <f t="shared" si="4"/>
        <v>59.731125700227565</v>
      </c>
      <c r="M176" s="742">
        <v>1508.3892960000001</v>
      </c>
      <c r="N176">
        <f t="shared" si="5"/>
        <v>12946.788691126168</v>
      </c>
    </row>
    <row r="177" spans="1:14" ht="15.5" x14ac:dyDescent="0.35">
      <c r="A177">
        <v>186.159460045819</v>
      </c>
      <c r="B177">
        <v>1907.52651137366</v>
      </c>
      <c r="C177">
        <v>226.59679008328101</v>
      </c>
      <c r="D177" s="735">
        <v>2674.6536677188187</v>
      </c>
      <c r="E177" s="735">
        <v>369823.83395256219</v>
      </c>
      <c r="F177" s="735">
        <v>126.51787055778962</v>
      </c>
      <c r="H177" s="741">
        <v>175</v>
      </c>
      <c r="I177" s="735">
        <v>59.0889552824191</v>
      </c>
      <c r="J177">
        <f t="shared" si="4"/>
        <v>126.51787055778962</v>
      </c>
      <c r="K177" s="735">
        <v>15761.4594</v>
      </c>
      <c r="L177">
        <f t="shared" si="4"/>
        <v>369823.83395256219</v>
      </c>
      <c r="M177" s="742">
        <v>500.1350463</v>
      </c>
      <c r="N177">
        <f t="shared" si="5"/>
        <v>2674.6536677188187</v>
      </c>
    </row>
    <row r="178" spans="1:14" ht="15.5" x14ac:dyDescent="0.35">
      <c r="A178">
        <v>2043.54691682578</v>
      </c>
      <c r="B178">
        <v>29.062215389303699</v>
      </c>
      <c r="C178">
        <v>1022.71730554028</v>
      </c>
      <c r="D178" s="735">
        <v>116645.84066154964</v>
      </c>
      <c r="E178" s="735">
        <v>792.71996887999933</v>
      </c>
      <c r="F178" s="735">
        <v>2252.2383780841774</v>
      </c>
      <c r="H178" s="741">
        <v>176</v>
      </c>
      <c r="I178" s="735">
        <v>443.435081193195</v>
      </c>
      <c r="J178">
        <f t="shared" si="4"/>
        <v>2252.2383780841774</v>
      </c>
      <c r="K178" s="735">
        <v>213.4931076</v>
      </c>
      <c r="L178">
        <f t="shared" si="4"/>
        <v>792.71996887999933</v>
      </c>
      <c r="M178" s="742">
        <v>7027.6233990000001</v>
      </c>
      <c r="N178">
        <f t="shared" si="5"/>
        <v>116645.84066154964</v>
      </c>
    </row>
    <row r="179" spans="1:14" ht="15.5" x14ac:dyDescent="0.35">
      <c r="A179">
        <v>11.675341037454899</v>
      </c>
      <c r="B179">
        <v>61.296320993662299</v>
      </c>
      <c r="C179">
        <v>606.58374934301605</v>
      </c>
      <c r="D179" s="735">
        <v>69416.154375704078</v>
      </c>
      <c r="E179" s="735">
        <v>446.19082476119257</v>
      </c>
      <c r="F179" s="735">
        <v>1.8311090408720738</v>
      </c>
      <c r="H179" s="741">
        <v>177</v>
      </c>
      <c r="I179" s="735">
        <v>3.0471928796248799</v>
      </c>
      <c r="J179">
        <f t="shared" si="4"/>
        <v>1.8311090408720738</v>
      </c>
      <c r="K179" s="735">
        <v>142.7790358</v>
      </c>
      <c r="L179">
        <f t="shared" si="4"/>
        <v>446.19082476119257</v>
      </c>
      <c r="M179" s="742">
        <v>4886.7754699999996</v>
      </c>
      <c r="N179">
        <f t="shared" si="5"/>
        <v>69416.154375704078</v>
      </c>
    </row>
    <row r="180" spans="1:14" ht="15.5" x14ac:dyDescent="0.35">
      <c r="A180">
        <v>37.700261018865802</v>
      </c>
      <c r="B180">
        <v>174.35804786472099</v>
      </c>
      <c r="C180">
        <v>280.26844998148698</v>
      </c>
      <c r="D180" s="735">
        <v>169353.15842957998</v>
      </c>
      <c r="E180" s="735">
        <v>17180.196149915551</v>
      </c>
      <c r="F180" s="735">
        <v>155.48974153453929</v>
      </c>
      <c r="H180" s="741">
        <v>178</v>
      </c>
      <c r="I180" s="735">
        <v>68.263919290621402</v>
      </c>
      <c r="J180">
        <f t="shared" si="4"/>
        <v>155.48974153453929</v>
      </c>
      <c r="K180" s="735">
        <v>1838.7372849999999</v>
      </c>
      <c r="L180">
        <f t="shared" si="4"/>
        <v>17180.196149915551</v>
      </c>
      <c r="M180" s="742">
        <v>9123.3704689999995</v>
      </c>
      <c r="N180">
        <f t="shared" si="5"/>
        <v>169353.15842957998</v>
      </c>
    </row>
    <row r="181" spans="1:14" ht="15.5" x14ac:dyDescent="0.35">
      <c r="A181">
        <v>206.120062153319</v>
      </c>
      <c r="B181">
        <v>185.13733895793999</v>
      </c>
      <c r="C181">
        <v>621.73048392394799</v>
      </c>
      <c r="D181" s="735">
        <v>66437.541900570111</v>
      </c>
      <c r="E181" s="735">
        <v>956335.69833126967</v>
      </c>
      <c r="F181" s="735">
        <v>4003.4353130613522</v>
      </c>
      <c r="H181" s="741">
        <v>179</v>
      </c>
      <c r="I181" s="735">
        <v>663.289268699697</v>
      </c>
      <c r="J181">
        <f t="shared" si="4"/>
        <v>4003.4353130613522</v>
      </c>
      <c r="K181" s="735">
        <v>30649.772639999999</v>
      </c>
      <c r="L181">
        <f t="shared" si="4"/>
        <v>956335.69833126967</v>
      </c>
      <c r="M181" s="742">
        <v>4739.0303389999999</v>
      </c>
      <c r="N181">
        <f t="shared" si="5"/>
        <v>66437.541900570111</v>
      </c>
    </row>
    <row r="182" spans="1:14" ht="15.5" x14ac:dyDescent="0.35">
      <c r="A182">
        <v>1925.9893866216701</v>
      </c>
      <c r="B182">
        <v>1024.71310018187</v>
      </c>
      <c r="C182">
        <v>685.35166490983704</v>
      </c>
      <c r="D182" s="735">
        <v>30732.666761979628</v>
      </c>
      <c r="E182" s="735">
        <v>15959178.762207936</v>
      </c>
      <c r="F182" s="735">
        <v>3259.3853628260154</v>
      </c>
      <c r="H182" s="741">
        <v>180</v>
      </c>
      <c r="I182" s="735">
        <v>574.37429759178099</v>
      </c>
      <c r="J182">
        <f t="shared" si="4"/>
        <v>3259.3853628260154</v>
      </c>
      <c r="K182" s="735">
        <v>219840.3352</v>
      </c>
      <c r="L182">
        <f t="shared" si="4"/>
        <v>15959178.762207936</v>
      </c>
      <c r="M182" s="742">
        <v>2762.6137739999999</v>
      </c>
      <c r="N182">
        <f t="shared" si="5"/>
        <v>30732.666761979628</v>
      </c>
    </row>
    <row r="183" spans="1:14" ht="15.5" x14ac:dyDescent="0.35">
      <c r="A183">
        <v>20967.851237975301</v>
      </c>
      <c r="B183">
        <v>227.361883311448</v>
      </c>
      <c r="C183">
        <v>80.768915882154502</v>
      </c>
      <c r="D183" s="735">
        <v>14647.844161605741</v>
      </c>
      <c r="E183" s="735">
        <v>3718.3021108637472</v>
      </c>
      <c r="F183" s="735">
        <v>35.694657946751086</v>
      </c>
      <c r="H183" s="741">
        <v>181</v>
      </c>
      <c r="I183" s="735">
        <v>24.368133047582599</v>
      </c>
      <c r="J183">
        <f t="shared" si="4"/>
        <v>35.694657946751086</v>
      </c>
      <c r="K183" s="735">
        <v>629.85600060000002</v>
      </c>
      <c r="L183">
        <f t="shared" si="4"/>
        <v>3718.3021108637472</v>
      </c>
      <c r="M183" s="742">
        <v>1644.5292320000001</v>
      </c>
      <c r="N183">
        <f t="shared" si="5"/>
        <v>14647.844161605741</v>
      </c>
    </row>
    <row r="184" spans="1:14" ht="15.5" x14ac:dyDescent="0.35">
      <c r="A184">
        <v>390.75100448781302</v>
      </c>
      <c r="B184">
        <v>32.461093824818697</v>
      </c>
      <c r="C184">
        <v>1191.5779064076701</v>
      </c>
      <c r="D184" s="735">
        <v>5311.8181079616315</v>
      </c>
      <c r="E184" s="735">
        <v>442358.63759165985</v>
      </c>
      <c r="F184" s="735">
        <v>605.40190694561738</v>
      </c>
      <c r="H184" s="741">
        <v>182</v>
      </c>
      <c r="I184" s="735">
        <v>176.77899037674001</v>
      </c>
      <c r="J184">
        <f t="shared" si="4"/>
        <v>605.40190694561738</v>
      </c>
      <c r="K184" s="735">
        <v>17866.61003</v>
      </c>
      <c r="L184">
        <f t="shared" si="4"/>
        <v>442358.63759165985</v>
      </c>
      <c r="M184" s="742">
        <v>808.48177910000004</v>
      </c>
      <c r="N184">
        <f t="shared" si="5"/>
        <v>5311.8181079616315</v>
      </c>
    </row>
    <row r="185" spans="1:14" ht="15.5" x14ac:dyDescent="0.35">
      <c r="A185">
        <v>122.476731115674</v>
      </c>
      <c r="B185">
        <v>201.94208291531299</v>
      </c>
      <c r="C185">
        <v>1336.7186208995499</v>
      </c>
      <c r="D185" s="735">
        <v>124798.97217524354</v>
      </c>
      <c r="E185" s="735">
        <v>27.78141964385658</v>
      </c>
      <c r="F185" s="735">
        <v>1869.99385784585</v>
      </c>
      <c r="H185" s="741">
        <v>183</v>
      </c>
      <c r="I185" s="735">
        <v>389.30333669291298</v>
      </c>
      <c r="J185">
        <f t="shared" si="4"/>
        <v>1869.99385784585</v>
      </c>
      <c r="K185" s="735">
        <v>20.44692972</v>
      </c>
      <c r="L185">
        <f t="shared" si="4"/>
        <v>27.78141964385658</v>
      </c>
      <c r="M185" s="742">
        <v>7367.967576</v>
      </c>
      <c r="N185">
        <f t="shared" si="5"/>
        <v>124798.97217524354</v>
      </c>
    </row>
    <row r="186" spans="1:14" ht="15.5" x14ac:dyDescent="0.35">
      <c r="A186">
        <v>502.35501896238497</v>
      </c>
      <c r="B186">
        <v>116.65236525171299</v>
      </c>
      <c r="C186">
        <v>721.95377707919499</v>
      </c>
      <c r="D186" s="735">
        <v>9454.9273886836909</v>
      </c>
      <c r="E186" s="735">
        <v>147869.38168778442</v>
      </c>
      <c r="F186" s="735">
        <v>3071.9760725644796</v>
      </c>
      <c r="H186" s="741">
        <v>184</v>
      </c>
      <c r="I186" s="735">
        <v>551.05186944668696</v>
      </c>
      <c r="J186">
        <f t="shared" si="4"/>
        <v>3071.9760725644796</v>
      </c>
      <c r="K186" s="735">
        <v>8296.8794460000008</v>
      </c>
      <c r="L186">
        <f t="shared" si="4"/>
        <v>147869.38168778442</v>
      </c>
      <c r="M186" s="742">
        <v>1210.488697</v>
      </c>
      <c r="N186">
        <f t="shared" si="5"/>
        <v>9454.9273886836909</v>
      </c>
    </row>
    <row r="187" spans="1:14" ht="15.5" x14ac:dyDescent="0.35">
      <c r="A187">
        <v>396.70508527141902</v>
      </c>
      <c r="B187">
        <v>148.63722521981501</v>
      </c>
      <c r="C187">
        <v>9267.7443389795299</v>
      </c>
      <c r="D187" s="735">
        <v>5472.8862750999779</v>
      </c>
      <c r="E187" s="735">
        <v>2667.2116309706662</v>
      </c>
      <c r="F187" s="735">
        <v>2756.6452958149744</v>
      </c>
      <c r="H187" s="741">
        <v>185</v>
      </c>
      <c r="I187" s="735">
        <v>510.818504865097</v>
      </c>
      <c r="J187">
        <f t="shared" si="4"/>
        <v>2756.6452958149744</v>
      </c>
      <c r="K187" s="735">
        <v>499.16052569999999</v>
      </c>
      <c r="L187">
        <f t="shared" si="4"/>
        <v>2667.2116309706662</v>
      </c>
      <c r="M187" s="742">
        <v>825.56542569999999</v>
      </c>
      <c r="N187">
        <f t="shared" si="5"/>
        <v>5472.8862750999779</v>
      </c>
    </row>
    <row r="188" spans="1:14" ht="15.5" x14ac:dyDescent="0.35">
      <c r="A188">
        <v>2490.44723013664</v>
      </c>
      <c r="B188">
        <v>483.53203274898101</v>
      </c>
      <c r="C188">
        <v>53.288322166096698</v>
      </c>
      <c r="D188" s="735">
        <v>238896.438271641</v>
      </c>
      <c r="E188" s="735">
        <v>84830.96361905025</v>
      </c>
      <c r="F188" s="735">
        <v>1123.4735933566608</v>
      </c>
      <c r="H188" s="741">
        <v>186</v>
      </c>
      <c r="I188" s="735">
        <v>272.51725660943902</v>
      </c>
      <c r="J188">
        <f t="shared" si="4"/>
        <v>1123.4735933566608</v>
      </c>
      <c r="K188" s="735">
        <v>5623.2589120000002</v>
      </c>
      <c r="L188">
        <f t="shared" si="4"/>
        <v>84830.96361905025</v>
      </c>
      <c r="M188" s="742">
        <v>11607.71596</v>
      </c>
      <c r="N188">
        <f t="shared" si="5"/>
        <v>238896.438271641</v>
      </c>
    </row>
    <row r="189" spans="1:14" ht="15.5" x14ac:dyDescent="0.35">
      <c r="A189">
        <v>451.94076259399998</v>
      </c>
      <c r="B189">
        <v>405.52097963657297</v>
      </c>
      <c r="C189">
        <v>7697.8769111134397</v>
      </c>
      <c r="D189" s="735">
        <v>19362.144307931736</v>
      </c>
      <c r="E189" s="735">
        <v>3464.9902032040595</v>
      </c>
      <c r="F189" s="735">
        <v>8552.8135685077687</v>
      </c>
      <c r="H189" s="741">
        <v>187</v>
      </c>
      <c r="I189" s="735">
        <v>1128.4343657955601</v>
      </c>
      <c r="J189">
        <f t="shared" si="4"/>
        <v>8552.8135685077687</v>
      </c>
      <c r="K189" s="735">
        <v>599.50306490000003</v>
      </c>
      <c r="L189">
        <f t="shared" si="4"/>
        <v>3464.9902032040595</v>
      </c>
      <c r="M189" s="742">
        <v>1999.2514369999999</v>
      </c>
      <c r="N189">
        <f t="shared" si="5"/>
        <v>19362.144307931736</v>
      </c>
    </row>
    <row r="190" spans="1:14" ht="15.5" x14ac:dyDescent="0.35">
      <c r="A190">
        <v>505.47465683986002</v>
      </c>
      <c r="B190">
        <v>390.37395171036599</v>
      </c>
      <c r="C190">
        <v>1709.88555789973</v>
      </c>
      <c r="D190" s="735">
        <v>74575.261821125867</v>
      </c>
      <c r="E190" s="735">
        <v>3269.4633514709999</v>
      </c>
      <c r="F190" s="735">
        <v>3908.1112914907817</v>
      </c>
      <c r="H190" s="741">
        <v>188</v>
      </c>
      <c r="I190" s="735">
        <v>652.19407020989195</v>
      </c>
      <c r="J190">
        <f t="shared" si="4"/>
        <v>3908.1112914907817</v>
      </c>
      <c r="K190" s="735">
        <v>575.61689369999999</v>
      </c>
      <c r="L190">
        <f t="shared" si="4"/>
        <v>3269.4633514709999</v>
      </c>
      <c r="M190" s="742">
        <v>5138.2632489999996</v>
      </c>
      <c r="N190">
        <f t="shared" si="5"/>
        <v>74575.261821125867</v>
      </c>
    </row>
    <row r="191" spans="1:14" ht="15.5" x14ac:dyDescent="0.35">
      <c r="A191">
        <v>573.03428415949895</v>
      </c>
      <c r="B191">
        <v>730.99979399412496</v>
      </c>
      <c r="C191">
        <v>8922.6563667484006</v>
      </c>
      <c r="D191" s="735">
        <v>80462.105322906762</v>
      </c>
      <c r="E191" s="735">
        <v>23561.714514090392</v>
      </c>
      <c r="F191" s="735">
        <v>1746.0975112000347</v>
      </c>
      <c r="H191" s="741">
        <v>189</v>
      </c>
      <c r="I191" s="735">
        <v>371.06325106567101</v>
      </c>
      <c r="J191">
        <f t="shared" si="4"/>
        <v>1746.0975112000347</v>
      </c>
      <c r="K191" s="735">
        <v>2293.7433510000001</v>
      </c>
      <c r="L191">
        <f t="shared" si="4"/>
        <v>23561.714514090392</v>
      </c>
      <c r="M191" s="742">
        <v>5418.9354069999999</v>
      </c>
      <c r="N191">
        <f t="shared" si="5"/>
        <v>80462.105322906762</v>
      </c>
    </row>
    <row r="192" spans="1:14" ht="15.5" x14ac:dyDescent="0.35">
      <c r="A192">
        <v>95.953929032769395</v>
      </c>
      <c r="B192">
        <v>451.66877856571</v>
      </c>
      <c r="C192">
        <v>3737.6981709346001</v>
      </c>
      <c r="D192" s="735">
        <v>130953.35776479739</v>
      </c>
      <c r="E192" s="735">
        <v>2965.1851779559829</v>
      </c>
      <c r="F192" s="735">
        <v>2905.0597797569226</v>
      </c>
      <c r="H192" s="741">
        <v>190</v>
      </c>
      <c r="I192" s="735">
        <v>529.91785343306697</v>
      </c>
      <c r="J192">
        <f t="shared" si="4"/>
        <v>2905.0597797569226</v>
      </c>
      <c r="K192" s="735">
        <v>537.57154749999995</v>
      </c>
      <c r="L192">
        <f t="shared" si="4"/>
        <v>2965.1851779559829</v>
      </c>
      <c r="M192" s="742">
        <v>7620.4680580000004</v>
      </c>
      <c r="N192">
        <f t="shared" si="5"/>
        <v>130953.35776479739</v>
      </c>
    </row>
    <row r="193" spans="1:14" ht="15.5" x14ac:dyDescent="0.35">
      <c r="A193">
        <v>48.626843463163702</v>
      </c>
      <c r="B193">
        <v>1231.6934114809201</v>
      </c>
      <c r="C193">
        <v>5877.3880761720702</v>
      </c>
      <c r="D193" s="735">
        <v>37346.274076441354</v>
      </c>
      <c r="E193" s="735">
        <v>94925.266222043487</v>
      </c>
      <c r="F193" s="735">
        <v>672.23926542228673</v>
      </c>
      <c r="H193" s="741">
        <v>191</v>
      </c>
      <c r="I193" s="735">
        <v>190.22461472956499</v>
      </c>
      <c r="J193">
        <f t="shared" si="4"/>
        <v>672.23926542228673</v>
      </c>
      <c r="K193" s="735">
        <v>6083.6928099999996</v>
      </c>
      <c r="L193">
        <f t="shared" si="4"/>
        <v>94925.266222043487</v>
      </c>
      <c r="M193" s="742">
        <v>3166.453364</v>
      </c>
      <c r="N193">
        <f t="shared" si="5"/>
        <v>37346.274076441354</v>
      </c>
    </row>
    <row r="194" spans="1:14" ht="15.5" x14ac:dyDescent="0.35">
      <c r="A194">
        <v>507.17269822556398</v>
      </c>
      <c r="B194">
        <v>390.73111723436</v>
      </c>
      <c r="C194">
        <v>71141.744655354894</v>
      </c>
      <c r="D194" s="735">
        <v>4821.9647101387282</v>
      </c>
      <c r="E194" s="735">
        <v>48.877568117616967</v>
      </c>
      <c r="F194" s="735">
        <v>775.58088046501177</v>
      </c>
      <c r="H194" s="741">
        <v>192</v>
      </c>
      <c r="I194" s="735">
        <v>210.251433761117</v>
      </c>
      <c r="J194">
        <f t="shared" si="4"/>
        <v>775.58088046501177</v>
      </c>
      <c r="K194" s="735">
        <v>30.365239630000001</v>
      </c>
      <c r="L194">
        <f t="shared" si="4"/>
        <v>48.877568117616967</v>
      </c>
      <c r="M194" s="742">
        <v>755.53888229999995</v>
      </c>
      <c r="N194">
        <f t="shared" si="5"/>
        <v>4821.9647101387282</v>
      </c>
    </row>
    <row r="195" spans="1:14" ht="15.5" x14ac:dyDescent="0.35">
      <c r="A195">
        <v>209.96091158116101</v>
      </c>
      <c r="B195">
        <v>50.524128301138397</v>
      </c>
      <c r="C195">
        <v>15212.0153419338</v>
      </c>
      <c r="D195" s="735">
        <v>2245.3510768037268</v>
      </c>
      <c r="E195" s="735">
        <v>359314.81998458167</v>
      </c>
      <c r="F195" s="735">
        <v>862.58980495577998</v>
      </c>
      <c r="H195" s="741">
        <v>193</v>
      </c>
      <c r="I195" s="735">
        <v>226.497297553181</v>
      </c>
      <c r="J195">
        <f t="shared" si="4"/>
        <v>862.58980495577998</v>
      </c>
      <c r="K195" s="735">
        <v>15446.589</v>
      </c>
      <c r="L195">
        <f t="shared" si="4"/>
        <v>359314.81998458167</v>
      </c>
      <c r="M195" s="742">
        <v>442.48543410000002</v>
      </c>
      <c r="N195">
        <f t="shared" si="5"/>
        <v>2245.3510768037268</v>
      </c>
    </row>
    <row r="196" spans="1:14" ht="15.5" x14ac:dyDescent="0.35">
      <c r="A196">
        <v>1457.89998223476</v>
      </c>
      <c r="B196">
        <v>154.97817123274601</v>
      </c>
      <c r="C196">
        <v>5136.4633489293101</v>
      </c>
      <c r="D196" s="735">
        <v>7380.2629954551303</v>
      </c>
      <c r="E196" s="735">
        <v>40704.31537746972</v>
      </c>
      <c r="F196" s="735">
        <v>3468.2085764711583</v>
      </c>
      <c r="H196" s="741">
        <v>194</v>
      </c>
      <c r="I196" s="735">
        <v>599.89279447276704</v>
      </c>
      <c r="J196">
        <f t="shared" ref="J196:L259" si="6">(10^(LOG(I196)-0.3))^(1/0.7)</f>
        <v>3468.2085764711583</v>
      </c>
      <c r="K196" s="735">
        <v>3363.166111</v>
      </c>
      <c r="L196">
        <f t="shared" si="6"/>
        <v>40704.31537746972</v>
      </c>
      <c r="M196" s="742">
        <v>1017.7715030000001</v>
      </c>
      <c r="N196">
        <f t="shared" ref="N196:N259" si="7">(10^(LOG(M196)-0.3))^(1/0.7)</f>
        <v>7380.2629954551303</v>
      </c>
    </row>
    <row r="197" spans="1:14" ht="15.5" x14ac:dyDescent="0.35">
      <c r="A197">
        <v>370.05624729583599</v>
      </c>
      <c r="B197">
        <v>2189.47201195864</v>
      </c>
      <c r="C197">
        <v>18138.593856493699</v>
      </c>
      <c r="D197" s="735">
        <v>3244.8786904956578</v>
      </c>
      <c r="E197" s="735">
        <v>31886.774967357058</v>
      </c>
      <c r="F197" s="735">
        <v>217.67436813961658</v>
      </c>
      <c r="H197" s="741">
        <v>195</v>
      </c>
      <c r="I197" s="735">
        <v>86.390324385209894</v>
      </c>
      <c r="J197">
        <f t="shared" si="6"/>
        <v>217.67436813961658</v>
      </c>
      <c r="K197" s="735">
        <v>2834.8325960000002</v>
      </c>
      <c r="L197">
        <f t="shared" si="6"/>
        <v>31886.774967357058</v>
      </c>
      <c r="M197" s="742">
        <v>572.58362769999997</v>
      </c>
      <c r="N197">
        <f t="shared" si="7"/>
        <v>3244.8786904956578</v>
      </c>
    </row>
    <row r="198" spans="1:14" ht="15.5" x14ac:dyDescent="0.35">
      <c r="A198">
        <v>2940.3942026334798</v>
      </c>
      <c r="B198">
        <v>17.963351252718901</v>
      </c>
      <c r="C198">
        <v>1170.5869059956699</v>
      </c>
      <c r="D198" s="735">
        <v>32329.854799306726</v>
      </c>
      <c r="E198" s="735">
        <v>49221.299495284198</v>
      </c>
      <c r="F198" s="735">
        <v>1687.0617094356985</v>
      </c>
      <c r="H198" s="741">
        <v>196</v>
      </c>
      <c r="I198" s="735">
        <v>362.23605711596201</v>
      </c>
      <c r="J198">
        <f t="shared" si="6"/>
        <v>1687.0617094356985</v>
      </c>
      <c r="K198" s="735">
        <v>3841.5558609999998</v>
      </c>
      <c r="L198">
        <f t="shared" si="6"/>
        <v>49221.299495284198</v>
      </c>
      <c r="M198" s="742">
        <v>2862.3492809999998</v>
      </c>
      <c r="N198">
        <f t="shared" si="7"/>
        <v>32329.854799306726</v>
      </c>
    </row>
    <row r="199" spans="1:14" ht="15.5" x14ac:dyDescent="0.35">
      <c r="A199">
        <v>4481.8092690123704</v>
      </c>
      <c r="B199">
        <v>771.45768863447302</v>
      </c>
      <c r="C199">
        <v>1497.1754413772901</v>
      </c>
      <c r="D199" s="735">
        <v>138403.78973959314</v>
      </c>
      <c r="E199" s="735">
        <v>24752.166980360496</v>
      </c>
      <c r="F199" s="735">
        <v>179.93130806313624</v>
      </c>
      <c r="H199" s="741">
        <v>197</v>
      </c>
      <c r="I199" s="735">
        <v>75.609212726757207</v>
      </c>
      <c r="J199">
        <f t="shared" si="6"/>
        <v>179.93130806313624</v>
      </c>
      <c r="K199" s="735">
        <v>2374.265371</v>
      </c>
      <c r="L199">
        <f t="shared" si="6"/>
        <v>24752.166980360496</v>
      </c>
      <c r="M199" s="742">
        <v>7921.429975</v>
      </c>
      <c r="N199">
        <f t="shared" si="7"/>
        <v>138403.78973959314</v>
      </c>
    </row>
    <row r="200" spans="1:14" ht="15.5" x14ac:dyDescent="0.35">
      <c r="A200">
        <v>278.03160831339801</v>
      </c>
      <c r="B200">
        <v>105.791437436263</v>
      </c>
      <c r="C200">
        <v>1378.4964347288501</v>
      </c>
      <c r="D200" s="735">
        <v>2883.3219142442435</v>
      </c>
      <c r="E200" s="735">
        <v>741.54889182121769</v>
      </c>
      <c r="F200" s="735">
        <v>11373.917490400134</v>
      </c>
      <c r="H200" s="741">
        <v>198</v>
      </c>
      <c r="I200" s="735">
        <v>1377.6441469364099</v>
      </c>
      <c r="J200">
        <f t="shared" si="6"/>
        <v>11373.917490400134</v>
      </c>
      <c r="K200" s="735">
        <v>203.7501106</v>
      </c>
      <c r="L200">
        <f t="shared" si="6"/>
        <v>741.54889182121769</v>
      </c>
      <c r="M200" s="742">
        <v>527.13905409999995</v>
      </c>
      <c r="N200">
        <f t="shared" si="7"/>
        <v>2883.3219142442435</v>
      </c>
    </row>
    <row r="201" spans="1:14" ht="15.5" x14ac:dyDescent="0.35">
      <c r="A201">
        <v>261.041081496684</v>
      </c>
      <c r="B201">
        <v>298.66459352775502</v>
      </c>
      <c r="C201">
        <v>38.048988977492101</v>
      </c>
      <c r="D201" s="735">
        <v>32401.487670358099</v>
      </c>
      <c r="E201" s="735">
        <v>37291.75233086649</v>
      </c>
      <c r="F201" s="735">
        <v>739.23817665196157</v>
      </c>
      <c r="H201" s="741">
        <v>199</v>
      </c>
      <c r="I201" s="735">
        <v>203.305473456996</v>
      </c>
      <c r="J201">
        <f t="shared" si="6"/>
        <v>739.23817665196157</v>
      </c>
      <c r="K201" s="735">
        <v>3163.216766</v>
      </c>
      <c r="L201">
        <f t="shared" si="6"/>
        <v>37291.75233086649</v>
      </c>
      <c r="M201" s="742">
        <v>2866.7872579999998</v>
      </c>
      <c r="N201">
        <f t="shared" si="7"/>
        <v>32401.487670358099</v>
      </c>
    </row>
    <row r="202" spans="1:14" ht="15.5" x14ac:dyDescent="0.35">
      <c r="A202">
        <v>141.18551729816201</v>
      </c>
      <c r="B202">
        <v>41.5126888448616</v>
      </c>
      <c r="C202">
        <v>7891.1604321351797</v>
      </c>
      <c r="D202" s="735">
        <v>52936.098000666621</v>
      </c>
      <c r="E202" s="735">
        <v>8792.1905851595475</v>
      </c>
      <c r="F202" s="735">
        <v>3078.643096102126</v>
      </c>
      <c r="H202" s="741">
        <v>200</v>
      </c>
      <c r="I202" s="735">
        <v>551.88874987054805</v>
      </c>
      <c r="J202">
        <f t="shared" si="6"/>
        <v>3078.643096102126</v>
      </c>
      <c r="K202" s="735">
        <v>1150.4505750000001</v>
      </c>
      <c r="L202">
        <f t="shared" si="6"/>
        <v>8792.1905851595475</v>
      </c>
      <c r="M202" s="742">
        <v>4042.2795820000001</v>
      </c>
      <c r="N202">
        <f t="shared" si="7"/>
        <v>52936.098000666621</v>
      </c>
    </row>
    <row r="203" spans="1:14" ht="15.5" x14ac:dyDescent="0.35">
      <c r="A203">
        <v>3365.0214119777602</v>
      </c>
      <c r="B203">
        <v>57.582867731174701</v>
      </c>
      <c r="C203">
        <v>49905.488467756601</v>
      </c>
      <c r="D203" s="735">
        <v>6690.8379082360516</v>
      </c>
      <c r="E203" s="735">
        <v>977.69830075424466</v>
      </c>
      <c r="F203" s="735">
        <v>205.1920335122017</v>
      </c>
      <c r="H203" s="741">
        <v>201</v>
      </c>
      <c r="I203" s="735">
        <v>82.891948182162295</v>
      </c>
      <c r="J203">
        <f t="shared" si="6"/>
        <v>205.1920335122017</v>
      </c>
      <c r="K203" s="735">
        <v>247.25404330000001</v>
      </c>
      <c r="L203">
        <f t="shared" si="6"/>
        <v>977.69830075424466</v>
      </c>
      <c r="M203" s="742">
        <v>950.24666960000002</v>
      </c>
      <c r="N203">
        <f t="shared" si="7"/>
        <v>6690.8379082360516</v>
      </c>
    </row>
    <row r="204" spans="1:14" ht="15.5" x14ac:dyDescent="0.35">
      <c r="A204">
        <v>1564.82575006208</v>
      </c>
      <c r="B204">
        <v>276.12115996570998</v>
      </c>
      <c r="C204">
        <v>399.51631513974598</v>
      </c>
      <c r="D204" s="735">
        <v>84581.669686594701</v>
      </c>
      <c r="E204" s="735">
        <v>246545.75264643598</v>
      </c>
      <c r="F204" s="735">
        <v>636.26469892626631</v>
      </c>
      <c r="H204" s="741">
        <v>202</v>
      </c>
      <c r="I204" s="735">
        <v>183.04019928161199</v>
      </c>
      <c r="J204">
        <f t="shared" si="6"/>
        <v>636.26469892626631</v>
      </c>
      <c r="K204" s="735">
        <v>11866.65367</v>
      </c>
      <c r="L204">
        <f t="shared" si="6"/>
        <v>246545.75264643598</v>
      </c>
      <c r="M204" s="742">
        <v>5611.6862019999999</v>
      </c>
      <c r="N204">
        <f t="shared" si="7"/>
        <v>84581.669686594701</v>
      </c>
    </row>
    <row r="205" spans="1:14" ht="15.5" x14ac:dyDescent="0.35">
      <c r="A205">
        <v>67.68931249021</v>
      </c>
      <c r="B205">
        <v>881.90223126400497</v>
      </c>
      <c r="C205">
        <v>22076.189738463901</v>
      </c>
      <c r="D205" s="735">
        <v>172244.7599514426</v>
      </c>
      <c r="E205" s="735">
        <v>124.45546141283501</v>
      </c>
      <c r="F205" s="735">
        <v>39.468706711473104</v>
      </c>
      <c r="H205" s="741">
        <v>203</v>
      </c>
      <c r="I205" s="735">
        <v>26.144300531187501</v>
      </c>
      <c r="J205">
        <f t="shared" si="6"/>
        <v>39.468706711473104</v>
      </c>
      <c r="K205" s="735">
        <v>58.413034969999998</v>
      </c>
      <c r="L205">
        <f t="shared" si="6"/>
        <v>124.45546141283501</v>
      </c>
      <c r="M205" s="742">
        <v>9232.1364150000009</v>
      </c>
      <c r="N205">
        <f t="shared" si="7"/>
        <v>172244.7599514426</v>
      </c>
    </row>
    <row r="206" spans="1:14" ht="15.5" x14ac:dyDescent="0.35">
      <c r="A206">
        <v>2945.9577107447799</v>
      </c>
      <c r="B206">
        <v>711.73970695829905</v>
      </c>
      <c r="C206">
        <v>22249.9639999584</v>
      </c>
      <c r="D206" s="735">
        <v>18000.653225309867</v>
      </c>
      <c r="E206" s="735">
        <v>114566.57690906241</v>
      </c>
      <c r="F206" s="735">
        <v>782.5079049920638</v>
      </c>
      <c r="H206" s="741">
        <v>204</v>
      </c>
      <c r="I206" s="735">
        <v>211.56416754310899</v>
      </c>
      <c r="J206">
        <f t="shared" si="6"/>
        <v>782.5079049920638</v>
      </c>
      <c r="K206" s="735">
        <v>6939.6977550000001</v>
      </c>
      <c r="L206">
        <f t="shared" si="6"/>
        <v>114566.57690906241</v>
      </c>
      <c r="M206" s="742">
        <v>1899.7733270000001</v>
      </c>
      <c r="N206">
        <f t="shared" si="7"/>
        <v>18000.653225309867</v>
      </c>
    </row>
    <row r="207" spans="1:14" ht="15.5" x14ac:dyDescent="0.35">
      <c r="A207">
        <v>3110.8525172350501</v>
      </c>
      <c r="B207">
        <v>1148.8825288958799</v>
      </c>
      <c r="C207">
        <v>22.664143418937801</v>
      </c>
      <c r="D207" s="735">
        <v>19960.739772131419</v>
      </c>
      <c r="E207" s="735">
        <v>1145.2567076641594</v>
      </c>
      <c r="F207" s="735">
        <v>4.1998802984070682</v>
      </c>
      <c r="H207" s="741">
        <v>205</v>
      </c>
      <c r="I207" s="735">
        <v>5.4483605398874202</v>
      </c>
      <c r="J207">
        <f t="shared" si="6"/>
        <v>4.1998802984070682</v>
      </c>
      <c r="K207" s="735">
        <v>276.20528919999998</v>
      </c>
      <c r="L207">
        <f t="shared" si="6"/>
        <v>1145.2567076641594</v>
      </c>
      <c r="M207" s="742">
        <v>2042.319307</v>
      </c>
      <c r="N207">
        <f t="shared" si="7"/>
        <v>19960.739772131419</v>
      </c>
    </row>
    <row r="208" spans="1:14" ht="15.5" x14ac:dyDescent="0.35">
      <c r="A208">
        <v>365.21268833959698</v>
      </c>
      <c r="B208">
        <v>595.65181117787904</v>
      </c>
      <c r="C208">
        <v>15199.0714753091</v>
      </c>
      <c r="D208" s="735">
        <v>33194.572560875713</v>
      </c>
      <c r="E208" s="735">
        <v>15559.345587515214</v>
      </c>
      <c r="F208" s="735">
        <v>864.15870781994113</v>
      </c>
      <c r="H208" s="741">
        <v>206</v>
      </c>
      <c r="I208" s="735">
        <v>226.78559074781299</v>
      </c>
      <c r="J208">
        <f t="shared" si="6"/>
        <v>864.15870781994113</v>
      </c>
      <c r="K208" s="735">
        <v>1715.5126660000001</v>
      </c>
      <c r="L208">
        <f t="shared" si="6"/>
        <v>15559.345587515214</v>
      </c>
      <c r="M208" s="742">
        <v>2915.7276579999998</v>
      </c>
      <c r="N208">
        <f t="shared" si="7"/>
        <v>33194.572560875713</v>
      </c>
    </row>
    <row r="209" spans="1:14" ht="15.5" x14ac:dyDescent="0.35">
      <c r="A209">
        <v>10.0378041416249</v>
      </c>
      <c r="B209">
        <v>504.36280886304701</v>
      </c>
      <c r="C209">
        <v>21172.000117707201</v>
      </c>
      <c r="D209" s="735">
        <v>142361.64089299669</v>
      </c>
      <c r="E209" s="735">
        <v>24.054262174866214</v>
      </c>
      <c r="F209" s="735">
        <v>5083.3537634098584</v>
      </c>
      <c r="H209" s="741">
        <v>207</v>
      </c>
      <c r="I209" s="735">
        <v>783.98045216126195</v>
      </c>
      <c r="J209">
        <f t="shared" si="6"/>
        <v>5083.3537634098584</v>
      </c>
      <c r="K209" s="735">
        <v>18.485637319999999</v>
      </c>
      <c r="L209">
        <f t="shared" si="6"/>
        <v>24.054262174866214</v>
      </c>
      <c r="M209" s="742">
        <v>8079.3252069999999</v>
      </c>
      <c r="N209">
        <f t="shared" si="7"/>
        <v>142361.64089299669</v>
      </c>
    </row>
    <row r="210" spans="1:14" ht="15.5" x14ac:dyDescent="0.35">
      <c r="A210">
        <v>78.390934266829902</v>
      </c>
      <c r="B210">
        <v>63.180651508405901</v>
      </c>
      <c r="C210">
        <v>1571.28278590735</v>
      </c>
      <c r="D210" s="735">
        <v>22483.21132298062</v>
      </c>
      <c r="E210" s="735">
        <v>51400.430492946165</v>
      </c>
      <c r="F210" s="735">
        <v>2549.1759064155785</v>
      </c>
      <c r="H210" s="741">
        <v>208</v>
      </c>
      <c r="I210" s="735">
        <v>483.59284158026099</v>
      </c>
      <c r="J210">
        <f t="shared" si="6"/>
        <v>2549.1759064155785</v>
      </c>
      <c r="K210" s="735">
        <v>3959.831713</v>
      </c>
      <c r="L210">
        <f t="shared" si="6"/>
        <v>51400.430492946165</v>
      </c>
      <c r="M210" s="742">
        <v>2219.7335170000001</v>
      </c>
      <c r="N210">
        <f t="shared" si="7"/>
        <v>22483.21132298062</v>
      </c>
    </row>
    <row r="211" spans="1:14" ht="15.5" x14ac:dyDescent="0.35">
      <c r="A211">
        <v>4549.15750031278</v>
      </c>
      <c r="B211">
        <v>1768.0410811475999</v>
      </c>
      <c r="C211">
        <v>2134.8088946344001</v>
      </c>
      <c r="D211" s="735">
        <v>34549.212827349766</v>
      </c>
      <c r="E211" s="735">
        <v>140480.64963733745</v>
      </c>
      <c r="F211" s="735">
        <v>36773.184088605114</v>
      </c>
      <c r="H211" s="741">
        <v>209</v>
      </c>
      <c r="I211" s="735">
        <v>3132.3614113315002</v>
      </c>
      <c r="J211">
        <f t="shared" si="6"/>
        <v>36773.184088605114</v>
      </c>
      <c r="K211" s="735">
        <v>8004.4510819999996</v>
      </c>
      <c r="L211">
        <f t="shared" si="6"/>
        <v>140480.64963733745</v>
      </c>
      <c r="M211" s="742">
        <v>2998.5183419999998</v>
      </c>
      <c r="N211">
        <f t="shared" si="7"/>
        <v>34549.212827349766</v>
      </c>
    </row>
    <row r="212" spans="1:14" ht="15.5" x14ac:dyDescent="0.35">
      <c r="A212">
        <v>3852.0411526007101</v>
      </c>
      <c r="B212">
        <v>462.21567760499897</v>
      </c>
      <c r="C212">
        <v>2014.0471753259501</v>
      </c>
      <c r="D212" s="735">
        <v>212.63079133482091</v>
      </c>
      <c r="E212" s="735">
        <v>2863836.615777256</v>
      </c>
      <c r="F212" s="735">
        <v>1050.4283004035653</v>
      </c>
      <c r="H212" s="741">
        <v>210</v>
      </c>
      <c r="I212" s="735">
        <v>259.98990763851799</v>
      </c>
      <c r="J212">
        <f t="shared" si="6"/>
        <v>1050.4283004035653</v>
      </c>
      <c r="K212" s="735">
        <v>66048.622770000002</v>
      </c>
      <c r="L212">
        <f t="shared" si="6"/>
        <v>2863836.615777256</v>
      </c>
      <c r="M212" s="742">
        <v>84.984223150000005</v>
      </c>
      <c r="N212">
        <f t="shared" si="7"/>
        <v>212.63079133482091</v>
      </c>
    </row>
    <row r="213" spans="1:14" ht="15.5" x14ac:dyDescent="0.35">
      <c r="A213">
        <v>319.85314288106099</v>
      </c>
      <c r="B213">
        <v>16.915758927736999</v>
      </c>
      <c r="C213">
        <v>1885.3416823094001</v>
      </c>
      <c r="D213" s="735">
        <v>9861.4468321986551</v>
      </c>
      <c r="E213" s="735">
        <v>45756.62469493247</v>
      </c>
      <c r="F213" s="735">
        <v>1453.1796504710219</v>
      </c>
      <c r="H213" s="741">
        <v>211</v>
      </c>
      <c r="I213" s="735">
        <v>326.30483978122197</v>
      </c>
      <c r="J213">
        <f t="shared" si="6"/>
        <v>1453.1796504710219</v>
      </c>
      <c r="K213" s="735">
        <v>3650.2094609999999</v>
      </c>
      <c r="L213">
        <f t="shared" si="6"/>
        <v>45756.62469493247</v>
      </c>
      <c r="M213" s="742">
        <v>1246.6899149999999</v>
      </c>
      <c r="N213">
        <f t="shared" si="7"/>
        <v>9861.4468321986551</v>
      </c>
    </row>
    <row r="214" spans="1:14" ht="15.5" x14ac:dyDescent="0.35">
      <c r="A214">
        <v>1591.17479535507</v>
      </c>
      <c r="B214">
        <v>739.63845750216899</v>
      </c>
      <c r="C214">
        <v>128.22136829978101</v>
      </c>
      <c r="D214" s="735">
        <v>473704.24750003306</v>
      </c>
      <c r="E214" s="735">
        <v>3192.5155436969972</v>
      </c>
      <c r="F214" s="735">
        <v>56.558096629466313</v>
      </c>
      <c r="H214" s="741">
        <v>212</v>
      </c>
      <c r="I214" s="735">
        <v>33.631508685576499</v>
      </c>
      <c r="J214">
        <f t="shared" si="6"/>
        <v>56.558096629466313</v>
      </c>
      <c r="K214" s="735">
        <v>566.09994710000001</v>
      </c>
      <c r="L214">
        <f t="shared" si="6"/>
        <v>3192.5155436969972</v>
      </c>
      <c r="M214" s="742">
        <v>18743.6901</v>
      </c>
      <c r="N214">
        <f t="shared" si="7"/>
        <v>473704.24750003306</v>
      </c>
    </row>
    <row r="215" spans="1:14" ht="15.5" x14ac:dyDescent="0.35">
      <c r="A215">
        <v>466.31306562257998</v>
      </c>
      <c r="B215">
        <v>148.61183187489101</v>
      </c>
      <c r="C215">
        <v>34633.798773400697</v>
      </c>
      <c r="D215" s="735">
        <v>1900460.7586580829</v>
      </c>
      <c r="E215" s="735">
        <v>16595065.876480063</v>
      </c>
      <c r="F215" s="735">
        <v>87.006734486160127</v>
      </c>
      <c r="H215" s="741">
        <v>213</v>
      </c>
      <c r="I215" s="735">
        <v>45.466027302478103</v>
      </c>
      <c r="J215">
        <f t="shared" si="6"/>
        <v>87.006734486160127</v>
      </c>
      <c r="K215" s="735">
        <v>225935.92240000001</v>
      </c>
      <c r="L215">
        <f t="shared" si="6"/>
        <v>16595065.876480063</v>
      </c>
      <c r="M215" s="742">
        <v>49567.981570000004</v>
      </c>
      <c r="N215">
        <f t="shared" si="7"/>
        <v>1900460.7586580829</v>
      </c>
    </row>
    <row r="216" spans="1:14" ht="15.5" x14ac:dyDescent="0.35">
      <c r="A216">
        <v>3103.6576608937198</v>
      </c>
      <c r="B216">
        <v>154.33634711499701</v>
      </c>
      <c r="C216">
        <v>85223.476179720295</v>
      </c>
      <c r="D216" s="735">
        <v>58080.450188618568</v>
      </c>
      <c r="E216" s="735">
        <v>104931.9955031548</v>
      </c>
      <c r="F216" s="735">
        <v>105.55196939771949</v>
      </c>
      <c r="H216" s="741">
        <v>214</v>
      </c>
      <c r="I216" s="735">
        <v>52.050683713786903</v>
      </c>
      <c r="J216">
        <f t="shared" si="6"/>
        <v>105.55196939771949</v>
      </c>
      <c r="K216" s="735">
        <v>6525.8269389999996</v>
      </c>
      <c r="L216">
        <f t="shared" si="6"/>
        <v>104931.9955031548</v>
      </c>
      <c r="M216" s="742">
        <v>4313.4123929999996</v>
      </c>
      <c r="N216">
        <f t="shared" si="7"/>
        <v>58080.450188618568</v>
      </c>
    </row>
    <row r="217" spans="1:14" ht="15.5" x14ac:dyDescent="0.35">
      <c r="A217">
        <v>43.5662620732165</v>
      </c>
      <c r="B217">
        <v>58.083581171344903</v>
      </c>
      <c r="C217">
        <v>28421.517274944199</v>
      </c>
      <c r="D217" s="735">
        <v>36040.207044116934</v>
      </c>
      <c r="E217" s="735">
        <v>15076.652364947347</v>
      </c>
      <c r="F217" s="735">
        <v>820.75248110332348</v>
      </c>
      <c r="H217" s="741">
        <v>215</v>
      </c>
      <c r="I217" s="735">
        <v>218.75024241977599</v>
      </c>
      <c r="J217">
        <f t="shared" si="6"/>
        <v>820.75248110332348</v>
      </c>
      <c r="K217" s="735">
        <v>1678.0830269999999</v>
      </c>
      <c r="L217">
        <f t="shared" si="6"/>
        <v>15076.652364947347</v>
      </c>
      <c r="M217" s="742">
        <v>3088.5248080000001</v>
      </c>
      <c r="N217">
        <f t="shared" si="7"/>
        <v>36040.207044116934</v>
      </c>
    </row>
    <row r="218" spans="1:14" ht="15.5" x14ac:dyDescent="0.35">
      <c r="A218">
        <v>477.67839985745002</v>
      </c>
      <c r="B218">
        <v>343.99897946461198</v>
      </c>
      <c r="C218">
        <v>21468.1148773026</v>
      </c>
      <c r="D218" s="735">
        <v>9929.5277459393128</v>
      </c>
      <c r="E218" s="735">
        <v>389.85918273862137</v>
      </c>
      <c r="F218" s="735">
        <v>6.7431390798186053</v>
      </c>
      <c r="H218" s="741">
        <v>216</v>
      </c>
      <c r="I218" s="735">
        <v>7.5893307830274699</v>
      </c>
      <c r="J218">
        <f t="shared" si="6"/>
        <v>6.7431390798186053</v>
      </c>
      <c r="K218" s="735">
        <v>129.90786270000001</v>
      </c>
      <c r="L218">
        <f t="shared" si="6"/>
        <v>389.85918273862137</v>
      </c>
      <c r="M218" s="742">
        <v>1252.7084749999999</v>
      </c>
      <c r="N218">
        <f t="shared" si="7"/>
        <v>9929.5277459393128</v>
      </c>
    </row>
    <row r="219" spans="1:14" ht="15.5" x14ac:dyDescent="0.35">
      <c r="A219">
        <v>6039.6039640538202</v>
      </c>
      <c r="B219">
        <v>25.8824796974862</v>
      </c>
      <c r="C219">
        <v>3123.8870839345</v>
      </c>
      <c r="D219" s="735">
        <v>150220.07586318647</v>
      </c>
      <c r="E219" s="735">
        <v>169.31456418684436</v>
      </c>
      <c r="F219" s="735">
        <v>5006.2661553721819</v>
      </c>
      <c r="H219" s="741">
        <v>217</v>
      </c>
      <c r="I219" s="735">
        <v>775.63920836691102</v>
      </c>
      <c r="J219">
        <f t="shared" si="6"/>
        <v>5006.2661553721819</v>
      </c>
      <c r="K219" s="735">
        <v>72.457946539999995</v>
      </c>
      <c r="L219">
        <f t="shared" si="6"/>
        <v>169.31456418684436</v>
      </c>
      <c r="M219" s="742">
        <v>8388.9882070000003</v>
      </c>
      <c r="N219">
        <f t="shared" si="7"/>
        <v>150220.07586318647</v>
      </c>
    </row>
    <row r="220" spans="1:14" ht="15.5" x14ac:dyDescent="0.35">
      <c r="A220">
        <v>84.532139521135093</v>
      </c>
      <c r="B220">
        <v>1188.3053190883199</v>
      </c>
      <c r="C220">
        <v>11425.6877834348</v>
      </c>
      <c r="D220" s="735">
        <v>27307.097860449303</v>
      </c>
      <c r="E220" s="735">
        <v>5983.5389838069341</v>
      </c>
      <c r="F220" s="735">
        <v>1351.0945317832541</v>
      </c>
      <c r="H220" s="741">
        <v>218</v>
      </c>
      <c r="I220" s="735">
        <v>310.08446960378097</v>
      </c>
      <c r="J220">
        <f t="shared" si="6"/>
        <v>1351.0945317832541</v>
      </c>
      <c r="K220" s="735">
        <v>878.76082399999996</v>
      </c>
      <c r="L220">
        <f t="shared" si="6"/>
        <v>5983.5389838069341</v>
      </c>
      <c r="M220" s="742">
        <v>2543.272426</v>
      </c>
      <c r="N220">
        <f t="shared" si="7"/>
        <v>27307.097860449303</v>
      </c>
    </row>
    <row r="221" spans="1:14" ht="15.5" x14ac:dyDescent="0.35">
      <c r="A221">
        <v>192.457777714885</v>
      </c>
      <c r="B221">
        <v>14.007220543616199</v>
      </c>
      <c r="C221">
        <v>1069.2020727530501</v>
      </c>
      <c r="D221" s="735">
        <v>190964.0465336114</v>
      </c>
      <c r="E221" s="735">
        <v>5565.9278703623113</v>
      </c>
      <c r="F221" s="735">
        <v>33.275795070662042</v>
      </c>
      <c r="H221" s="741">
        <v>219</v>
      </c>
      <c r="I221" s="735">
        <v>23.2001027710523</v>
      </c>
      <c r="J221">
        <f t="shared" si="6"/>
        <v>33.275795070662042</v>
      </c>
      <c r="K221" s="735">
        <v>835.36505090000003</v>
      </c>
      <c r="L221">
        <f t="shared" si="6"/>
        <v>5565.9278703623113</v>
      </c>
      <c r="M221" s="742">
        <v>9923.5286109999997</v>
      </c>
      <c r="N221">
        <f t="shared" si="7"/>
        <v>190964.0465336114</v>
      </c>
    </row>
    <row r="222" spans="1:14" ht="15.5" x14ac:dyDescent="0.35">
      <c r="A222">
        <v>226.79395036551099</v>
      </c>
      <c r="B222">
        <v>2372.34754782753</v>
      </c>
      <c r="C222">
        <v>408.87054880208598</v>
      </c>
      <c r="D222" s="735">
        <v>80595.676276710263</v>
      </c>
      <c r="E222" s="735">
        <v>1055526.2814711474</v>
      </c>
      <c r="F222" s="735">
        <v>379.65500666574366</v>
      </c>
      <c r="H222" s="741">
        <v>220</v>
      </c>
      <c r="I222" s="735">
        <v>127.518264090312</v>
      </c>
      <c r="J222">
        <f t="shared" si="6"/>
        <v>379.65500666574366</v>
      </c>
      <c r="K222" s="735">
        <v>32841.904649999997</v>
      </c>
      <c r="L222">
        <f t="shared" si="6"/>
        <v>1055526.2814711474</v>
      </c>
      <c r="M222" s="742">
        <v>5425.2308249999996</v>
      </c>
      <c r="N222">
        <f t="shared" si="7"/>
        <v>80595.676276710263</v>
      </c>
    </row>
    <row r="223" spans="1:14" ht="15.5" x14ac:dyDescent="0.35">
      <c r="A223">
        <v>15.725811200141001</v>
      </c>
      <c r="B223">
        <v>1411.71794720609</v>
      </c>
      <c r="C223">
        <v>5281.1794195911198</v>
      </c>
      <c r="D223" s="735">
        <v>33802.160382280934</v>
      </c>
      <c r="E223" s="735">
        <v>14120.288926318206</v>
      </c>
      <c r="F223" s="735">
        <v>87.002962363523196</v>
      </c>
      <c r="H223" s="741">
        <v>221</v>
      </c>
      <c r="I223" s="735">
        <v>45.464647487651099</v>
      </c>
      <c r="J223">
        <f t="shared" si="6"/>
        <v>87.002962363523196</v>
      </c>
      <c r="K223" s="735">
        <v>1602.8412410000001</v>
      </c>
      <c r="L223">
        <f t="shared" si="6"/>
        <v>14120.288926318206</v>
      </c>
      <c r="M223" s="742">
        <v>2952.9841820000001</v>
      </c>
      <c r="N223">
        <f t="shared" si="7"/>
        <v>33802.160382280934</v>
      </c>
    </row>
    <row r="224" spans="1:14" ht="15.5" x14ac:dyDescent="0.35">
      <c r="A224">
        <v>51.646415168946199</v>
      </c>
      <c r="B224">
        <v>357.70767356427098</v>
      </c>
      <c r="C224">
        <v>494.65150585716702</v>
      </c>
      <c r="D224" s="735">
        <v>5426.9125890926234</v>
      </c>
      <c r="E224" s="735">
        <v>15783.858294346279</v>
      </c>
      <c r="F224" s="735">
        <v>14.136195459085421</v>
      </c>
      <c r="H224" s="741">
        <v>222</v>
      </c>
      <c r="I224" s="735">
        <v>12.741858533744001</v>
      </c>
      <c r="J224">
        <f t="shared" si="6"/>
        <v>14.136195459085421</v>
      </c>
      <c r="K224" s="735">
        <v>1732.80312</v>
      </c>
      <c r="L224">
        <f t="shared" si="6"/>
        <v>15783.858294346279</v>
      </c>
      <c r="M224" s="742">
        <v>820.70480959999998</v>
      </c>
      <c r="N224">
        <f t="shared" si="7"/>
        <v>5426.9125890926234</v>
      </c>
    </row>
    <row r="225" spans="1:14" ht="15.5" x14ac:dyDescent="0.35">
      <c r="A225">
        <v>82.045153066433699</v>
      </c>
      <c r="B225">
        <v>1210.86291675449</v>
      </c>
      <c r="C225">
        <v>536.87840790553798</v>
      </c>
      <c r="D225" s="735">
        <v>1136.7538730136457</v>
      </c>
      <c r="E225" s="735">
        <v>12780.587063734742</v>
      </c>
      <c r="F225" s="735">
        <v>41781.427154398771</v>
      </c>
      <c r="H225" s="741">
        <v>223</v>
      </c>
      <c r="I225" s="735">
        <v>3425.2185648766199</v>
      </c>
      <c r="J225">
        <f t="shared" si="6"/>
        <v>41781.427154398771</v>
      </c>
      <c r="K225" s="735">
        <v>1494.8085120000001</v>
      </c>
      <c r="L225">
        <f t="shared" si="6"/>
        <v>12780.587063734742</v>
      </c>
      <c r="M225" s="742">
        <v>274.76822600000003</v>
      </c>
      <c r="N225">
        <f t="shared" si="7"/>
        <v>1136.7538730136457</v>
      </c>
    </row>
    <row r="226" spans="1:14" ht="15.5" x14ac:dyDescent="0.35">
      <c r="A226">
        <v>88.144122824125105</v>
      </c>
      <c r="B226">
        <v>279.41736058024497</v>
      </c>
      <c r="C226">
        <v>26930.692049413301</v>
      </c>
      <c r="D226" s="735">
        <v>16600.659973527181</v>
      </c>
      <c r="E226" s="735">
        <v>260650.16701312189</v>
      </c>
      <c r="F226" s="735">
        <v>41983.300164383356</v>
      </c>
      <c r="H226" s="741">
        <v>224</v>
      </c>
      <c r="I226" s="735">
        <v>3436.79479382611</v>
      </c>
      <c r="J226">
        <f t="shared" si="6"/>
        <v>41983.300164383356</v>
      </c>
      <c r="K226" s="735">
        <v>12337.881799999999</v>
      </c>
      <c r="L226">
        <f t="shared" si="6"/>
        <v>260650.16701312189</v>
      </c>
      <c r="M226" s="742">
        <v>1795.096284</v>
      </c>
      <c r="N226">
        <f t="shared" si="7"/>
        <v>16600.659973527181</v>
      </c>
    </row>
    <row r="227" spans="1:14" ht="15.5" x14ac:dyDescent="0.35">
      <c r="A227">
        <v>10715.5285059294</v>
      </c>
      <c r="B227">
        <v>1763.40630913733</v>
      </c>
      <c r="C227">
        <v>52175.884914268499</v>
      </c>
      <c r="D227" s="735">
        <v>31136.101947983152</v>
      </c>
      <c r="E227" s="735">
        <v>9708.2258116748344</v>
      </c>
      <c r="F227" s="735">
        <v>1200.7365814896848</v>
      </c>
      <c r="H227" s="741">
        <v>225</v>
      </c>
      <c r="I227" s="735">
        <v>285.50480345361598</v>
      </c>
      <c r="J227">
        <f t="shared" si="6"/>
        <v>1200.7365814896848</v>
      </c>
      <c r="K227" s="735">
        <v>1233.0988950000001</v>
      </c>
      <c r="L227">
        <f t="shared" si="6"/>
        <v>9708.2258116748344</v>
      </c>
      <c r="M227" s="742">
        <v>2787.9499209999999</v>
      </c>
      <c r="N227">
        <f t="shared" si="7"/>
        <v>31136.101947983152</v>
      </c>
    </row>
    <row r="228" spans="1:14" ht="15.5" x14ac:dyDescent="0.35">
      <c r="A228">
        <v>600.04916778353697</v>
      </c>
      <c r="B228">
        <v>1220.4035122341099</v>
      </c>
      <c r="C228">
        <v>51848.4430047079</v>
      </c>
      <c r="D228" s="735">
        <v>30492.606266984807</v>
      </c>
      <c r="E228" s="735">
        <v>2298.6705408271655</v>
      </c>
      <c r="F228" s="735">
        <v>125.30311452058559</v>
      </c>
      <c r="H228" s="741">
        <v>226</v>
      </c>
      <c r="I228" s="735">
        <v>58.691242832569003</v>
      </c>
      <c r="J228">
        <f t="shared" si="6"/>
        <v>125.30311452058559</v>
      </c>
      <c r="K228" s="735">
        <v>449.81476930000002</v>
      </c>
      <c r="L228">
        <f t="shared" si="6"/>
        <v>2298.6705408271655</v>
      </c>
      <c r="M228" s="742">
        <v>2747.4903909999998</v>
      </c>
      <c r="N228">
        <f t="shared" si="7"/>
        <v>30492.606266984807</v>
      </c>
    </row>
    <row r="229" spans="1:14" ht="15.5" x14ac:dyDescent="0.35">
      <c r="A229">
        <v>92.022051551385104</v>
      </c>
      <c r="B229">
        <v>28.083529737334</v>
      </c>
      <c r="C229">
        <v>4591.3869284949596</v>
      </c>
      <c r="D229" s="735">
        <v>97093.068197982619</v>
      </c>
      <c r="E229" s="735">
        <v>9833.9954559031303</v>
      </c>
      <c r="F229" s="735">
        <v>290.89958162960386</v>
      </c>
      <c r="H229" s="741">
        <v>227</v>
      </c>
      <c r="I229" s="735">
        <v>105.832771079203</v>
      </c>
      <c r="J229">
        <f t="shared" si="6"/>
        <v>290.89958162960386</v>
      </c>
      <c r="K229" s="735">
        <v>1244.2596060000001</v>
      </c>
      <c r="L229">
        <f t="shared" si="6"/>
        <v>9833.9954559031303</v>
      </c>
      <c r="M229" s="742">
        <v>6180.615941</v>
      </c>
      <c r="N229">
        <f t="shared" si="7"/>
        <v>97093.068197982619</v>
      </c>
    </row>
    <row r="230" spans="1:14" ht="15.5" x14ac:dyDescent="0.35">
      <c r="A230">
        <v>330.57052935213</v>
      </c>
      <c r="B230">
        <v>224.390830225157</v>
      </c>
      <c r="C230">
        <v>2363.9640652513899</v>
      </c>
      <c r="D230" s="735">
        <v>54163.353493338036</v>
      </c>
      <c r="E230" s="735">
        <v>22361.993568149268</v>
      </c>
      <c r="F230" s="735">
        <v>4903.1716218716574</v>
      </c>
      <c r="H230" s="741">
        <v>228</v>
      </c>
      <c r="I230" s="735">
        <v>764.42338845074198</v>
      </c>
      <c r="J230">
        <f t="shared" si="6"/>
        <v>4903.1716218716574</v>
      </c>
      <c r="K230" s="735">
        <v>2211.3493739999999</v>
      </c>
      <c r="L230">
        <f t="shared" si="6"/>
        <v>22361.993568149268</v>
      </c>
      <c r="M230" s="742">
        <v>4107.6542589999999</v>
      </c>
      <c r="N230">
        <f t="shared" si="7"/>
        <v>54163.353493338036</v>
      </c>
    </row>
    <row r="231" spans="1:14" ht="15.5" x14ac:dyDescent="0.35">
      <c r="A231">
        <v>70.510982687196204</v>
      </c>
      <c r="B231">
        <v>354.89701832907201</v>
      </c>
      <c r="C231">
        <v>98950.860951600102</v>
      </c>
      <c r="D231" s="735">
        <v>34626.987872389844</v>
      </c>
      <c r="E231" s="735">
        <v>1819.5945763634297</v>
      </c>
      <c r="F231" s="735">
        <v>595.84900500776359</v>
      </c>
      <c r="H231" s="741">
        <v>229</v>
      </c>
      <c r="I231" s="735">
        <v>174.821705571721</v>
      </c>
      <c r="J231">
        <f t="shared" si="6"/>
        <v>595.84900500776359</v>
      </c>
      <c r="K231" s="735">
        <v>381.92865510000001</v>
      </c>
      <c r="L231">
        <f t="shared" si="6"/>
        <v>1819.5945763634297</v>
      </c>
      <c r="M231" s="742">
        <v>3003.2418029999999</v>
      </c>
      <c r="N231">
        <f t="shared" si="7"/>
        <v>34626.987872389844</v>
      </c>
    </row>
    <row r="232" spans="1:14" ht="15.5" x14ac:dyDescent="0.35">
      <c r="A232">
        <v>2527.31695264161</v>
      </c>
      <c r="B232">
        <v>15.177414150356499</v>
      </c>
      <c r="C232">
        <v>28554.012577557802</v>
      </c>
      <c r="D232" s="735">
        <v>427047.79855043639</v>
      </c>
      <c r="E232" s="735">
        <v>183523.39689709322</v>
      </c>
      <c r="F232" s="735">
        <v>1674.8061802953225</v>
      </c>
      <c r="H232" s="741">
        <v>230</v>
      </c>
      <c r="I232" s="735">
        <v>360.39203855611203</v>
      </c>
      <c r="J232">
        <f t="shared" si="6"/>
        <v>1674.8061802953225</v>
      </c>
      <c r="K232" s="735">
        <v>9651.2598209999996</v>
      </c>
      <c r="L232">
        <f t="shared" si="6"/>
        <v>183523.39689709322</v>
      </c>
      <c r="M232" s="742">
        <v>17431.451069999999</v>
      </c>
      <c r="N232">
        <f t="shared" si="7"/>
        <v>427047.79855043639</v>
      </c>
    </row>
    <row r="233" spans="1:14" ht="15.5" x14ac:dyDescent="0.35">
      <c r="A233">
        <v>239.81880936664899</v>
      </c>
      <c r="B233">
        <v>1398.7968062417699</v>
      </c>
      <c r="C233">
        <v>2450.2357514036698</v>
      </c>
      <c r="D233" s="735">
        <v>32550.244722899308</v>
      </c>
      <c r="E233" s="735">
        <v>176.11271075286786</v>
      </c>
      <c r="F233" s="735">
        <v>24.944670489537668</v>
      </c>
      <c r="H233" s="741">
        <v>231</v>
      </c>
      <c r="I233" s="735">
        <v>18.962013000824399</v>
      </c>
      <c r="J233">
        <f t="shared" si="6"/>
        <v>24.944670489537668</v>
      </c>
      <c r="K233" s="735">
        <v>74.482370689999996</v>
      </c>
      <c r="L233">
        <f t="shared" si="6"/>
        <v>176.11271075286786</v>
      </c>
      <c r="M233" s="742">
        <v>2875.9940329999999</v>
      </c>
      <c r="N233">
        <f t="shared" si="7"/>
        <v>32550.244722899308</v>
      </c>
    </row>
    <row r="234" spans="1:14" ht="15.5" x14ac:dyDescent="0.35">
      <c r="A234">
        <v>1099.65330605544</v>
      </c>
      <c r="B234">
        <v>593.019532503817</v>
      </c>
      <c r="C234">
        <v>57250.381945155299</v>
      </c>
      <c r="D234" s="735">
        <v>8456.099430189046</v>
      </c>
      <c r="E234" s="735">
        <v>2735.2021980440204</v>
      </c>
      <c r="F234" s="735">
        <v>3604.1530607361556</v>
      </c>
      <c r="H234" s="741">
        <v>232</v>
      </c>
      <c r="I234" s="735">
        <v>616.25755761163703</v>
      </c>
      <c r="J234">
        <f t="shared" si="6"/>
        <v>3604.1530607361556</v>
      </c>
      <c r="K234" s="735">
        <v>508.03379819999998</v>
      </c>
      <c r="L234">
        <f t="shared" si="6"/>
        <v>2735.2021980440204</v>
      </c>
      <c r="M234" s="742">
        <v>1119.487005</v>
      </c>
      <c r="N234">
        <f t="shared" si="7"/>
        <v>8456.099430189046</v>
      </c>
    </row>
    <row r="235" spans="1:14" ht="15.5" x14ac:dyDescent="0.35">
      <c r="A235">
        <v>4151.1513908028801</v>
      </c>
      <c r="B235">
        <v>78.971345894056199</v>
      </c>
      <c r="C235">
        <v>3829.53861194213</v>
      </c>
      <c r="D235" s="735">
        <v>80102.033390720608</v>
      </c>
      <c r="E235" s="735">
        <v>339625.74644473928</v>
      </c>
      <c r="F235" s="735">
        <v>61.685646199072679</v>
      </c>
      <c r="H235" s="741">
        <v>233</v>
      </c>
      <c r="I235" s="735">
        <v>35.737887965918297</v>
      </c>
      <c r="J235">
        <f t="shared" si="6"/>
        <v>61.685646199072679</v>
      </c>
      <c r="K235" s="735">
        <v>14849.109990000001</v>
      </c>
      <c r="L235">
        <f t="shared" si="6"/>
        <v>339625.74644473928</v>
      </c>
      <c r="M235" s="742">
        <v>5401.9489860000003</v>
      </c>
      <c r="N235">
        <f t="shared" si="7"/>
        <v>80102.033390720608</v>
      </c>
    </row>
    <row r="236" spans="1:14" ht="15.5" x14ac:dyDescent="0.35">
      <c r="A236">
        <v>14.844864081974601</v>
      </c>
      <c r="B236">
        <v>2170.2004222434698</v>
      </c>
      <c r="C236">
        <v>405.55456919733803</v>
      </c>
      <c r="D236" s="735">
        <v>3137.0251116195677</v>
      </c>
      <c r="E236" s="735">
        <v>1582669.2494492631</v>
      </c>
      <c r="F236" s="735">
        <v>59171.871189043362</v>
      </c>
      <c r="H236" s="741">
        <v>234</v>
      </c>
      <c r="I236" s="735">
        <v>4369.9927073157896</v>
      </c>
      <c r="J236">
        <f t="shared" si="6"/>
        <v>59171.871189043362</v>
      </c>
      <c r="K236" s="735">
        <v>43608.697460000003</v>
      </c>
      <c r="L236">
        <f t="shared" si="6"/>
        <v>1582669.2494492631</v>
      </c>
      <c r="M236" s="742">
        <v>559.19412069999998</v>
      </c>
      <c r="N236">
        <f t="shared" si="7"/>
        <v>3137.0251116195677</v>
      </c>
    </row>
    <row r="237" spans="1:14" ht="15.5" x14ac:dyDescent="0.35">
      <c r="A237">
        <v>236.82391041551</v>
      </c>
      <c r="B237">
        <v>622.51648884885606</v>
      </c>
      <c r="C237">
        <v>2758.5718834978002</v>
      </c>
      <c r="D237" s="735">
        <v>66740.265651573485</v>
      </c>
      <c r="E237" s="735">
        <v>23982.091431336587</v>
      </c>
      <c r="F237" s="735">
        <v>8798.5344767250572</v>
      </c>
      <c r="H237" s="741">
        <v>235</v>
      </c>
      <c r="I237" s="735">
        <v>1151.0315770586899</v>
      </c>
      <c r="J237">
        <f t="shared" si="6"/>
        <v>8798.5344767250572</v>
      </c>
      <c r="K237" s="735">
        <v>2322.3139879999999</v>
      </c>
      <c r="L237">
        <f t="shared" si="6"/>
        <v>23982.091431336587</v>
      </c>
      <c r="M237" s="742">
        <v>4754.1354570000003</v>
      </c>
      <c r="N237">
        <f t="shared" si="7"/>
        <v>66740.265651573485</v>
      </c>
    </row>
    <row r="238" spans="1:14" ht="15.5" x14ac:dyDescent="0.35">
      <c r="A238">
        <v>4692.3572574207901</v>
      </c>
      <c r="B238">
        <v>2803.9320641477598</v>
      </c>
      <c r="C238">
        <v>47471.272978000801</v>
      </c>
      <c r="D238" s="735">
        <v>61816.026372520071</v>
      </c>
      <c r="E238" s="735">
        <v>5003.8647469221532</v>
      </c>
      <c r="F238" s="735">
        <v>2012.3967586381443</v>
      </c>
      <c r="H238" s="741">
        <v>236</v>
      </c>
      <c r="I238" s="735">
        <v>409.82601806007301</v>
      </c>
      <c r="J238">
        <f t="shared" si="6"/>
        <v>2012.3967586381443</v>
      </c>
      <c r="K238" s="735">
        <v>775.37874829999998</v>
      </c>
      <c r="L238">
        <f t="shared" si="6"/>
        <v>5003.8647469221532</v>
      </c>
      <c r="M238" s="742">
        <v>4505.7880530000002</v>
      </c>
      <c r="N238">
        <f t="shared" si="7"/>
        <v>61816.026372520071</v>
      </c>
    </row>
    <row r="239" spans="1:14" ht="15.5" x14ac:dyDescent="0.35">
      <c r="A239">
        <v>2460.6580885134599</v>
      </c>
      <c r="B239">
        <v>52.704630947051399</v>
      </c>
      <c r="C239">
        <v>2896.8231176522399</v>
      </c>
      <c r="D239" s="735">
        <v>5955.6369066130783</v>
      </c>
      <c r="E239" s="735">
        <v>26117.098883301554</v>
      </c>
      <c r="F239" s="735">
        <v>9380.8084168766727</v>
      </c>
      <c r="H239" s="741">
        <v>237</v>
      </c>
      <c r="I239" s="735">
        <v>1203.83838401905</v>
      </c>
      <c r="J239">
        <f t="shared" si="6"/>
        <v>9380.8084168766727</v>
      </c>
      <c r="K239" s="735">
        <v>2465.1732889999998</v>
      </c>
      <c r="L239">
        <f t="shared" si="6"/>
        <v>26117.098883301554</v>
      </c>
      <c r="M239" s="742">
        <v>875.89036450000003</v>
      </c>
      <c r="N239">
        <f t="shared" si="7"/>
        <v>5955.6369066130783</v>
      </c>
    </row>
    <row r="240" spans="1:14" ht="15.5" x14ac:dyDescent="0.35">
      <c r="A240">
        <v>7092.1821108496997</v>
      </c>
      <c r="B240">
        <v>1395.5674265709299</v>
      </c>
      <c r="C240">
        <v>16211.5597974557</v>
      </c>
      <c r="D240" s="735">
        <v>17234.358917850561</v>
      </c>
      <c r="E240" s="735">
        <v>18694.483256568899</v>
      </c>
      <c r="F240" s="735">
        <v>19553.344048322437</v>
      </c>
      <c r="H240" s="741">
        <v>238</v>
      </c>
      <c r="I240" s="735">
        <v>2013.05077565486</v>
      </c>
      <c r="J240">
        <f t="shared" si="6"/>
        <v>19553.344048322437</v>
      </c>
      <c r="K240" s="735">
        <v>1950.7401629999999</v>
      </c>
      <c r="L240">
        <f t="shared" si="6"/>
        <v>18694.483256568899</v>
      </c>
      <c r="M240" s="742">
        <v>1842.793167</v>
      </c>
      <c r="N240">
        <f t="shared" si="7"/>
        <v>17234.358917850561</v>
      </c>
    </row>
    <row r="241" spans="1:14" ht="15.5" x14ac:dyDescent="0.35">
      <c r="A241">
        <v>1253.7950787273901</v>
      </c>
      <c r="B241">
        <v>276.713545615643</v>
      </c>
      <c r="C241">
        <v>48258.095338703497</v>
      </c>
      <c r="D241" s="735">
        <v>7284.4341492101066</v>
      </c>
      <c r="E241" s="735">
        <v>6817.5909853700123</v>
      </c>
      <c r="F241" s="735">
        <v>2275.2114345024283</v>
      </c>
      <c r="H241" s="741">
        <v>239</v>
      </c>
      <c r="I241" s="735">
        <v>446.59641569600001</v>
      </c>
      <c r="J241">
        <f t="shared" si="6"/>
        <v>2275.2114345024283</v>
      </c>
      <c r="K241" s="735">
        <v>962.81236660000002</v>
      </c>
      <c r="L241">
        <f t="shared" si="6"/>
        <v>6817.5909853700123</v>
      </c>
      <c r="M241" s="742">
        <v>1008.5027229999999</v>
      </c>
      <c r="N241">
        <f t="shared" si="7"/>
        <v>7284.4341492101066</v>
      </c>
    </row>
    <row r="242" spans="1:14" ht="15.5" x14ac:dyDescent="0.35">
      <c r="A242">
        <v>326.19331747512598</v>
      </c>
      <c r="B242">
        <v>647.82427428072504</v>
      </c>
      <c r="C242">
        <v>17.227048648079901</v>
      </c>
      <c r="D242" s="735">
        <v>55317.440828214698</v>
      </c>
      <c r="E242" s="735">
        <v>9048.0431156614322</v>
      </c>
      <c r="F242" s="735">
        <v>104.48344799473797</v>
      </c>
      <c r="H242" s="741">
        <v>240</v>
      </c>
      <c r="I242" s="735">
        <v>51.681278317978801</v>
      </c>
      <c r="J242">
        <f t="shared" si="6"/>
        <v>104.48344799473797</v>
      </c>
      <c r="K242" s="735">
        <v>1173.78421</v>
      </c>
      <c r="L242">
        <f t="shared" si="6"/>
        <v>9048.0431156614322</v>
      </c>
      <c r="M242" s="742">
        <v>4168.7270079999998</v>
      </c>
      <c r="N242">
        <f t="shared" si="7"/>
        <v>55317.440828214698</v>
      </c>
    </row>
    <row r="243" spans="1:14" ht="15.5" x14ac:dyDescent="0.35">
      <c r="A243">
        <v>339.63914988209098</v>
      </c>
      <c r="B243">
        <v>170.638600840919</v>
      </c>
      <c r="C243">
        <v>470.64432006391598</v>
      </c>
      <c r="D243" s="735">
        <v>12511.744050021509</v>
      </c>
      <c r="E243" s="735">
        <v>47233.790515187997</v>
      </c>
      <c r="F243" s="735">
        <v>6427.5721337578725</v>
      </c>
      <c r="H243" s="741">
        <v>241</v>
      </c>
      <c r="I243" s="735">
        <v>923.91681554833804</v>
      </c>
      <c r="J243">
        <f t="shared" si="6"/>
        <v>6427.5721337578725</v>
      </c>
      <c r="K243" s="735">
        <v>3732.3035629999999</v>
      </c>
      <c r="L243">
        <f t="shared" si="6"/>
        <v>47233.790515187997</v>
      </c>
      <c r="M243" s="742">
        <v>1472.727838</v>
      </c>
      <c r="N243">
        <f t="shared" si="7"/>
        <v>12511.744050021509</v>
      </c>
    </row>
    <row r="244" spans="1:14" ht="15.5" x14ac:dyDescent="0.35">
      <c r="A244">
        <v>16.8104497247054</v>
      </c>
      <c r="B244">
        <v>2986.1521194342899</v>
      </c>
      <c r="C244">
        <v>6259.08679120135</v>
      </c>
      <c r="D244" s="735">
        <v>71710.553517612934</v>
      </c>
      <c r="E244" s="735">
        <v>70.971331319089145</v>
      </c>
      <c r="F244" s="735">
        <v>4291.8158782723258</v>
      </c>
      <c r="H244" s="741">
        <v>242</v>
      </c>
      <c r="I244" s="735">
        <v>696.38395708757901</v>
      </c>
      <c r="J244">
        <f t="shared" si="6"/>
        <v>4291.8158782723258</v>
      </c>
      <c r="K244" s="735">
        <v>39.423762189999998</v>
      </c>
      <c r="L244">
        <f t="shared" si="6"/>
        <v>70.971331319089145</v>
      </c>
      <c r="M244" s="742">
        <v>4999.287953</v>
      </c>
      <c r="N244">
        <f t="shared" si="7"/>
        <v>71710.553517612934</v>
      </c>
    </row>
    <row r="245" spans="1:14" ht="15.5" x14ac:dyDescent="0.35">
      <c r="A245">
        <v>5695.2748029247095</v>
      </c>
      <c r="B245">
        <v>189.65600271249801</v>
      </c>
      <c r="C245">
        <v>39079.635514030502</v>
      </c>
      <c r="D245" s="735">
        <v>293258.41173716413</v>
      </c>
      <c r="E245" s="735">
        <v>16989.682785745386</v>
      </c>
      <c r="F245" s="735">
        <v>1601.9645617695035</v>
      </c>
      <c r="H245" s="741">
        <v>243</v>
      </c>
      <c r="I245" s="735">
        <v>349.34701209158601</v>
      </c>
      <c r="J245">
        <f t="shared" si="6"/>
        <v>1601.9645617695035</v>
      </c>
      <c r="K245" s="735">
        <v>1824.4404360000001</v>
      </c>
      <c r="L245">
        <f t="shared" si="6"/>
        <v>16989.682785745386</v>
      </c>
      <c r="M245" s="742">
        <v>13399.09094</v>
      </c>
      <c r="N245">
        <f t="shared" si="7"/>
        <v>293258.41173716413</v>
      </c>
    </row>
    <row r="246" spans="1:14" ht="15.5" x14ac:dyDescent="0.35">
      <c r="A246">
        <v>198.24090665281099</v>
      </c>
      <c r="B246">
        <v>455.63047233358202</v>
      </c>
      <c r="C246">
        <v>4274.1776808808199</v>
      </c>
      <c r="D246" s="735">
        <v>49700.828706576191</v>
      </c>
      <c r="E246" s="735">
        <v>500.78306694422588</v>
      </c>
      <c r="F246" s="735">
        <v>37.296454463881233</v>
      </c>
      <c r="H246" s="741">
        <v>244</v>
      </c>
      <c r="I246" s="735">
        <v>25.1285415881826</v>
      </c>
      <c r="J246">
        <f t="shared" si="6"/>
        <v>37.296454463881233</v>
      </c>
      <c r="K246" s="735">
        <v>154.79422170000001</v>
      </c>
      <c r="L246">
        <f t="shared" si="6"/>
        <v>500.78306694422588</v>
      </c>
      <c r="M246" s="742">
        <v>3867.7156799999998</v>
      </c>
      <c r="N246">
        <f t="shared" si="7"/>
        <v>49700.828706576191</v>
      </c>
    </row>
    <row r="247" spans="1:14" ht="15.5" x14ac:dyDescent="0.35">
      <c r="A247">
        <v>3248.8430942110399</v>
      </c>
      <c r="B247">
        <v>157.72410118215299</v>
      </c>
      <c r="C247">
        <v>4084.3981038686802</v>
      </c>
      <c r="D247" s="735">
        <v>29699.399979602647</v>
      </c>
      <c r="E247" s="735">
        <v>1324.7357868032523</v>
      </c>
      <c r="F247" s="735">
        <v>1667.1631160765444</v>
      </c>
      <c r="H247" s="741">
        <v>245</v>
      </c>
      <c r="I247" s="735">
        <v>359.23998157934199</v>
      </c>
      <c r="J247">
        <f t="shared" si="6"/>
        <v>1667.1631160765444</v>
      </c>
      <c r="K247" s="735">
        <v>305.83732609999998</v>
      </c>
      <c r="L247">
        <f t="shared" si="6"/>
        <v>1324.7357868032523</v>
      </c>
      <c r="M247" s="742">
        <v>2697.2634830000002</v>
      </c>
      <c r="N247">
        <f t="shared" si="7"/>
        <v>29699.399979602647</v>
      </c>
    </row>
    <row r="248" spans="1:14" ht="15.5" x14ac:dyDescent="0.35">
      <c r="A248">
        <v>238.66050765098501</v>
      </c>
      <c r="B248">
        <v>151.81099273547801</v>
      </c>
      <c r="C248">
        <v>33734.589137891999</v>
      </c>
      <c r="D248" s="735">
        <v>60351.999858642928</v>
      </c>
      <c r="E248" s="735">
        <v>17409.405583383501</v>
      </c>
      <c r="F248" s="735">
        <v>184.43859197010406</v>
      </c>
      <c r="H248" s="741">
        <v>246</v>
      </c>
      <c r="I248" s="735">
        <v>76.930093215155793</v>
      </c>
      <c r="J248">
        <f t="shared" si="6"/>
        <v>184.43859197010406</v>
      </c>
      <c r="K248" s="735">
        <v>1855.8751649999999</v>
      </c>
      <c r="L248">
        <f t="shared" si="6"/>
        <v>17409.405583383501</v>
      </c>
      <c r="M248" s="742">
        <v>4430.8205980000002</v>
      </c>
      <c r="N248">
        <f t="shared" si="7"/>
        <v>60351.999858642928</v>
      </c>
    </row>
    <row r="249" spans="1:14" ht="15.5" x14ac:dyDescent="0.35">
      <c r="A249">
        <v>19.580726784631601</v>
      </c>
      <c r="B249">
        <v>89.275374862014701</v>
      </c>
      <c r="C249">
        <v>1775.4715699738199</v>
      </c>
      <c r="D249" s="735">
        <v>26761.830898148215</v>
      </c>
      <c r="E249" s="735">
        <v>49323.842516934114</v>
      </c>
      <c r="F249" s="735">
        <v>71443.808772156088</v>
      </c>
      <c r="H249" s="741">
        <v>247</v>
      </c>
      <c r="I249" s="735">
        <v>4986.26343579275</v>
      </c>
      <c r="J249">
        <f t="shared" si="6"/>
        <v>71443.808772156088</v>
      </c>
      <c r="K249" s="735">
        <v>3847.1563070000002</v>
      </c>
      <c r="L249">
        <f t="shared" si="6"/>
        <v>49323.842516934114</v>
      </c>
      <c r="M249" s="742">
        <v>2507.61625</v>
      </c>
      <c r="N249">
        <f t="shared" si="7"/>
        <v>26761.830898148215</v>
      </c>
    </row>
    <row r="250" spans="1:14" ht="15.5" x14ac:dyDescent="0.35">
      <c r="A250">
        <v>116.016163128079</v>
      </c>
      <c r="B250">
        <v>391.31008219936001</v>
      </c>
      <c r="C250">
        <v>8957.9467476476802</v>
      </c>
      <c r="D250" s="735">
        <v>10150.963935490097</v>
      </c>
      <c r="E250" s="735">
        <v>29.538001037498319</v>
      </c>
      <c r="F250" s="735">
        <v>211.69076235803081</v>
      </c>
      <c r="H250" s="741">
        <v>248</v>
      </c>
      <c r="I250" s="735">
        <v>84.721051022956303</v>
      </c>
      <c r="J250">
        <f t="shared" si="6"/>
        <v>211.69076235803081</v>
      </c>
      <c r="K250" s="735">
        <v>21.34355566</v>
      </c>
      <c r="L250">
        <f t="shared" si="6"/>
        <v>29.538001037498319</v>
      </c>
      <c r="M250" s="742">
        <v>1272.199145</v>
      </c>
      <c r="N250">
        <f t="shared" si="7"/>
        <v>10150.963935490097</v>
      </c>
    </row>
    <row r="251" spans="1:14" ht="15.5" x14ac:dyDescent="0.35">
      <c r="A251">
        <v>334.47117984200401</v>
      </c>
      <c r="B251">
        <v>305.28468193525902</v>
      </c>
      <c r="C251">
        <v>24334.995494326598</v>
      </c>
      <c r="D251" s="735">
        <v>4816.3056215902307</v>
      </c>
      <c r="E251" s="735">
        <v>9461.4585034283955</v>
      </c>
      <c r="F251" s="735">
        <v>2111.9647838634569</v>
      </c>
      <c r="H251" s="741">
        <v>249</v>
      </c>
      <c r="I251" s="735">
        <v>423.91684137526198</v>
      </c>
      <c r="J251">
        <f t="shared" si="6"/>
        <v>2111.9647838634569</v>
      </c>
      <c r="K251" s="735">
        <v>1211.0739490000001</v>
      </c>
      <c r="L251">
        <f t="shared" si="6"/>
        <v>9461.4585034283955</v>
      </c>
      <c r="M251" s="742">
        <v>754.91807930000004</v>
      </c>
      <c r="N251">
        <f t="shared" si="7"/>
        <v>4816.3056215902307</v>
      </c>
    </row>
    <row r="252" spans="1:14" ht="15.5" x14ac:dyDescent="0.35">
      <c r="A252">
        <v>46.504501232248998</v>
      </c>
      <c r="B252">
        <v>1753.89341630586</v>
      </c>
      <c r="C252">
        <v>83652.529454939693</v>
      </c>
      <c r="D252" s="735">
        <v>159040.70679426714</v>
      </c>
      <c r="E252" s="735">
        <v>95012.48639227252</v>
      </c>
      <c r="F252" s="735">
        <v>34114.624076752836</v>
      </c>
      <c r="H252" s="741">
        <v>250</v>
      </c>
      <c r="I252" s="735">
        <v>2972.0657502424801</v>
      </c>
      <c r="J252">
        <f t="shared" si="6"/>
        <v>34114.624076752836</v>
      </c>
      <c r="K252" s="735">
        <v>6087.6051859999998</v>
      </c>
      <c r="L252">
        <f t="shared" si="6"/>
        <v>95012.48639227252</v>
      </c>
      <c r="M252" s="742">
        <v>8730.8355470000006</v>
      </c>
      <c r="N252">
        <f t="shared" si="7"/>
        <v>159040.70679426714</v>
      </c>
    </row>
    <row r="253" spans="1:14" ht="15.5" x14ac:dyDescent="0.35">
      <c r="A253">
        <v>141.27046601219701</v>
      </c>
      <c r="B253">
        <v>220.02752943080901</v>
      </c>
      <c r="C253">
        <v>1401.51626609807</v>
      </c>
      <c r="D253" s="735">
        <v>30520.806562766466</v>
      </c>
      <c r="E253" s="735">
        <v>15036.148492009788</v>
      </c>
      <c r="F253" s="735">
        <v>1824.5610359520917</v>
      </c>
      <c r="H253" s="741">
        <v>251</v>
      </c>
      <c r="I253" s="735">
        <v>382.65807049120798</v>
      </c>
      <c r="J253">
        <f t="shared" si="6"/>
        <v>1824.5610359520917</v>
      </c>
      <c r="K253" s="735">
        <v>1674.9259999999999</v>
      </c>
      <c r="L253">
        <f t="shared" si="6"/>
        <v>15036.148492009788</v>
      </c>
      <c r="M253" s="742">
        <v>2749.268806</v>
      </c>
      <c r="N253">
        <f t="shared" si="7"/>
        <v>30520.806562766466</v>
      </c>
    </row>
    <row r="254" spans="1:14" ht="15.5" x14ac:dyDescent="0.35">
      <c r="A254">
        <v>64.1630904475156</v>
      </c>
      <c r="B254">
        <v>236.378012953097</v>
      </c>
      <c r="C254">
        <v>18.3782039267847</v>
      </c>
      <c r="D254" s="735">
        <v>20043.853862946999</v>
      </c>
      <c r="E254" s="735">
        <v>1006.6147763675838</v>
      </c>
      <c r="F254" s="735">
        <v>59.656412406848389</v>
      </c>
      <c r="H254" s="741">
        <v>252</v>
      </c>
      <c r="I254" s="735">
        <v>34.910815405580799</v>
      </c>
      <c r="J254">
        <f t="shared" si="6"/>
        <v>59.656412406848389</v>
      </c>
      <c r="K254" s="735">
        <v>252.3505821</v>
      </c>
      <c r="L254">
        <f t="shared" si="6"/>
        <v>1006.6147763675838</v>
      </c>
      <c r="M254" s="742">
        <v>2048.2683740000002</v>
      </c>
      <c r="N254">
        <f t="shared" si="7"/>
        <v>20043.853862946999</v>
      </c>
    </row>
    <row r="255" spans="1:14" ht="15.5" x14ac:dyDescent="0.35">
      <c r="A255">
        <v>1301.7106378630699</v>
      </c>
      <c r="B255">
        <v>1267.48079986896</v>
      </c>
      <c r="C255">
        <v>37138.807576715299</v>
      </c>
      <c r="D255" s="735">
        <v>34123.755146669893</v>
      </c>
      <c r="E255" s="735">
        <v>4509.4987122193443</v>
      </c>
      <c r="F255" s="735">
        <v>59.678841043499411</v>
      </c>
      <c r="H255" s="741">
        <v>253</v>
      </c>
      <c r="I255" s="735">
        <v>34.920002523423598</v>
      </c>
      <c r="J255">
        <f t="shared" si="6"/>
        <v>59.678841043499411</v>
      </c>
      <c r="K255" s="735">
        <v>720.92450359999998</v>
      </c>
      <c r="L255">
        <f t="shared" si="6"/>
        <v>4509.4987122193443</v>
      </c>
      <c r="M255" s="742">
        <v>2972.6225770000001</v>
      </c>
      <c r="N255">
        <f t="shared" si="7"/>
        <v>34123.755146669893</v>
      </c>
    </row>
    <row r="256" spans="1:14" ht="15.5" x14ac:dyDescent="0.35">
      <c r="A256">
        <v>48.710915202030101</v>
      </c>
      <c r="B256">
        <v>333.05063212518502</v>
      </c>
      <c r="C256">
        <v>6402.8461544418897</v>
      </c>
      <c r="D256" s="735">
        <v>67971.558819487298</v>
      </c>
      <c r="E256" s="735">
        <v>184530.8364465349</v>
      </c>
      <c r="F256" s="735">
        <v>406.05355099937162</v>
      </c>
      <c r="H256" s="741">
        <v>254</v>
      </c>
      <c r="I256" s="735">
        <v>133.66211194589599</v>
      </c>
      <c r="J256">
        <f t="shared" si="6"/>
        <v>406.05355099937162</v>
      </c>
      <c r="K256" s="735">
        <v>9688.3153230000007</v>
      </c>
      <c r="L256">
        <f t="shared" si="6"/>
        <v>184530.8364465349</v>
      </c>
      <c r="M256" s="742">
        <v>4815.363327</v>
      </c>
      <c r="N256">
        <f t="shared" si="7"/>
        <v>67971.558819487298</v>
      </c>
    </row>
    <row r="257" spans="1:14" ht="15.5" x14ac:dyDescent="0.35">
      <c r="A257">
        <v>671.65582528378002</v>
      </c>
      <c r="B257">
        <v>482.99583608790402</v>
      </c>
      <c r="C257">
        <v>1764.6892102147301</v>
      </c>
      <c r="D257" s="735">
        <v>9338.1421388232975</v>
      </c>
      <c r="E257" s="735">
        <v>27947511.130682509</v>
      </c>
      <c r="F257" s="735">
        <v>53.444747242263126</v>
      </c>
      <c r="H257" s="741">
        <v>255</v>
      </c>
      <c r="I257" s="735">
        <v>32.3246267817999</v>
      </c>
      <c r="J257">
        <f t="shared" si="6"/>
        <v>53.444747242263126</v>
      </c>
      <c r="K257" s="735">
        <v>325416.96960000001</v>
      </c>
      <c r="L257">
        <f t="shared" si="6"/>
        <v>27947511.130682509</v>
      </c>
      <c r="M257" s="742">
        <v>1200.0030119999999</v>
      </c>
      <c r="N257">
        <f t="shared" si="7"/>
        <v>9338.1421388232975</v>
      </c>
    </row>
    <row r="258" spans="1:14" ht="15.5" x14ac:dyDescent="0.35">
      <c r="A258">
        <v>91.919100013326201</v>
      </c>
      <c r="B258">
        <v>908.49536508561198</v>
      </c>
      <c r="C258">
        <v>685.006391541266</v>
      </c>
      <c r="D258" s="735">
        <v>7049.8335822581948</v>
      </c>
      <c r="E258" s="735">
        <v>16113.344421763009</v>
      </c>
      <c r="F258" s="735">
        <v>3.7997661604341917</v>
      </c>
      <c r="H258" s="741">
        <v>256</v>
      </c>
      <c r="I258" s="735">
        <v>5.0796034502849103</v>
      </c>
      <c r="J258">
        <f t="shared" si="6"/>
        <v>3.7997661604341917</v>
      </c>
      <c r="K258" s="735">
        <v>1758.044983</v>
      </c>
      <c r="L258">
        <f t="shared" si="6"/>
        <v>16113.344421763009</v>
      </c>
      <c r="M258" s="742">
        <v>985.65562709999995</v>
      </c>
      <c r="N258">
        <f t="shared" si="7"/>
        <v>7049.8335822581948</v>
      </c>
    </row>
    <row r="259" spans="1:14" ht="15.5" x14ac:dyDescent="0.35">
      <c r="A259">
        <v>1400.98624786649</v>
      </c>
      <c r="B259">
        <v>329.30719894725098</v>
      </c>
      <c r="C259">
        <v>2611.4125410056799</v>
      </c>
      <c r="D259" s="735">
        <v>3290.0703595627951</v>
      </c>
      <c r="E259" s="735">
        <v>38878.054107575255</v>
      </c>
      <c r="F259" s="735">
        <v>22.77066275882758</v>
      </c>
      <c r="H259" s="741">
        <v>257</v>
      </c>
      <c r="I259" s="735">
        <v>17.789468383047598</v>
      </c>
      <c r="J259">
        <f t="shared" si="6"/>
        <v>22.77066275882758</v>
      </c>
      <c r="K259" s="735">
        <v>3256.8155569999999</v>
      </c>
      <c r="L259">
        <f t="shared" si="6"/>
        <v>38878.054107575255</v>
      </c>
      <c r="M259" s="742">
        <v>578.15412679999997</v>
      </c>
      <c r="N259">
        <f t="shared" si="7"/>
        <v>3290.0703595627951</v>
      </c>
    </row>
    <row r="260" spans="1:14" ht="15.5" x14ac:dyDescent="0.35">
      <c r="A260">
        <v>27.825640653676501</v>
      </c>
      <c r="B260">
        <v>451.83923762056003</v>
      </c>
      <c r="C260">
        <v>2687.3938525956801</v>
      </c>
      <c r="D260" s="735">
        <v>764353.56338635192</v>
      </c>
      <c r="E260" s="735">
        <v>1352.51856006666</v>
      </c>
      <c r="F260" s="735">
        <v>228.27566868730565</v>
      </c>
      <c r="H260" s="741">
        <v>258</v>
      </c>
      <c r="I260" s="735">
        <v>89.314451720135807</v>
      </c>
      <c r="J260">
        <f t="shared" ref="J260:L323" si="8">(10^(LOG(I260)-0.3))^(1/0.7)</f>
        <v>228.27566868730565</v>
      </c>
      <c r="K260" s="735">
        <v>310.31320970000002</v>
      </c>
      <c r="L260">
        <f t="shared" si="8"/>
        <v>1352.51856006666</v>
      </c>
      <c r="M260" s="742">
        <v>26200.284439999999</v>
      </c>
      <c r="N260">
        <f t="shared" ref="N260:N323" si="9">(10^(LOG(M260)-0.3))^(1/0.7)</f>
        <v>764353.56338635192</v>
      </c>
    </row>
    <row r="261" spans="1:14" ht="15.5" x14ac:dyDescent="0.35">
      <c r="A261">
        <v>93.177325010233901</v>
      </c>
      <c r="B261">
        <v>973.088837234876</v>
      </c>
      <c r="C261">
        <v>14222.1749694063</v>
      </c>
      <c r="D261" s="735">
        <v>46872.081841655468</v>
      </c>
      <c r="E261" s="735">
        <v>36.618434212945026</v>
      </c>
      <c r="F261" s="735">
        <v>2077.470169705367</v>
      </c>
      <c r="H261" s="741">
        <v>259</v>
      </c>
      <c r="I261" s="735">
        <v>419.05821382495498</v>
      </c>
      <c r="J261">
        <f t="shared" si="8"/>
        <v>2077.470169705367</v>
      </c>
      <c r="K261" s="735">
        <v>24.807890660000002</v>
      </c>
      <c r="L261">
        <f t="shared" si="8"/>
        <v>36.618434212945026</v>
      </c>
      <c r="M261" s="742">
        <v>3712.2735440000001</v>
      </c>
      <c r="N261">
        <f t="shared" si="9"/>
        <v>46872.081841655468</v>
      </c>
    </row>
    <row r="262" spans="1:14" ht="15.5" x14ac:dyDescent="0.35">
      <c r="A262">
        <v>494.71280107449797</v>
      </c>
      <c r="B262">
        <v>394.92065273869298</v>
      </c>
      <c r="C262">
        <v>1545.42843245632</v>
      </c>
      <c r="D262" s="735">
        <v>199539.61556523113</v>
      </c>
      <c r="E262" s="735">
        <v>300350.03795669513</v>
      </c>
      <c r="F262" s="735">
        <v>265.98258883818642</v>
      </c>
      <c r="H262" s="741">
        <v>260</v>
      </c>
      <c r="I262" s="735">
        <v>99.402486028704203</v>
      </c>
      <c r="J262">
        <f t="shared" si="8"/>
        <v>265.98258883818642</v>
      </c>
      <c r="K262" s="735">
        <v>13625.09013</v>
      </c>
      <c r="L262">
        <f t="shared" si="8"/>
        <v>300350.03795669513</v>
      </c>
      <c r="M262" s="742">
        <v>10233.41041</v>
      </c>
      <c r="N262">
        <f t="shared" si="9"/>
        <v>199539.61556523113</v>
      </c>
    </row>
    <row r="263" spans="1:14" ht="15.5" x14ac:dyDescent="0.35">
      <c r="A263">
        <v>3045.6119049502699</v>
      </c>
      <c r="B263">
        <v>17.952038464962602</v>
      </c>
      <c r="C263">
        <v>338.484385347049</v>
      </c>
      <c r="D263" s="735">
        <v>286467.33340263664</v>
      </c>
      <c r="E263" s="735">
        <v>146.26539030200365</v>
      </c>
      <c r="F263" s="735">
        <v>619.33204892716356</v>
      </c>
      <c r="H263" s="741">
        <v>261</v>
      </c>
      <c r="I263" s="735">
        <v>179.616606911622</v>
      </c>
      <c r="J263">
        <f t="shared" si="8"/>
        <v>619.33204892716356</v>
      </c>
      <c r="K263" s="735">
        <v>65.403215720000006</v>
      </c>
      <c r="L263">
        <f t="shared" si="8"/>
        <v>146.26539030200365</v>
      </c>
      <c r="M263" s="742">
        <v>13181.12789</v>
      </c>
      <c r="N263">
        <f t="shared" si="9"/>
        <v>286467.33340263664</v>
      </c>
    </row>
    <row r="264" spans="1:14" ht="15.5" x14ac:dyDescent="0.35">
      <c r="A264">
        <v>1342.25956827401</v>
      </c>
      <c r="B264">
        <v>499.51133317088602</v>
      </c>
      <c r="C264">
        <v>7506.2541346579801</v>
      </c>
      <c r="D264" s="735">
        <v>151249.93254138358</v>
      </c>
      <c r="E264" s="735">
        <v>63413.736323234451</v>
      </c>
      <c r="F264" s="735">
        <v>528.76528818783345</v>
      </c>
      <c r="H264" s="741">
        <v>262</v>
      </c>
      <c r="I264" s="735">
        <v>160.79926382622199</v>
      </c>
      <c r="J264">
        <f t="shared" si="8"/>
        <v>528.76528818783345</v>
      </c>
      <c r="K264" s="735">
        <v>4586.9957709999999</v>
      </c>
      <c r="L264">
        <f t="shared" si="8"/>
        <v>63413.736323234451</v>
      </c>
      <c r="M264" s="742">
        <v>8429.2053230000001</v>
      </c>
      <c r="N264">
        <f t="shared" si="9"/>
        <v>151249.93254138358</v>
      </c>
    </row>
    <row r="265" spans="1:14" ht="15.5" x14ac:dyDescent="0.35">
      <c r="A265">
        <v>3802.4484330215</v>
      </c>
      <c r="B265">
        <v>148.41341277510099</v>
      </c>
      <c r="C265">
        <v>577.681111704621</v>
      </c>
      <c r="D265" s="735">
        <v>156773.61047337609</v>
      </c>
      <c r="E265" s="735">
        <v>2947.7096143902504</v>
      </c>
      <c r="F265" s="735">
        <v>2193.383559485655</v>
      </c>
      <c r="H265" s="741">
        <v>263</v>
      </c>
      <c r="I265" s="735">
        <v>435.291522064574</v>
      </c>
      <c r="J265">
        <f t="shared" si="8"/>
        <v>2193.383559485655</v>
      </c>
      <c r="K265" s="735">
        <v>535.35182629999997</v>
      </c>
      <c r="L265">
        <f t="shared" si="8"/>
        <v>2947.7096143902504</v>
      </c>
      <c r="M265" s="742">
        <v>8643.5285760000006</v>
      </c>
      <c r="N265">
        <f t="shared" si="9"/>
        <v>156773.61047337609</v>
      </c>
    </row>
    <row r="266" spans="1:14" ht="15.5" x14ac:dyDescent="0.35">
      <c r="A266">
        <v>491.56573974355501</v>
      </c>
      <c r="B266">
        <v>224.92614373953299</v>
      </c>
      <c r="C266">
        <v>31.151817589834099</v>
      </c>
      <c r="D266" s="735">
        <v>10856.846425500811</v>
      </c>
      <c r="E266" s="735">
        <v>4230.1199749638745</v>
      </c>
      <c r="F266" s="735">
        <v>279.00477421571418</v>
      </c>
      <c r="H266" s="741">
        <v>264</v>
      </c>
      <c r="I266" s="735">
        <v>102.784622308171</v>
      </c>
      <c r="J266">
        <f t="shared" si="8"/>
        <v>279.00477421571418</v>
      </c>
      <c r="K266" s="735">
        <v>689.36126920000004</v>
      </c>
      <c r="L266">
        <f t="shared" si="8"/>
        <v>4230.1199749638745</v>
      </c>
      <c r="M266" s="742">
        <v>1333.498668</v>
      </c>
      <c r="N266">
        <f t="shared" si="9"/>
        <v>10856.846425500811</v>
      </c>
    </row>
    <row r="267" spans="1:14" ht="15.5" x14ac:dyDescent="0.35">
      <c r="A267">
        <v>26973.781521671401</v>
      </c>
      <c r="B267">
        <v>456.84175295492298</v>
      </c>
      <c r="C267">
        <v>18336.764164899701</v>
      </c>
      <c r="D267" s="735">
        <v>80211.03838220652</v>
      </c>
      <c r="E267" s="735">
        <v>3698.4075524384502</v>
      </c>
      <c r="F267" s="735">
        <v>55.757124933440757</v>
      </c>
      <c r="H267" s="741">
        <v>265</v>
      </c>
      <c r="I267" s="735">
        <v>33.297395158819803</v>
      </c>
      <c r="J267">
        <f t="shared" si="8"/>
        <v>55.757124933440757</v>
      </c>
      <c r="K267" s="735">
        <v>627.49509750000004</v>
      </c>
      <c r="L267">
        <f t="shared" si="8"/>
        <v>3698.4075524384502</v>
      </c>
      <c r="M267" s="742">
        <v>5407.0937180000001</v>
      </c>
      <c r="N267">
        <f t="shared" si="9"/>
        <v>80211.03838220652</v>
      </c>
    </row>
    <row r="268" spans="1:14" ht="15.5" x14ac:dyDescent="0.35">
      <c r="A268">
        <v>355.36154435992802</v>
      </c>
      <c r="B268">
        <v>1175.44970521862</v>
      </c>
      <c r="C268">
        <v>8295.3322707418793</v>
      </c>
      <c r="D268" s="735">
        <v>109863.73240682759</v>
      </c>
      <c r="E268" s="735">
        <v>76044.277703792905</v>
      </c>
      <c r="F268" s="735">
        <v>263.13381798437109</v>
      </c>
      <c r="H268" s="741">
        <v>266</v>
      </c>
      <c r="I268" s="735">
        <v>98.656037260190701</v>
      </c>
      <c r="J268">
        <f t="shared" si="8"/>
        <v>263.13381798437109</v>
      </c>
      <c r="K268" s="735">
        <v>5208.9066860000003</v>
      </c>
      <c r="L268">
        <f t="shared" si="8"/>
        <v>76044.277703792905</v>
      </c>
      <c r="M268" s="742">
        <v>6739.0401599999996</v>
      </c>
      <c r="N268">
        <f t="shared" si="9"/>
        <v>109863.73240682759</v>
      </c>
    </row>
    <row r="269" spans="1:14" ht="15.5" x14ac:dyDescent="0.35">
      <c r="A269">
        <v>1517.0222539558199</v>
      </c>
      <c r="B269">
        <v>327.44681779443601</v>
      </c>
      <c r="C269">
        <v>34792.512277738002</v>
      </c>
      <c r="D269" s="735">
        <v>109274.40571799978</v>
      </c>
      <c r="E269" s="735">
        <v>2058.6739399048688</v>
      </c>
      <c r="F269" s="735">
        <v>90.677452727383695</v>
      </c>
      <c r="H269" s="741">
        <v>267</v>
      </c>
      <c r="I269" s="735">
        <v>46.800394951296603</v>
      </c>
      <c r="J269">
        <f t="shared" si="8"/>
        <v>90.677452727383695</v>
      </c>
      <c r="K269" s="735">
        <v>416.40055230000002</v>
      </c>
      <c r="L269">
        <f t="shared" si="8"/>
        <v>2058.6739399048688</v>
      </c>
      <c r="M269" s="742">
        <v>6713.7152470000001</v>
      </c>
      <c r="N269">
        <f t="shared" si="9"/>
        <v>109274.40571799978</v>
      </c>
    </row>
    <row r="270" spans="1:14" ht="15.5" x14ac:dyDescent="0.35">
      <c r="A270">
        <v>910.43053058688702</v>
      </c>
      <c r="B270">
        <v>91.710100825787805</v>
      </c>
      <c r="C270">
        <v>1600.3710646192999</v>
      </c>
      <c r="D270" s="735">
        <v>53871.519748208404</v>
      </c>
      <c r="E270" s="735">
        <v>69.483615304481106</v>
      </c>
      <c r="F270" s="735">
        <v>1983.9825701578886</v>
      </c>
      <c r="H270" s="741">
        <v>268</v>
      </c>
      <c r="I270" s="735">
        <v>405.7667875743</v>
      </c>
      <c r="J270">
        <f t="shared" si="8"/>
        <v>1983.9825701578886</v>
      </c>
      <c r="K270" s="735">
        <v>38.843440059999999</v>
      </c>
      <c r="L270">
        <f t="shared" si="8"/>
        <v>69.483615304481106</v>
      </c>
      <c r="M270" s="742">
        <v>4092.149195</v>
      </c>
      <c r="N270">
        <f t="shared" si="9"/>
        <v>53871.519748208404</v>
      </c>
    </row>
    <row r="271" spans="1:14" ht="15.5" x14ac:dyDescent="0.35">
      <c r="A271">
        <v>84.319820207287293</v>
      </c>
      <c r="B271">
        <v>94.513303435197997</v>
      </c>
      <c r="C271">
        <v>612.79283083792404</v>
      </c>
      <c r="D271" s="735">
        <v>5559.7077699465926</v>
      </c>
      <c r="E271" s="735">
        <v>66.235946767540355</v>
      </c>
      <c r="F271" s="735">
        <v>1207.0530146039664</v>
      </c>
      <c r="H271" s="741">
        <v>269</v>
      </c>
      <c r="I271" s="735">
        <v>286.55529744966799</v>
      </c>
      <c r="J271">
        <f t="shared" si="8"/>
        <v>1207.0530146039664</v>
      </c>
      <c r="K271" s="735">
        <v>37.563463050000003</v>
      </c>
      <c r="L271">
        <f t="shared" si="8"/>
        <v>66.235946767540355</v>
      </c>
      <c r="M271" s="742">
        <v>834.71145850000005</v>
      </c>
      <c r="N271">
        <f t="shared" si="9"/>
        <v>5559.7077699465926</v>
      </c>
    </row>
    <row r="272" spans="1:14" ht="15.5" x14ac:dyDescent="0.35">
      <c r="A272">
        <v>37.420186299407703</v>
      </c>
      <c r="B272">
        <v>64.986520252826494</v>
      </c>
      <c r="C272">
        <v>5334.6884607182701</v>
      </c>
      <c r="D272" s="735">
        <v>29926.499009280051</v>
      </c>
      <c r="E272" s="735">
        <v>233184.93556641569</v>
      </c>
      <c r="F272" s="735">
        <v>2018.5572767981444</v>
      </c>
      <c r="H272" s="741">
        <v>270</v>
      </c>
      <c r="I272" s="735">
        <v>410.70383102920999</v>
      </c>
      <c r="J272">
        <f t="shared" si="8"/>
        <v>2018.5572767981444</v>
      </c>
      <c r="K272" s="735">
        <v>11412.751029999999</v>
      </c>
      <c r="L272">
        <f t="shared" si="8"/>
        <v>233184.93556641569</v>
      </c>
      <c r="M272" s="742">
        <v>2711.6843789999998</v>
      </c>
      <c r="N272">
        <f t="shared" si="9"/>
        <v>29926.499009280051</v>
      </c>
    </row>
    <row r="273" spans="1:14" ht="15.5" x14ac:dyDescent="0.35">
      <c r="A273">
        <v>7115.8455824737503</v>
      </c>
      <c r="B273">
        <v>32.602775918637398</v>
      </c>
      <c r="C273">
        <v>19.1470870071125</v>
      </c>
      <c r="D273" s="735">
        <v>17234.710111238724</v>
      </c>
      <c r="E273" s="735">
        <v>3058.0392301477223</v>
      </c>
      <c r="F273" s="735">
        <v>380.90867073403257</v>
      </c>
      <c r="H273" s="741">
        <v>271</v>
      </c>
      <c r="I273" s="735">
        <v>127.812874182342</v>
      </c>
      <c r="J273">
        <f t="shared" si="8"/>
        <v>380.90867073403257</v>
      </c>
      <c r="K273" s="735">
        <v>549.30068010000002</v>
      </c>
      <c r="L273">
        <f t="shared" si="8"/>
        <v>3058.0392301477223</v>
      </c>
      <c r="M273" s="742">
        <v>1842.8194530000001</v>
      </c>
      <c r="N273">
        <f t="shared" si="9"/>
        <v>17234.710111238724</v>
      </c>
    </row>
    <row r="274" spans="1:14" ht="15.5" x14ac:dyDescent="0.35">
      <c r="A274">
        <v>160.58209923138801</v>
      </c>
      <c r="B274">
        <v>352.40311712593302</v>
      </c>
      <c r="C274">
        <v>328.207080443633</v>
      </c>
      <c r="D274" s="735">
        <v>154098.47234687215</v>
      </c>
      <c r="E274" s="735">
        <v>1626.9291108139887</v>
      </c>
      <c r="F274" s="735">
        <v>841.56250840400094</v>
      </c>
      <c r="H274" s="741">
        <v>272</v>
      </c>
      <c r="I274" s="735">
        <v>222.618096813639</v>
      </c>
      <c r="J274">
        <f t="shared" si="8"/>
        <v>841.56250840400094</v>
      </c>
      <c r="K274" s="735">
        <v>353.14904899999999</v>
      </c>
      <c r="L274">
        <f t="shared" si="8"/>
        <v>1626.9291108139887</v>
      </c>
      <c r="M274" s="742">
        <v>8540.0189300000002</v>
      </c>
      <c r="N274">
        <f t="shared" si="9"/>
        <v>154098.47234687215</v>
      </c>
    </row>
    <row r="275" spans="1:14" ht="15.5" x14ac:dyDescent="0.35">
      <c r="A275">
        <v>3781.5284690779499</v>
      </c>
      <c r="B275">
        <v>282.97379741688502</v>
      </c>
      <c r="C275">
        <v>80442.444803454797</v>
      </c>
      <c r="D275" s="735">
        <v>7272.0658593842909</v>
      </c>
      <c r="E275" s="735">
        <v>1075.0231933585187</v>
      </c>
      <c r="F275" s="735">
        <v>1370.3820531458198</v>
      </c>
      <c r="H275" s="741">
        <v>273</v>
      </c>
      <c r="I275" s="735">
        <v>313.17649815948198</v>
      </c>
      <c r="J275">
        <f t="shared" si="8"/>
        <v>1370.3820531458198</v>
      </c>
      <c r="K275" s="735">
        <v>264.23630270000001</v>
      </c>
      <c r="L275">
        <f t="shared" si="8"/>
        <v>1075.0231933585187</v>
      </c>
      <c r="M275" s="742">
        <v>1007.303777</v>
      </c>
      <c r="N275">
        <f t="shared" si="9"/>
        <v>7272.0658593842909</v>
      </c>
    </row>
    <row r="276" spans="1:14" ht="15.5" x14ac:dyDescent="0.35">
      <c r="A276">
        <v>1544.14290977781</v>
      </c>
      <c r="B276">
        <v>129.02113309290601</v>
      </c>
      <c r="C276">
        <v>97.957412247296105</v>
      </c>
      <c r="D276" s="735">
        <v>9137.54200846411</v>
      </c>
      <c r="E276" s="735">
        <v>141499.63779285579</v>
      </c>
      <c r="F276" s="735">
        <v>4309.2466362799369</v>
      </c>
      <c r="H276" s="741">
        <v>274</v>
      </c>
      <c r="I276" s="735">
        <v>698.36255614100696</v>
      </c>
      <c r="J276">
        <f t="shared" si="8"/>
        <v>4309.2466362799369</v>
      </c>
      <c r="K276" s="735">
        <v>8045.049669</v>
      </c>
      <c r="L276">
        <f t="shared" si="8"/>
        <v>141499.63779285579</v>
      </c>
      <c r="M276" s="742">
        <v>1181.899559</v>
      </c>
      <c r="N276">
        <f t="shared" si="9"/>
        <v>9137.54200846411</v>
      </c>
    </row>
    <row r="277" spans="1:14" ht="15.5" x14ac:dyDescent="0.35">
      <c r="A277">
        <v>23.263549163879802</v>
      </c>
      <c r="B277">
        <v>2200.0163211818299</v>
      </c>
      <c r="C277">
        <v>282.276466449797</v>
      </c>
      <c r="D277" s="735">
        <v>216253.80802505717</v>
      </c>
      <c r="E277" s="735">
        <v>4102.3315868200862</v>
      </c>
      <c r="F277" s="735">
        <v>75.553556340345594</v>
      </c>
      <c r="H277" s="741">
        <v>275</v>
      </c>
      <c r="I277" s="735">
        <v>41.188733494852997</v>
      </c>
      <c r="J277">
        <f t="shared" si="8"/>
        <v>75.553556340345594</v>
      </c>
      <c r="K277" s="735">
        <v>674.71681360000002</v>
      </c>
      <c r="L277">
        <f t="shared" si="8"/>
        <v>4102.3315868200862</v>
      </c>
      <c r="M277" s="742">
        <v>10826.16482</v>
      </c>
      <c r="N277">
        <f t="shared" si="9"/>
        <v>216253.80802505717</v>
      </c>
    </row>
    <row r="278" spans="1:14" ht="15.5" x14ac:dyDescent="0.35">
      <c r="A278">
        <v>21.5849387077395</v>
      </c>
      <c r="B278">
        <v>2275.5734218058401</v>
      </c>
      <c r="C278">
        <v>2453.96323815183</v>
      </c>
      <c r="D278" s="735">
        <v>455183.86073647731</v>
      </c>
      <c r="E278" s="735">
        <v>279315.97898953408</v>
      </c>
      <c r="F278" s="735">
        <v>327.06890631081791</v>
      </c>
      <c r="H278" s="741">
        <v>276</v>
      </c>
      <c r="I278" s="735">
        <v>114.88080790233199</v>
      </c>
      <c r="J278">
        <f t="shared" si="8"/>
        <v>327.06890631081791</v>
      </c>
      <c r="K278" s="735">
        <v>12949.91885</v>
      </c>
      <c r="L278">
        <f t="shared" si="8"/>
        <v>279315.97898953408</v>
      </c>
      <c r="M278" s="742">
        <v>18227.65494</v>
      </c>
      <c r="N278">
        <f t="shared" si="9"/>
        <v>455183.86073647731</v>
      </c>
    </row>
    <row r="279" spans="1:14" ht="15.5" x14ac:dyDescent="0.35">
      <c r="A279">
        <v>941.29444216029401</v>
      </c>
      <c r="B279">
        <v>15.7817584619405</v>
      </c>
      <c r="C279">
        <v>15.324817696436</v>
      </c>
      <c r="D279" s="735">
        <v>66502.883977706879</v>
      </c>
      <c r="E279" s="735">
        <v>57962.657048975736</v>
      </c>
      <c r="F279" s="735">
        <v>1334.2597831248877</v>
      </c>
      <c r="H279" s="741">
        <v>277</v>
      </c>
      <c r="I279" s="735">
        <v>307.37481268719898</v>
      </c>
      <c r="J279">
        <f t="shared" si="8"/>
        <v>1334.2597831248877</v>
      </c>
      <c r="K279" s="735">
        <v>4307.286897</v>
      </c>
      <c r="L279">
        <f t="shared" si="8"/>
        <v>57962.657048975736</v>
      </c>
      <c r="M279" s="742">
        <v>4742.2924810000004</v>
      </c>
      <c r="N279">
        <f t="shared" si="9"/>
        <v>66502.883977706879</v>
      </c>
    </row>
    <row r="280" spans="1:14" ht="15.5" x14ac:dyDescent="0.35">
      <c r="A280">
        <v>442.40511173230601</v>
      </c>
      <c r="B280">
        <v>88.915414308575905</v>
      </c>
      <c r="C280">
        <v>5273.9555493656499</v>
      </c>
      <c r="D280" s="735">
        <v>24069.081104675512</v>
      </c>
      <c r="E280" s="735">
        <v>5760.9872719528621</v>
      </c>
      <c r="F280" s="735">
        <v>2153.5071781395341</v>
      </c>
      <c r="H280" s="741">
        <v>278</v>
      </c>
      <c r="I280" s="735">
        <v>429.73668227432302</v>
      </c>
      <c r="J280">
        <f t="shared" si="8"/>
        <v>2153.5071781395341</v>
      </c>
      <c r="K280" s="735">
        <v>855.75183879999997</v>
      </c>
      <c r="L280">
        <f t="shared" si="8"/>
        <v>5760.9872719528621</v>
      </c>
      <c r="M280" s="742">
        <v>2328.2073569999998</v>
      </c>
      <c r="N280">
        <f t="shared" si="9"/>
        <v>24069.081104675512</v>
      </c>
    </row>
    <row r="281" spans="1:14" ht="15.5" x14ac:dyDescent="0.35">
      <c r="A281">
        <v>241.66666611042299</v>
      </c>
      <c r="B281">
        <v>1035.42708287096</v>
      </c>
      <c r="C281">
        <v>445.74627249188597</v>
      </c>
      <c r="D281" s="735">
        <v>12405.918369359484</v>
      </c>
      <c r="E281" s="735">
        <v>8813.6388522189736</v>
      </c>
      <c r="F281" s="735">
        <v>7799.8966871893681</v>
      </c>
      <c r="H281" s="741">
        <v>279</v>
      </c>
      <c r="I281" s="735">
        <v>1057.94281942826</v>
      </c>
      <c r="J281">
        <f t="shared" si="8"/>
        <v>7799.8966871893681</v>
      </c>
      <c r="K281" s="735">
        <v>1152.4143979999999</v>
      </c>
      <c r="L281">
        <f t="shared" si="8"/>
        <v>8813.6388522189736</v>
      </c>
      <c r="M281" s="742">
        <v>1463.9971909999999</v>
      </c>
      <c r="N281">
        <f t="shared" si="9"/>
        <v>12405.918369359484</v>
      </c>
    </row>
    <row r="282" spans="1:14" ht="15.5" x14ac:dyDescent="0.35">
      <c r="A282">
        <v>41.490683518114402</v>
      </c>
      <c r="B282">
        <v>161.02776970110301</v>
      </c>
      <c r="C282">
        <v>228.02385009057301</v>
      </c>
      <c r="D282" s="735">
        <v>31096.87948360798</v>
      </c>
      <c r="E282" s="735">
        <v>6045.8380412528313</v>
      </c>
      <c r="F282" s="735">
        <v>246.16039017800674</v>
      </c>
      <c r="H282" s="741">
        <v>280</v>
      </c>
      <c r="I282" s="735">
        <v>94.157023291261694</v>
      </c>
      <c r="J282">
        <f t="shared" si="8"/>
        <v>246.16039017800674</v>
      </c>
      <c r="K282" s="735">
        <v>885.15546740000002</v>
      </c>
      <c r="L282">
        <f t="shared" si="8"/>
        <v>6045.8380412528313</v>
      </c>
      <c r="M282" s="742">
        <v>2785.4910500000001</v>
      </c>
      <c r="N282">
        <f t="shared" si="9"/>
        <v>31096.87948360798</v>
      </c>
    </row>
    <row r="283" spans="1:14" ht="15.5" x14ac:dyDescent="0.35">
      <c r="A283">
        <v>1289.13678160932</v>
      </c>
      <c r="B283">
        <v>2177.4921241552602</v>
      </c>
      <c r="C283">
        <v>826.38468492961397</v>
      </c>
      <c r="D283" s="735">
        <v>31673.362731303816</v>
      </c>
      <c r="E283" s="735">
        <v>12367.122590326244</v>
      </c>
      <c r="F283" s="735">
        <v>29294.455603332302</v>
      </c>
      <c r="H283" s="741">
        <v>281</v>
      </c>
      <c r="I283" s="735">
        <v>2671.4669283201301</v>
      </c>
      <c r="J283">
        <f t="shared" si="8"/>
        <v>29294.455603332302</v>
      </c>
      <c r="K283" s="735">
        <v>1460.7909380000001</v>
      </c>
      <c r="L283">
        <f t="shared" si="8"/>
        <v>12367.122590326244</v>
      </c>
      <c r="M283" s="742">
        <v>2821.5381200000002</v>
      </c>
      <c r="N283">
        <f t="shared" si="9"/>
        <v>31673.362731303816</v>
      </c>
    </row>
    <row r="284" spans="1:14" ht="15.5" x14ac:dyDescent="0.35">
      <c r="A284">
        <v>4716.7043342261104</v>
      </c>
      <c r="B284">
        <v>173.03479674274601</v>
      </c>
      <c r="C284">
        <v>4722.5850677660501</v>
      </c>
      <c r="D284" s="735">
        <v>26023.963240492838</v>
      </c>
      <c r="E284" s="735">
        <v>7737.5190269099276</v>
      </c>
      <c r="F284" s="735">
        <v>3896.9318916527732</v>
      </c>
      <c r="H284" s="741">
        <v>282</v>
      </c>
      <c r="I284" s="735">
        <v>650.887559443859</v>
      </c>
      <c r="J284">
        <f t="shared" si="8"/>
        <v>3896.9318916527732</v>
      </c>
      <c r="K284" s="735">
        <v>1052.0132530000001</v>
      </c>
      <c r="L284">
        <f t="shared" si="8"/>
        <v>7737.5190269099276</v>
      </c>
      <c r="M284" s="742">
        <v>2459.01629</v>
      </c>
      <c r="N284">
        <f t="shared" si="9"/>
        <v>26023.963240492838</v>
      </c>
    </row>
    <row r="285" spans="1:14" ht="15.5" x14ac:dyDescent="0.35">
      <c r="A285">
        <v>276.612171287281</v>
      </c>
      <c r="B285">
        <v>212.695999012485</v>
      </c>
      <c r="C285">
        <v>23.740225370328101</v>
      </c>
      <c r="D285" s="735">
        <v>104905.1301353263</v>
      </c>
      <c r="E285" s="735">
        <v>48835.909406607039</v>
      </c>
      <c r="F285" s="735">
        <v>81.916224217596479</v>
      </c>
      <c r="H285" s="741">
        <v>283</v>
      </c>
      <c r="I285" s="735">
        <v>43.587197690835303</v>
      </c>
      <c r="J285">
        <f t="shared" si="8"/>
        <v>81.916224217596479</v>
      </c>
      <c r="K285" s="735">
        <v>3820.4761739999999</v>
      </c>
      <c r="L285">
        <f t="shared" si="8"/>
        <v>48835.909406607039</v>
      </c>
      <c r="M285" s="742">
        <v>6524.6573449999996</v>
      </c>
      <c r="N285">
        <f t="shared" si="9"/>
        <v>104905.1301353263</v>
      </c>
    </row>
    <row r="286" spans="1:14" ht="15.5" x14ac:dyDescent="0.35">
      <c r="A286">
        <v>248.67013044331301</v>
      </c>
      <c r="B286">
        <v>109.911550060642</v>
      </c>
      <c r="C286">
        <v>9813.7819402167606</v>
      </c>
      <c r="D286" s="735">
        <v>28481.88387415473</v>
      </c>
      <c r="E286" s="735">
        <v>51208.330648480929</v>
      </c>
      <c r="F286" s="735">
        <v>59.397058818427674</v>
      </c>
      <c r="H286" s="741">
        <v>284</v>
      </c>
      <c r="I286" s="735">
        <v>34.804504745378402</v>
      </c>
      <c r="J286">
        <f t="shared" si="8"/>
        <v>59.397058818427674</v>
      </c>
      <c r="K286" s="735">
        <v>3949.4664859999998</v>
      </c>
      <c r="L286">
        <f t="shared" si="8"/>
        <v>51208.330648480929</v>
      </c>
      <c r="M286" s="742">
        <v>2619.377532</v>
      </c>
      <c r="N286">
        <f t="shared" si="9"/>
        <v>28481.88387415473</v>
      </c>
    </row>
    <row r="287" spans="1:14" ht="15.5" x14ac:dyDescent="0.35">
      <c r="A287">
        <v>207.50232003487901</v>
      </c>
      <c r="B287">
        <v>1605.1992937541099</v>
      </c>
      <c r="C287">
        <v>35489.2378465945</v>
      </c>
      <c r="D287" s="735">
        <v>32935.528099781521</v>
      </c>
      <c r="E287" s="735">
        <v>332283.47739515919</v>
      </c>
      <c r="F287" s="735">
        <v>97601.138757219975</v>
      </c>
      <c r="H287" s="741">
        <v>285</v>
      </c>
      <c r="I287" s="735">
        <v>6203.2376469061301</v>
      </c>
      <c r="J287">
        <f t="shared" si="8"/>
        <v>97601.138757219975</v>
      </c>
      <c r="K287" s="735">
        <v>14623.661400000001</v>
      </c>
      <c r="L287">
        <f t="shared" si="8"/>
        <v>332283.47739515919</v>
      </c>
      <c r="M287" s="742">
        <v>2899.781281</v>
      </c>
      <c r="N287">
        <f t="shared" si="9"/>
        <v>32935.528099781521</v>
      </c>
    </row>
    <row r="288" spans="1:14" ht="15.5" x14ac:dyDescent="0.35">
      <c r="A288">
        <v>4223.79019267064</v>
      </c>
      <c r="B288">
        <v>331.44912244017303</v>
      </c>
      <c r="C288">
        <v>13098.799683076601</v>
      </c>
      <c r="D288" s="735">
        <v>3943.4631649914768</v>
      </c>
      <c r="E288" s="735">
        <v>32940.031564803263</v>
      </c>
      <c r="F288" s="735">
        <v>34572.591751765875</v>
      </c>
      <c r="H288" s="741">
        <v>286</v>
      </c>
      <c r="I288" s="735">
        <v>2999.9385339560399</v>
      </c>
      <c r="J288">
        <f t="shared" si="8"/>
        <v>34572.591751765875</v>
      </c>
      <c r="K288" s="735">
        <v>2900.0588280000002</v>
      </c>
      <c r="L288">
        <f t="shared" si="8"/>
        <v>32940.031564803263</v>
      </c>
      <c r="M288" s="742">
        <v>656.31820660000005</v>
      </c>
      <c r="N288">
        <f t="shared" si="9"/>
        <v>3943.4631649914768</v>
      </c>
    </row>
    <row r="289" spans="1:14" ht="15.5" x14ac:dyDescent="0.35">
      <c r="A289">
        <v>398.470243734961</v>
      </c>
      <c r="B289">
        <v>22.1483225473171</v>
      </c>
      <c r="C289">
        <v>58402.710853709403</v>
      </c>
      <c r="D289" s="735">
        <v>50439.5000708058</v>
      </c>
      <c r="E289" s="735">
        <v>225038.79927720872</v>
      </c>
      <c r="F289" s="735">
        <v>53.1872872257144</v>
      </c>
      <c r="H289" s="741">
        <v>287</v>
      </c>
      <c r="I289" s="735">
        <v>32.215545385749699</v>
      </c>
      <c r="J289">
        <f t="shared" si="8"/>
        <v>53.1872872257144</v>
      </c>
      <c r="K289" s="735">
        <v>11132.17901</v>
      </c>
      <c r="L289">
        <f t="shared" si="8"/>
        <v>225038.79927720872</v>
      </c>
      <c r="M289" s="742">
        <v>3907.8649019999998</v>
      </c>
      <c r="N289">
        <f t="shared" si="9"/>
        <v>50439.5000708058</v>
      </c>
    </row>
    <row r="290" spans="1:14" ht="15.5" x14ac:dyDescent="0.35">
      <c r="A290">
        <v>17.359047001718501</v>
      </c>
      <c r="B290">
        <v>283.00791890853202</v>
      </c>
      <c r="C290">
        <v>2150.6630717022699</v>
      </c>
      <c r="D290" s="735">
        <v>287860.10796116339</v>
      </c>
      <c r="E290" s="735">
        <v>407.78931086416407</v>
      </c>
      <c r="F290" s="735">
        <v>15820.061245949715</v>
      </c>
      <c r="H290" s="741">
        <v>288</v>
      </c>
      <c r="I290" s="735">
        <v>1735.58429790986</v>
      </c>
      <c r="J290">
        <f t="shared" si="8"/>
        <v>15820.061245949715</v>
      </c>
      <c r="K290" s="735">
        <v>134.06181240000001</v>
      </c>
      <c r="L290">
        <f t="shared" si="8"/>
        <v>407.78931086416407</v>
      </c>
      <c r="M290" s="742">
        <v>13225.95494</v>
      </c>
      <c r="N290">
        <f t="shared" si="9"/>
        <v>287860.10796116339</v>
      </c>
    </row>
    <row r="291" spans="1:14" ht="15.5" x14ac:dyDescent="0.35">
      <c r="A291">
        <v>577.55706706882404</v>
      </c>
      <c r="B291">
        <v>88.396517886078598</v>
      </c>
      <c r="C291">
        <v>9708.6593261002599</v>
      </c>
      <c r="D291" s="735">
        <v>5086.65984264483</v>
      </c>
      <c r="E291" s="735">
        <v>66024.293962131633</v>
      </c>
      <c r="F291" s="735">
        <v>22243.039643894634</v>
      </c>
      <c r="H291" s="741">
        <v>289</v>
      </c>
      <c r="I291" s="735">
        <v>2203.1085459347801</v>
      </c>
      <c r="J291">
        <f t="shared" si="8"/>
        <v>22243.039643894634</v>
      </c>
      <c r="K291" s="735">
        <v>4718.3769759999996</v>
      </c>
      <c r="L291">
        <f t="shared" si="8"/>
        <v>66024.293962131633</v>
      </c>
      <c r="M291" s="742">
        <v>784.3373335</v>
      </c>
      <c r="N291">
        <f t="shared" si="9"/>
        <v>5086.65984264483</v>
      </c>
    </row>
    <row r="292" spans="1:14" ht="15.5" x14ac:dyDescent="0.35">
      <c r="A292">
        <v>63.386049733505203</v>
      </c>
      <c r="B292">
        <v>655.58033834447099</v>
      </c>
      <c r="C292">
        <v>94429.032286666799</v>
      </c>
      <c r="D292" s="735">
        <v>90058.529542699631</v>
      </c>
      <c r="E292" s="735">
        <v>372.27099204777249</v>
      </c>
      <c r="F292" s="735">
        <v>2266.3563156044806</v>
      </c>
      <c r="H292" s="741">
        <v>290</v>
      </c>
      <c r="I292" s="735">
        <v>445.37899745767101</v>
      </c>
      <c r="J292">
        <f t="shared" si="8"/>
        <v>2266.3563156044806</v>
      </c>
      <c r="K292" s="735">
        <v>125.7770596</v>
      </c>
      <c r="L292">
        <f t="shared" si="8"/>
        <v>372.27099204777249</v>
      </c>
      <c r="M292" s="742">
        <v>5863.6413140000004</v>
      </c>
      <c r="N292">
        <f t="shared" si="9"/>
        <v>90058.529542699631</v>
      </c>
    </row>
    <row r="293" spans="1:14" ht="15.5" x14ac:dyDescent="0.35">
      <c r="A293">
        <v>96.626333587083707</v>
      </c>
      <c r="B293">
        <v>217.631160857087</v>
      </c>
      <c r="C293">
        <v>564.747255924912</v>
      </c>
      <c r="D293" s="735">
        <v>181131.04070784972</v>
      </c>
      <c r="E293" s="735">
        <v>308.74523962527581</v>
      </c>
      <c r="F293" s="735">
        <v>621.79324141552343</v>
      </c>
      <c r="H293" s="741">
        <v>291</v>
      </c>
      <c r="I293" s="735">
        <v>180.115960348209</v>
      </c>
      <c r="J293">
        <f t="shared" si="8"/>
        <v>621.79324141552343</v>
      </c>
      <c r="K293" s="735">
        <v>110.3367504</v>
      </c>
      <c r="L293">
        <f t="shared" si="8"/>
        <v>308.74523962527581</v>
      </c>
      <c r="M293" s="742">
        <v>9563.0189790000004</v>
      </c>
      <c r="N293">
        <f t="shared" si="9"/>
        <v>181131.04070784972</v>
      </c>
    </row>
    <row r="294" spans="1:14" ht="15.5" x14ac:dyDescent="0.35">
      <c r="A294">
        <v>15.614084837644</v>
      </c>
      <c r="B294">
        <v>678.50080371026604</v>
      </c>
      <c r="C294">
        <v>36339.592015944399</v>
      </c>
      <c r="D294" s="735">
        <v>600584.66168357315</v>
      </c>
      <c r="E294" s="735">
        <v>16491.145322351662</v>
      </c>
      <c r="F294" s="735">
        <v>4354.7290216393139</v>
      </c>
      <c r="H294" s="741">
        <v>292</v>
      </c>
      <c r="I294" s="735">
        <v>703.51408198788999</v>
      </c>
      <c r="J294">
        <f t="shared" si="8"/>
        <v>4354.7290216393139</v>
      </c>
      <c r="K294" s="735">
        <v>1786.7984750000001</v>
      </c>
      <c r="L294">
        <f t="shared" si="8"/>
        <v>16491.145322351662</v>
      </c>
      <c r="M294" s="742">
        <v>22131.047259999999</v>
      </c>
      <c r="N294">
        <f t="shared" si="9"/>
        <v>600584.66168357315</v>
      </c>
    </row>
    <row r="295" spans="1:14" ht="15.5" x14ac:dyDescent="0.35">
      <c r="A295">
        <v>1256.1672241123099</v>
      </c>
      <c r="B295">
        <v>522.57581522512601</v>
      </c>
      <c r="C295">
        <v>436.58297277942802</v>
      </c>
      <c r="D295" s="735">
        <v>6002.8560379091614</v>
      </c>
      <c r="E295" s="735">
        <v>106016.96303071674</v>
      </c>
      <c r="F295" s="735">
        <v>13487.943586357527</v>
      </c>
      <c r="H295" s="741">
        <v>293</v>
      </c>
      <c r="I295" s="735">
        <v>1552.25125121017</v>
      </c>
      <c r="J295">
        <f t="shared" si="8"/>
        <v>13487.943586357527</v>
      </c>
      <c r="K295" s="735">
        <v>6572.9866689999999</v>
      </c>
      <c r="L295">
        <f t="shared" si="8"/>
        <v>106016.96303071674</v>
      </c>
      <c r="M295" s="742">
        <v>880.74573680000003</v>
      </c>
      <c r="N295">
        <f t="shared" si="9"/>
        <v>6002.8560379091614</v>
      </c>
    </row>
    <row r="296" spans="1:14" ht="15.5" x14ac:dyDescent="0.35">
      <c r="A296">
        <v>372.43155919012798</v>
      </c>
      <c r="B296">
        <v>123.42874783761199</v>
      </c>
      <c r="C296">
        <v>35853.848836164601</v>
      </c>
      <c r="D296" s="735">
        <v>186913.45332847376</v>
      </c>
      <c r="E296" s="735">
        <v>332.41031600631169</v>
      </c>
      <c r="F296" s="735">
        <v>286.28501968070628</v>
      </c>
      <c r="H296" s="741">
        <v>294</v>
      </c>
      <c r="I296" s="735">
        <v>104.65477213030699</v>
      </c>
      <c r="J296">
        <f t="shared" si="8"/>
        <v>286.28501968070628</v>
      </c>
      <c r="K296" s="735">
        <v>116.1909079</v>
      </c>
      <c r="L296">
        <f t="shared" si="8"/>
        <v>332.41031600631169</v>
      </c>
      <c r="M296" s="742">
        <v>9775.7118769999997</v>
      </c>
      <c r="N296">
        <f t="shared" si="9"/>
        <v>186913.45332847376</v>
      </c>
    </row>
    <row r="297" spans="1:14" ht="15.5" x14ac:dyDescent="0.35">
      <c r="A297">
        <v>143.17781828413399</v>
      </c>
      <c r="B297">
        <v>400.32882668533102</v>
      </c>
      <c r="C297">
        <v>2150.8907558676601</v>
      </c>
      <c r="D297" s="735">
        <v>181697.11547141511</v>
      </c>
      <c r="E297" s="735">
        <v>4560.3100702059082</v>
      </c>
      <c r="F297" s="735">
        <v>68.364194228543781</v>
      </c>
      <c r="H297" s="741">
        <v>295</v>
      </c>
      <c r="I297" s="735">
        <v>38.404320867763801</v>
      </c>
      <c r="J297">
        <f t="shared" si="8"/>
        <v>68.364194228543781</v>
      </c>
      <c r="K297" s="735">
        <v>726.60111659999995</v>
      </c>
      <c r="L297">
        <f t="shared" si="8"/>
        <v>4560.3100702059082</v>
      </c>
      <c r="M297" s="742">
        <v>9583.9297769999994</v>
      </c>
      <c r="N297">
        <f t="shared" si="9"/>
        <v>181697.11547141511</v>
      </c>
    </row>
    <row r="298" spans="1:14" ht="15.5" x14ac:dyDescent="0.35">
      <c r="A298">
        <v>121.60790216108499</v>
      </c>
      <c r="B298">
        <v>160.88683507270699</v>
      </c>
      <c r="C298">
        <v>19620.040973133298</v>
      </c>
      <c r="D298" s="735">
        <v>9814.7379935175777</v>
      </c>
      <c r="E298" s="735">
        <v>89.39927615623202</v>
      </c>
      <c r="F298" s="735">
        <v>6997.2171150246286</v>
      </c>
      <c r="H298" s="741">
        <v>296</v>
      </c>
      <c r="I298" s="735">
        <v>980.50033146625196</v>
      </c>
      <c r="J298">
        <f t="shared" si="8"/>
        <v>6997.2171150246286</v>
      </c>
      <c r="K298" s="735">
        <v>46.33762832</v>
      </c>
      <c r="L298">
        <f t="shared" si="8"/>
        <v>89.39927615623202</v>
      </c>
      <c r="M298" s="742">
        <v>1242.5535010000001</v>
      </c>
      <c r="N298">
        <f t="shared" si="9"/>
        <v>9814.7379935175777</v>
      </c>
    </row>
    <row r="299" spans="1:14" ht="15.5" x14ac:dyDescent="0.35">
      <c r="A299">
        <v>547.43466428509896</v>
      </c>
      <c r="B299">
        <v>16.242925649314898</v>
      </c>
      <c r="C299">
        <v>84140.276295959906</v>
      </c>
      <c r="D299" s="735">
        <v>595653.42807282391</v>
      </c>
      <c r="E299" s="735">
        <v>648791.82988083002</v>
      </c>
      <c r="F299" s="735">
        <v>1317.8930240062809</v>
      </c>
      <c r="H299" s="741">
        <v>297</v>
      </c>
      <c r="I299" s="735">
        <v>304.73063131396799</v>
      </c>
      <c r="J299">
        <f t="shared" si="8"/>
        <v>1317.8930240062809</v>
      </c>
      <c r="K299" s="735">
        <v>23360.049599999998</v>
      </c>
      <c r="L299">
        <f t="shared" si="8"/>
        <v>648791.82988083002</v>
      </c>
      <c r="M299" s="742">
        <v>22003.691729999999</v>
      </c>
      <c r="N299">
        <f t="shared" si="9"/>
        <v>595653.42807282391</v>
      </c>
    </row>
    <row r="300" spans="1:14" ht="15.5" x14ac:dyDescent="0.35">
      <c r="A300">
        <v>247.509706812719</v>
      </c>
      <c r="B300">
        <v>65.145083894309195</v>
      </c>
      <c r="C300">
        <v>2838.12274474784</v>
      </c>
      <c r="D300" s="735">
        <v>5997.4553437147497</v>
      </c>
      <c r="E300" s="735">
        <v>1942.6055463682892</v>
      </c>
      <c r="F300" s="735">
        <v>2795.8032323226744</v>
      </c>
      <c r="H300" s="741">
        <v>298</v>
      </c>
      <c r="I300" s="735">
        <v>515.88704486518702</v>
      </c>
      <c r="J300">
        <f t="shared" si="8"/>
        <v>2795.8032323226744</v>
      </c>
      <c r="K300" s="735">
        <v>399.82434740000002</v>
      </c>
      <c r="L300">
        <f t="shared" si="8"/>
        <v>1942.6055463682892</v>
      </c>
      <c r="M300" s="742">
        <v>880.19098480000002</v>
      </c>
      <c r="N300">
        <f t="shared" si="9"/>
        <v>5997.4553437147497</v>
      </c>
    </row>
    <row r="301" spans="1:14" ht="15.5" x14ac:dyDescent="0.35">
      <c r="A301">
        <v>4051.8665312410099</v>
      </c>
      <c r="B301">
        <v>154.065770586112</v>
      </c>
      <c r="C301">
        <v>10259.108026166799</v>
      </c>
      <c r="D301" s="735">
        <v>51451.01926250213</v>
      </c>
      <c r="E301" s="735">
        <v>617.81768645237889</v>
      </c>
      <c r="F301" s="735">
        <v>1731.4518466620916</v>
      </c>
      <c r="H301" s="741">
        <v>299</v>
      </c>
      <c r="I301" s="735">
        <v>368.88185447075301</v>
      </c>
      <c r="J301">
        <f t="shared" si="8"/>
        <v>1731.4518466620916</v>
      </c>
      <c r="K301" s="735">
        <v>179.3090608</v>
      </c>
      <c r="L301">
        <f t="shared" si="8"/>
        <v>617.81768645237889</v>
      </c>
      <c r="M301" s="742">
        <v>3962.5594219999998</v>
      </c>
      <c r="N301">
        <f t="shared" si="9"/>
        <v>51451.01926250213</v>
      </c>
    </row>
    <row r="302" spans="1:14" ht="15.5" x14ac:dyDescent="0.35">
      <c r="A302">
        <v>278.53419723239301</v>
      </c>
      <c r="B302">
        <v>2876.1929313323399</v>
      </c>
      <c r="C302">
        <v>3617.69369820672</v>
      </c>
      <c r="D302" s="735">
        <v>11848.191489520259</v>
      </c>
      <c r="E302" s="735">
        <v>12.994662728412424</v>
      </c>
      <c r="F302" s="735">
        <v>1003.7040940264774</v>
      </c>
      <c r="H302" s="741">
        <v>300</v>
      </c>
      <c r="I302" s="735">
        <v>251.83958030679199</v>
      </c>
      <c r="J302">
        <f t="shared" si="8"/>
        <v>1003.7040940264774</v>
      </c>
      <c r="K302" s="735">
        <v>12.0125583</v>
      </c>
      <c r="L302">
        <f t="shared" si="8"/>
        <v>12.994662728412424</v>
      </c>
      <c r="M302" s="742">
        <v>1417.6089460000001</v>
      </c>
      <c r="N302">
        <f t="shared" si="9"/>
        <v>11848.191489520259</v>
      </c>
    </row>
    <row r="303" spans="1:14" ht="15.5" x14ac:dyDescent="0.35">
      <c r="A303">
        <v>555.69230023987495</v>
      </c>
      <c r="B303">
        <v>3761.4077074385</v>
      </c>
      <c r="C303">
        <v>21.380727457062999</v>
      </c>
      <c r="D303" s="735">
        <v>61897.535311208463</v>
      </c>
      <c r="E303" s="735">
        <v>5668.4760245743555</v>
      </c>
      <c r="F303" s="735">
        <v>55.091975775284872</v>
      </c>
      <c r="H303" s="741">
        <v>301</v>
      </c>
      <c r="I303" s="735">
        <v>33.018842409920403</v>
      </c>
      <c r="J303">
        <f t="shared" si="8"/>
        <v>55.091975775284872</v>
      </c>
      <c r="K303" s="735">
        <v>846.10920499999997</v>
      </c>
      <c r="L303">
        <f t="shared" si="8"/>
        <v>5668.4760245743555</v>
      </c>
      <c r="M303" s="742">
        <v>4509.9460779999999</v>
      </c>
      <c r="N303">
        <f t="shared" si="9"/>
        <v>61897.535311208463</v>
      </c>
    </row>
    <row r="304" spans="1:14" ht="15.5" x14ac:dyDescent="0.35">
      <c r="A304">
        <v>11.295189513158</v>
      </c>
      <c r="B304">
        <v>27.3969575955831</v>
      </c>
      <c r="C304">
        <v>824.83649872500803</v>
      </c>
      <c r="D304" s="735">
        <v>90609.073204562563</v>
      </c>
      <c r="E304" s="735">
        <v>200.19015011165052</v>
      </c>
      <c r="F304" s="735">
        <v>324.02198294761968</v>
      </c>
      <c r="H304" s="741">
        <v>302</v>
      </c>
      <c r="I304" s="735">
        <v>114.13060851982399</v>
      </c>
      <c r="J304">
        <f t="shared" si="8"/>
        <v>324.02198294761968</v>
      </c>
      <c r="K304" s="735">
        <v>81.472284400000007</v>
      </c>
      <c r="L304">
        <f t="shared" si="8"/>
        <v>200.19015011165052</v>
      </c>
      <c r="M304" s="742">
        <v>5888.7101970000003</v>
      </c>
      <c r="N304">
        <f t="shared" si="9"/>
        <v>90609.073204562563</v>
      </c>
    </row>
    <row r="305" spans="1:14" ht="15.5" x14ac:dyDescent="0.35">
      <c r="A305">
        <v>527.23787228048798</v>
      </c>
      <c r="B305">
        <v>56.927221545676701</v>
      </c>
      <c r="C305">
        <v>675.41054237308799</v>
      </c>
      <c r="D305" s="735">
        <v>44068.511473748935</v>
      </c>
      <c r="E305" s="735">
        <v>226210.834336509</v>
      </c>
      <c r="F305" s="735">
        <v>9775.5030151858155</v>
      </c>
      <c r="H305" s="741">
        <v>303</v>
      </c>
      <c r="I305" s="735">
        <v>1239.07438719329</v>
      </c>
      <c r="J305">
        <f t="shared" si="8"/>
        <v>9775.5030151858155</v>
      </c>
      <c r="K305" s="735">
        <v>11172.73199</v>
      </c>
      <c r="L305">
        <f t="shared" si="8"/>
        <v>226210.834336509</v>
      </c>
      <c r="M305" s="742">
        <v>3555.4114519999998</v>
      </c>
      <c r="N305">
        <f t="shared" si="9"/>
        <v>44068.511473748935</v>
      </c>
    </row>
    <row r="306" spans="1:14" ht="15.5" x14ac:dyDescent="0.35">
      <c r="A306">
        <v>979.112712749102</v>
      </c>
      <c r="B306">
        <v>29.789856703589599</v>
      </c>
      <c r="C306">
        <v>5968.9888755866104</v>
      </c>
      <c r="D306" s="735">
        <v>104700.61429146312</v>
      </c>
      <c r="E306" s="735">
        <v>2813.5655731103998</v>
      </c>
      <c r="F306" s="735">
        <v>722.43407036273902</v>
      </c>
      <c r="H306" s="741">
        <v>304</v>
      </c>
      <c r="I306" s="735">
        <v>200.059303982871</v>
      </c>
      <c r="J306">
        <f t="shared" si="8"/>
        <v>722.43407036273902</v>
      </c>
      <c r="K306" s="735">
        <v>518.17914359999997</v>
      </c>
      <c r="L306">
        <f t="shared" si="8"/>
        <v>2813.5655731103998</v>
      </c>
      <c r="M306" s="742">
        <v>6515.7507219999998</v>
      </c>
      <c r="N306">
        <f t="shared" si="9"/>
        <v>104700.61429146312</v>
      </c>
    </row>
    <row r="307" spans="1:14" ht="15.5" x14ac:dyDescent="0.35">
      <c r="A307">
        <v>83.061622660982593</v>
      </c>
      <c r="B307">
        <v>2659.2455437205499</v>
      </c>
      <c r="C307">
        <v>30426.839101433099</v>
      </c>
      <c r="D307" s="735">
        <v>348512.58069870214</v>
      </c>
      <c r="E307" s="735">
        <v>915.82768077839899</v>
      </c>
      <c r="F307" s="735">
        <v>1417.7368959156436</v>
      </c>
      <c r="H307" s="741">
        <v>305</v>
      </c>
      <c r="I307" s="735">
        <v>320.71328430521402</v>
      </c>
      <c r="J307">
        <f t="shared" si="8"/>
        <v>1417.7368959156436</v>
      </c>
      <c r="K307" s="735">
        <v>236.1944215</v>
      </c>
      <c r="L307">
        <f t="shared" si="8"/>
        <v>915.82768077839899</v>
      </c>
      <c r="M307" s="742">
        <v>15120.03937</v>
      </c>
      <c r="N307">
        <f t="shared" si="9"/>
        <v>348512.58069870214</v>
      </c>
    </row>
    <row r="308" spans="1:14" ht="15.5" x14ac:dyDescent="0.35">
      <c r="A308">
        <v>27.043302376427299</v>
      </c>
      <c r="B308">
        <v>3785.9744558050502</v>
      </c>
      <c r="C308">
        <v>38776.384329155997</v>
      </c>
      <c r="D308" s="735">
        <v>4823.0358352036965</v>
      </c>
      <c r="E308" s="735">
        <v>7451.5297800098151</v>
      </c>
      <c r="F308" s="735">
        <v>432.08452832821251</v>
      </c>
      <c r="H308" s="741">
        <v>306</v>
      </c>
      <c r="I308" s="735">
        <v>139.604076818018</v>
      </c>
      <c r="J308">
        <f t="shared" si="8"/>
        <v>432.08452832821251</v>
      </c>
      <c r="K308" s="735">
        <v>1024.6411869999999</v>
      </c>
      <c r="L308">
        <f t="shared" si="8"/>
        <v>7451.5297800098151</v>
      </c>
      <c r="M308" s="742">
        <v>755.65636029999996</v>
      </c>
      <c r="N308">
        <f t="shared" si="9"/>
        <v>4823.0358352036965</v>
      </c>
    </row>
    <row r="309" spans="1:14" ht="15.5" x14ac:dyDescent="0.35">
      <c r="A309">
        <v>745.78063882909305</v>
      </c>
      <c r="B309">
        <v>369.90525503760398</v>
      </c>
      <c r="C309">
        <v>1375.28174506652</v>
      </c>
      <c r="D309" s="735">
        <v>6836.4638034098307</v>
      </c>
      <c r="E309" s="735">
        <v>5437.1936306905545</v>
      </c>
      <c r="F309" s="735">
        <v>9.7295549468580997</v>
      </c>
      <c r="H309" s="741">
        <v>307</v>
      </c>
      <c r="I309" s="735">
        <v>9.8099113446401507</v>
      </c>
      <c r="J309">
        <f t="shared" si="8"/>
        <v>9.7295549468580997</v>
      </c>
      <c r="K309" s="735">
        <v>821.79285240000002</v>
      </c>
      <c r="L309">
        <f t="shared" si="8"/>
        <v>5437.1936306905545</v>
      </c>
      <c r="M309" s="742">
        <v>964.67730870000003</v>
      </c>
      <c r="N309">
        <f t="shared" si="9"/>
        <v>6836.4638034098307</v>
      </c>
    </row>
    <row r="310" spans="1:14" ht="15.5" x14ac:dyDescent="0.35">
      <c r="A310">
        <v>972.72458447234396</v>
      </c>
      <c r="B310">
        <v>65.095946523890504</v>
      </c>
      <c r="C310">
        <v>1274.7859354474199</v>
      </c>
      <c r="D310" s="735">
        <v>125016.04844977469</v>
      </c>
      <c r="E310" s="735">
        <v>15357.537797293107</v>
      </c>
      <c r="F310" s="735">
        <v>14308.266370068966</v>
      </c>
      <c r="H310" s="741">
        <v>308</v>
      </c>
      <c r="I310" s="735">
        <v>1617.7481491470901</v>
      </c>
      <c r="J310">
        <f t="shared" si="8"/>
        <v>14308.266370068966</v>
      </c>
      <c r="K310" s="735">
        <v>1699.9068150000001</v>
      </c>
      <c r="L310">
        <f t="shared" si="8"/>
        <v>15357.537797293107</v>
      </c>
      <c r="M310" s="742">
        <v>7376.9363659999999</v>
      </c>
      <c r="N310">
        <f t="shared" si="9"/>
        <v>125016.04844977469</v>
      </c>
    </row>
    <row r="311" spans="1:14" ht="15.5" x14ac:dyDescent="0.35">
      <c r="A311">
        <v>2945.4430034453098</v>
      </c>
      <c r="B311">
        <v>444.35134178455201</v>
      </c>
      <c r="C311">
        <v>20091.693788184301</v>
      </c>
      <c r="D311" s="735">
        <v>6515.0917855594826</v>
      </c>
      <c r="E311" s="735">
        <v>4198.2844408814581</v>
      </c>
      <c r="F311" s="735">
        <v>2141.4216385318568</v>
      </c>
      <c r="H311" s="741">
        <v>309</v>
      </c>
      <c r="I311" s="735">
        <v>428.04707209574099</v>
      </c>
      <c r="J311">
        <f t="shared" si="8"/>
        <v>2141.4216385318568</v>
      </c>
      <c r="K311" s="735">
        <v>685.72550279999996</v>
      </c>
      <c r="L311">
        <f t="shared" si="8"/>
        <v>4198.2844408814581</v>
      </c>
      <c r="M311" s="742">
        <v>932.70515469999998</v>
      </c>
      <c r="N311">
        <f t="shared" si="9"/>
        <v>6515.0917855594826</v>
      </c>
    </row>
    <row r="312" spans="1:14" ht="15.5" x14ac:dyDescent="0.35">
      <c r="A312">
        <v>4727.2014304964996</v>
      </c>
      <c r="B312">
        <v>268.67682929631701</v>
      </c>
      <c r="C312">
        <v>229.369623203754</v>
      </c>
      <c r="D312" s="735">
        <v>30227.809299118479</v>
      </c>
      <c r="E312" s="735">
        <v>208163.93937188509</v>
      </c>
      <c r="F312" s="735">
        <v>804.94849180522976</v>
      </c>
      <c r="H312" s="741">
        <v>310</v>
      </c>
      <c r="I312" s="735">
        <v>215.79315452246701</v>
      </c>
      <c r="J312">
        <f t="shared" si="8"/>
        <v>804.94849180522976</v>
      </c>
      <c r="K312" s="735">
        <v>10541.0494</v>
      </c>
      <c r="L312">
        <f t="shared" si="8"/>
        <v>208163.93937188509</v>
      </c>
      <c r="M312" s="742">
        <v>2730.7671610000002</v>
      </c>
      <c r="N312">
        <f t="shared" si="9"/>
        <v>30227.809299118479</v>
      </c>
    </row>
    <row r="313" spans="1:14" ht="15.5" x14ac:dyDescent="0.35">
      <c r="A313">
        <v>2054.56545164001</v>
      </c>
      <c r="B313">
        <v>70.467139391301799</v>
      </c>
      <c r="C313">
        <v>30.506017556289201</v>
      </c>
      <c r="D313" s="735">
        <v>19350.534217094428</v>
      </c>
      <c r="E313" s="735">
        <v>53576893.065053158</v>
      </c>
      <c r="F313" s="735">
        <v>33.30932843266136</v>
      </c>
      <c r="H313" s="741">
        <v>311</v>
      </c>
      <c r="I313" s="735">
        <v>23.216466074351199</v>
      </c>
      <c r="J313">
        <f t="shared" si="8"/>
        <v>33.30932843266136</v>
      </c>
      <c r="K313" s="735">
        <v>513197.1875</v>
      </c>
      <c r="L313">
        <f t="shared" si="8"/>
        <v>53576893.065053158</v>
      </c>
      <c r="M313" s="742">
        <v>1998.412196</v>
      </c>
      <c r="N313">
        <f t="shared" si="9"/>
        <v>19350.534217094428</v>
      </c>
    </row>
    <row r="314" spans="1:14" ht="15.5" x14ac:dyDescent="0.35">
      <c r="A314">
        <v>1340.7358201278801</v>
      </c>
      <c r="B314">
        <v>2834.1039136261502</v>
      </c>
      <c r="C314">
        <v>1480.7222649932401</v>
      </c>
      <c r="D314" s="735">
        <v>2389.2478737416391</v>
      </c>
      <c r="E314" s="735">
        <v>7371.7696190680008</v>
      </c>
      <c r="F314" s="735">
        <v>154.63663664442919</v>
      </c>
      <c r="H314" s="741">
        <v>312</v>
      </c>
      <c r="I314" s="735">
        <v>68.001528812105803</v>
      </c>
      <c r="J314">
        <f t="shared" si="8"/>
        <v>154.63663664442919</v>
      </c>
      <c r="K314" s="735">
        <v>1016.951469</v>
      </c>
      <c r="L314">
        <f t="shared" si="8"/>
        <v>7371.7696190680008</v>
      </c>
      <c r="M314" s="742">
        <v>462.14988119999998</v>
      </c>
      <c r="N314">
        <f t="shared" si="9"/>
        <v>2389.2478737416391</v>
      </c>
    </row>
    <row r="315" spans="1:14" ht="15.5" x14ac:dyDescent="0.35">
      <c r="A315">
        <v>1091.8985039686199</v>
      </c>
      <c r="B315">
        <v>208.84677376664899</v>
      </c>
      <c r="C315">
        <v>12187.7612631671</v>
      </c>
      <c r="D315" s="735">
        <v>12700.219293737073</v>
      </c>
      <c r="E315" s="735">
        <v>3156.1755109496967</v>
      </c>
      <c r="F315" s="735">
        <v>1743.3119124701072</v>
      </c>
      <c r="H315" s="741">
        <v>313</v>
      </c>
      <c r="I315" s="735">
        <v>370.64877444958501</v>
      </c>
      <c r="J315">
        <f t="shared" si="8"/>
        <v>1743.3119124701072</v>
      </c>
      <c r="K315" s="735">
        <v>561.58151229999999</v>
      </c>
      <c r="L315">
        <f t="shared" si="8"/>
        <v>3156.1755109496967</v>
      </c>
      <c r="M315" s="742">
        <v>1488.222458</v>
      </c>
      <c r="N315">
        <f t="shared" si="9"/>
        <v>12700.219293737073</v>
      </c>
    </row>
    <row r="316" spans="1:14" ht="15.5" x14ac:dyDescent="0.35">
      <c r="A316">
        <v>26799.349596033298</v>
      </c>
      <c r="B316">
        <v>710.8259795614</v>
      </c>
      <c r="C316">
        <v>20131.427079957401</v>
      </c>
      <c r="D316" s="735">
        <v>9020.8318349955262</v>
      </c>
      <c r="E316" s="735">
        <v>24668.989503816047</v>
      </c>
      <c r="F316" s="735">
        <v>4132.6529624796067</v>
      </c>
      <c r="H316" s="741">
        <v>314</v>
      </c>
      <c r="I316" s="735">
        <v>678.20385806945706</v>
      </c>
      <c r="J316">
        <f t="shared" si="8"/>
        <v>4132.6529624796067</v>
      </c>
      <c r="K316" s="735">
        <v>2368.6775950000001</v>
      </c>
      <c r="L316">
        <f t="shared" si="8"/>
        <v>24668.989503816047</v>
      </c>
      <c r="M316" s="742">
        <v>1171.3120489999999</v>
      </c>
      <c r="N316">
        <f t="shared" si="9"/>
        <v>9020.8318349955262</v>
      </c>
    </row>
    <row r="317" spans="1:14" ht="15.5" x14ac:dyDescent="0.35">
      <c r="A317">
        <v>3390.6992934857199</v>
      </c>
      <c r="B317">
        <v>761.88154804355702</v>
      </c>
      <c r="C317">
        <v>1185.5025898389599</v>
      </c>
      <c r="D317" s="735">
        <v>8472.0235461526445</v>
      </c>
      <c r="E317" s="735">
        <v>20740.583632823418</v>
      </c>
      <c r="F317" s="735">
        <v>1100.4675619908082</v>
      </c>
      <c r="H317" s="741">
        <v>315</v>
      </c>
      <c r="I317" s="735">
        <v>268.59880236649002</v>
      </c>
      <c r="J317">
        <f t="shared" si="8"/>
        <v>1100.4675619908082</v>
      </c>
      <c r="K317" s="735">
        <v>2097.8512030000002</v>
      </c>
      <c r="L317">
        <f t="shared" si="8"/>
        <v>20740.583632823418</v>
      </c>
      <c r="M317" s="742">
        <v>1120.962303</v>
      </c>
      <c r="N317">
        <f t="shared" si="9"/>
        <v>8472.0235461526445</v>
      </c>
    </row>
    <row r="318" spans="1:14" ht="15.5" x14ac:dyDescent="0.35">
      <c r="A318">
        <v>20.178616991194001</v>
      </c>
      <c r="B318">
        <v>636.147609049165</v>
      </c>
      <c r="C318">
        <v>514.69254555021905</v>
      </c>
      <c r="D318" s="735">
        <v>10151.615740462901</v>
      </c>
      <c r="E318" s="735">
        <v>7126.9170565566428</v>
      </c>
      <c r="F318" s="735">
        <v>6219.9901515962956</v>
      </c>
      <c r="H318" s="741">
        <v>316</v>
      </c>
      <c r="I318" s="735">
        <v>902.92730795161003</v>
      </c>
      <c r="J318">
        <f t="shared" si="8"/>
        <v>6219.9901515962956</v>
      </c>
      <c r="K318" s="735">
        <v>993.18738140000005</v>
      </c>
      <c r="L318">
        <f t="shared" si="8"/>
        <v>7126.9170565566428</v>
      </c>
      <c r="M318" s="742">
        <v>1272.2563270000001</v>
      </c>
      <c r="N318">
        <f t="shared" si="9"/>
        <v>10151.615740462901</v>
      </c>
    </row>
    <row r="319" spans="1:14" ht="15.5" x14ac:dyDescent="0.35">
      <c r="A319">
        <v>879.08911710286895</v>
      </c>
      <c r="B319">
        <v>111.51632799919901</v>
      </c>
      <c r="C319">
        <v>1633.26339128259</v>
      </c>
      <c r="D319" s="735">
        <v>3988.3848145823308</v>
      </c>
      <c r="E319" s="735">
        <v>320103.82564706239</v>
      </c>
      <c r="F319" s="735">
        <v>703.05571709655726</v>
      </c>
      <c r="H319" s="741">
        <v>317</v>
      </c>
      <c r="I319" s="735">
        <v>196.287580101842</v>
      </c>
      <c r="J319">
        <f t="shared" si="8"/>
        <v>703.05571709655726</v>
      </c>
      <c r="K319" s="735">
        <v>14246.349850000001</v>
      </c>
      <c r="L319">
        <f t="shared" si="8"/>
        <v>320103.82564706239</v>
      </c>
      <c r="M319" s="742">
        <v>661.54278590000001</v>
      </c>
      <c r="N319">
        <f t="shared" si="9"/>
        <v>3988.3848145823308</v>
      </c>
    </row>
    <row r="320" spans="1:14" ht="15.5" x14ac:dyDescent="0.35">
      <c r="A320">
        <v>2481.9195543870401</v>
      </c>
      <c r="B320">
        <v>186.76931406254101</v>
      </c>
      <c r="C320">
        <v>61176.466157264498</v>
      </c>
      <c r="D320" s="735">
        <v>92051.077666340178</v>
      </c>
      <c r="E320" s="735">
        <v>4787875.61600383</v>
      </c>
      <c r="F320" s="735">
        <v>1166.1953702904793</v>
      </c>
      <c r="H320" s="741">
        <v>318</v>
      </c>
      <c r="I320" s="735">
        <v>279.73056278226198</v>
      </c>
      <c r="J320">
        <f t="shared" si="8"/>
        <v>1166.1953702904793</v>
      </c>
      <c r="K320" s="735">
        <v>94645.506899999993</v>
      </c>
      <c r="L320">
        <f t="shared" si="8"/>
        <v>4787875.61600383</v>
      </c>
      <c r="M320" s="742">
        <v>5954.1560689999997</v>
      </c>
      <c r="N320">
        <f t="shared" si="9"/>
        <v>92051.077666340178</v>
      </c>
    </row>
    <row r="321" spans="1:14" ht="15.5" x14ac:dyDescent="0.35">
      <c r="A321">
        <v>1398.14722872326</v>
      </c>
      <c r="B321">
        <v>877.95930924862296</v>
      </c>
      <c r="C321">
        <v>3602.0775790716798</v>
      </c>
      <c r="D321" s="735">
        <v>4145.4202384527343</v>
      </c>
      <c r="E321" s="735">
        <v>669449.34010157303</v>
      </c>
      <c r="F321" s="735">
        <v>4.5287323803410366</v>
      </c>
      <c r="H321" s="741">
        <v>319</v>
      </c>
      <c r="I321" s="735">
        <v>5.7435930346125801</v>
      </c>
      <c r="J321">
        <f t="shared" si="8"/>
        <v>4.5287323803410366</v>
      </c>
      <c r="K321" s="735">
        <v>23878.244920000001</v>
      </c>
      <c r="L321">
        <f t="shared" si="8"/>
        <v>669449.34010157303</v>
      </c>
      <c r="M321" s="742">
        <v>679.66983310000001</v>
      </c>
      <c r="N321">
        <f t="shared" si="9"/>
        <v>4145.4202384527343</v>
      </c>
    </row>
    <row r="322" spans="1:14" ht="15.5" x14ac:dyDescent="0.35">
      <c r="A322">
        <v>8284.3482999702101</v>
      </c>
      <c r="B322">
        <v>480.33206275064902</v>
      </c>
      <c r="C322">
        <v>32837.653131827901</v>
      </c>
      <c r="D322" s="735">
        <v>35155.784284270419</v>
      </c>
      <c r="E322" s="735">
        <v>1723570.2950259876</v>
      </c>
      <c r="F322" s="735">
        <v>1034.9743455306043</v>
      </c>
      <c r="H322" s="741">
        <v>320</v>
      </c>
      <c r="I322" s="735">
        <v>257.30647157165799</v>
      </c>
      <c r="J322">
        <f t="shared" si="8"/>
        <v>1034.9743455306043</v>
      </c>
      <c r="K322" s="735">
        <v>46291.398399999998</v>
      </c>
      <c r="L322">
        <f t="shared" si="8"/>
        <v>1723570.2950259876</v>
      </c>
      <c r="M322" s="742">
        <v>3035.2729650000001</v>
      </c>
      <c r="N322">
        <f t="shared" si="9"/>
        <v>35155.784284270419</v>
      </c>
    </row>
    <row r="323" spans="1:14" ht="15.5" x14ac:dyDescent="0.35">
      <c r="A323">
        <v>1216.13328271862</v>
      </c>
      <c r="B323">
        <v>1802.9184973588101</v>
      </c>
      <c r="C323">
        <v>1058.75349454669</v>
      </c>
      <c r="D323" s="735">
        <v>44217.310471624514</v>
      </c>
      <c r="E323" s="735">
        <v>44796.752415911003</v>
      </c>
      <c r="F323" s="735">
        <v>346.1880425971359</v>
      </c>
      <c r="H323" s="741">
        <v>321</v>
      </c>
      <c r="I323" s="735">
        <v>119.541429312689</v>
      </c>
      <c r="J323">
        <f t="shared" si="8"/>
        <v>346.1880425971359</v>
      </c>
      <c r="K323" s="735">
        <v>3596.4379469999999</v>
      </c>
      <c r="L323">
        <f t="shared" si="8"/>
        <v>44796.752415911003</v>
      </c>
      <c r="M323" s="742">
        <v>3563.8106889999999</v>
      </c>
      <c r="N323">
        <f t="shared" si="9"/>
        <v>44217.310471624514</v>
      </c>
    </row>
    <row r="324" spans="1:14" ht="15.5" x14ac:dyDescent="0.35">
      <c r="A324">
        <v>117.659137541497</v>
      </c>
      <c r="B324">
        <v>150.46992851460001</v>
      </c>
      <c r="C324">
        <v>21279.432462128301</v>
      </c>
      <c r="D324" s="735">
        <v>37503.964341884006</v>
      </c>
      <c r="E324" s="735">
        <v>15893.48206772521</v>
      </c>
      <c r="F324" s="735">
        <v>37721.946322914329</v>
      </c>
      <c r="H324" s="741">
        <v>322</v>
      </c>
      <c r="I324" s="735">
        <v>3188.7161761316302</v>
      </c>
      <c r="J324">
        <f t="shared" ref="J324:L387" si="10">(10^(LOG(I324)-0.3))^(1/0.7)</f>
        <v>37721.946322914329</v>
      </c>
      <c r="K324" s="735">
        <v>1741.2187670000001</v>
      </c>
      <c r="L324">
        <f t="shared" si="10"/>
        <v>15893.48206772521</v>
      </c>
      <c r="M324" s="742">
        <v>3175.8064319999999</v>
      </c>
      <c r="N324">
        <f t="shared" ref="N324:N387" si="11">(10^(LOG(M324)-0.3))^(1/0.7)</f>
        <v>37503.964341884006</v>
      </c>
    </row>
    <row r="325" spans="1:14" ht="15.5" x14ac:dyDescent="0.35">
      <c r="A325">
        <v>278.59993458236698</v>
      </c>
      <c r="B325">
        <v>22.567623193241801</v>
      </c>
      <c r="C325">
        <v>4623.4801698656001</v>
      </c>
      <c r="D325" s="735">
        <v>99015.351659529551</v>
      </c>
      <c r="E325" s="735">
        <v>32934.356145598438</v>
      </c>
      <c r="F325" s="735">
        <v>86673.256215112313</v>
      </c>
      <c r="H325" s="741">
        <v>323</v>
      </c>
      <c r="I325" s="735">
        <v>5708.4681065007098</v>
      </c>
      <c r="J325">
        <f t="shared" si="10"/>
        <v>86673.256215112313</v>
      </c>
      <c r="K325" s="735">
        <v>2899.7090520000002</v>
      </c>
      <c r="L325">
        <f t="shared" si="10"/>
        <v>32934.356145598438</v>
      </c>
      <c r="M325" s="742">
        <v>6266.0199599999996</v>
      </c>
      <c r="N325">
        <f t="shared" si="11"/>
        <v>99015.351659529551</v>
      </c>
    </row>
    <row r="326" spans="1:14" ht="15.5" x14ac:dyDescent="0.35">
      <c r="A326">
        <v>1510.4509344626799</v>
      </c>
      <c r="B326">
        <v>1170.4616953730599</v>
      </c>
      <c r="C326">
        <v>905.58010116658602</v>
      </c>
      <c r="D326" s="735">
        <v>11566.596359115589</v>
      </c>
      <c r="E326" s="735">
        <v>6.1450161676099189</v>
      </c>
      <c r="F326" s="735">
        <v>379.55650011909393</v>
      </c>
      <c r="H326" s="741">
        <v>324</v>
      </c>
      <c r="I326" s="735">
        <v>127.49510277073701</v>
      </c>
      <c r="J326">
        <f t="shared" si="10"/>
        <v>379.55650011909393</v>
      </c>
      <c r="K326" s="735">
        <v>7.1115803440000001</v>
      </c>
      <c r="L326">
        <f t="shared" si="10"/>
        <v>6.1450161676099189</v>
      </c>
      <c r="M326" s="742">
        <v>1393.9394400000001</v>
      </c>
      <c r="N326">
        <f t="shared" si="11"/>
        <v>11566.596359115589</v>
      </c>
    </row>
    <row r="327" spans="1:14" ht="15.5" x14ac:dyDescent="0.35">
      <c r="A327">
        <v>1637.2872486405699</v>
      </c>
      <c r="B327">
        <v>788.778097215603</v>
      </c>
      <c r="C327">
        <v>2673.9329106165201</v>
      </c>
      <c r="D327" s="735">
        <v>66954.867998440895</v>
      </c>
      <c r="E327" s="735">
        <v>1587.1716395930794</v>
      </c>
      <c r="F327" s="735">
        <v>323.89000362253648</v>
      </c>
      <c r="H327" s="741">
        <v>325</v>
      </c>
      <c r="I327" s="735">
        <v>114.098065478428</v>
      </c>
      <c r="J327">
        <f t="shared" si="10"/>
        <v>323.89000362253648</v>
      </c>
      <c r="K327" s="735">
        <v>347.08570420000001</v>
      </c>
      <c r="L327">
        <f t="shared" si="10"/>
        <v>1587.1716395930794</v>
      </c>
      <c r="M327" s="742">
        <v>4764.8311000000003</v>
      </c>
      <c r="N327">
        <f t="shared" si="11"/>
        <v>66954.867998440895</v>
      </c>
    </row>
    <row r="328" spans="1:14" ht="15.5" x14ac:dyDescent="0.35">
      <c r="A328">
        <v>181.055457330602</v>
      </c>
      <c r="B328">
        <v>39.157019949888898</v>
      </c>
      <c r="C328">
        <v>4060.4025824857499</v>
      </c>
      <c r="D328" s="735">
        <v>135068.78431193452</v>
      </c>
      <c r="E328" s="735">
        <v>535034.29889171408</v>
      </c>
      <c r="F328" s="735">
        <v>199.40864348935688</v>
      </c>
      <c r="H328" s="741">
        <v>326</v>
      </c>
      <c r="I328" s="735">
        <v>81.249516526776901</v>
      </c>
      <c r="J328">
        <f t="shared" si="10"/>
        <v>199.40864348935688</v>
      </c>
      <c r="K328" s="735">
        <v>20411.134129999999</v>
      </c>
      <c r="L328">
        <f t="shared" si="10"/>
        <v>535034.29889171408</v>
      </c>
      <c r="M328" s="742">
        <v>7787.3284709999998</v>
      </c>
      <c r="N328">
        <f t="shared" si="11"/>
        <v>135068.78431193452</v>
      </c>
    </row>
    <row r="329" spans="1:14" ht="15.5" x14ac:dyDescent="0.35">
      <c r="A329">
        <v>346.777649725657</v>
      </c>
      <c r="B329">
        <v>437.37998060289198</v>
      </c>
      <c r="C329">
        <v>24020.619992127598</v>
      </c>
      <c r="D329" s="735">
        <v>103597.954319631</v>
      </c>
      <c r="E329" s="735">
        <v>5244.8289482962218</v>
      </c>
      <c r="F329" s="735">
        <v>123.70865311397961</v>
      </c>
      <c r="H329" s="741">
        <v>327</v>
      </c>
      <c r="I329" s="735">
        <v>58.167453985867198</v>
      </c>
      <c r="J329">
        <f t="shared" si="10"/>
        <v>123.70865311397961</v>
      </c>
      <c r="K329" s="735">
        <v>801.33097459999999</v>
      </c>
      <c r="L329">
        <f t="shared" si="10"/>
        <v>5244.8289482962218</v>
      </c>
      <c r="M329" s="742">
        <v>6467.6398140000001</v>
      </c>
      <c r="N329">
        <f t="shared" si="11"/>
        <v>103597.954319631</v>
      </c>
    </row>
    <row r="330" spans="1:14" ht="15.5" x14ac:dyDescent="0.35">
      <c r="A330">
        <v>1015.41097397726</v>
      </c>
      <c r="B330">
        <v>52.765691940268198</v>
      </c>
      <c r="C330">
        <v>3111.3382372538599</v>
      </c>
      <c r="D330" s="735">
        <v>247500.45271526746</v>
      </c>
      <c r="E330" s="735">
        <v>1250.1335106520032</v>
      </c>
      <c r="F330" s="735">
        <v>59.505876402161377</v>
      </c>
      <c r="H330" s="741">
        <v>328</v>
      </c>
      <c r="I330" s="735">
        <v>34.8491266771615</v>
      </c>
      <c r="J330">
        <f t="shared" si="10"/>
        <v>59.505876402161377</v>
      </c>
      <c r="K330" s="735">
        <v>293.67669080000002</v>
      </c>
      <c r="L330">
        <f t="shared" si="10"/>
        <v>1250.1335106520032</v>
      </c>
      <c r="M330" s="742">
        <v>11898.80092</v>
      </c>
      <c r="N330">
        <f t="shared" si="11"/>
        <v>247500.45271526746</v>
      </c>
    </row>
    <row r="331" spans="1:14" ht="15.5" x14ac:dyDescent="0.35">
      <c r="A331">
        <v>3085.0009070822598</v>
      </c>
      <c r="B331">
        <v>604.41737258821399</v>
      </c>
      <c r="C331">
        <v>86.4066362202649</v>
      </c>
      <c r="D331" s="735">
        <v>53807.829302541686</v>
      </c>
      <c r="E331" s="735">
        <v>59849.883265420038</v>
      </c>
      <c r="F331" s="735">
        <v>4612.8682151212151</v>
      </c>
      <c r="H331" s="741">
        <v>329</v>
      </c>
      <c r="I331" s="735">
        <v>732.45295120947003</v>
      </c>
      <c r="J331">
        <f t="shared" si="10"/>
        <v>4612.8682151212151</v>
      </c>
      <c r="K331" s="735">
        <v>4404.9837980000002</v>
      </c>
      <c r="L331">
        <f t="shared" si="10"/>
        <v>59849.883265420038</v>
      </c>
      <c r="M331" s="742">
        <v>4088.7619890000001</v>
      </c>
      <c r="N331">
        <f t="shared" si="11"/>
        <v>53807.829302541686</v>
      </c>
    </row>
    <row r="332" spans="1:14" ht="15.5" x14ac:dyDescent="0.35">
      <c r="A332">
        <v>26.029412023952101</v>
      </c>
      <c r="B332">
        <v>2848.05691028309</v>
      </c>
      <c r="C332">
        <v>43839.954482680798</v>
      </c>
      <c r="D332" s="735">
        <v>4901.7549855599573</v>
      </c>
      <c r="E332" s="735">
        <v>640.74444259863378</v>
      </c>
      <c r="F332" s="735">
        <v>1337.4529778865037</v>
      </c>
      <c r="H332" s="741">
        <v>330</v>
      </c>
      <c r="I332" s="735">
        <v>307.889561741904</v>
      </c>
      <c r="J332">
        <f t="shared" si="10"/>
        <v>1337.4529778865037</v>
      </c>
      <c r="K332" s="735">
        <v>183.94136019999999</v>
      </c>
      <c r="L332">
        <f t="shared" si="10"/>
        <v>640.74444259863378</v>
      </c>
      <c r="M332" s="742">
        <v>764.26878039999997</v>
      </c>
      <c r="N332">
        <f t="shared" si="11"/>
        <v>4901.7549855599573</v>
      </c>
    </row>
    <row r="333" spans="1:14" ht="15.5" x14ac:dyDescent="0.35">
      <c r="A333">
        <v>21.347647222223699</v>
      </c>
      <c r="B333">
        <v>102.600310311431</v>
      </c>
      <c r="C333">
        <v>3646.7029950905999</v>
      </c>
      <c r="D333" s="735">
        <v>21224.010775152328</v>
      </c>
      <c r="E333" s="735">
        <v>284929.85946102138</v>
      </c>
      <c r="F333" s="735">
        <v>177.88970099449887</v>
      </c>
      <c r="H333" s="741">
        <v>331</v>
      </c>
      <c r="I333" s="735">
        <v>75.007650764114004</v>
      </c>
      <c r="J333">
        <f t="shared" si="10"/>
        <v>177.88970099449887</v>
      </c>
      <c r="K333" s="735">
        <v>13131.56763</v>
      </c>
      <c r="L333">
        <f t="shared" si="10"/>
        <v>284929.85946102138</v>
      </c>
      <c r="M333" s="742">
        <v>2131.9608250000001</v>
      </c>
      <c r="N333">
        <f t="shared" si="11"/>
        <v>21224.010775152328</v>
      </c>
    </row>
    <row r="334" spans="1:14" ht="15.5" x14ac:dyDescent="0.35">
      <c r="A334">
        <v>187.46091504024901</v>
      </c>
      <c r="B334">
        <v>817.38391075076595</v>
      </c>
      <c r="C334">
        <v>1008.10199485341</v>
      </c>
      <c r="D334" s="735">
        <v>44049.738331339802</v>
      </c>
      <c r="E334" s="735">
        <v>1261.9402989072837</v>
      </c>
      <c r="F334" s="735">
        <v>33461.640012533178</v>
      </c>
      <c r="H334" s="741">
        <v>332</v>
      </c>
      <c r="I334" s="735">
        <v>2932.1288821619301</v>
      </c>
      <c r="J334">
        <f t="shared" si="10"/>
        <v>33461.640012533178</v>
      </c>
      <c r="K334" s="735">
        <v>295.61547610000002</v>
      </c>
      <c r="L334">
        <f t="shared" si="10"/>
        <v>1261.9402989072837</v>
      </c>
      <c r="M334" s="742">
        <v>3554.3511629999998</v>
      </c>
      <c r="N334">
        <f t="shared" si="11"/>
        <v>44049.738331339802</v>
      </c>
    </row>
    <row r="335" spans="1:14" ht="15.5" x14ac:dyDescent="0.35">
      <c r="A335">
        <v>9204.8491785991391</v>
      </c>
      <c r="B335">
        <v>57.319465376537799</v>
      </c>
      <c r="C335">
        <v>1142.81755200404</v>
      </c>
      <c r="D335" s="735">
        <v>73059.706802036875</v>
      </c>
      <c r="E335" s="735">
        <v>118497.29324048354</v>
      </c>
      <c r="F335" s="735">
        <v>67683.062301788625</v>
      </c>
      <c r="H335" s="741">
        <v>333</v>
      </c>
      <c r="I335" s="735">
        <v>4801.04746959362</v>
      </c>
      <c r="J335">
        <f t="shared" si="10"/>
        <v>67683.062301788625</v>
      </c>
      <c r="K335" s="735">
        <v>7105.520571</v>
      </c>
      <c r="L335">
        <f t="shared" si="10"/>
        <v>118497.29324048354</v>
      </c>
      <c r="M335" s="742">
        <v>5064.9428280000002</v>
      </c>
      <c r="N335">
        <f t="shared" si="11"/>
        <v>73059.706802036875</v>
      </c>
    </row>
    <row r="336" spans="1:14" ht="15.5" x14ac:dyDescent="0.35">
      <c r="A336">
        <v>7420.8066953448097</v>
      </c>
      <c r="B336">
        <v>498.20233175262803</v>
      </c>
      <c r="C336">
        <v>6890.01855445821</v>
      </c>
      <c r="D336" s="735">
        <v>40886.74461788511</v>
      </c>
      <c r="E336" s="735">
        <v>234584.95937220121</v>
      </c>
      <c r="F336" s="735">
        <v>898.23007817412974</v>
      </c>
      <c r="H336" s="741">
        <v>334</v>
      </c>
      <c r="I336" s="735">
        <v>233.00825939409299</v>
      </c>
      <c r="J336">
        <f t="shared" si="10"/>
        <v>898.23007817412974</v>
      </c>
      <c r="K336" s="735">
        <v>11460.67282</v>
      </c>
      <c r="L336">
        <f t="shared" si="10"/>
        <v>234584.95937220121</v>
      </c>
      <c r="M336" s="742">
        <v>3373.7101950000001</v>
      </c>
      <c r="N336">
        <f t="shared" si="11"/>
        <v>40886.74461788511</v>
      </c>
    </row>
    <row r="337" spans="1:14" ht="15.5" x14ac:dyDescent="0.35">
      <c r="A337">
        <v>978.16116837232403</v>
      </c>
      <c r="B337">
        <v>537.92324894547903</v>
      </c>
      <c r="C337">
        <v>53.970265331893103</v>
      </c>
      <c r="D337" s="735">
        <v>21709.925034191401</v>
      </c>
      <c r="E337" s="735">
        <v>14247.685719443161</v>
      </c>
      <c r="F337" s="735">
        <v>2099.7079563269995</v>
      </c>
      <c r="H337" s="741">
        <v>335</v>
      </c>
      <c r="I337" s="735">
        <v>422.19319183561498</v>
      </c>
      <c r="J337">
        <f t="shared" si="10"/>
        <v>2099.7079563269995</v>
      </c>
      <c r="K337" s="735">
        <v>1612.95046</v>
      </c>
      <c r="L337">
        <f t="shared" si="10"/>
        <v>14247.685719443161</v>
      </c>
      <c r="M337" s="742">
        <v>2166.0118419999999</v>
      </c>
      <c r="N337">
        <f t="shared" si="11"/>
        <v>21709.925034191401</v>
      </c>
    </row>
    <row r="338" spans="1:14" ht="15.5" x14ac:dyDescent="0.35">
      <c r="A338">
        <v>53.918241139270897</v>
      </c>
      <c r="B338">
        <v>568.407292544303</v>
      </c>
      <c r="C338">
        <v>66615.378440120097</v>
      </c>
      <c r="D338" s="735">
        <v>126282.22249126047</v>
      </c>
      <c r="E338" s="735">
        <v>11977.857224816731</v>
      </c>
      <c r="F338" s="735">
        <v>2640.7561386640491</v>
      </c>
      <c r="H338" s="741">
        <v>336</v>
      </c>
      <c r="I338" s="735">
        <v>495.68960169906802</v>
      </c>
      <c r="J338">
        <f t="shared" si="10"/>
        <v>2640.7561386640491</v>
      </c>
      <c r="K338" s="735">
        <v>1428.4511480000001</v>
      </c>
      <c r="L338">
        <f t="shared" si="10"/>
        <v>11977.857224816731</v>
      </c>
      <c r="M338" s="742">
        <v>7429.1572610000003</v>
      </c>
      <c r="N338">
        <f t="shared" si="11"/>
        <v>126282.22249126047</v>
      </c>
    </row>
    <row r="339" spans="1:14" ht="15.5" x14ac:dyDescent="0.35">
      <c r="A339">
        <v>499.23107523238599</v>
      </c>
      <c r="B339">
        <v>631.11711495519205</v>
      </c>
      <c r="C339">
        <v>56426.968452793197</v>
      </c>
      <c r="D339" s="735">
        <v>126682.9564684582</v>
      </c>
      <c r="E339" s="735">
        <v>10633.565682683344</v>
      </c>
      <c r="F339" s="735">
        <v>75.028354067018142</v>
      </c>
      <c r="H339" s="741">
        <v>337</v>
      </c>
      <c r="I339" s="735">
        <v>40.9881006004087</v>
      </c>
      <c r="J339">
        <f t="shared" si="10"/>
        <v>75.028354067018142</v>
      </c>
      <c r="K339" s="735">
        <v>1314.2416989999999</v>
      </c>
      <c r="L339">
        <f t="shared" si="10"/>
        <v>10633.565682683344</v>
      </c>
      <c r="M339" s="742">
        <v>7445.6519850000004</v>
      </c>
      <c r="N339">
        <f t="shared" si="11"/>
        <v>126682.9564684582</v>
      </c>
    </row>
    <row r="340" spans="1:14" ht="15.5" x14ac:dyDescent="0.35">
      <c r="A340">
        <v>510.96899656225901</v>
      </c>
      <c r="B340">
        <v>498.64534837585597</v>
      </c>
      <c r="C340">
        <v>1091.68897016711</v>
      </c>
      <c r="D340" s="735">
        <v>2586.6794209119371</v>
      </c>
      <c r="E340" s="735">
        <v>8629.0043864376767</v>
      </c>
      <c r="F340" s="735">
        <v>32022.448784434058</v>
      </c>
      <c r="H340" s="741">
        <v>338</v>
      </c>
      <c r="I340" s="735">
        <v>2843.2704915845702</v>
      </c>
      <c r="J340">
        <f t="shared" si="10"/>
        <v>32022.448784434058</v>
      </c>
      <c r="K340" s="735">
        <v>1135.4616820000001</v>
      </c>
      <c r="L340">
        <f t="shared" si="10"/>
        <v>8629.0043864376767</v>
      </c>
      <c r="M340" s="742">
        <v>488.56215830000002</v>
      </c>
      <c r="N340">
        <f t="shared" si="11"/>
        <v>2586.6794209119371</v>
      </c>
    </row>
    <row r="341" spans="1:14" ht="15.5" x14ac:dyDescent="0.35">
      <c r="A341">
        <v>1975.4408495182199</v>
      </c>
      <c r="B341">
        <v>408.79811471502398</v>
      </c>
      <c r="C341">
        <v>194.10315252751101</v>
      </c>
      <c r="D341" s="735">
        <v>30089.410655291595</v>
      </c>
      <c r="E341" s="735">
        <v>5098.8672973749726</v>
      </c>
      <c r="F341" s="735">
        <v>5363.122894152204</v>
      </c>
      <c r="H341" s="741">
        <v>339</v>
      </c>
      <c r="I341" s="735">
        <v>813.94006057490799</v>
      </c>
      <c r="J341">
        <f t="shared" si="10"/>
        <v>5363.122894152204</v>
      </c>
      <c r="K341" s="735">
        <v>785.65448930000002</v>
      </c>
      <c r="L341">
        <f t="shared" si="10"/>
        <v>5098.8672973749726</v>
      </c>
      <c r="M341" s="742">
        <v>2722.0091269999998</v>
      </c>
      <c r="N341">
        <f t="shared" si="11"/>
        <v>30089.410655291595</v>
      </c>
    </row>
    <row r="342" spans="1:14" ht="15.5" x14ac:dyDescent="0.35">
      <c r="A342">
        <v>3654.1295522745299</v>
      </c>
      <c r="B342">
        <v>15.9150941412575</v>
      </c>
      <c r="C342">
        <v>1715.51789299747</v>
      </c>
      <c r="D342" s="735">
        <v>18673.294059936106</v>
      </c>
      <c r="E342" s="735">
        <v>225929.05830330361</v>
      </c>
      <c r="F342" s="735">
        <v>1335.1003757572967</v>
      </c>
      <c r="H342" s="741">
        <v>340</v>
      </c>
      <c r="I342" s="735">
        <v>307.51035361946998</v>
      </c>
      <c r="J342">
        <f t="shared" si="10"/>
        <v>1335.1003757572967</v>
      </c>
      <c r="K342" s="735">
        <v>11162.988170000001</v>
      </c>
      <c r="L342">
        <f t="shared" si="10"/>
        <v>225929.05830330361</v>
      </c>
      <c r="M342" s="742">
        <v>1949.1921580000001</v>
      </c>
      <c r="N342">
        <f t="shared" si="11"/>
        <v>18673.294059936106</v>
      </c>
    </row>
    <row r="343" spans="1:14" ht="15.5" x14ac:dyDescent="0.35">
      <c r="A343">
        <v>14336.760638177801</v>
      </c>
      <c r="B343">
        <v>47.845448705949103</v>
      </c>
      <c r="C343">
        <v>2203.1642264840302</v>
      </c>
      <c r="D343" s="735">
        <v>29716.996706828046</v>
      </c>
      <c r="E343" s="735">
        <v>33.819331590719841</v>
      </c>
      <c r="F343" s="735">
        <v>9991.4653899452769</v>
      </c>
      <c r="H343" s="741">
        <v>341</v>
      </c>
      <c r="I343" s="735">
        <v>1258.1732048505401</v>
      </c>
      <c r="J343">
        <f t="shared" si="10"/>
        <v>9991.4653899452769</v>
      </c>
      <c r="K343" s="735">
        <v>23.464727440000001</v>
      </c>
      <c r="L343">
        <f t="shared" si="10"/>
        <v>33.819331590719841</v>
      </c>
      <c r="M343" s="742">
        <v>2698.382063</v>
      </c>
      <c r="N343">
        <f t="shared" si="11"/>
        <v>29716.996706828046</v>
      </c>
    </row>
    <row r="344" spans="1:14" ht="15.5" x14ac:dyDescent="0.35">
      <c r="A344">
        <v>34.862361672166998</v>
      </c>
      <c r="B344">
        <v>3186.5913163032301</v>
      </c>
      <c r="C344">
        <v>2410.8123846347698</v>
      </c>
      <c r="D344" s="735">
        <v>14314.641913326228</v>
      </c>
      <c r="E344" s="735">
        <v>350.88095401091289</v>
      </c>
      <c r="F344" s="735">
        <v>50596.280044259001</v>
      </c>
      <c r="H344" s="741">
        <v>342</v>
      </c>
      <c r="I344" s="735">
        <v>3916.3636535528799</v>
      </c>
      <c r="J344">
        <f t="shared" si="10"/>
        <v>50596.280044259001</v>
      </c>
      <c r="K344" s="735">
        <v>120.6734854</v>
      </c>
      <c r="L344">
        <f t="shared" si="10"/>
        <v>350.88095401091289</v>
      </c>
      <c r="M344" s="742">
        <v>1618.252706</v>
      </c>
      <c r="N344">
        <f t="shared" si="11"/>
        <v>14314.641913326228</v>
      </c>
    </row>
    <row r="345" spans="1:14" ht="15.5" x14ac:dyDescent="0.35">
      <c r="A345">
        <v>68.837040794302595</v>
      </c>
      <c r="B345">
        <v>464.63758593446499</v>
      </c>
      <c r="C345">
        <v>20.425524514292501</v>
      </c>
      <c r="D345" s="735">
        <v>1442.3743206904378</v>
      </c>
      <c r="E345" s="735">
        <v>18826.103163902826</v>
      </c>
      <c r="F345" s="735">
        <v>404.02906629983914</v>
      </c>
      <c r="H345" s="741">
        <v>343</v>
      </c>
      <c r="I345" s="735">
        <v>133.19527747156999</v>
      </c>
      <c r="J345">
        <f t="shared" si="10"/>
        <v>404.02906629983914</v>
      </c>
      <c r="K345" s="735">
        <v>1960.344073</v>
      </c>
      <c r="L345">
        <f t="shared" si="10"/>
        <v>18826.103163902826</v>
      </c>
      <c r="M345" s="742">
        <v>324.60453819999998</v>
      </c>
      <c r="N345">
        <f t="shared" si="11"/>
        <v>1442.3743206904378</v>
      </c>
    </row>
    <row r="346" spans="1:14" ht="15.5" x14ac:dyDescent="0.35">
      <c r="A346">
        <v>316.047363594128</v>
      </c>
      <c r="B346">
        <v>349.15516069840902</v>
      </c>
      <c r="C346">
        <v>14.252176834792699</v>
      </c>
      <c r="D346" s="735">
        <v>12226.628746750179</v>
      </c>
      <c r="E346" s="735">
        <v>1731.1920685090226</v>
      </c>
      <c r="F346" s="735">
        <v>281.56225950787916</v>
      </c>
      <c r="H346" s="741">
        <v>344</v>
      </c>
      <c r="I346" s="735">
        <v>103.443238653905</v>
      </c>
      <c r="J346">
        <f t="shared" si="10"/>
        <v>281.56225950787916</v>
      </c>
      <c r="K346" s="735">
        <v>368.84311200000002</v>
      </c>
      <c r="L346">
        <f t="shared" si="10"/>
        <v>1731.1920685090226</v>
      </c>
      <c r="M346" s="742">
        <v>1449.1545599999999</v>
      </c>
      <c r="N346">
        <f t="shared" si="11"/>
        <v>12226.628746750179</v>
      </c>
    </row>
    <row r="347" spans="1:14" ht="15.5" x14ac:dyDescent="0.35">
      <c r="A347">
        <v>2253.5917672455998</v>
      </c>
      <c r="B347">
        <v>237.219361317184</v>
      </c>
      <c r="C347">
        <v>78064.990740480498</v>
      </c>
      <c r="D347" s="735">
        <v>159743.05941094115</v>
      </c>
      <c r="E347" s="735">
        <v>1334973.4585702568</v>
      </c>
      <c r="F347" s="735">
        <v>516.42348357357639</v>
      </c>
      <c r="H347" s="741">
        <v>345</v>
      </c>
      <c r="I347" s="735">
        <v>158.16274290997899</v>
      </c>
      <c r="J347">
        <f t="shared" si="10"/>
        <v>516.42348357357639</v>
      </c>
      <c r="K347" s="735">
        <v>38710.683709999998</v>
      </c>
      <c r="L347">
        <f t="shared" si="10"/>
        <v>1334973.4585702568</v>
      </c>
      <c r="M347" s="742">
        <v>8757.8075700000009</v>
      </c>
      <c r="N347">
        <f t="shared" si="11"/>
        <v>159743.05941094115</v>
      </c>
    </row>
    <row r="348" spans="1:14" ht="15.5" x14ac:dyDescent="0.35">
      <c r="A348">
        <v>12.307428084162099</v>
      </c>
      <c r="B348">
        <v>671.239524121714</v>
      </c>
      <c r="C348">
        <v>4026.7950447816802</v>
      </c>
      <c r="D348" s="735">
        <v>34591.65289736633</v>
      </c>
      <c r="E348" s="735">
        <v>1603.9031129844636</v>
      </c>
      <c r="F348" s="735">
        <v>4967.8203661763573</v>
      </c>
      <c r="H348" s="741">
        <v>346</v>
      </c>
      <c r="I348" s="735">
        <v>771.46480608585</v>
      </c>
      <c r="J348">
        <f t="shared" si="10"/>
        <v>4967.8203661763573</v>
      </c>
      <c r="K348" s="735">
        <v>349.64288190000002</v>
      </c>
      <c r="L348">
        <f t="shared" si="10"/>
        <v>1603.9031129844636</v>
      </c>
      <c r="M348" s="742">
        <v>3001.0962220000001</v>
      </c>
      <c r="N348">
        <f t="shared" si="11"/>
        <v>34591.65289736633</v>
      </c>
    </row>
    <row r="349" spans="1:14" ht="15.5" x14ac:dyDescent="0.35">
      <c r="A349">
        <v>23.952965818519701</v>
      </c>
      <c r="B349">
        <v>42.194842060568703</v>
      </c>
      <c r="C349">
        <v>45.4675338638529</v>
      </c>
      <c r="D349" s="735">
        <v>207611.00142763701</v>
      </c>
      <c r="E349" s="735">
        <v>193218.66924283939</v>
      </c>
      <c r="F349" s="735">
        <v>4517.8506141207508</v>
      </c>
      <c r="H349" s="741">
        <v>347</v>
      </c>
      <c r="I349" s="735">
        <v>721.85888540505096</v>
      </c>
      <c r="J349">
        <f t="shared" si="10"/>
        <v>4517.8506141207508</v>
      </c>
      <c r="K349" s="735">
        <v>10005.39781</v>
      </c>
      <c r="L349">
        <f t="shared" si="10"/>
        <v>193218.66924283939</v>
      </c>
      <c r="M349" s="742">
        <v>10521.44173</v>
      </c>
      <c r="N349">
        <f t="shared" si="11"/>
        <v>207611.00142763701</v>
      </c>
    </row>
    <row r="350" spans="1:14" ht="15.5" x14ac:dyDescent="0.35">
      <c r="A350">
        <v>29.889912953138701</v>
      </c>
      <c r="B350">
        <v>695.62318037298803</v>
      </c>
      <c r="C350">
        <v>1251.8053446220499</v>
      </c>
      <c r="D350" s="735">
        <v>28909.78877952851</v>
      </c>
      <c r="E350" s="735">
        <v>7936.3059674403385</v>
      </c>
      <c r="F350" s="735">
        <v>574.16900363457978</v>
      </c>
      <c r="H350" s="741">
        <v>348</v>
      </c>
      <c r="I350" s="735">
        <v>170.34438414245599</v>
      </c>
      <c r="J350">
        <f t="shared" si="10"/>
        <v>574.16900363457978</v>
      </c>
      <c r="K350" s="735">
        <v>1070.860457</v>
      </c>
      <c r="L350">
        <f t="shared" si="10"/>
        <v>7936.3059674403385</v>
      </c>
      <c r="M350" s="742">
        <v>2646.8628779999999</v>
      </c>
      <c r="N350">
        <f t="shared" si="11"/>
        <v>28909.78877952851</v>
      </c>
    </row>
    <row r="351" spans="1:14" ht="15.5" x14ac:dyDescent="0.35">
      <c r="A351">
        <v>11.5360096968123</v>
      </c>
      <c r="B351">
        <v>251.44624068234199</v>
      </c>
      <c r="C351">
        <v>8359.7402587931902</v>
      </c>
      <c r="D351" s="735">
        <v>10967.301028258855</v>
      </c>
      <c r="E351" s="735">
        <v>420443.12603842065</v>
      </c>
      <c r="F351" s="735">
        <v>119.15766151632494</v>
      </c>
      <c r="H351" s="741">
        <v>349</v>
      </c>
      <c r="I351" s="735">
        <v>56.661149390162798</v>
      </c>
      <c r="J351">
        <f t="shared" si="10"/>
        <v>119.15766151632494</v>
      </c>
      <c r="K351" s="735">
        <v>17242.295330000001</v>
      </c>
      <c r="L351">
        <f t="shared" si="10"/>
        <v>420443.12603842065</v>
      </c>
      <c r="M351" s="742">
        <v>1342.980896</v>
      </c>
      <c r="N351">
        <f t="shared" si="11"/>
        <v>10967.301028258855</v>
      </c>
    </row>
    <row r="352" spans="1:14" ht="15.5" x14ac:dyDescent="0.35">
      <c r="A352">
        <v>300.64747160408098</v>
      </c>
      <c r="B352">
        <v>419.832687172779</v>
      </c>
      <c r="C352">
        <v>1133.1509888430401</v>
      </c>
      <c r="D352" s="735">
        <v>9796.5289820028938</v>
      </c>
      <c r="E352" s="735">
        <v>17536.758991000759</v>
      </c>
      <c r="F352" s="735">
        <v>166.0905389372648</v>
      </c>
      <c r="H352" s="741">
        <v>350</v>
      </c>
      <c r="I352" s="735">
        <v>71.489362783083493</v>
      </c>
      <c r="J352">
        <f t="shared" si="10"/>
        <v>166.0905389372648</v>
      </c>
      <c r="K352" s="735">
        <v>1865.368048</v>
      </c>
      <c r="L352">
        <f t="shared" si="10"/>
        <v>17536.758991000759</v>
      </c>
      <c r="M352" s="742">
        <v>1240.939359</v>
      </c>
      <c r="N352">
        <f t="shared" si="11"/>
        <v>9796.5289820028938</v>
      </c>
    </row>
    <row r="353" spans="1:14" ht="15.5" x14ac:dyDescent="0.35">
      <c r="A353">
        <v>2949.0492315023398</v>
      </c>
      <c r="B353">
        <v>359.724959881742</v>
      </c>
      <c r="C353">
        <v>215.71904141213301</v>
      </c>
      <c r="D353" s="735">
        <v>77965.488009795168</v>
      </c>
      <c r="E353" s="735">
        <v>7802.4454346644488</v>
      </c>
      <c r="F353" s="735">
        <v>3677.9052559744873</v>
      </c>
      <c r="H353" s="741">
        <v>351</v>
      </c>
      <c r="I353" s="735">
        <v>625.05808381337999</v>
      </c>
      <c r="J353">
        <f t="shared" si="10"/>
        <v>3677.9052559744873</v>
      </c>
      <c r="K353" s="735">
        <v>1058.184798</v>
      </c>
      <c r="L353">
        <f t="shared" si="10"/>
        <v>7802.4454346644488</v>
      </c>
      <c r="M353" s="742">
        <v>5300.6811509999998</v>
      </c>
      <c r="N353">
        <f t="shared" si="11"/>
        <v>77965.488009795168</v>
      </c>
    </row>
    <row r="354" spans="1:14" ht="15.5" x14ac:dyDescent="0.35">
      <c r="A354">
        <v>261.62451855573403</v>
      </c>
      <c r="B354">
        <v>690.82071727890002</v>
      </c>
      <c r="C354">
        <v>818.24482080658402</v>
      </c>
      <c r="D354" s="735">
        <v>21436.839030907609</v>
      </c>
      <c r="E354" s="735">
        <v>813791.85531525814</v>
      </c>
      <c r="F354" s="735">
        <v>477.45403025610324</v>
      </c>
      <c r="H354" s="741">
        <v>352</v>
      </c>
      <c r="I354" s="735">
        <v>149.71044268361001</v>
      </c>
      <c r="J354">
        <f t="shared" si="10"/>
        <v>477.45403025610324</v>
      </c>
      <c r="K354" s="735">
        <v>27375.328369999999</v>
      </c>
      <c r="L354">
        <f t="shared" si="10"/>
        <v>813791.85531525814</v>
      </c>
      <c r="M354" s="742">
        <v>2146.9034940000001</v>
      </c>
      <c r="N354">
        <f t="shared" si="11"/>
        <v>21436.839030907609</v>
      </c>
    </row>
    <row r="355" spans="1:14" ht="15.5" x14ac:dyDescent="0.35">
      <c r="A355">
        <v>216.74567737070501</v>
      </c>
      <c r="B355">
        <v>426.71142209287501</v>
      </c>
      <c r="C355">
        <v>211.72619630710099</v>
      </c>
      <c r="D355" s="735">
        <v>21497.142271587338</v>
      </c>
      <c r="E355" s="735">
        <v>23052.02317610685</v>
      </c>
      <c r="F355" s="735">
        <v>372.95684847612864</v>
      </c>
      <c r="H355" s="741">
        <v>353</v>
      </c>
      <c r="I355" s="735">
        <v>125.939223266382</v>
      </c>
      <c r="J355">
        <f t="shared" si="10"/>
        <v>372.95684847612864</v>
      </c>
      <c r="K355" s="735">
        <v>2258.8965039999998</v>
      </c>
      <c r="L355">
        <f t="shared" si="10"/>
        <v>23052.02317610685</v>
      </c>
      <c r="M355" s="742">
        <v>2151.1292790000002</v>
      </c>
      <c r="N355">
        <f t="shared" si="11"/>
        <v>21497.142271587338</v>
      </c>
    </row>
    <row r="356" spans="1:14" ht="15.5" x14ac:dyDescent="0.35">
      <c r="A356">
        <v>86.381984694732196</v>
      </c>
      <c r="B356">
        <v>387.70110292197501</v>
      </c>
      <c r="C356">
        <v>1154.9665075231801</v>
      </c>
      <c r="D356" s="735">
        <v>41877.500544689326</v>
      </c>
      <c r="E356" s="735">
        <v>2875.1522900925293</v>
      </c>
      <c r="F356" s="735">
        <v>10677.285251057809</v>
      </c>
      <c r="H356" s="741">
        <v>354</v>
      </c>
      <c r="I356" s="735">
        <v>1318.0217946207699</v>
      </c>
      <c r="J356">
        <f t="shared" si="10"/>
        <v>10677.285251057809</v>
      </c>
      <c r="K356" s="735">
        <v>526.09308959999998</v>
      </c>
      <c r="L356">
        <f t="shared" si="10"/>
        <v>2875.1522900925293</v>
      </c>
      <c r="M356" s="742">
        <v>3430.7298959999998</v>
      </c>
      <c r="N356">
        <f t="shared" si="11"/>
        <v>41877.500544689326</v>
      </c>
    </row>
    <row r="357" spans="1:14" ht="15.5" x14ac:dyDescent="0.35">
      <c r="A357">
        <v>60.028347517791801</v>
      </c>
      <c r="B357">
        <v>3177.8249824878699</v>
      </c>
      <c r="C357">
        <v>30208.704224183901</v>
      </c>
      <c r="D357" s="735">
        <v>78250.942659066859</v>
      </c>
      <c r="E357" s="735">
        <v>34174.675128633113</v>
      </c>
      <c r="F357" s="735">
        <v>1222.2453459268563</v>
      </c>
      <c r="H357" s="741">
        <v>355</v>
      </c>
      <c r="I357" s="735">
        <v>289.07522647450998</v>
      </c>
      <c r="J357">
        <f t="shared" si="10"/>
        <v>1222.2453459268563</v>
      </c>
      <c r="K357" s="735">
        <v>2975.7269369999999</v>
      </c>
      <c r="L357">
        <f t="shared" si="10"/>
        <v>34174.675128633113</v>
      </c>
      <c r="M357" s="742">
        <v>5314.2588519999999</v>
      </c>
      <c r="N357">
        <f t="shared" si="11"/>
        <v>78250.942659066859</v>
      </c>
    </row>
    <row r="358" spans="1:14" ht="15.5" x14ac:dyDescent="0.35">
      <c r="A358">
        <v>2113.6720391973099</v>
      </c>
      <c r="B358">
        <v>354.75645546999999</v>
      </c>
      <c r="C358">
        <v>22146.040741702502</v>
      </c>
      <c r="D358" s="735">
        <v>25488.121005474022</v>
      </c>
      <c r="E358" s="735">
        <v>11350.167335871045</v>
      </c>
      <c r="F358" s="735">
        <v>19961.551046095403</v>
      </c>
      <c r="H358" s="741">
        <v>356</v>
      </c>
      <c r="I358" s="735">
        <v>2042.3774115230999</v>
      </c>
      <c r="J358">
        <f t="shared" si="10"/>
        <v>19961.551046095403</v>
      </c>
      <c r="K358" s="735">
        <v>1375.629831</v>
      </c>
      <c r="L358">
        <f t="shared" si="10"/>
        <v>11350.167335871045</v>
      </c>
      <c r="M358" s="742">
        <v>2423.4634500000002</v>
      </c>
      <c r="N358">
        <f t="shared" si="11"/>
        <v>25488.121005474022</v>
      </c>
    </row>
    <row r="359" spans="1:14" ht="15.5" x14ac:dyDescent="0.35">
      <c r="A359">
        <v>1202.1167944061999</v>
      </c>
      <c r="B359">
        <v>271.01224669359601</v>
      </c>
      <c r="C359">
        <v>1493.81694704305</v>
      </c>
      <c r="D359" s="735">
        <v>17331.513587693385</v>
      </c>
      <c r="E359" s="735">
        <v>2407.2865927093781</v>
      </c>
      <c r="F359" s="735">
        <v>5932.4299141740485</v>
      </c>
      <c r="H359" s="741">
        <v>357</v>
      </c>
      <c r="I359" s="735">
        <v>873.49984310038803</v>
      </c>
      <c r="J359">
        <f t="shared" si="10"/>
        <v>5932.4299141740485</v>
      </c>
      <c r="K359" s="735">
        <v>464.58957240000001</v>
      </c>
      <c r="L359">
        <f t="shared" si="10"/>
        <v>2407.2865927093781</v>
      </c>
      <c r="M359" s="742">
        <v>1850.0588540000001</v>
      </c>
      <c r="N359">
        <f t="shared" si="11"/>
        <v>17331.513587693385</v>
      </c>
    </row>
    <row r="360" spans="1:14" ht="15.5" x14ac:dyDescent="0.35">
      <c r="A360">
        <v>81.115588027177196</v>
      </c>
      <c r="B360">
        <v>104.634537560133</v>
      </c>
      <c r="C360">
        <v>4631.5877225366203</v>
      </c>
      <c r="D360" s="735">
        <v>15499.157296981219</v>
      </c>
      <c r="E360" s="735">
        <v>178055.47796034929</v>
      </c>
      <c r="F360" s="735">
        <v>26141.774517438629</v>
      </c>
      <c r="H360" s="741">
        <v>358</v>
      </c>
      <c r="I360" s="735">
        <v>2466.8034381974499</v>
      </c>
      <c r="J360">
        <f t="shared" si="10"/>
        <v>26141.774517438629</v>
      </c>
      <c r="K360" s="735">
        <v>9449.0628489999999</v>
      </c>
      <c r="L360">
        <f t="shared" si="10"/>
        <v>178055.47796034929</v>
      </c>
      <c r="M360" s="742">
        <v>1710.8646779999999</v>
      </c>
      <c r="N360">
        <f t="shared" si="11"/>
        <v>15499.157296981219</v>
      </c>
    </row>
    <row r="361" spans="1:14" ht="15.5" x14ac:dyDescent="0.35">
      <c r="A361">
        <v>377.10710018446798</v>
      </c>
      <c r="B361">
        <v>551.57383770243905</v>
      </c>
      <c r="C361">
        <v>18.141500853432799</v>
      </c>
      <c r="D361" s="735">
        <v>410314.57533257408</v>
      </c>
      <c r="E361" s="735">
        <v>266067.02717214008</v>
      </c>
      <c r="F361" s="735">
        <v>30.785164080240765</v>
      </c>
      <c r="H361" s="741">
        <v>359</v>
      </c>
      <c r="I361" s="735">
        <v>21.970453976498401</v>
      </c>
      <c r="J361">
        <f t="shared" si="10"/>
        <v>30.785164080240765</v>
      </c>
      <c r="K361" s="735">
        <v>12516.812309999999</v>
      </c>
      <c r="L361">
        <f t="shared" si="10"/>
        <v>266067.02717214008</v>
      </c>
      <c r="M361" s="742">
        <v>16950.474539999999</v>
      </c>
      <c r="N361">
        <f t="shared" si="11"/>
        <v>410314.57533257408</v>
      </c>
    </row>
    <row r="362" spans="1:14" ht="15.5" x14ac:dyDescent="0.35">
      <c r="A362">
        <v>28361.0031402321</v>
      </c>
      <c r="B362">
        <v>193.67172980006401</v>
      </c>
      <c r="C362">
        <v>438.14833819621703</v>
      </c>
      <c r="D362" s="735">
        <v>58105.361403454299</v>
      </c>
      <c r="E362" s="735">
        <v>7076525.8348144582</v>
      </c>
      <c r="F362" s="735">
        <v>157.99391010686747</v>
      </c>
      <c r="H362" s="741">
        <v>360</v>
      </c>
      <c r="I362" s="735">
        <v>69.031648265730098</v>
      </c>
      <c r="J362">
        <f t="shared" si="10"/>
        <v>157.99391010686747</v>
      </c>
      <c r="K362" s="735">
        <v>124415.3792</v>
      </c>
      <c r="L362">
        <f t="shared" si="10"/>
        <v>7076525.8348144582</v>
      </c>
      <c r="M362" s="742">
        <v>4314.7073520000004</v>
      </c>
      <c r="N362">
        <f t="shared" si="11"/>
        <v>58105.361403454299</v>
      </c>
    </row>
    <row r="363" spans="1:14" ht="15.5" x14ac:dyDescent="0.35">
      <c r="A363">
        <v>141.12768280163399</v>
      </c>
      <c r="B363">
        <v>2891.9756954077102</v>
      </c>
      <c r="C363">
        <v>8666.91309514569</v>
      </c>
      <c r="D363" s="735">
        <v>34254.537470646857</v>
      </c>
      <c r="E363" s="735">
        <v>394.47343180233133</v>
      </c>
      <c r="F363" s="735">
        <v>133.53008134000089</v>
      </c>
      <c r="H363" s="741">
        <v>361</v>
      </c>
      <c r="I363" s="735">
        <v>61.362829830894597</v>
      </c>
      <c r="J363">
        <f t="shared" si="10"/>
        <v>133.53008134000089</v>
      </c>
      <c r="K363" s="735">
        <v>130.98224529999999</v>
      </c>
      <c r="L363">
        <f t="shared" si="10"/>
        <v>394.47343180233133</v>
      </c>
      <c r="M363" s="742">
        <v>2980.5929879999999</v>
      </c>
      <c r="N363">
        <f t="shared" si="11"/>
        <v>34254.537470646857</v>
      </c>
    </row>
    <row r="364" spans="1:14" ht="15.5" x14ac:dyDescent="0.35">
      <c r="A364">
        <v>13.704832554675001</v>
      </c>
      <c r="B364">
        <v>590.76600350137903</v>
      </c>
      <c r="C364">
        <v>61.993372957469397</v>
      </c>
      <c r="D364" s="735">
        <v>4841.1608504019705</v>
      </c>
      <c r="E364" s="735">
        <v>2567.5484699926478</v>
      </c>
      <c r="F364" s="735">
        <v>765.74373703681306</v>
      </c>
      <c r="H364" s="741">
        <v>362</v>
      </c>
      <c r="I364" s="735">
        <v>208.38114373568101</v>
      </c>
      <c r="J364">
        <f t="shared" si="10"/>
        <v>765.74373703681306</v>
      </c>
      <c r="K364" s="735">
        <v>486.02997640000001</v>
      </c>
      <c r="L364">
        <f t="shared" si="10"/>
        <v>2567.5484699926478</v>
      </c>
      <c r="M364" s="742">
        <v>757.64307629999996</v>
      </c>
      <c r="N364">
        <f t="shared" si="11"/>
        <v>4841.1608504019705</v>
      </c>
    </row>
    <row r="365" spans="1:14" ht="15.5" x14ac:dyDescent="0.35">
      <c r="A365">
        <v>1706.5196924520301</v>
      </c>
      <c r="B365">
        <v>22.023732401926299</v>
      </c>
      <c r="C365">
        <v>6981.5529956247701</v>
      </c>
      <c r="D365" s="735">
        <v>19882.648387222398</v>
      </c>
      <c r="E365" s="735">
        <v>46027.739474380141</v>
      </c>
      <c r="F365" s="735">
        <v>6593.7500608675527</v>
      </c>
      <c r="H365" s="741">
        <v>363</v>
      </c>
      <c r="I365" s="735">
        <v>940.57349577976004</v>
      </c>
      <c r="J365">
        <f t="shared" si="10"/>
        <v>6593.7500608675527</v>
      </c>
      <c r="K365" s="735">
        <v>3665.335662</v>
      </c>
      <c r="L365">
        <f t="shared" si="10"/>
        <v>46027.739474380141</v>
      </c>
      <c r="M365" s="742">
        <v>2036.722976</v>
      </c>
      <c r="N365">
        <f t="shared" si="11"/>
        <v>19882.648387222398</v>
      </c>
    </row>
    <row r="366" spans="1:14" ht="15.5" x14ac:dyDescent="0.35">
      <c r="A366">
        <v>374.00080268119501</v>
      </c>
      <c r="B366">
        <v>67.694246491262703</v>
      </c>
      <c r="C366">
        <v>1986.9323767559099</v>
      </c>
      <c r="D366" s="735">
        <v>5451.2628342453336</v>
      </c>
      <c r="E366" s="735">
        <v>836082.56542675418</v>
      </c>
      <c r="F366" s="735">
        <v>946.2096993779279</v>
      </c>
      <c r="H366" s="741">
        <v>364</v>
      </c>
      <c r="I366" s="735">
        <v>241.65243570430599</v>
      </c>
      <c r="J366">
        <f t="shared" si="10"/>
        <v>946.2096993779279</v>
      </c>
      <c r="K366" s="735">
        <v>27898.08654</v>
      </c>
      <c r="L366">
        <f t="shared" si="10"/>
        <v>836082.56542675418</v>
      </c>
      <c r="M366" s="742">
        <v>823.28079679999996</v>
      </c>
      <c r="N366">
        <f t="shared" si="11"/>
        <v>5451.2628342453336</v>
      </c>
    </row>
    <row r="367" spans="1:14" ht="15.5" x14ac:dyDescent="0.35">
      <c r="A367">
        <v>4559.2592524108204</v>
      </c>
      <c r="B367">
        <v>143.65583546691701</v>
      </c>
      <c r="C367">
        <v>549.21829549536801</v>
      </c>
      <c r="D367" s="735">
        <v>33685.380207852439</v>
      </c>
      <c r="E367" s="735">
        <v>39301.197912686221</v>
      </c>
      <c r="F367" s="735">
        <v>68.351458451586453</v>
      </c>
      <c r="H367" s="741">
        <v>365</v>
      </c>
      <c r="I367" s="735">
        <v>38.399312606095201</v>
      </c>
      <c r="J367">
        <f t="shared" si="10"/>
        <v>68.351458451586453</v>
      </c>
      <c r="K367" s="735">
        <v>3281.5879749999999</v>
      </c>
      <c r="L367">
        <f t="shared" si="10"/>
        <v>39301.197912686221</v>
      </c>
      <c r="M367" s="742">
        <v>2945.8390680000002</v>
      </c>
      <c r="N367">
        <f t="shared" si="11"/>
        <v>33685.380207852439</v>
      </c>
    </row>
    <row r="368" spans="1:14" ht="15.5" x14ac:dyDescent="0.35">
      <c r="A368">
        <v>45.562912923657002</v>
      </c>
      <c r="B368">
        <v>352.35515349740098</v>
      </c>
      <c r="C368">
        <v>431.04755213795499</v>
      </c>
      <c r="D368" s="735">
        <v>44512.681835199786</v>
      </c>
      <c r="E368" s="735">
        <v>29589.119465682033</v>
      </c>
      <c r="F368" s="735">
        <v>1190.6219456376941</v>
      </c>
      <c r="H368" s="741">
        <v>366</v>
      </c>
      <c r="I368" s="735">
        <v>283.81916516442197</v>
      </c>
      <c r="J368">
        <f t="shared" si="10"/>
        <v>1190.6219456376941</v>
      </c>
      <c r="K368" s="735">
        <v>2690.2486920000001</v>
      </c>
      <c r="L368">
        <f t="shared" si="10"/>
        <v>29589.119465682033</v>
      </c>
      <c r="M368" s="742">
        <v>3580.4584030000001</v>
      </c>
      <c r="N368">
        <f t="shared" si="11"/>
        <v>44512.681835199786</v>
      </c>
    </row>
    <row r="369" spans="1:14" ht="15.5" x14ac:dyDescent="0.35">
      <c r="A369">
        <v>1936.4172392405401</v>
      </c>
      <c r="B369">
        <v>76.792231801466897</v>
      </c>
      <c r="C369">
        <v>499.14475847106399</v>
      </c>
      <c r="D369" s="735">
        <v>5864.9325059118919</v>
      </c>
      <c r="E369" s="735">
        <v>38950.171989625553</v>
      </c>
      <c r="F369" s="735">
        <v>1142.1788510290669</v>
      </c>
      <c r="H369" s="741">
        <v>367</v>
      </c>
      <c r="I369" s="735">
        <v>275.68547179580798</v>
      </c>
      <c r="J369">
        <f t="shared" si="10"/>
        <v>1142.1788510290669</v>
      </c>
      <c r="K369" s="735">
        <v>3261.0433029999999</v>
      </c>
      <c r="L369">
        <f t="shared" si="10"/>
        <v>38950.171989625553</v>
      </c>
      <c r="M369" s="742">
        <v>866.53101770000001</v>
      </c>
      <c r="N369">
        <f t="shared" si="11"/>
        <v>5864.9325059118919</v>
      </c>
    </row>
    <row r="370" spans="1:14" ht="15.5" x14ac:dyDescent="0.35">
      <c r="A370">
        <v>523.11721202815602</v>
      </c>
      <c r="B370">
        <v>157.683640801221</v>
      </c>
      <c r="C370">
        <v>21404.570267311701</v>
      </c>
      <c r="D370" s="735">
        <v>46943.692975234328</v>
      </c>
      <c r="E370" s="735">
        <v>4658.349373844927</v>
      </c>
      <c r="F370" s="735">
        <v>2099.6274685406906</v>
      </c>
      <c r="H370" s="741">
        <v>368</v>
      </c>
      <c r="I370" s="735">
        <v>422.181863063207</v>
      </c>
      <c r="J370">
        <f t="shared" si="10"/>
        <v>2099.6274685406906</v>
      </c>
      <c r="K370" s="735">
        <v>737.50070549999998</v>
      </c>
      <c r="L370">
        <f t="shared" si="10"/>
        <v>4658.349373844927</v>
      </c>
      <c r="M370" s="742">
        <v>3716.242761</v>
      </c>
      <c r="N370">
        <f t="shared" si="11"/>
        <v>46943.692975234328</v>
      </c>
    </row>
    <row r="371" spans="1:14" ht="15.5" x14ac:dyDescent="0.35">
      <c r="A371">
        <v>339.942395936975</v>
      </c>
      <c r="B371">
        <v>588.21055253805901</v>
      </c>
      <c r="C371">
        <v>12521.0980704179</v>
      </c>
      <c r="D371" s="735">
        <v>80706.067474088966</v>
      </c>
      <c r="E371" s="735">
        <v>488.8615148525833</v>
      </c>
      <c r="F371" s="735">
        <v>283.79165237387838</v>
      </c>
      <c r="H371" s="741">
        <v>369</v>
      </c>
      <c r="I371" s="735">
        <v>104.015900124602</v>
      </c>
      <c r="J371">
        <f t="shared" si="10"/>
        <v>283.79165237387838</v>
      </c>
      <c r="K371" s="735">
        <v>152.20541180000001</v>
      </c>
      <c r="L371">
        <f t="shared" si="10"/>
        <v>488.8615148525833</v>
      </c>
      <c r="M371" s="742">
        <v>5430.4313810000003</v>
      </c>
      <c r="N371">
        <f t="shared" si="11"/>
        <v>80706.067474088966</v>
      </c>
    </row>
    <row r="372" spans="1:14" ht="15.5" x14ac:dyDescent="0.35">
      <c r="A372">
        <v>31.284983329334601</v>
      </c>
      <c r="B372">
        <v>2901.1830089987002</v>
      </c>
      <c r="C372">
        <v>1708.7843601186601</v>
      </c>
      <c r="D372" s="735">
        <v>18189.787963627936</v>
      </c>
      <c r="E372" s="735">
        <v>3246.8878140931379</v>
      </c>
      <c r="F372" s="735">
        <v>6018.1079340971073</v>
      </c>
      <c r="H372" s="741">
        <v>370</v>
      </c>
      <c r="I372" s="735">
        <v>882.31158312037701</v>
      </c>
      <c r="J372">
        <f t="shared" si="10"/>
        <v>6018.1079340971073</v>
      </c>
      <c r="K372" s="735">
        <v>572.83177230000001</v>
      </c>
      <c r="L372">
        <f t="shared" si="10"/>
        <v>3246.8878140931379</v>
      </c>
      <c r="M372" s="742">
        <v>1913.7241859999999</v>
      </c>
      <c r="N372">
        <f t="shared" si="11"/>
        <v>18189.787963627936</v>
      </c>
    </row>
    <row r="373" spans="1:14" ht="15.5" x14ac:dyDescent="0.35">
      <c r="A373">
        <v>204.08071139513299</v>
      </c>
      <c r="B373">
        <v>466.24813414918299</v>
      </c>
      <c r="C373">
        <v>158.382708579921</v>
      </c>
      <c r="D373" s="735">
        <v>30483.328518565388</v>
      </c>
      <c r="E373" s="735">
        <v>172.53407675586908</v>
      </c>
      <c r="F373" s="735">
        <v>1144.5311425561317</v>
      </c>
      <c r="H373" s="741">
        <v>371</v>
      </c>
      <c r="I373" s="735">
        <v>276.08278672668501</v>
      </c>
      <c r="J373">
        <f t="shared" si="10"/>
        <v>1144.5311425561317</v>
      </c>
      <c r="K373" s="735">
        <v>73.419668450000003</v>
      </c>
      <c r="L373">
        <f t="shared" si="10"/>
        <v>172.53407675586908</v>
      </c>
      <c r="M373" s="742">
        <v>2746.9051939999999</v>
      </c>
      <c r="N373">
        <f t="shared" si="11"/>
        <v>30483.328518565388</v>
      </c>
    </row>
    <row r="374" spans="1:14" ht="15.5" x14ac:dyDescent="0.35">
      <c r="A374">
        <v>255.86087068200601</v>
      </c>
      <c r="B374">
        <v>134.986561021445</v>
      </c>
      <c r="C374">
        <v>6036.4456369233503</v>
      </c>
      <c r="D374" s="735">
        <v>138709.11843113435</v>
      </c>
      <c r="E374" s="735">
        <v>7253.4587826399274</v>
      </c>
      <c r="F374" s="735">
        <v>510.18738942802833</v>
      </c>
      <c r="H374" s="741">
        <v>372</v>
      </c>
      <c r="I374" s="735">
        <v>156.82337778766501</v>
      </c>
      <c r="J374">
        <f t="shared" si="10"/>
        <v>510.18738942802833</v>
      </c>
      <c r="K374" s="735">
        <v>1005.498908</v>
      </c>
      <c r="L374">
        <f t="shared" si="10"/>
        <v>7253.4587826399274</v>
      </c>
      <c r="M374" s="742">
        <v>7933.6586010000001</v>
      </c>
      <c r="N374">
        <f t="shared" si="11"/>
        <v>138709.11843113435</v>
      </c>
    </row>
    <row r="375" spans="1:14" ht="15.5" x14ac:dyDescent="0.35">
      <c r="A375">
        <v>608.97496615442401</v>
      </c>
      <c r="B375">
        <v>1828.5128350211701</v>
      </c>
      <c r="C375">
        <v>5137.3739077974797</v>
      </c>
      <c r="D375" s="735">
        <v>168343.98327656105</v>
      </c>
      <c r="E375" s="735">
        <v>312.60588967811623</v>
      </c>
      <c r="F375" s="735">
        <v>1627.0699901372641</v>
      </c>
      <c r="H375" s="741">
        <v>373</v>
      </c>
      <c r="I375" s="735">
        <v>353.17045468188502</v>
      </c>
      <c r="J375">
        <f t="shared" si="10"/>
        <v>1627.0699901372641</v>
      </c>
      <c r="K375" s="735">
        <v>111.3007291</v>
      </c>
      <c r="L375">
        <f t="shared" si="10"/>
        <v>312.60588967811623</v>
      </c>
      <c r="M375" s="742">
        <v>9085.2800609999995</v>
      </c>
      <c r="N375">
        <f t="shared" si="11"/>
        <v>168343.98327656105</v>
      </c>
    </row>
    <row r="376" spans="1:14" ht="15.5" x14ac:dyDescent="0.35">
      <c r="A376">
        <v>895.63383210599295</v>
      </c>
      <c r="B376">
        <v>79.297788624695997</v>
      </c>
      <c r="C376">
        <v>6566.3422545125804</v>
      </c>
      <c r="D376" s="735">
        <v>82861.845823971744</v>
      </c>
      <c r="E376" s="735">
        <v>3089.7724096083289</v>
      </c>
      <c r="F376" s="735">
        <v>1899.5229354712094</v>
      </c>
      <c r="H376" s="741">
        <v>374</v>
      </c>
      <c r="I376" s="735">
        <v>393.59645590110199</v>
      </c>
      <c r="J376">
        <f t="shared" si="10"/>
        <v>1899.5229354712094</v>
      </c>
      <c r="K376" s="735">
        <v>553.28455059999999</v>
      </c>
      <c r="L376">
        <f t="shared" si="10"/>
        <v>3089.7724096083289</v>
      </c>
      <c r="M376" s="742">
        <v>5531.5675769999998</v>
      </c>
      <c r="N376">
        <f t="shared" si="11"/>
        <v>82861.845823971744</v>
      </c>
    </row>
    <row r="377" spans="1:14" ht="15.5" x14ac:dyDescent="0.35">
      <c r="A377">
        <v>15846.162156316201</v>
      </c>
      <c r="B377">
        <v>1810.3871839186299</v>
      </c>
      <c r="C377">
        <v>4043.37033823311</v>
      </c>
      <c r="D377" s="735">
        <v>23935.315348029621</v>
      </c>
      <c r="E377" s="735">
        <v>25776.371986207618</v>
      </c>
      <c r="F377" s="735">
        <v>90.379359597489312</v>
      </c>
      <c r="H377" s="741">
        <v>375</v>
      </c>
      <c r="I377" s="735">
        <v>46.692645610642302</v>
      </c>
      <c r="J377">
        <f t="shared" si="10"/>
        <v>90.379359597489312</v>
      </c>
      <c r="K377" s="735">
        <v>2442.6163139999999</v>
      </c>
      <c r="L377">
        <f t="shared" si="10"/>
        <v>25776.371986207618</v>
      </c>
      <c r="M377" s="742">
        <v>2319.142355</v>
      </c>
      <c r="N377">
        <f t="shared" si="11"/>
        <v>23935.315348029621</v>
      </c>
    </row>
    <row r="378" spans="1:14" ht="15.5" x14ac:dyDescent="0.35">
      <c r="A378">
        <v>480.53239754454802</v>
      </c>
      <c r="B378">
        <v>117.259753442364</v>
      </c>
      <c r="C378">
        <v>689.11098101422397</v>
      </c>
      <c r="D378" s="735">
        <v>1424212.2055732112</v>
      </c>
      <c r="E378" s="735">
        <v>2555.8848213334054</v>
      </c>
      <c r="F378" s="735">
        <v>10252.808420714338</v>
      </c>
      <c r="H378" s="741">
        <v>376</v>
      </c>
      <c r="I378" s="735">
        <v>1281.1205266500001</v>
      </c>
      <c r="J378">
        <f t="shared" si="10"/>
        <v>10252.808420714338</v>
      </c>
      <c r="K378" s="735">
        <v>484.48339320000002</v>
      </c>
      <c r="L378">
        <f t="shared" si="10"/>
        <v>2555.8848213334054</v>
      </c>
      <c r="M378" s="742">
        <v>40504.408309999999</v>
      </c>
      <c r="N378">
        <f t="shared" si="11"/>
        <v>1424212.2055732112</v>
      </c>
    </row>
    <row r="379" spans="1:14" ht="15.5" x14ac:dyDescent="0.35">
      <c r="A379">
        <v>553.92411483560898</v>
      </c>
      <c r="B379">
        <v>379.59503447079499</v>
      </c>
      <c r="C379">
        <v>4303.90433483791</v>
      </c>
      <c r="D379" s="735">
        <v>4445.1086998063965</v>
      </c>
      <c r="E379" s="735">
        <v>27329.100064870505</v>
      </c>
      <c r="F379" s="735">
        <v>2653.7172271553322</v>
      </c>
      <c r="H379" s="741">
        <v>377</v>
      </c>
      <c r="I379" s="735">
        <v>497.39137557810199</v>
      </c>
      <c r="J379">
        <f t="shared" si="10"/>
        <v>2653.7172271553322</v>
      </c>
      <c r="K379" s="735">
        <v>2544.70669</v>
      </c>
      <c r="L379">
        <f t="shared" si="10"/>
        <v>27329.100064870505</v>
      </c>
      <c r="M379" s="742">
        <v>713.70324259999995</v>
      </c>
      <c r="N379">
        <f t="shared" si="11"/>
        <v>4445.1086998063965</v>
      </c>
    </row>
    <row r="380" spans="1:14" ht="15.5" x14ac:dyDescent="0.35">
      <c r="A380">
        <v>3525.32434971665</v>
      </c>
      <c r="B380">
        <v>1633.5228431948101</v>
      </c>
      <c r="C380">
        <v>58096.686123786101</v>
      </c>
      <c r="D380" s="735">
        <v>4964.4715339285476</v>
      </c>
      <c r="E380" s="735">
        <v>8858.7339876083206</v>
      </c>
      <c r="F380" s="735">
        <v>134.0718630506326</v>
      </c>
      <c r="H380" s="741">
        <v>378</v>
      </c>
      <c r="I380" s="735">
        <v>61.5370043881016</v>
      </c>
      <c r="J380">
        <f t="shared" si="10"/>
        <v>134.0718630506326</v>
      </c>
      <c r="K380" s="735">
        <v>1156.538681</v>
      </c>
      <c r="L380">
        <f t="shared" si="10"/>
        <v>8858.7339876083206</v>
      </c>
      <c r="M380" s="742">
        <v>771.10073550000004</v>
      </c>
      <c r="N380">
        <f t="shared" si="11"/>
        <v>4964.4715339285476</v>
      </c>
    </row>
    <row r="381" spans="1:14" ht="15.5" x14ac:dyDescent="0.35">
      <c r="A381">
        <v>31.486790548646599</v>
      </c>
      <c r="B381">
        <v>1021.72131566189</v>
      </c>
      <c r="C381">
        <v>253.08960578873399</v>
      </c>
      <c r="D381" s="735">
        <v>12886.686941505575</v>
      </c>
      <c r="E381" s="735">
        <v>1533146.9238054042</v>
      </c>
      <c r="F381" s="735">
        <v>90.464129355745143</v>
      </c>
      <c r="H381" s="741">
        <v>379</v>
      </c>
      <c r="I381" s="735">
        <v>46.723297491331699</v>
      </c>
      <c r="J381">
        <f t="shared" si="10"/>
        <v>90.464129355745143</v>
      </c>
      <c r="K381" s="735">
        <v>42648.979429999999</v>
      </c>
      <c r="L381">
        <f t="shared" si="10"/>
        <v>1533146.9238054042</v>
      </c>
      <c r="M381" s="742">
        <v>1503.484291</v>
      </c>
      <c r="N381">
        <f t="shared" si="11"/>
        <v>12886.686941505575</v>
      </c>
    </row>
    <row r="382" spans="1:14" ht="15.5" x14ac:dyDescent="0.35">
      <c r="A382">
        <v>161.40367953168601</v>
      </c>
      <c r="B382">
        <v>689.38970303106203</v>
      </c>
      <c r="C382">
        <v>17759.017178552</v>
      </c>
      <c r="D382" s="735">
        <v>11077.43421544412</v>
      </c>
      <c r="E382" s="735">
        <v>6709.8225507458174</v>
      </c>
      <c r="F382" s="735">
        <v>2999.0595375016842</v>
      </c>
      <c r="H382" s="741">
        <v>380</v>
      </c>
      <c r="I382" s="735">
        <v>541.86308000047904</v>
      </c>
      <c r="J382">
        <f t="shared" si="10"/>
        <v>2999.0595375016842</v>
      </c>
      <c r="K382" s="735">
        <v>952.13323409999998</v>
      </c>
      <c r="L382">
        <f t="shared" si="10"/>
        <v>6709.8225507458174</v>
      </c>
      <c r="M382" s="742">
        <v>1352.4070489999999</v>
      </c>
      <c r="N382">
        <f t="shared" si="11"/>
        <v>11077.43421544412</v>
      </c>
    </row>
    <row r="383" spans="1:14" ht="15.5" x14ac:dyDescent="0.35">
      <c r="A383">
        <v>255.209229793639</v>
      </c>
      <c r="B383">
        <v>304.57980362575699</v>
      </c>
      <c r="C383">
        <v>2256.2988134859202</v>
      </c>
      <c r="D383" s="735">
        <v>66386.994939438242</v>
      </c>
      <c r="E383" s="735">
        <v>1605.9214055513717</v>
      </c>
      <c r="F383" s="735">
        <v>2727.5423878756446</v>
      </c>
      <c r="H383" s="741">
        <v>381</v>
      </c>
      <c r="I383" s="735">
        <v>507.03747135438402</v>
      </c>
      <c r="J383">
        <f t="shared" si="10"/>
        <v>2727.5423878756446</v>
      </c>
      <c r="K383" s="735">
        <v>349.95080819999998</v>
      </c>
      <c r="L383">
        <f t="shared" si="10"/>
        <v>1605.9214055513717</v>
      </c>
      <c r="M383" s="742">
        <v>4736.5061690000002</v>
      </c>
      <c r="N383">
        <f t="shared" si="11"/>
        <v>66386.994939438242</v>
      </c>
    </row>
    <row r="384" spans="1:14" ht="15.5" x14ac:dyDescent="0.35">
      <c r="A384">
        <v>141.602336811893</v>
      </c>
      <c r="B384">
        <v>1226.8868656505899</v>
      </c>
      <c r="C384">
        <v>5961.9644116945201</v>
      </c>
      <c r="D384" s="735">
        <v>476.00512359507172</v>
      </c>
      <c r="E384" s="735">
        <v>19005.023189785574</v>
      </c>
      <c r="F384" s="735">
        <v>293.68774167654709</v>
      </c>
      <c r="H384" s="741">
        <v>382</v>
      </c>
      <c r="I384" s="735">
        <v>106.541810795424</v>
      </c>
      <c r="J384">
        <f t="shared" si="10"/>
        <v>293.68774167654709</v>
      </c>
      <c r="K384" s="735">
        <v>1973.3670970000001</v>
      </c>
      <c r="L384">
        <f t="shared" si="10"/>
        <v>19005.023189785574</v>
      </c>
      <c r="M384" s="742">
        <v>149.39227439999999</v>
      </c>
      <c r="N384">
        <f t="shared" si="11"/>
        <v>476.00512359507172</v>
      </c>
    </row>
    <row r="385" spans="1:14" ht="15.5" x14ac:dyDescent="0.35">
      <c r="A385">
        <v>134.888948428498</v>
      </c>
      <c r="B385">
        <v>133.14072924840801</v>
      </c>
      <c r="C385">
        <v>3739.8455286039102</v>
      </c>
      <c r="D385" s="735">
        <v>130374.99049856723</v>
      </c>
      <c r="E385" s="735">
        <v>695.74680064248912</v>
      </c>
      <c r="F385" s="735">
        <v>488.31369088037519</v>
      </c>
      <c r="H385" s="741">
        <v>383</v>
      </c>
      <c r="I385" s="735">
        <v>152.085997496879</v>
      </c>
      <c r="J385">
        <f t="shared" si="10"/>
        <v>488.31369088037519</v>
      </c>
      <c r="K385" s="735">
        <v>194.85692850000001</v>
      </c>
      <c r="L385">
        <f t="shared" si="10"/>
        <v>695.74680064248912</v>
      </c>
      <c r="M385" s="742">
        <v>7596.8928830000004</v>
      </c>
      <c r="N385">
        <f t="shared" si="11"/>
        <v>130374.99049856723</v>
      </c>
    </row>
    <row r="386" spans="1:14" ht="15.5" x14ac:dyDescent="0.35">
      <c r="A386">
        <v>318.97985221038198</v>
      </c>
      <c r="B386">
        <v>93.933327355243506</v>
      </c>
      <c r="C386">
        <v>6432.1503010965498</v>
      </c>
      <c r="D386" s="735">
        <v>7732.631076793703</v>
      </c>
      <c r="E386" s="735">
        <v>486.09017958364996</v>
      </c>
      <c r="F386" s="735">
        <v>284.81051126563034</v>
      </c>
      <c r="H386" s="741">
        <v>384</v>
      </c>
      <c r="I386" s="735">
        <v>104.277163550239</v>
      </c>
      <c r="J386">
        <f t="shared" si="10"/>
        <v>284.81051126563034</v>
      </c>
      <c r="K386" s="735">
        <v>151.6009047</v>
      </c>
      <c r="L386">
        <f t="shared" si="10"/>
        <v>486.09017958364996</v>
      </c>
      <c r="M386" s="742">
        <v>1051.548004</v>
      </c>
      <c r="N386">
        <f t="shared" si="11"/>
        <v>7732.631076793703</v>
      </c>
    </row>
    <row r="387" spans="1:14" ht="15.5" x14ac:dyDescent="0.35">
      <c r="A387">
        <v>73.034196842876</v>
      </c>
      <c r="B387">
        <v>8.8052576641336398</v>
      </c>
      <c r="C387">
        <v>17501.300018387999</v>
      </c>
      <c r="D387" s="735">
        <v>16859.828535580931</v>
      </c>
      <c r="E387" s="735">
        <v>22579.307928605409</v>
      </c>
      <c r="F387" s="735">
        <v>5583.7268980305007</v>
      </c>
      <c r="H387" s="741">
        <v>385</v>
      </c>
      <c r="I387" s="735">
        <v>837.23411830024202</v>
      </c>
      <c r="J387">
        <f t="shared" si="10"/>
        <v>5583.7268980305007</v>
      </c>
      <c r="K387" s="735">
        <v>2226.3704980000002</v>
      </c>
      <c r="L387">
        <f t="shared" si="10"/>
        <v>22579.307928605409</v>
      </c>
      <c r="M387" s="742">
        <v>1814.668111</v>
      </c>
      <c r="N387">
        <f t="shared" si="11"/>
        <v>16859.828535580931</v>
      </c>
    </row>
    <row r="388" spans="1:14" ht="15.5" x14ac:dyDescent="0.35">
      <c r="A388">
        <v>915.02028773922905</v>
      </c>
      <c r="B388">
        <v>237.38514836786399</v>
      </c>
      <c r="C388">
        <v>18711.074381955899</v>
      </c>
      <c r="D388" s="735">
        <v>8265.8859557754386</v>
      </c>
      <c r="E388" s="735">
        <v>42843.991111357034</v>
      </c>
      <c r="F388" s="735">
        <v>2395.2817692592153</v>
      </c>
      <c r="H388" s="741">
        <v>386</v>
      </c>
      <c r="I388" s="735">
        <v>462.96656340825803</v>
      </c>
      <c r="J388">
        <f t="shared" ref="J388:L451" si="12">(10^(LOG(I388)-0.3))^(1/0.7)</f>
        <v>2395.2817692592153</v>
      </c>
      <c r="K388" s="735">
        <v>3485.9643740000001</v>
      </c>
      <c r="L388">
        <f t="shared" si="12"/>
        <v>42843.991111357034</v>
      </c>
      <c r="M388" s="742">
        <v>1101.7995390000001</v>
      </c>
      <c r="N388">
        <f t="shared" ref="N388:N451" si="13">(10^(LOG(M388)-0.3))^(1/0.7)</f>
        <v>8265.8859557754386</v>
      </c>
    </row>
    <row r="389" spans="1:14" ht="15.5" x14ac:dyDescent="0.35">
      <c r="A389">
        <v>173.26359352398401</v>
      </c>
      <c r="B389">
        <v>136.29568333442899</v>
      </c>
      <c r="C389">
        <v>25148.120882115902</v>
      </c>
      <c r="D389" s="735">
        <v>21177.646442631034</v>
      </c>
      <c r="E389" s="735">
        <v>3627.882260962062</v>
      </c>
      <c r="F389" s="735">
        <v>2340.6516314324267</v>
      </c>
      <c r="H389" s="741">
        <v>387</v>
      </c>
      <c r="I389" s="735">
        <v>455.54968062652699</v>
      </c>
      <c r="J389">
        <f t="shared" si="12"/>
        <v>2340.6516314324267</v>
      </c>
      <c r="K389" s="735">
        <v>619.09490349999999</v>
      </c>
      <c r="L389">
        <f t="shared" si="12"/>
        <v>3627.882260962062</v>
      </c>
      <c r="M389" s="742">
        <v>2128.6996340000001</v>
      </c>
      <c r="N389">
        <f t="shared" si="13"/>
        <v>21177.646442631034</v>
      </c>
    </row>
    <row r="390" spans="1:14" ht="15.5" x14ac:dyDescent="0.35">
      <c r="A390">
        <v>8114.0427875248297</v>
      </c>
      <c r="B390">
        <v>2705.3752154465201</v>
      </c>
      <c r="C390">
        <v>32991.868263408702</v>
      </c>
      <c r="D390" s="735">
        <v>17781.841260799538</v>
      </c>
      <c r="E390" s="735">
        <v>1167.8664142582047</v>
      </c>
      <c r="F390" s="735">
        <v>454.26136573737682</v>
      </c>
      <c r="H390" s="741">
        <v>388</v>
      </c>
      <c r="I390" s="735">
        <v>144.58194458811201</v>
      </c>
      <c r="J390">
        <f t="shared" si="12"/>
        <v>454.26136573737682</v>
      </c>
      <c r="K390" s="735">
        <v>280.01108110000001</v>
      </c>
      <c r="L390">
        <f t="shared" si="12"/>
        <v>1167.8664142582047</v>
      </c>
      <c r="M390" s="742">
        <v>1883.578438</v>
      </c>
      <c r="N390">
        <f t="shared" si="13"/>
        <v>17781.841260799538</v>
      </c>
    </row>
    <row r="391" spans="1:14" ht="15.5" x14ac:dyDescent="0.35">
      <c r="A391">
        <v>109.749555212662</v>
      </c>
      <c r="B391">
        <v>120.60587860880101</v>
      </c>
      <c r="C391">
        <v>455.92519565247301</v>
      </c>
      <c r="D391" s="735">
        <v>23818.289050186511</v>
      </c>
      <c r="E391" s="735">
        <v>64630.775185078033</v>
      </c>
      <c r="F391" s="735">
        <v>589.99162272095055</v>
      </c>
      <c r="H391" s="741">
        <v>389</v>
      </c>
      <c r="I391" s="735">
        <v>173.61693763917799</v>
      </c>
      <c r="J391">
        <f t="shared" si="12"/>
        <v>589.99162272095055</v>
      </c>
      <c r="K391" s="735">
        <v>4648.4434869999995</v>
      </c>
      <c r="L391">
        <f t="shared" si="12"/>
        <v>64630.775185078033</v>
      </c>
      <c r="M391" s="742">
        <v>2311.1992770000002</v>
      </c>
      <c r="N391">
        <f t="shared" si="13"/>
        <v>23818.289050186511</v>
      </c>
    </row>
    <row r="392" spans="1:14" ht="15.5" x14ac:dyDescent="0.35">
      <c r="A392">
        <v>68.7852560078761</v>
      </c>
      <c r="B392">
        <v>574.30897174768097</v>
      </c>
      <c r="C392">
        <v>4427.3040455766704</v>
      </c>
      <c r="D392" s="735">
        <v>336.36040568074793</v>
      </c>
      <c r="E392" s="735">
        <v>93923.573827117303</v>
      </c>
      <c r="F392" s="735">
        <v>25442.861340387484</v>
      </c>
      <c r="H392" s="741">
        <v>390</v>
      </c>
      <c r="I392" s="735">
        <v>2420.4502789852099</v>
      </c>
      <c r="J392">
        <f t="shared" si="12"/>
        <v>25442.861340387484</v>
      </c>
      <c r="K392" s="735">
        <v>6038.6829239999997</v>
      </c>
      <c r="L392">
        <f t="shared" si="12"/>
        <v>93923.573827117303</v>
      </c>
      <c r="M392" s="742">
        <v>117.1556957</v>
      </c>
      <c r="N392">
        <f t="shared" si="13"/>
        <v>336.36040568074793</v>
      </c>
    </row>
    <row r="393" spans="1:14" ht="15.5" x14ac:dyDescent="0.35">
      <c r="A393">
        <v>8773.4527934964208</v>
      </c>
      <c r="B393">
        <v>1312.4539796827601</v>
      </c>
      <c r="C393">
        <v>44648.8492163704</v>
      </c>
      <c r="D393" s="735">
        <v>56667.061912232159</v>
      </c>
      <c r="E393" s="735">
        <v>1109687.3676426376</v>
      </c>
      <c r="F393" s="735">
        <v>5625.9858984897928</v>
      </c>
      <c r="H393" s="741">
        <v>391</v>
      </c>
      <c r="I393" s="735">
        <v>841.664573147027</v>
      </c>
      <c r="J393">
        <f t="shared" si="12"/>
        <v>5625.9858984897928</v>
      </c>
      <c r="K393" s="735">
        <v>34012.648390000002</v>
      </c>
      <c r="L393">
        <f t="shared" si="12"/>
        <v>1109687.3676426376</v>
      </c>
      <c r="M393" s="742">
        <v>4239.6644649999998</v>
      </c>
      <c r="N393">
        <f t="shared" si="13"/>
        <v>56667.061912232159</v>
      </c>
    </row>
    <row r="394" spans="1:14" ht="15.5" x14ac:dyDescent="0.35">
      <c r="A394">
        <v>76.996876442780803</v>
      </c>
      <c r="B394">
        <v>67.503623516762303</v>
      </c>
      <c r="C394">
        <v>37187.356084944302</v>
      </c>
      <c r="D394" s="735">
        <v>18647.841275069128</v>
      </c>
      <c r="E394" s="735">
        <v>89562.674837858838</v>
      </c>
      <c r="F394" s="735">
        <v>1583.1006011923021</v>
      </c>
      <c r="H394" s="741">
        <v>392</v>
      </c>
      <c r="I394" s="735">
        <v>346.46228048782399</v>
      </c>
      <c r="J394">
        <f t="shared" si="12"/>
        <v>1583.1006011923021</v>
      </c>
      <c r="K394" s="735">
        <v>5841.0233029999999</v>
      </c>
      <c r="L394">
        <f t="shared" si="12"/>
        <v>89562.674837858838</v>
      </c>
      <c r="M394" s="742">
        <v>1947.3319739999999</v>
      </c>
      <c r="N394">
        <f t="shared" si="13"/>
        <v>18647.841275069128</v>
      </c>
    </row>
    <row r="395" spans="1:14" ht="15.5" x14ac:dyDescent="0.35">
      <c r="A395">
        <v>31.6784635803361</v>
      </c>
      <c r="B395">
        <v>1135.9016463564201</v>
      </c>
      <c r="C395">
        <v>191.84807018881301</v>
      </c>
      <c r="D395" s="735">
        <v>60026.708094162197</v>
      </c>
      <c r="E395" s="735">
        <v>35477.877007383322</v>
      </c>
      <c r="F395" s="735">
        <v>5263.7003648750879</v>
      </c>
      <c r="H395" s="741">
        <v>393</v>
      </c>
      <c r="I395" s="735">
        <v>803.34817501742702</v>
      </c>
      <c r="J395">
        <f t="shared" si="12"/>
        <v>5263.7003648750879</v>
      </c>
      <c r="K395" s="735">
        <v>3054.712462</v>
      </c>
      <c r="L395">
        <f t="shared" si="12"/>
        <v>35477.877007383322</v>
      </c>
      <c r="M395" s="742">
        <v>4414.0898479999996</v>
      </c>
      <c r="N395">
        <f t="shared" si="13"/>
        <v>60026.708094162197</v>
      </c>
    </row>
    <row r="396" spans="1:14" ht="15.5" x14ac:dyDescent="0.35">
      <c r="A396">
        <v>99.275816276253707</v>
      </c>
      <c r="B396">
        <v>63.096281090607903</v>
      </c>
      <c r="C396">
        <v>16734.328973185598</v>
      </c>
      <c r="D396" s="735">
        <v>3227.8819400220591</v>
      </c>
      <c r="E396" s="735">
        <v>763.6148413153926</v>
      </c>
      <c r="F396" s="735">
        <v>87956.409120167606</v>
      </c>
      <c r="H396" s="741">
        <v>394</v>
      </c>
      <c r="I396" s="735">
        <v>5767.4952229476003</v>
      </c>
      <c r="J396">
        <f t="shared" si="12"/>
        <v>87956.409120167606</v>
      </c>
      <c r="K396" s="735">
        <v>207.9754403</v>
      </c>
      <c r="L396">
        <f t="shared" si="12"/>
        <v>763.6148413153926</v>
      </c>
      <c r="M396" s="742">
        <v>570.48252990000003</v>
      </c>
      <c r="N396">
        <f t="shared" si="13"/>
        <v>3227.8819400220591</v>
      </c>
    </row>
    <row r="397" spans="1:14" ht="15.5" x14ac:dyDescent="0.35">
      <c r="A397">
        <v>2396.7318199891301</v>
      </c>
      <c r="B397">
        <v>217.44088073392899</v>
      </c>
      <c r="C397">
        <v>4827.0843704376903</v>
      </c>
      <c r="D397" s="735">
        <v>17873.757511167576</v>
      </c>
      <c r="E397" s="735">
        <v>2138.9730663607129</v>
      </c>
      <c r="F397" s="735">
        <v>1455.0045492869492</v>
      </c>
      <c r="H397" s="741">
        <v>395</v>
      </c>
      <c r="I397" s="735">
        <v>326.591626652515</v>
      </c>
      <c r="J397">
        <f t="shared" si="12"/>
        <v>1455.0045492869492</v>
      </c>
      <c r="K397" s="735">
        <v>427.70440309999998</v>
      </c>
      <c r="L397">
        <f t="shared" si="12"/>
        <v>2138.9730663607129</v>
      </c>
      <c r="M397" s="742">
        <v>1890.388659</v>
      </c>
      <c r="N397">
        <f t="shared" si="13"/>
        <v>17873.757511167576</v>
      </c>
    </row>
    <row r="398" spans="1:14" ht="15.5" x14ac:dyDescent="0.35">
      <c r="A398">
        <v>326.00114697196199</v>
      </c>
      <c r="B398">
        <v>458.68820428799103</v>
      </c>
      <c r="C398">
        <v>10126.0111742642</v>
      </c>
      <c r="D398" s="735">
        <v>94221.516825436207</v>
      </c>
      <c r="E398" s="735">
        <v>15408.730754354219</v>
      </c>
      <c r="F398" s="735">
        <v>5388.3704934916723</v>
      </c>
      <c r="H398" s="741">
        <v>396</v>
      </c>
      <c r="I398" s="735">
        <v>816.62038057120299</v>
      </c>
      <c r="J398">
        <f t="shared" si="12"/>
        <v>5388.3704934916723</v>
      </c>
      <c r="K398" s="735">
        <v>1703.8713740000001</v>
      </c>
      <c r="L398">
        <f t="shared" si="12"/>
        <v>15408.730754354219</v>
      </c>
      <c r="M398" s="742">
        <v>6052.0856279999998</v>
      </c>
      <c r="N398">
        <f t="shared" si="13"/>
        <v>94221.516825436207</v>
      </c>
    </row>
    <row r="399" spans="1:14" ht="15.5" x14ac:dyDescent="0.35">
      <c r="A399">
        <v>348.58940260143601</v>
      </c>
      <c r="B399">
        <v>252.65511459443201</v>
      </c>
      <c r="C399">
        <v>17.718925744301501</v>
      </c>
      <c r="D399" s="735">
        <v>221860.6236754219</v>
      </c>
      <c r="E399" s="735">
        <v>3085.103001918731</v>
      </c>
      <c r="F399" s="735">
        <v>398.27579986829119</v>
      </c>
      <c r="H399" s="741">
        <v>397</v>
      </c>
      <c r="I399" s="735">
        <v>131.86475826253201</v>
      </c>
      <c r="J399">
        <f t="shared" si="12"/>
        <v>398.27579986829119</v>
      </c>
      <c r="K399" s="735">
        <v>552.69911330000002</v>
      </c>
      <c r="L399">
        <f t="shared" si="12"/>
        <v>3085.103001918731</v>
      </c>
      <c r="M399" s="742">
        <v>11021.892239999999</v>
      </c>
      <c r="N399">
        <f t="shared" si="13"/>
        <v>221860.6236754219</v>
      </c>
    </row>
    <row r="400" spans="1:14" ht="15.5" x14ac:dyDescent="0.35">
      <c r="A400">
        <v>27.259461600618199</v>
      </c>
      <c r="B400">
        <v>311.02597961058399</v>
      </c>
      <c r="C400">
        <v>62.364144197798197</v>
      </c>
      <c r="D400" s="735">
        <v>14223.914039918973</v>
      </c>
      <c r="E400" s="735">
        <v>16131.765527325597</v>
      </c>
      <c r="F400" s="735">
        <v>561.37235288199781</v>
      </c>
      <c r="H400" s="741">
        <v>398</v>
      </c>
      <c r="I400" s="735">
        <v>167.67785671962201</v>
      </c>
      <c r="J400">
        <f t="shared" si="12"/>
        <v>561.37235288199781</v>
      </c>
      <c r="K400" s="735">
        <v>1759.4516249999999</v>
      </c>
      <c r="L400">
        <f t="shared" si="12"/>
        <v>16131.765527325597</v>
      </c>
      <c r="M400" s="742">
        <v>1611.0661889999999</v>
      </c>
      <c r="N400">
        <f t="shared" si="13"/>
        <v>14223.914039918973</v>
      </c>
    </row>
    <row r="401" spans="1:14" ht="15.5" x14ac:dyDescent="0.35">
      <c r="A401">
        <v>22.504707560257899</v>
      </c>
      <c r="B401">
        <v>29.888549761533099</v>
      </c>
      <c r="C401">
        <v>59.856702891679099</v>
      </c>
      <c r="D401" s="735">
        <v>2383.6484178107148</v>
      </c>
      <c r="E401" s="735">
        <v>785.88137193354373</v>
      </c>
      <c r="F401" s="735">
        <v>398.68890435332105</v>
      </c>
      <c r="H401" s="741">
        <v>399</v>
      </c>
      <c r="I401" s="735">
        <v>131.960485434746</v>
      </c>
      <c r="J401">
        <f t="shared" si="12"/>
        <v>398.68890435332105</v>
      </c>
      <c r="K401" s="735">
        <v>212.20220689999999</v>
      </c>
      <c r="L401">
        <f t="shared" si="12"/>
        <v>785.88137193354373</v>
      </c>
      <c r="M401" s="742">
        <v>461.39144629999998</v>
      </c>
      <c r="N401">
        <f t="shared" si="13"/>
        <v>2383.6484178107148</v>
      </c>
    </row>
    <row r="402" spans="1:14" ht="15.5" x14ac:dyDescent="0.35">
      <c r="A402">
        <v>54.858327932610102</v>
      </c>
      <c r="B402">
        <v>75.458150961521596</v>
      </c>
      <c r="C402">
        <v>20070.944222442598</v>
      </c>
      <c r="D402" s="735">
        <v>95749.452773698358</v>
      </c>
      <c r="E402" s="735">
        <v>29803.79097765269</v>
      </c>
      <c r="F402" s="735">
        <v>469.85673913967588</v>
      </c>
      <c r="H402" s="741">
        <v>400</v>
      </c>
      <c r="I402" s="735">
        <v>148.03889072703399</v>
      </c>
      <c r="J402">
        <f t="shared" si="12"/>
        <v>469.85673913967588</v>
      </c>
      <c r="K402" s="735">
        <v>2703.8964540000002</v>
      </c>
      <c r="L402">
        <f t="shared" si="12"/>
        <v>29803.79097765269</v>
      </c>
      <c r="M402" s="742">
        <v>6120.6199059999999</v>
      </c>
      <c r="N402">
        <f t="shared" si="13"/>
        <v>95749.452773698358</v>
      </c>
    </row>
    <row r="403" spans="1:14" ht="15.5" x14ac:dyDescent="0.35">
      <c r="A403">
        <v>241.814263854904</v>
      </c>
      <c r="B403">
        <v>285.06610330411303</v>
      </c>
      <c r="C403">
        <v>81.664747102446199</v>
      </c>
      <c r="D403" s="735">
        <v>20805.388155588167</v>
      </c>
      <c r="E403" s="735">
        <v>2390478.5833563767</v>
      </c>
      <c r="F403" s="735">
        <v>7803.8470543118201</v>
      </c>
      <c r="H403" s="741">
        <v>401</v>
      </c>
      <c r="I403" s="735">
        <v>1058.31785793071</v>
      </c>
      <c r="J403">
        <f t="shared" si="12"/>
        <v>7803.8470543118201</v>
      </c>
      <c r="K403" s="735">
        <v>58202.199869999997</v>
      </c>
      <c r="L403">
        <f t="shared" si="12"/>
        <v>2390478.5833563767</v>
      </c>
      <c r="M403" s="742">
        <v>2102.4374109999999</v>
      </c>
      <c r="N403">
        <f t="shared" si="13"/>
        <v>20805.388155588167</v>
      </c>
    </row>
    <row r="404" spans="1:14" ht="15.5" x14ac:dyDescent="0.35">
      <c r="A404">
        <v>256.18031561991</v>
      </c>
      <c r="B404">
        <v>28.683524080151798</v>
      </c>
      <c r="C404">
        <v>99.553369410100302</v>
      </c>
      <c r="D404" s="735">
        <v>4696.360353703074</v>
      </c>
      <c r="E404" s="735">
        <v>286602.3371181835</v>
      </c>
      <c r="F404" s="735">
        <v>614.10511375796614</v>
      </c>
      <c r="H404" s="741">
        <v>402</v>
      </c>
      <c r="I404" s="735">
        <v>178.55412987999699</v>
      </c>
      <c r="J404">
        <f t="shared" si="12"/>
        <v>614.10511375796614</v>
      </c>
      <c r="K404" s="735">
        <v>13185.475899999999</v>
      </c>
      <c r="L404">
        <f t="shared" si="12"/>
        <v>286602.3371181835</v>
      </c>
      <c r="M404" s="742">
        <v>741.70804420000002</v>
      </c>
      <c r="N404">
        <f t="shared" si="13"/>
        <v>4696.360353703074</v>
      </c>
    </row>
    <row r="405" spans="1:14" ht="15.5" x14ac:dyDescent="0.35">
      <c r="A405">
        <v>8942.2680989836299</v>
      </c>
      <c r="B405">
        <v>26.037474712104299</v>
      </c>
      <c r="C405">
        <v>601.40978778205601</v>
      </c>
      <c r="D405" s="735">
        <v>5639.7440722895617</v>
      </c>
      <c r="E405" s="735">
        <v>8832.7225408585109</v>
      </c>
      <c r="F405" s="735">
        <v>179.8890313142966</v>
      </c>
      <c r="H405" s="741">
        <v>403</v>
      </c>
      <c r="I405" s="735">
        <v>75.596776663904805</v>
      </c>
      <c r="J405">
        <f t="shared" si="12"/>
        <v>179.8890313142966</v>
      </c>
      <c r="K405" s="735">
        <v>1154.160513</v>
      </c>
      <c r="L405">
        <f t="shared" si="12"/>
        <v>8832.7225408585109</v>
      </c>
      <c r="M405" s="742">
        <v>843.10483039999997</v>
      </c>
      <c r="N405">
        <f t="shared" si="13"/>
        <v>5639.7440722895617</v>
      </c>
    </row>
    <row r="406" spans="1:14" ht="15.5" x14ac:dyDescent="0.35">
      <c r="A406">
        <v>522.70706817418102</v>
      </c>
      <c r="B406">
        <v>371.126647575844</v>
      </c>
      <c r="C406">
        <v>11678.013623956</v>
      </c>
      <c r="D406" s="735">
        <v>66957.802252467634</v>
      </c>
      <c r="E406" s="735">
        <v>3916.6934678445123</v>
      </c>
      <c r="F406" s="735">
        <v>1286.168319910732</v>
      </c>
      <c r="H406" s="741">
        <v>404</v>
      </c>
      <c r="I406" s="735">
        <v>299.57699882280298</v>
      </c>
      <c r="J406">
        <f t="shared" si="12"/>
        <v>1286.168319910732</v>
      </c>
      <c r="K406" s="735">
        <v>653.19628880000005</v>
      </c>
      <c r="L406">
        <f t="shared" si="12"/>
        <v>3916.6934678445123</v>
      </c>
      <c r="M406" s="742">
        <v>4764.9772700000003</v>
      </c>
      <c r="N406">
        <f t="shared" si="13"/>
        <v>66957.802252467634</v>
      </c>
    </row>
    <row r="407" spans="1:14" ht="15.5" x14ac:dyDescent="0.35">
      <c r="A407">
        <v>5388.7060417953899</v>
      </c>
      <c r="B407">
        <v>64.312718123060293</v>
      </c>
      <c r="C407">
        <v>48.539172478609601</v>
      </c>
      <c r="D407" s="735">
        <v>99050.462802186827</v>
      </c>
      <c r="E407" s="735">
        <v>3393.7276767751714</v>
      </c>
      <c r="F407" s="735">
        <v>36.001392719144789</v>
      </c>
      <c r="H407" s="741">
        <v>405</v>
      </c>
      <c r="I407" s="735">
        <v>24.514526616010802</v>
      </c>
      <c r="J407">
        <f t="shared" si="12"/>
        <v>36.001392719144789</v>
      </c>
      <c r="K407" s="735">
        <v>590.84544689999996</v>
      </c>
      <c r="L407">
        <f t="shared" si="12"/>
        <v>3393.7276767751714</v>
      </c>
      <c r="M407" s="742">
        <v>6267.5752419999999</v>
      </c>
      <c r="N407">
        <f t="shared" si="13"/>
        <v>99050.462802186827</v>
      </c>
    </row>
    <row r="408" spans="1:14" ht="15.5" x14ac:dyDescent="0.35">
      <c r="A408">
        <v>12.1447867704755</v>
      </c>
      <c r="B408">
        <v>71.954529525274594</v>
      </c>
      <c r="C408">
        <v>14110.023609203599</v>
      </c>
      <c r="D408" s="735">
        <v>75249.357834479481</v>
      </c>
      <c r="E408" s="735">
        <v>14.010880233159398</v>
      </c>
      <c r="F408" s="735">
        <v>65.313202206247468</v>
      </c>
      <c r="H408" s="741">
        <v>406</v>
      </c>
      <c r="I408" s="735">
        <v>37.196380695250802</v>
      </c>
      <c r="J408">
        <f t="shared" si="12"/>
        <v>65.313202206247468</v>
      </c>
      <c r="K408" s="735">
        <v>12.66268474</v>
      </c>
      <c r="L408">
        <f t="shared" si="12"/>
        <v>14.010880233159398</v>
      </c>
      <c r="M408" s="742">
        <v>5170.7311650000001</v>
      </c>
      <c r="N408">
        <f t="shared" si="13"/>
        <v>75249.357834479481</v>
      </c>
    </row>
    <row r="409" spans="1:14" ht="15.5" x14ac:dyDescent="0.35">
      <c r="A409">
        <v>323.008578657805</v>
      </c>
      <c r="B409">
        <v>520.11068320904803</v>
      </c>
      <c r="C409">
        <v>74.435852673726203</v>
      </c>
      <c r="D409" s="735">
        <v>26756.393522330734</v>
      </c>
      <c r="E409" s="735">
        <v>12030.113522373884</v>
      </c>
      <c r="F409" s="735">
        <v>6440.6599057524872</v>
      </c>
      <c r="H409" s="741">
        <v>407</v>
      </c>
      <c r="I409" s="735">
        <v>925.23330421071898</v>
      </c>
      <c r="J409">
        <f t="shared" si="12"/>
        <v>6440.6599057524872</v>
      </c>
      <c r="K409" s="735">
        <v>1432.810673</v>
      </c>
      <c r="L409">
        <f t="shared" si="12"/>
        <v>12030.113522373884</v>
      </c>
      <c r="M409" s="742">
        <v>2507.2595970000002</v>
      </c>
      <c r="N409">
        <f t="shared" si="13"/>
        <v>26756.393522330734</v>
      </c>
    </row>
    <row r="410" spans="1:14" ht="15.5" x14ac:dyDescent="0.35">
      <c r="A410">
        <v>254.12578518618901</v>
      </c>
      <c r="B410">
        <v>149.44717836547099</v>
      </c>
      <c r="C410">
        <v>357.29220226182002</v>
      </c>
      <c r="D410" s="735">
        <v>84851.720965551212</v>
      </c>
      <c r="E410" s="735">
        <v>1186.0061818899144</v>
      </c>
      <c r="F410" s="735">
        <v>100.1851466883403</v>
      </c>
      <c r="H410" s="741">
        <v>408</v>
      </c>
      <c r="I410" s="735">
        <v>50.1836605474031</v>
      </c>
      <c r="J410">
        <f t="shared" si="12"/>
        <v>100.1851466883403</v>
      </c>
      <c r="K410" s="735">
        <v>283.04850599999997</v>
      </c>
      <c r="L410">
        <f t="shared" si="12"/>
        <v>1186.0061818899144</v>
      </c>
      <c r="M410" s="742">
        <v>5624.2220479999996</v>
      </c>
      <c r="N410">
        <f t="shared" si="13"/>
        <v>84851.720965551212</v>
      </c>
    </row>
    <row r="411" spans="1:14" ht="15.5" x14ac:dyDescent="0.35">
      <c r="A411">
        <v>9049.1950212484007</v>
      </c>
      <c r="B411">
        <v>384.170487184828</v>
      </c>
      <c r="C411">
        <v>37482.419051730598</v>
      </c>
      <c r="D411" s="735">
        <v>31414.758719293834</v>
      </c>
      <c r="E411" s="735">
        <v>1645986.2370638903</v>
      </c>
      <c r="F411" s="735">
        <v>982.70104994843086</v>
      </c>
      <c r="H411" s="741">
        <v>409</v>
      </c>
      <c r="I411" s="735">
        <v>248.13898077785501</v>
      </c>
      <c r="J411">
        <f t="shared" si="12"/>
        <v>982.70104994843086</v>
      </c>
      <c r="K411" s="735">
        <v>44822.733639999999</v>
      </c>
      <c r="L411">
        <f t="shared" si="12"/>
        <v>1645986.2370638903</v>
      </c>
      <c r="M411" s="742">
        <v>2805.3923599999998</v>
      </c>
      <c r="N411">
        <f t="shared" si="13"/>
        <v>31414.758719293834</v>
      </c>
    </row>
    <row r="412" spans="1:14" ht="15.5" x14ac:dyDescent="0.35">
      <c r="A412">
        <v>215.14682814102699</v>
      </c>
      <c r="B412">
        <v>899.22201615026199</v>
      </c>
      <c r="C412">
        <v>9127.6990456933509</v>
      </c>
      <c r="D412" s="735">
        <v>9123.9018886121885</v>
      </c>
      <c r="E412" s="735">
        <v>7796.8022175069063</v>
      </c>
      <c r="F412" s="735">
        <v>1069.3173952625712</v>
      </c>
      <c r="H412" s="741">
        <v>410</v>
      </c>
      <c r="I412" s="735">
        <v>263.25379602746</v>
      </c>
      <c r="J412">
        <f t="shared" si="12"/>
        <v>1069.3173952625712</v>
      </c>
      <c r="K412" s="735">
        <v>1057.6489979999999</v>
      </c>
      <c r="L412">
        <f t="shared" si="12"/>
        <v>7796.8022175069063</v>
      </c>
      <c r="M412" s="742">
        <v>1180.6642810000001</v>
      </c>
      <c r="N412">
        <f t="shared" si="13"/>
        <v>9123.9018886121885</v>
      </c>
    </row>
    <row r="413" spans="1:14" ht="15.5" x14ac:dyDescent="0.35">
      <c r="A413">
        <v>1037.44309100599</v>
      </c>
      <c r="B413">
        <v>27.597365888556698</v>
      </c>
      <c r="C413">
        <v>8055.5113174957196</v>
      </c>
      <c r="D413" s="735">
        <v>75074.486424103874</v>
      </c>
      <c r="E413" s="735">
        <v>1012.1702248009437</v>
      </c>
      <c r="F413" s="735">
        <v>93027.690181673097</v>
      </c>
      <c r="H413" s="741">
        <v>411</v>
      </c>
      <c r="I413" s="735">
        <v>5998.3052986788098</v>
      </c>
      <c r="J413">
        <f t="shared" si="12"/>
        <v>93027.690181673097</v>
      </c>
      <c r="K413" s="735">
        <v>253.32467270000001</v>
      </c>
      <c r="L413">
        <f t="shared" si="12"/>
        <v>1012.1702248009437</v>
      </c>
      <c r="M413" s="742">
        <v>5162.3168740000001</v>
      </c>
      <c r="N413">
        <f t="shared" si="13"/>
        <v>75074.486424103874</v>
      </c>
    </row>
    <row r="414" spans="1:14" ht="15.5" x14ac:dyDescent="0.35">
      <c r="A414">
        <v>47.462379106949598</v>
      </c>
      <c r="B414">
        <v>470.07329653922199</v>
      </c>
      <c r="C414">
        <v>431.34589726389999</v>
      </c>
      <c r="D414" s="735">
        <v>18295.826377229288</v>
      </c>
      <c r="E414" s="735">
        <v>578164.53263123275</v>
      </c>
      <c r="F414" s="735">
        <v>10501.967478794624</v>
      </c>
      <c r="H414" s="741">
        <v>412</v>
      </c>
      <c r="I414" s="735">
        <v>1302.83515361891</v>
      </c>
      <c r="J414">
        <f t="shared" si="12"/>
        <v>10501.967478794624</v>
      </c>
      <c r="K414" s="735">
        <v>21549.441180000002</v>
      </c>
      <c r="L414">
        <f t="shared" si="12"/>
        <v>578164.53263123275</v>
      </c>
      <c r="M414" s="742">
        <v>1921.5266899999999</v>
      </c>
      <c r="N414">
        <f t="shared" si="13"/>
        <v>18295.826377229288</v>
      </c>
    </row>
    <row r="415" spans="1:14" ht="15.5" x14ac:dyDescent="0.35">
      <c r="A415">
        <v>2279.3172551663001</v>
      </c>
      <c r="B415">
        <v>329.89280909703501</v>
      </c>
      <c r="C415">
        <v>1082.8936462617201</v>
      </c>
      <c r="D415" s="735">
        <v>16298.549024063059</v>
      </c>
      <c r="E415" s="735">
        <v>26569.946929678848</v>
      </c>
      <c r="F415" s="735">
        <v>6354.4215608407449</v>
      </c>
      <c r="H415" s="741">
        <v>413</v>
      </c>
      <c r="I415" s="735">
        <v>916.54378360492103</v>
      </c>
      <c r="J415">
        <f t="shared" si="12"/>
        <v>6354.4215608407449</v>
      </c>
      <c r="K415" s="735">
        <v>2495.016838</v>
      </c>
      <c r="L415">
        <f t="shared" si="12"/>
        <v>26569.946929678848</v>
      </c>
      <c r="M415" s="742">
        <v>1772.1654289999999</v>
      </c>
      <c r="N415">
        <f t="shared" si="13"/>
        <v>16298.549024063059</v>
      </c>
    </row>
    <row r="416" spans="1:14" ht="15.5" x14ac:dyDescent="0.35">
      <c r="A416">
        <v>227.562017316924</v>
      </c>
      <c r="B416">
        <v>50.420985411371902</v>
      </c>
      <c r="C416">
        <v>44.9240330818633</v>
      </c>
      <c r="D416" s="735">
        <v>208202.91442313557</v>
      </c>
      <c r="E416" s="735">
        <v>4544.4462795087366</v>
      </c>
      <c r="F416" s="735">
        <v>48101.868134730197</v>
      </c>
      <c r="H416" s="741">
        <v>414</v>
      </c>
      <c r="I416" s="735">
        <v>3780.1876628120999</v>
      </c>
      <c r="J416">
        <f t="shared" si="12"/>
        <v>48101.868134730197</v>
      </c>
      <c r="K416" s="735">
        <v>724.83087069999999</v>
      </c>
      <c r="L416">
        <f t="shared" si="12"/>
        <v>4544.4462795087366</v>
      </c>
      <c r="M416" s="742">
        <v>10542.430899999999</v>
      </c>
      <c r="N416">
        <f t="shared" si="13"/>
        <v>208202.91442313557</v>
      </c>
    </row>
    <row r="417" spans="1:14" ht="15.5" x14ac:dyDescent="0.35">
      <c r="A417">
        <v>168.72996728889001</v>
      </c>
      <c r="B417">
        <v>837.34868455004903</v>
      </c>
      <c r="C417">
        <v>33360.021976805001</v>
      </c>
      <c r="D417" s="735">
        <v>106882.223743717</v>
      </c>
      <c r="E417" s="735">
        <v>162.30036102771871</v>
      </c>
      <c r="F417" s="735">
        <v>71.346266045951339</v>
      </c>
      <c r="H417" s="741">
        <v>415</v>
      </c>
      <c r="I417" s="735">
        <v>39.569437288617102</v>
      </c>
      <c r="J417">
        <f t="shared" si="12"/>
        <v>71.346266045951339</v>
      </c>
      <c r="K417" s="735">
        <v>70.343446049999997</v>
      </c>
      <c r="L417">
        <f t="shared" si="12"/>
        <v>162.30036102771871</v>
      </c>
      <c r="M417" s="742">
        <v>6610.4928019999998</v>
      </c>
      <c r="N417">
        <f t="shared" si="13"/>
        <v>106882.223743717</v>
      </c>
    </row>
    <row r="418" spans="1:14" ht="15.5" x14ac:dyDescent="0.35">
      <c r="A418">
        <v>151.88877920311299</v>
      </c>
      <c r="B418">
        <v>88.718831262232499</v>
      </c>
      <c r="C418">
        <v>1360.5053368349299</v>
      </c>
      <c r="D418" s="735">
        <v>107617.8349872886</v>
      </c>
      <c r="E418" s="735">
        <v>380.44874746388524</v>
      </c>
      <c r="F418" s="735">
        <v>401.60318535239713</v>
      </c>
      <c r="H418" s="741">
        <v>416</v>
      </c>
      <c r="I418" s="735">
        <v>132.63495798672301</v>
      </c>
      <c r="J418">
        <f t="shared" si="12"/>
        <v>401.60318535239713</v>
      </c>
      <c r="K418" s="735">
        <v>127.7048264</v>
      </c>
      <c r="L418">
        <f t="shared" si="12"/>
        <v>380.44874746388524</v>
      </c>
      <c r="M418" s="742">
        <v>6642.3074779999997</v>
      </c>
      <c r="N418">
        <f t="shared" si="13"/>
        <v>107617.8349872886</v>
      </c>
    </row>
    <row r="419" spans="1:14" ht="15.5" x14ac:dyDescent="0.35">
      <c r="A419">
        <v>719.46609448857498</v>
      </c>
      <c r="B419">
        <v>381.424658009795</v>
      </c>
      <c r="C419">
        <v>10893.4474924981</v>
      </c>
      <c r="D419" s="735">
        <v>4609.8697409139604</v>
      </c>
      <c r="E419" s="735">
        <v>2228.4841685986353</v>
      </c>
      <c r="F419" s="735">
        <v>97289.934237156835</v>
      </c>
      <c r="H419" s="741">
        <v>417</v>
      </c>
      <c r="I419" s="735">
        <v>6189.3855531317104</v>
      </c>
      <c r="J419">
        <f t="shared" si="12"/>
        <v>97289.934237156835</v>
      </c>
      <c r="K419" s="735">
        <v>440.15606170000001</v>
      </c>
      <c r="L419">
        <f t="shared" si="12"/>
        <v>2228.4841685986353</v>
      </c>
      <c r="M419" s="742">
        <v>732.11964039999998</v>
      </c>
      <c r="N419">
        <f t="shared" si="13"/>
        <v>4609.8697409139604</v>
      </c>
    </row>
    <row r="420" spans="1:14" ht="15.5" x14ac:dyDescent="0.35">
      <c r="A420">
        <v>734.31930560103899</v>
      </c>
      <c r="B420">
        <v>242.62508805683299</v>
      </c>
      <c r="C420">
        <v>376.89625402717098</v>
      </c>
      <c r="D420" s="735">
        <v>33832.580102385531</v>
      </c>
      <c r="E420" s="735">
        <v>28209.66098024822</v>
      </c>
      <c r="F420" s="735">
        <v>465.48690151033458</v>
      </c>
      <c r="H420" s="741">
        <v>418</v>
      </c>
      <c r="I420" s="735">
        <v>147.073770104517</v>
      </c>
      <c r="J420">
        <f t="shared" si="12"/>
        <v>465.48690151033458</v>
      </c>
      <c r="K420" s="735">
        <v>2601.8275429999999</v>
      </c>
      <c r="L420">
        <f t="shared" si="12"/>
        <v>28209.66098024822</v>
      </c>
      <c r="M420" s="742">
        <v>2954.8441750000002</v>
      </c>
      <c r="N420">
        <f t="shared" si="13"/>
        <v>33832.580102385531</v>
      </c>
    </row>
    <row r="421" spans="1:14" ht="15.5" x14ac:dyDescent="0.35">
      <c r="A421">
        <v>218.954658668576</v>
      </c>
      <c r="B421">
        <v>151.59284750666899</v>
      </c>
      <c r="C421">
        <v>1313.48214299149</v>
      </c>
      <c r="D421" s="735">
        <v>11747.728448634127</v>
      </c>
      <c r="E421" s="735">
        <v>39727.944301494732</v>
      </c>
      <c r="F421" s="735">
        <v>63949.178864260102</v>
      </c>
      <c r="H421" s="741">
        <v>419</v>
      </c>
      <c r="I421" s="735">
        <v>4614.0732054627597</v>
      </c>
      <c r="J421">
        <f t="shared" si="12"/>
        <v>63949.178864260102</v>
      </c>
      <c r="K421" s="735">
        <v>3306.4903939999999</v>
      </c>
      <c r="L421">
        <f t="shared" si="12"/>
        <v>39727.944301494732</v>
      </c>
      <c r="M421" s="742">
        <v>1409.184084</v>
      </c>
      <c r="N421">
        <f t="shared" si="13"/>
        <v>11747.728448634127</v>
      </c>
    </row>
    <row r="422" spans="1:14" ht="15.5" x14ac:dyDescent="0.35">
      <c r="A422">
        <v>70.523728176554997</v>
      </c>
      <c r="B422">
        <v>883.24444523079603</v>
      </c>
      <c r="C422">
        <v>5188.18920463428</v>
      </c>
      <c r="D422" s="735">
        <v>148916.16178014994</v>
      </c>
      <c r="E422" s="735">
        <v>10095.81496442665</v>
      </c>
      <c r="F422" s="735">
        <v>205.79354078743037</v>
      </c>
      <c r="H422" s="741">
        <v>420</v>
      </c>
      <c r="I422" s="735">
        <v>83.061968181516306</v>
      </c>
      <c r="J422">
        <f t="shared" si="12"/>
        <v>205.79354078743037</v>
      </c>
      <c r="K422" s="735">
        <v>1267.3569990000001</v>
      </c>
      <c r="L422">
        <f t="shared" si="12"/>
        <v>10095.81496442665</v>
      </c>
      <c r="M422" s="742">
        <v>8337.9499489999998</v>
      </c>
      <c r="N422">
        <f t="shared" si="13"/>
        <v>148916.16178014994</v>
      </c>
    </row>
    <row r="423" spans="1:14" ht="15.5" x14ac:dyDescent="0.35">
      <c r="A423">
        <v>691.87501139967503</v>
      </c>
      <c r="B423">
        <v>1608.45998568033</v>
      </c>
      <c r="C423">
        <v>1251.3645152599099</v>
      </c>
      <c r="D423" s="735">
        <v>62432.310758381551</v>
      </c>
      <c r="E423" s="735">
        <v>18803.041833321968</v>
      </c>
      <c r="F423" s="735">
        <v>105.44454763547517</v>
      </c>
      <c r="H423" s="741">
        <v>421</v>
      </c>
      <c r="I423" s="735">
        <v>52.013597138331001</v>
      </c>
      <c r="J423">
        <f t="shared" si="12"/>
        <v>105.44454763547517</v>
      </c>
      <c r="K423" s="735">
        <v>1958.662816</v>
      </c>
      <c r="L423">
        <f t="shared" si="12"/>
        <v>18803.041833321968</v>
      </c>
      <c r="M423" s="742">
        <v>4537.1860340000003</v>
      </c>
      <c r="N423">
        <f t="shared" si="13"/>
        <v>62432.310758381551</v>
      </c>
    </row>
    <row r="424" spans="1:14" ht="15.5" x14ac:dyDescent="0.35">
      <c r="A424">
        <v>620.75219782134104</v>
      </c>
      <c r="B424">
        <v>386.11317461554398</v>
      </c>
      <c r="C424">
        <v>207.94389581323699</v>
      </c>
      <c r="D424" s="735">
        <v>40926.539304404127</v>
      </c>
      <c r="E424" s="735">
        <v>52343.377809432946</v>
      </c>
      <c r="F424" s="735">
        <v>141.01028492453369</v>
      </c>
      <c r="H424" s="741">
        <v>422</v>
      </c>
      <c r="I424" s="735">
        <v>63.749319483302202</v>
      </c>
      <c r="J424">
        <f t="shared" si="12"/>
        <v>141.01028492453369</v>
      </c>
      <c r="K424" s="735">
        <v>4010.5434100000002</v>
      </c>
      <c r="L424">
        <f t="shared" si="12"/>
        <v>52343.377809432946</v>
      </c>
      <c r="M424" s="742">
        <v>3376.0083800000002</v>
      </c>
      <c r="N424">
        <f t="shared" si="13"/>
        <v>40926.539304404127</v>
      </c>
    </row>
    <row r="425" spans="1:14" ht="15.5" x14ac:dyDescent="0.35">
      <c r="A425">
        <v>238.47410418661599</v>
      </c>
      <c r="B425">
        <v>25.2149020606387</v>
      </c>
      <c r="C425">
        <v>7633.9550271706903</v>
      </c>
      <c r="D425" s="735">
        <v>4777.7827328084659</v>
      </c>
      <c r="E425" s="735">
        <v>1148.6996727341236</v>
      </c>
      <c r="F425" s="735">
        <v>10.684471662912287</v>
      </c>
      <c r="H425" s="741">
        <v>423</v>
      </c>
      <c r="I425" s="735">
        <v>10.4743513111206</v>
      </c>
      <c r="J425">
        <f t="shared" si="12"/>
        <v>10.684471662912287</v>
      </c>
      <c r="K425" s="735">
        <v>276.78627319999998</v>
      </c>
      <c r="L425">
        <f t="shared" si="12"/>
        <v>1148.6996727341236</v>
      </c>
      <c r="M425" s="742">
        <v>750.68627839999999</v>
      </c>
      <c r="N425">
        <f t="shared" si="13"/>
        <v>4777.7827328084659</v>
      </c>
    </row>
    <row r="426" spans="1:14" ht="15.5" x14ac:dyDescent="0.35">
      <c r="A426">
        <v>771.608426247534</v>
      </c>
      <c r="B426">
        <v>72.640141997183406</v>
      </c>
      <c r="C426">
        <v>5938.7245344307203</v>
      </c>
      <c r="D426" s="735">
        <v>90426.407114723115</v>
      </c>
      <c r="E426" s="735">
        <v>8031.7469203314467</v>
      </c>
      <c r="F426" s="735">
        <v>234321.28490488423</v>
      </c>
      <c r="H426" s="741">
        <v>424</v>
      </c>
      <c r="I426" s="735">
        <v>11451.6540082888</v>
      </c>
      <c r="J426">
        <f t="shared" si="12"/>
        <v>234321.28490488423</v>
      </c>
      <c r="K426" s="735">
        <v>1079.8588970000001</v>
      </c>
      <c r="L426">
        <f t="shared" si="12"/>
        <v>8031.7469203314467</v>
      </c>
      <c r="M426" s="742">
        <v>5880.3976160000002</v>
      </c>
      <c r="N426">
        <f t="shared" si="13"/>
        <v>90426.407114723115</v>
      </c>
    </row>
    <row r="427" spans="1:14" ht="15.5" x14ac:dyDescent="0.35">
      <c r="A427">
        <v>1296.38572316765</v>
      </c>
      <c r="B427">
        <v>1760.0113315346</v>
      </c>
      <c r="C427">
        <v>26286.216869538501</v>
      </c>
      <c r="D427" s="735">
        <v>170192.79896550992</v>
      </c>
      <c r="E427" s="735">
        <v>162.07825412004416</v>
      </c>
      <c r="F427" s="735">
        <v>20.376023575010713</v>
      </c>
      <c r="H427" s="741">
        <v>425</v>
      </c>
      <c r="I427" s="735">
        <v>16.458248073097899</v>
      </c>
      <c r="J427">
        <f t="shared" si="12"/>
        <v>20.376023575010713</v>
      </c>
      <c r="K427" s="735">
        <v>70.276047050000003</v>
      </c>
      <c r="L427">
        <f t="shared" si="12"/>
        <v>162.07825412004416</v>
      </c>
      <c r="M427" s="742">
        <v>9155.0100729999995</v>
      </c>
      <c r="N427">
        <f t="shared" si="13"/>
        <v>170192.79896550992</v>
      </c>
    </row>
    <row r="428" spans="1:14" ht="15.5" x14ac:dyDescent="0.35">
      <c r="A428">
        <v>81.697258967108695</v>
      </c>
      <c r="B428">
        <v>1773.24804164242</v>
      </c>
      <c r="C428">
        <v>17558.166730779601</v>
      </c>
      <c r="D428" s="735">
        <v>13716.602986428332</v>
      </c>
      <c r="E428" s="735">
        <v>1074.8276694593339</v>
      </c>
      <c r="F428" s="735">
        <v>104.21866928415217</v>
      </c>
      <c r="H428" s="741">
        <v>426</v>
      </c>
      <c r="I428" s="735">
        <v>51.5895650665095</v>
      </c>
      <c r="J428">
        <f t="shared" si="12"/>
        <v>104.21866928415217</v>
      </c>
      <c r="K428" s="735">
        <v>264.20266049999998</v>
      </c>
      <c r="L428">
        <f t="shared" si="12"/>
        <v>1074.8276694593339</v>
      </c>
      <c r="M428" s="742">
        <v>1570.625333</v>
      </c>
      <c r="N428">
        <f t="shared" si="13"/>
        <v>13716.602986428332</v>
      </c>
    </row>
    <row r="429" spans="1:14" ht="15.5" x14ac:dyDescent="0.35">
      <c r="A429">
        <v>637.92854185256101</v>
      </c>
      <c r="B429">
        <v>144.68911324908399</v>
      </c>
      <c r="C429">
        <v>15197.1848018687</v>
      </c>
      <c r="D429" s="735">
        <v>1933489.9627600405</v>
      </c>
      <c r="E429" s="735">
        <v>70097.36708702438</v>
      </c>
      <c r="F429" s="735">
        <v>64.682019335263419</v>
      </c>
      <c r="H429" s="741">
        <v>427</v>
      </c>
      <c r="I429" s="735">
        <v>36.944389891259902</v>
      </c>
      <c r="J429">
        <f t="shared" si="12"/>
        <v>64.682019335263419</v>
      </c>
      <c r="K429" s="735">
        <v>4920.2955899999997</v>
      </c>
      <c r="L429">
        <f t="shared" si="12"/>
        <v>70097.36708702438</v>
      </c>
      <c r="M429" s="742">
        <v>50169.450620000003</v>
      </c>
      <c r="N429">
        <f t="shared" si="13"/>
        <v>1933489.9627600405</v>
      </c>
    </row>
    <row r="430" spans="1:14" ht="15.5" x14ac:dyDescent="0.35">
      <c r="A430">
        <v>665.27665986249497</v>
      </c>
      <c r="B430">
        <v>947.23899229075596</v>
      </c>
      <c r="C430">
        <v>1344.69836575358</v>
      </c>
      <c r="D430" s="735">
        <v>21209.741962192111</v>
      </c>
      <c r="E430" s="735">
        <v>51.024858477786779</v>
      </c>
      <c r="F430" s="735">
        <v>555.78244643305391</v>
      </c>
      <c r="H430" s="741">
        <v>428</v>
      </c>
      <c r="I430" s="735">
        <v>166.507338229217</v>
      </c>
      <c r="J430">
        <f t="shared" si="12"/>
        <v>555.78244643305391</v>
      </c>
      <c r="K430" s="735">
        <v>31.293004759999999</v>
      </c>
      <c r="L430">
        <f t="shared" si="12"/>
        <v>51.024858477786779</v>
      </c>
      <c r="M430" s="742">
        <v>2130.9574080000002</v>
      </c>
      <c r="N430">
        <f t="shared" si="13"/>
        <v>21209.741962192111</v>
      </c>
    </row>
    <row r="431" spans="1:14" ht="15.5" x14ac:dyDescent="0.35">
      <c r="A431">
        <v>20885.111422062801</v>
      </c>
      <c r="B431">
        <v>105.493115512545</v>
      </c>
      <c r="C431">
        <v>951.59117207654003</v>
      </c>
      <c r="D431" s="735">
        <v>364143.21361086081</v>
      </c>
      <c r="E431" s="735">
        <v>14716.156094983447</v>
      </c>
      <c r="F431" s="735">
        <v>6143.790065548862</v>
      </c>
      <c r="H431" s="741">
        <v>429</v>
      </c>
      <c r="I431" s="735">
        <v>895.16987215530196</v>
      </c>
      <c r="J431">
        <f t="shared" si="12"/>
        <v>6143.790065548862</v>
      </c>
      <c r="K431" s="735">
        <v>1649.894102</v>
      </c>
      <c r="L431">
        <f t="shared" si="12"/>
        <v>14716.156094983447</v>
      </c>
      <c r="M431" s="742">
        <v>15591.59533</v>
      </c>
      <c r="N431">
        <f t="shared" si="13"/>
        <v>364143.21361086081</v>
      </c>
    </row>
    <row r="432" spans="1:14" ht="15.5" x14ac:dyDescent="0.35">
      <c r="A432">
        <v>4669.6278429201502</v>
      </c>
      <c r="B432">
        <v>472.43888297119202</v>
      </c>
      <c r="C432">
        <v>15.486482779680101</v>
      </c>
      <c r="D432" s="735">
        <v>8305.6325135295392</v>
      </c>
      <c r="E432" s="735">
        <v>223160.18072363088</v>
      </c>
      <c r="F432" s="735">
        <v>465.892282559362</v>
      </c>
      <c r="H432" s="741">
        <v>430</v>
      </c>
      <c r="I432" s="735">
        <v>147.163416437243</v>
      </c>
      <c r="J432">
        <f t="shared" si="12"/>
        <v>465.892282559362</v>
      </c>
      <c r="K432" s="735">
        <v>11067.04544</v>
      </c>
      <c r="L432">
        <f t="shared" si="12"/>
        <v>223160.18072363088</v>
      </c>
      <c r="M432" s="742">
        <v>1105.505476</v>
      </c>
      <c r="N432">
        <f t="shared" si="13"/>
        <v>8305.6325135295392</v>
      </c>
    </row>
    <row r="433" spans="1:14" ht="15.5" x14ac:dyDescent="0.35">
      <c r="A433">
        <v>454.41048960435899</v>
      </c>
      <c r="B433">
        <v>1612.1442798446601</v>
      </c>
      <c r="C433">
        <v>1647.65450021375</v>
      </c>
      <c r="D433" s="735">
        <v>69485.405522421643</v>
      </c>
      <c r="E433" s="735">
        <v>5948.5531242109337</v>
      </c>
      <c r="F433" s="735">
        <v>5130.7632304453173</v>
      </c>
      <c r="H433" s="741">
        <v>431</v>
      </c>
      <c r="I433" s="735">
        <v>789.09152972404502</v>
      </c>
      <c r="J433">
        <f t="shared" si="12"/>
        <v>5130.7632304453173</v>
      </c>
      <c r="K433" s="735">
        <v>875.16097030000003</v>
      </c>
      <c r="L433">
        <f t="shared" si="12"/>
        <v>5948.5531242109337</v>
      </c>
      <c r="M433" s="742">
        <v>4890.1875710000004</v>
      </c>
      <c r="N433">
        <f t="shared" si="13"/>
        <v>69485.405522421643</v>
      </c>
    </row>
    <row r="434" spans="1:14" ht="15.5" x14ac:dyDescent="0.35">
      <c r="A434">
        <v>21571.479745473302</v>
      </c>
      <c r="B434">
        <v>1156.07971605885</v>
      </c>
      <c r="C434">
        <v>1145.3447423699599</v>
      </c>
      <c r="D434" s="735">
        <v>43633.754840346715</v>
      </c>
      <c r="E434" s="735">
        <v>18180.337541200952</v>
      </c>
      <c r="F434" s="735">
        <v>11.421177482252023</v>
      </c>
      <c r="H434" s="741">
        <v>432</v>
      </c>
      <c r="I434" s="735">
        <v>10.974825313357799</v>
      </c>
      <c r="J434">
        <f t="shared" si="12"/>
        <v>11.421177482252023</v>
      </c>
      <c r="K434" s="735">
        <v>1913.028145</v>
      </c>
      <c r="L434">
        <f t="shared" si="12"/>
        <v>18180.337541200952</v>
      </c>
      <c r="M434" s="742">
        <v>3530.821895</v>
      </c>
      <c r="N434">
        <f t="shared" si="13"/>
        <v>43633.754840346715</v>
      </c>
    </row>
    <row r="435" spans="1:14" ht="15.5" x14ac:dyDescent="0.35">
      <c r="A435">
        <v>869.39945094486495</v>
      </c>
      <c r="B435">
        <v>9.4550803191387391</v>
      </c>
      <c r="C435">
        <v>44267.519995637798</v>
      </c>
      <c r="D435" s="735">
        <v>96794.166063897472</v>
      </c>
      <c r="E435" s="735">
        <v>957264.61831514898</v>
      </c>
      <c r="F435" s="735">
        <v>556.64819467199823</v>
      </c>
      <c r="H435" s="741">
        <v>433</v>
      </c>
      <c r="I435" s="735">
        <v>166.68885501381101</v>
      </c>
      <c r="J435">
        <f t="shared" si="12"/>
        <v>556.64819467199823</v>
      </c>
      <c r="K435" s="735">
        <v>30670.609390000001</v>
      </c>
      <c r="L435">
        <f t="shared" si="12"/>
        <v>957264.61831514898</v>
      </c>
      <c r="M435" s="742">
        <v>6167.290814</v>
      </c>
      <c r="N435">
        <f t="shared" si="13"/>
        <v>96794.166063897472</v>
      </c>
    </row>
    <row r="436" spans="1:14" ht="15.5" x14ac:dyDescent="0.35">
      <c r="A436">
        <v>852.22991647542995</v>
      </c>
      <c r="B436">
        <v>62.942614899723701</v>
      </c>
      <c r="C436">
        <v>290.57519668436902</v>
      </c>
      <c r="D436" s="735">
        <v>29439.776114827073</v>
      </c>
      <c r="E436" s="735">
        <v>13409.948639537519</v>
      </c>
      <c r="F436" s="735">
        <v>80.995357591474658</v>
      </c>
      <c r="H436" s="741">
        <v>434</v>
      </c>
      <c r="I436" s="735">
        <v>43.243624644089699</v>
      </c>
      <c r="J436">
        <f t="shared" si="12"/>
        <v>80.995357591474658</v>
      </c>
      <c r="K436" s="735">
        <v>1545.962589</v>
      </c>
      <c r="L436">
        <f t="shared" si="12"/>
        <v>13409.948639537519</v>
      </c>
      <c r="M436" s="742">
        <v>2680.7366510000002</v>
      </c>
      <c r="N436">
        <f t="shared" si="13"/>
        <v>29439.776114827073</v>
      </c>
    </row>
    <row r="437" spans="1:14" ht="15.5" x14ac:dyDescent="0.35">
      <c r="A437">
        <v>201.751459717758</v>
      </c>
      <c r="B437">
        <v>83.821522689841899</v>
      </c>
      <c r="C437">
        <v>19151.816829069201</v>
      </c>
      <c r="D437" s="735">
        <v>135910.13596825438</v>
      </c>
      <c r="E437" s="735">
        <v>42996.560601420024</v>
      </c>
      <c r="F437" s="735">
        <v>31.670125895373882</v>
      </c>
      <c r="H437" s="741">
        <v>435</v>
      </c>
      <c r="I437" s="735">
        <v>22.410670632033799</v>
      </c>
      <c r="J437">
        <f t="shared" si="12"/>
        <v>31.670125895373882</v>
      </c>
      <c r="K437" s="735">
        <v>3494.6493190000001</v>
      </c>
      <c r="L437">
        <f t="shared" si="12"/>
        <v>42996.560601420024</v>
      </c>
      <c r="M437" s="742">
        <v>7821.2522490000001</v>
      </c>
      <c r="N437">
        <f t="shared" si="13"/>
        <v>135910.13596825438</v>
      </c>
    </row>
    <row r="438" spans="1:14" ht="15.5" x14ac:dyDescent="0.35">
      <c r="A438">
        <v>3650.8248549441701</v>
      </c>
      <c r="B438">
        <v>579.73953952912802</v>
      </c>
      <c r="C438">
        <v>2623.5001143685799</v>
      </c>
      <c r="D438" s="735">
        <v>37915.211368118886</v>
      </c>
      <c r="E438" s="735">
        <v>2383.7499980983448</v>
      </c>
      <c r="F438" s="735">
        <v>42.375009191744653</v>
      </c>
      <c r="H438" s="741">
        <v>436</v>
      </c>
      <c r="I438" s="735">
        <v>27.477477681897099</v>
      </c>
      <c r="J438">
        <f t="shared" si="12"/>
        <v>42.375009191744653</v>
      </c>
      <c r="K438" s="735">
        <v>461.40520989999999</v>
      </c>
      <c r="L438">
        <f t="shared" si="12"/>
        <v>2383.7499980983448</v>
      </c>
      <c r="M438" s="742">
        <v>3200.14338</v>
      </c>
      <c r="N438">
        <f t="shared" si="13"/>
        <v>37915.211368118886</v>
      </c>
    </row>
    <row r="439" spans="1:14" ht="15.5" x14ac:dyDescent="0.35">
      <c r="A439">
        <v>364.95003437256901</v>
      </c>
      <c r="B439">
        <v>816.59933752905101</v>
      </c>
      <c r="C439">
        <v>12450.785170621401</v>
      </c>
      <c r="D439" s="735">
        <v>13026.502978329576</v>
      </c>
      <c r="E439" s="735">
        <v>2507.036558186679</v>
      </c>
      <c r="F439" s="735">
        <v>207.63486124425754</v>
      </c>
      <c r="H439" s="741">
        <v>437</v>
      </c>
      <c r="I439" s="735">
        <v>83.581505662316403</v>
      </c>
      <c r="J439">
        <f t="shared" si="12"/>
        <v>207.63486124425754</v>
      </c>
      <c r="K439" s="735">
        <v>477.98301780000003</v>
      </c>
      <c r="L439">
        <f t="shared" si="12"/>
        <v>2507.036558186679</v>
      </c>
      <c r="M439" s="742">
        <v>1514.8843890000001</v>
      </c>
      <c r="N439">
        <f t="shared" si="13"/>
        <v>13026.502978329576</v>
      </c>
    </row>
    <row r="440" spans="1:14" ht="15.5" x14ac:dyDescent="0.35">
      <c r="A440">
        <v>40.510892378900202</v>
      </c>
      <c r="B440">
        <v>144.38169612629301</v>
      </c>
      <c r="C440">
        <v>925.89126677194702</v>
      </c>
      <c r="D440" s="735">
        <v>73097.805815550644</v>
      </c>
      <c r="E440" s="735">
        <v>18206.776985837496</v>
      </c>
      <c r="F440" s="735">
        <v>45038.929339323557</v>
      </c>
      <c r="H440" s="741">
        <v>438</v>
      </c>
      <c r="I440" s="735">
        <v>3610.0368958773902</v>
      </c>
      <c r="J440">
        <f t="shared" si="12"/>
        <v>45038.929339323557</v>
      </c>
      <c r="K440" s="735">
        <v>1914.9751859999999</v>
      </c>
      <c r="L440">
        <f t="shared" si="12"/>
        <v>18206.776985837496</v>
      </c>
      <c r="M440" s="742">
        <v>5066.7915620000003</v>
      </c>
      <c r="N440">
        <f t="shared" si="13"/>
        <v>73097.805815550644</v>
      </c>
    </row>
    <row r="441" spans="1:14" ht="15.5" x14ac:dyDescent="0.35">
      <c r="A441">
        <v>1004.9370907646201</v>
      </c>
      <c r="B441">
        <v>14.8944682256456</v>
      </c>
      <c r="C441">
        <v>14.0285987187108</v>
      </c>
      <c r="D441" s="735">
        <v>32848.835396840128</v>
      </c>
      <c r="E441" s="735">
        <v>1679.6911980249893</v>
      </c>
      <c r="F441" s="735">
        <v>88.592659073295209</v>
      </c>
      <c r="H441" s="741">
        <v>439</v>
      </c>
      <c r="I441" s="735">
        <v>46.044569405634903</v>
      </c>
      <c r="J441">
        <f t="shared" si="12"/>
        <v>88.592659073295209</v>
      </c>
      <c r="K441" s="735">
        <v>361.1275425</v>
      </c>
      <c r="L441">
        <f t="shared" si="12"/>
        <v>1679.6911980249893</v>
      </c>
      <c r="M441" s="742">
        <v>2894.4362179999998</v>
      </c>
      <c r="N441">
        <f t="shared" si="13"/>
        <v>32848.835396840128</v>
      </c>
    </row>
    <row r="442" spans="1:14" ht="15.5" x14ac:dyDescent="0.35">
      <c r="A442">
        <v>316.73828430510503</v>
      </c>
      <c r="B442">
        <v>1616.26359726756</v>
      </c>
      <c r="C442">
        <v>21071.970954880999</v>
      </c>
      <c r="D442" s="735">
        <v>48471.278657599854</v>
      </c>
      <c r="E442" s="735">
        <v>5892.5592811770575</v>
      </c>
      <c r="F442" s="735">
        <v>3.1620673136282504</v>
      </c>
      <c r="H442" s="741">
        <v>440</v>
      </c>
      <c r="I442" s="735">
        <v>4.4666279337646504</v>
      </c>
      <c r="J442">
        <f t="shared" si="12"/>
        <v>3.1620673136282504</v>
      </c>
      <c r="K442" s="735">
        <v>869.38626009999996</v>
      </c>
      <c r="L442">
        <f t="shared" si="12"/>
        <v>5892.5592811770575</v>
      </c>
      <c r="M442" s="742">
        <v>3800.4859689999998</v>
      </c>
      <c r="N442">
        <f t="shared" si="13"/>
        <v>48471.278657599854</v>
      </c>
    </row>
    <row r="443" spans="1:14" ht="15.5" x14ac:dyDescent="0.35">
      <c r="A443">
        <v>133.58233123864801</v>
      </c>
      <c r="B443">
        <v>33.085954824184299</v>
      </c>
      <c r="C443">
        <v>2474.4962097418602</v>
      </c>
      <c r="D443" s="735">
        <v>400643.61344398058</v>
      </c>
      <c r="E443" s="735">
        <v>1746.6453983898541</v>
      </c>
      <c r="F443" s="735">
        <v>45.928828220168128</v>
      </c>
      <c r="H443" s="741">
        <v>441</v>
      </c>
      <c r="I443" s="735">
        <v>29.0709855864418</v>
      </c>
      <c r="J443">
        <f t="shared" si="12"/>
        <v>45.928828220168128</v>
      </c>
      <c r="K443" s="735">
        <v>371.1447493</v>
      </c>
      <c r="L443">
        <f t="shared" si="12"/>
        <v>1746.6453983898541</v>
      </c>
      <c r="M443" s="742">
        <v>16669.814109999999</v>
      </c>
      <c r="N443">
        <f t="shared" si="13"/>
        <v>400643.61344398058</v>
      </c>
    </row>
    <row r="444" spans="1:14" ht="15.5" x14ac:dyDescent="0.35">
      <c r="A444">
        <v>688.010618521928</v>
      </c>
      <c r="B444">
        <v>73.547993729123803</v>
      </c>
      <c r="C444">
        <v>941.79522620277498</v>
      </c>
      <c r="D444" s="735">
        <v>26520.768658612687</v>
      </c>
      <c r="E444" s="735">
        <v>1664.6358454745337</v>
      </c>
      <c r="F444" s="735">
        <v>146.39184040351887</v>
      </c>
      <c r="H444" s="741">
        <v>442</v>
      </c>
      <c r="I444" s="735">
        <v>65.442790494481898</v>
      </c>
      <c r="J444">
        <f t="shared" si="12"/>
        <v>146.39184040351887</v>
      </c>
      <c r="K444" s="735">
        <v>358.85869179999997</v>
      </c>
      <c r="L444">
        <f t="shared" si="12"/>
        <v>1664.6358454745337</v>
      </c>
      <c r="M444" s="742">
        <v>2491.783324</v>
      </c>
      <c r="N444">
        <f t="shared" si="13"/>
        <v>26520.768658612687</v>
      </c>
    </row>
    <row r="445" spans="1:14" ht="15.5" x14ac:dyDescent="0.35">
      <c r="A445">
        <v>5865.50847367196</v>
      </c>
      <c r="B445">
        <v>820.18149003565998</v>
      </c>
      <c r="C445">
        <v>5540.4248660158501</v>
      </c>
      <c r="D445" s="735">
        <v>27719.930752020558</v>
      </c>
      <c r="E445" s="735">
        <v>7287.203705416041</v>
      </c>
      <c r="F445" s="735">
        <v>418.31964927431903</v>
      </c>
      <c r="H445" s="741">
        <v>443</v>
      </c>
      <c r="I445" s="735">
        <v>136.47584290709901</v>
      </c>
      <c r="J445">
        <f t="shared" si="12"/>
        <v>418.31964927431903</v>
      </c>
      <c r="K445" s="735">
        <v>1008.771112</v>
      </c>
      <c r="L445">
        <f t="shared" si="12"/>
        <v>7287.203705416041</v>
      </c>
      <c r="M445" s="742">
        <v>2570.126495</v>
      </c>
      <c r="N445">
        <f t="shared" si="13"/>
        <v>27719.930752020558</v>
      </c>
    </row>
    <row r="446" spans="1:14" ht="15.5" x14ac:dyDescent="0.35">
      <c r="A446">
        <v>142.382126646866</v>
      </c>
      <c r="B446">
        <v>3398.0894629403201</v>
      </c>
      <c r="C446">
        <v>8057.6608344850301</v>
      </c>
      <c r="D446" s="735">
        <v>40444.856844862945</v>
      </c>
      <c r="E446" s="735">
        <v>2473.9334876256398</v>
      </c>
      <c r="F446" s="735">
        <v>569.30849681091229</v>
      </c>
      <c r="H446" s="741">
        <v>444</v>
      </c>
      <c r="I446" s="735">
        <v>169.33368750963501</v>
      </c>
      <c r="J446">
        <f t="shared" si="12"/>
        <v>569.30849681091229</v>
      </c>
      <c r="K446" s="735">
        <v>473.55629440000001</v>
      </c>
      <c r="L446">
        <f t="shared" si="12"/>
        <v>2473.9334876256398</v>
      </c>
      <c r="M446" s="742">
        <v>3348.145415</v>
      </c>
      <c r="N446">
        <f t="shared" si="13"/>
        <v>40444.856844862945</v>
      </c>
    </row>
    <row r="447" spans="1:14" ht="15.5" x14ac:dyDescent="0.35">
      <c r="A447">
        <v>44.625137233800103</v>
      </c>
      <c r="B447">
        <v>250.00769321216001</v>
      </c>
      <c r="C447">
        <v>1087.9825485019801</v>
      </c>
      <c r="D447" s="735">
        <v>6429.9817062520851</v>
      </c>
      <c r="E447" s="735">
        <v>82079.493641795751</v>
      </c>
      <c r="F447" s="735">
        <v>1085.7796614859994</v>
      </c>
      <c r="H447" s="741">
        <v>445</v>
      </c>
      <c r="I447" s="735">
        <v>266.08426407435502</v>
      </c>
      <c r="J447">
        <f t="shared" si="12"/>
        <v>1085.7796614859994</v>
      </c>
      <c r="K447" s="735">
        <v>5494.9566169999998</v>
      </c>
      <c r="L447">
        <f t="shared" si="12"/>
        <v>82079.493641795751</v>
      </c>
      <c r="M447" s="742">
        <v>924.15925289999996</v>
      </c>
      <c r="N447">
        <f t="shared" si="13"/>
        <v>6429.9817062520851</v>
      </c>
    </row>
    <row r="448" spans="1:14" ht="15.5" x14ac:dyDescent="0.35">
      <c r="A448">
        <v>2388.6287394358101</v>
      </c>
      <c r="B448">
        <v>90.3118581198474</v>
      </c>
      <c r="C448">
        <v>795.77701721615199</v>
      </c>
      <c r="D448" s="735">
        <v>35092.967074140295</v>
      </c>
      <c r="E448" s="735">
        <v>2106.6965872037654</v>
      </c>
      <c r="F448" s="735">
        <v>1845.0697202332797</v>
      </c>
      <c r="H448" s="741">
        <v>446</v>
      </c>
      <c r="I448" s="735">
        <v>385.66386308310098</v>
      </c>
      <c r="J448">
        <f t="shared" si="12"/>
        <v>1845.0697202332797</v>
      </c>
      <c r="K448" s="735">
        <v>423.17635569999999</v>
      </c>
      <c r="L448">
        <f t="shared" si="12"/>
        <v>2106.6965872037654</v>
      </c>
      <c r="M448" s="742">
        <v>3031.4754969999999</v>
      </c>
      <c r="N448">
        <f t="shared" si="13"/>
        <v>35092.967074140295</v>
      </c>
    </row>
    <row r="449" spans="1:14" ht="15.5" x14ac:dyDescent="0.35">
      <c r="A449">
        <v>504.422715129528</v>
      </c>
      <c r="B449">
        <v>1058.68743628229</v>
      </c>
      <c r="C449">
        <v>529.54660361142498</v>
      </c>
      <c r="D449" s="735">
        <v>3085.4901942822885</v>
      </c>
      <c r="E449" s="735">
        <v>472.84582005827968</v>
      </c>
      <c r="F449" s="735">
        <v>17.77809880153584</v>
      </c>
      <c r="H449" s="741">
        <v>447</v>
      </c>
      <c r="I449" s="735">
        <v>14.959591030255501</v>
      </c>
      <c r="J449">
        <f t="shared" si="12"/>
        <v>17.77809880153584</v>
      </c>
      <c r="K449" s="735">
        <v>148.69750719999999</v>
      </c>
      <c r="L449">
        <f t="shared" si="12"/>
        <v>472.84582005827968</v>
      </c>
      <c r="M449" s="742">
        <v>552.74766850000003</v>
      </c>
      <c r="N449">
        <f t="shared" si="13"/>
        <v>3085.4901942822885</v>
      </c>
    </row>
    <row r="450" spans="1:14" ht="15.5" x14ac:dyDescent="0.35">
      <c r="A450">
        <v>30.7813270677029</v>
      </c>
      <c r="B450">
        <v>2605.4326105922</v>
      </c>
      <c r="C450">
        <v>11381.658409670999</v>
      </c>
      <c r="D450" s="735">
        <v>47167.286111198555</v>
      </c>
      <c r="E450" s="735">
        <v>53426.367425717981</v>
      </c>
      <c r="F450" s="735">
        <v>1649.7685315358058</v>
      </c>
      <c r="H450" s="741">
        <v>448</v>
      </c>
      <c r="I450" s="735">
        <v>356.61212947905398</v>
      </c>
      <c r="J450">
        <f t="shared" si="12"/>
        <v>1649.7685315358058</v>
      </c>
      <c r="K450" s="735">
        <v>4068.4497150000002</v>
      </c>
      <c r="L450">
        <f t="shared" si="12"/>
        <v>53426.367425717981</v>
      </c>
      <c r="M450" s="742">
        <v>3728.6242699999998</v>
      </c>
      <c r="N450">
        <f t="shared" si="13"/>
        <v>47167.286111198555</v>
      </c>
    </row>
    <row r="451" spans="1:14" ht="15.5" x14ac:dyDescent="0.35">
      <c r="A451">
        <v>28.411248794352499</v>
      </c>
      <c r="B451">
        <v>439.44265427149401</v>
      </c>
      <c r="C451">
        <v>1994.8965309134101</v>
      </c>
      <c r="D451" s="735">
        <v>4803.0676272211567</v>
      </c>
      <c r="E451" s="735">
        <v>5007.262516828624</v>
      </c>
      <c r="F451" s="735">
        <v>29196.674801272817</v>
      </c>
      <c r="H451" s="741">
        <v>449</v>
      </c>
      <c r="I451" s="735">
        <v>2665.2219101184201</v>
      </c>
      <c r="J451">
        <f t="shared" si="12"/>
        <v>29196.674801272817</v>
      </c>
      <c r="K451" s="735">
        <v>775.74726410000005</v>
      </c>
      <c r="L451">
        <f t="shared" si="12"/>
        <v>5007.262516828624</v>
      </c>
      <c r="M451" s="742">
        <v>753.46501360000002</v>
      </c>
      <c r="N451">
        <f t="shared" si="13"/>
        <v>4803.0676272211567</v>
      </c>
    </row>
    <row r="452" spans="1:14" ht="15.5" x14ac:dyDescent="0.35">
      <c r="A452">
        <v>427.05244687266799</v>
      </c>
      <c r="B452">
        <v>480.45501539889102</v>
      </c>
      <c r="C452">
        <v>5581.0673891204697</v>
      </c>
      <c r="D452" s="735">
        <v>32382.620562486565</v>
      </c>
      <c r="E452" s="735">
        <v>45.862050230645586</v>
      </c>
      <c r="F452" s="735">
        <v>72.569005543818179</v>
      </c>
      <c r="H452" s="741">
        <v>450</v>
      </c>
      <c r="I452" s="735">
        <v>40.042927443592802</v>
      </c>
      <c r="J452">
        <f t="shared" ref="J452:L515" si="14">(10^(LOG(I452)-0.3))^(1/0.7)</f>
        <v>72.569005543818179</v>
      </c>
      <c r="K452" s="735">
        <v>29.0413918</v>
      </c>
      <c r="L452">
        <f t="shared" si="14"/>
        <v>45.862050230645586</v>
      </c>
      <c r="M452" s="742">
        <v>2865.6186419999999</v>
      </c>
      <c r="N452">
        <f t="shared" ref="N452:N515" si="15">(10^(LOG(M452)-0.3))^(1/0.7)</f>
        <v>32382.620562486565</v>
      </c>
    </row>
    <row r="453" spans="1:14" ht="15.5" x14ac:dyDescent="0.35">
      <c r="A453">
        <v>191.29572779594699</v>
      </c>
      <c r="B453">
        <v>490.85672851790201</v>
      </c>
      <c r="C453">
        <v>1225.7505273250099</v>
      </c>
      <c r="D453" s="735">
        <v>10269.605703262307</v>
      </c>
      <c r="E453" s="735">
        <v>2479.9312257822126</v>
      </c>
      <c r="F453" s="735">
        <v>125.30345368865171</v>
      </c>
      <c r="H453" s="741">
        <v>451</v>
      </c>
      <c r="I453" s="735">
        <v>58.691354037554802</v>
      </c>
      <c r="J453">
        <f t="shared" si="14"/>
        <v>125.30345368865171</v>
      </c>
      <c r="K453" s="735">
        <v>474.35965650000003</v>
      </c>
      <c r="L453">
        <f t="shared" si="14"/>
        <v>2479.9312257822126</v>
      </c>
      <c r="M453" s="742">
        <v>1282.589377</v>
      </c>
      <c r="N453">
        <f t="shared" si="15"/>
        <v>10269.605703262307</v>
      </c>
    </row>
    <row r="454" spans="1:14" ht="15.5" x14ac:dyDescent="0.35">
      <c r="A454">
        <v>283.68951268263402</v>
      </c>
      <c r="B454">
        <v>1359.3319926833999</v>
      </c>
      <c r="C454">
        <v>709.12465881851006</v>
      </c>
      <c r="D454" s="735">
        <v>173771.87518693754</v>
      </c>
      <c r="E454" s="735">
        <v>18615.492939916843</v>
      </c>
      <c r="F454" s="735">
        <v>2529.7151009375439</v>
      </c>
      <c r="H454" s="741">
        <v>452</v>
      </c>
      <c r="I454" s="735">
        <v>481.00559633837599</v>
      </c>
      <c r="J454">
        <f t="shared" si="14"/>
        <v>2529.7151009375439</v>
      </c>
      <c r="K454" s="735">
        <v>1944.9667380000001</v>
      </c>
      <c r="L454">
        <f t="shared" si="14"/>
        <v>18615.492939916843</v>
      </c>
      <c r="M454" s="742">
        <v>9289.3567380000004</v>
      </c>
      <c r="N454">
        <f t="shared" si="15"/>
        <v>173771.87518693754</v>
      </c>
    </row>
    <row r="455" spans="1:14" ht="15.5" x14ac:dyDescent="0.35">
      <c r="A455">
        <v>934.32388159415495</v>
      </c>
      <c r="B455">
        <v>312.03564713088002</v>
      </c>
      <c r="C455">
        <v>1541.7559562924</v>
      </c>
      <c r="D455" s="735">
        <v>38882.00687733775</v>
      </c>
      <c r="E455" s="735">
        <v>61.642156308369728</v>
      </c>
      <c r="F455" s="735">
        <v>280.56433352629432</v>
      </c>
      <c r="H455" s="741">
        <v>453</v>
      </c>
      <c r="I455" s="735">
        <v>103.186462187451</v>
      </c>
      <c r="J455">
        <f t="shared" si="14"/>
        <v>280.56433352629432</v>
      </c>
      <c r="K455" s="735">
        <v>35.720248839999996</v>
      </c>
      <c r="L455">
        <f t="shared" si="14"/>
        <v>61.642156308369728</v>
      </c>
      <c r="M455" s="742">
        <v>3257.0473400000001</v>
      </c>
      <c r="N455">
        <f t="shared" si="15"/>
        <v>38882.00687733775</v>
      </c>
    </row>
    <row r="456" spans="1:14" ht="15.5" x14ac:dyDescent="0.35">
      <c r="A456">
        <v>1394.0111352763799</v>
      </c>
      <c r="B456">
        <v>316.99936620851997</v>
      </c>
      <c r="C456">
        <v>629.97438371165401</v>
      </c>
      <c r="D456" s="735">
        <v>29457.951597093765</v>
      </c>
      <c r="E456" s="735">
        <v>838707.67048241757</v>
      </c>
      <c r="F456" s="735">
        <v>4768.7007727050168</v>
      </c>
      <c r="H456" s="741">
        <v>454</v>
      </c>
      <c r="I456" s="735">
        <v>749.68712165147201</v>
      </c>
      <c r="J456">
        <f t="shared" si="14"/>
        <v>4768.7007727050168</v>
      </c>
      <c r="K456" s="735">
        <v>27959.373159999999</v>
      </c>
      <c r="L456">
        <f t="shared" si="14"/>
        <v>838707.67048241757</v>
      </c>
      <c r="M456" s="742">
        <v>2681.8950639999998</v>
      </c>
      <c r="N456">
        <f t="shared" si="15"/>
        <v>29457.951597093765</v>
      </c>
    </row>
    <row r="457" spans="1:14" ht="15.5" x14ac:dyDescent="0.35">
      <c r="A457">
        <v>1013.0416594058501</v>
      </c>
      <c r="B457">
        <v>345.47169105855102</v>
      </c>
      <c r="C457">
        <v>17303.270767880898</v>
      </c>
      <c r="D457" s="735">
        <v>202930.80532366197</v>
      </c>
      <c r="E457" s="735">
        <v>19524.297291208251</v>
      </c>
      <c r="F457" s="735">
        <v>80.401789451416349</v>
      </c>
      <c r="H457" s="741">
        <v>455</v>
      </c>
      <c r="I457" s="735">
        <v>43.021544747543999</v>
      </c>
      <c r="J457">
        <f t="shared" si="14"/>
        <v>80.401789451416349</v>
      </c>
      <c r="K457" s="735">
        <v>2010.9570189999999</v>
      </c>
      <c r="L457">
        <f t="shared" si="14"/>
        <v>19524.297291208251</v>
      </c>
      <c r="M457" s="742">
        <v>10354.844590000001</v>
      </c>
      <c r="N457">
        <f t="shared" si="15"/>
        <v>202930.80532366197</v>
      </c>
    </row>
    <row r="458" spans="1:14" ht="15.5" x14ac:dyDescent="0.35">
      <c r="A458">
        <v>63.417120447571101</v>
      </c>
      <c r="B458">
        <v>356.55222228845298</v>
      </c>
      <c r="C458">
        <v>7307.9054853854996</v>
      </c>
      <c r="D458" s="735">
        <v>34146.113676219851</v>
      </c>
      <c r="E458" s="735">
        <v>2789.2642860174155</v>
      </c>
      <c r="F458" s="735">
        <v>323.6548338594252</v>
      </c>
      <c r="H458" s="741">
        <v>456</v>
      </c>
      <c r="I458" s="735">
        <v>114.04006820585801</v>
      </c>
      <c r="J458">
        <f t="shared" si="14"/>
        <v>323.6548338594252</v>
      </c>
      <c r="K458" s="735">
        <v>515.04214290000004</v>
      </c>
      <c r="L458">
        <f t="shared" si="14"/>
        <v>2789.2642860174155</v>
      </c>
      <c r="M458" s="742">
        <v>2973.985846</v>
      </c>
      <c r="N458">
        <f t="shared" si="15"/>
        <v>34146.113676219851</v>
      </c>
    </row>
    <row r="459" spans="1:14" ht="15.5" x14ac:dyDescent="0.35">
      <c r="A459">
        <v>63.170617189734102</v>
      </c>
      <c r="B459">
        <v>1661.29271904192</v>
      </c>
      <c r="C459">
        <v>10524.1952438469</v>
      </c>
      <c r="D459" s="735">
        <v>40900.392809595927</v>
      </c>
      <c r="E459" s="735">
        <v>332348.56089355634</v>
      </c>
      <c r="F459" s="735">
        <v>610.29356017699013</v>
      </c>
      <c r="H459" s="741">
        <v>457</v>
      </c>
      <c r="I459" s="735">
        <v>177.77764592443901</v>
      </c>
      <c r="J459">
        <f t="shared" si="14"/>
        <v>610.29356017699013</v>
      </c>
      <c r="K459" s="735">
        <v>14625.66635</v>
      </c>
      <c r="L459">
        <f t="shared" si="14"/>
        <v>332348.56089355634</v>
      </c>
      <c r="M459" s="742">
        <v>3374.4984679999998</v>
      </c>
      <c r="N459">
        <f t="shared" si="15"/>
        <v>40900.392809595927</v>
      </c>
    </row>
    <row r="460" spans="1:14" ht="15.5" x14ac:dyDescent="0.35">
      <c r="A460">
        <v>90.319561773066297</v>
      </c>
      <c r="B460">
        <v>821.56704280517204</v>
      </c>
      <c r="C460">
        <v>2327.5739376045299</v>
      </c>
      <c r="D460" s="735">
        <v>22567.671350895074</v>
      </c>
      <c r="E460" s="735">
        <v>58847.507059405136</v>
      </c>
      <c r="F460" s="735">
        <v>568.37342553766086</v>
      </c>
      <c r="H460" s="741">
        <v>458</v>
      </c>
      <c r="I460" s="735">
        <v>169.13895183670701</v>
      </c>
      <c r="J460">
        <f t="shared" si="14"/>
        <v>568.37342553766086</v>
      </c>
      <c r="K460" s="735">
        <v>4353.2103070000003</v>
      </c>
      <c r="L460">
        <f t="shared" si="14"/>
        <v>58847.507059405136</v>
      </c>
      <c r="M460" s="742">
        <v>2225.5672610000001</v>
      </c>
      <c r="N460">
        <f t="shared" si="15"/>
        <v>22567.671350895074</v>
      </c>
    </row>
    <row r="461" spans="1:14" ht="15.5" x14ac:dyDescent="0.35">
      <c r="A461">
        <v>226.22892024960399</v>
      </c>
      <c r="B461">
        <v>1553.16730129652</v>
      </c>
      <c r="C461">
        <v>194.17928364945601</v>
      </c>
      <c r="D461" s="735">
        <v>66028.076744894861</v>
      </c>
      <c r="E461" s="735">
        <v>413337.5335061893</v>
      </c>
      <c r="F461" s="735">
        <v>51.006877937230833</v>
      </c>
      <c r="H461" s="741">
        <v>459</v>
      </c>
      <c r="I461" s="735">
        <v>31.285285259489999</v>
      </c>
      <c r="J461">
        <f t="shared" si="14"/>
        <v>51.006877937230833</v>
      </c>
      <c r="K461" s="735">
        <v>17037.79508</v>
      </c>
      <c r="L461">
        <f t="shared" si="14"/>
        <v>413337.5335061893</v>
      </c>
      <c r="M461" s="742">
        <v>4718.5662080000002</v>
      </c>
      <c r="N461">
        <f t="shared" si="15"/>
        <v>66028.076744894861</v>
      </c>
    </row>
    <row r="462" spans="1:14" ht="15.5" x14ac:dyDescent="0.35">
      <c r="A462">
        <v>35.526430448611798</v>
      </c>
      <c r="B462">
        <v>21.500503263177801</v>
      </c>
      <c r="C462">
        <v>85880.066125202895</v>
      </c>
      <c r="D462" s="735">
        <v>44331.307849648496</v>
      </c>
      <c r="E462" s="735">
        <v>14106.686060805163</v>
      </c>
      <c r="F462" s="735">
        <v>434.81211385768279</v>
      </c>
      <c r="H462" s="741">
        <v>460</v>
      </c>
      <c r="I462" s="735">
        <v>140.22038154635001</v>
      </c>
      <c r="J462">
        <f t="shared" si="14"/>
        <v>434.81211385768279</v>
      </c>
      <c r="K462" s="735">
        <v>1601.7602099999999</v>
      </c>
      <c r="L462">
        <f t="shared" si="14"/>
        <v>14106.686060805163</v>
      </c>
      <c r="M462" s="742">
        <v>3570.239748</v>
      </c>
      <c r="N462">
        <f t="shared" si="15"/>
        <v>44331.307849648496</v>
      </c>
    </row>
    <row r="463" spans="1:14" ht="15.5" x14ac:dyDescent="0.35">
      <c r="A463">
        <v>839.61856903687499</v>
      </c>
      <c r="B463">
        <v>262.377122918998</v>
      </c>
      <c r="C463">
        <v>15700.808283923199</v>
      </c>
      <c r="D463" s="735">
        <v>16589.820824421153</v>
      </c>
      <c r="E463" s="735">
        <v>84.383088544646697</v>
      </c>
      <c r="F463" s="735">
        <v>29162.081378924981</v>
      </c>
      <c r="H463" s="741">
        <v>461</v>
      </c>
      <c r="I463" s="735">
        <v>2663.01101179849</v>
      </c>
      <c r="J463">
        <f t="shared" si="14"/>
        <v>29162.081378924981</v>
      </c>
      <c r="K463" s="735">
        <v>44.501924440000003</v>
      </c>
      <c r="L463">
        <f t="shared" si="14"/>
        <v>84.383088544646697</v>
      </c>
      <c r="M463" s="742">
        <v>1794.2757469999999</v>
      </c>
      <c r="N463">
        <f t="shared" si="15"/>
        <v>16589.820824421153</v>
      </c>
    </row>
    <row r="464" spans="1:14" ht="15.5" x14ac:dyDescent="0.35">
      <c r="A464">
        <v>206.35969165081801</v>
      </c>
      <c r="B464">
        <v>106.984338583634</v>
      </c>
      <c r="C464">
        <v>17939.118852058898</v>
      </c>
      <c r="D464" s="735">
        <v>88078.034668343069</v>
      </c>
      <c r="E464" s="735">
        <v>294035.25317243091</v>
      </c>
      <c r="F464" s="735">
        <v>349.63189176354444</v>
      </c>
      <c r="H464" s="741">
        <v>462</v>
      </c>
      <c r="I464" s="735">
        <v>120.372624064155</v>
      </c>
      <c r="J464">
        <f t="shared" si="14"/>
        <v>349.63189176354444</v>
      </c>
      <c r="K464" s="735">
        <v>13423.927009999999</v>
      </c>
      <c r="L464">
        <f t="shared" si="14"/>
        <v>294035.25317243091</v>
      </c>
      <c r="M464" s="742">
        <v>5773.076744</v>
      </c>
      <c r="N464">
        <f t="shared" si="15"/>
        <v>88078.034668343069</v>
      </c>
    </row>
    <row r="465" spans="1:14" ht="15.5" x14ac:dyDescent="0.35">
      <c r="A465">
        <v>20.8942623435427</v>
      </c>
      <c r="B465">
        <v>648.26203347602495</v>
      </c>
      <c r="C465">
        <v>11920.9794507771</v>
      </c>
      <c r="D465" s="735">
        <v>4399.9285664401323</v>
      </c>
      <c r="E465" s="735">
        <v>73629.61267085791</v>
      </c>
      <c r="F465" s="735">
        <v>508.31664441395003</v>
      </c>
      <c r="H465" s="741">
        <v>463</v>
      </c>
      <c r="I465" s="735">
        <v>156.420630240305</v>
      </c>
      <c r="J465">
        <f t="shared" si="14"/>
        <v>508.31664441395003</v>
      </c>
      <c r="K465" s="735">
        <v>5092.5671130000001</v>
      </c>
      <c r="L465">
        <f t="shared" si="14"/>
        <v>73629.61267085791</v>
      </c>
      <c r="M465" s="742">
        <v>708.61760530000004</v>
      </c>
      <c r="N465">
        <f t="shared" si="15"/>
        <v>4399.9285664401323</v>
      </c>
    </row>
    <row r="466" spans="1:14" ht="15.5" x14ac:dyDescent="0.35">
      <c r="A466">
        <v>6455.7550133056902</v>
      </c>
      <c r="B466">
        <v>1256.06674047914</v>
      </c>
      <c r="C466">
        <v>91.135366670965794</v>
      </c>
      <c r="D466" s="735">
        <v>136737.2749374907</v>
      </c>
      <c r="E466" s="735">
        <v>4705.5336526716328</v>
      </c>
      <c r="F466" s="735">
        <v>145.28701570571488</v>
      </c>
      <c r="H466" s="741">
        <v>464</v>
      </c>
      <c r="I466" s="735">
        <v>65.096668391772099</v>
      </c>
      <c r="J466">
        <f t="shared" si="14"/>
        <v>145.28701570571488</v>
      </c>
      <c r="K466" s="735">
        <v>742.72188089999997</v>
      </c>
      <c r="L466">
        <f t="shared" si="14"/>
        <v>4705.5336526716328</v>
      </c>
      <c r="M466" s="742">
        <v>7854.5416029999997</v>
      </c>
      <c r="N466">
        <f t="shared" si="15"/>
        <v>136737.2749374907</v>
      </c>
    </row>
    <row r="467" spans="1:14" ht="15.5" x14ac:dyDescent="0.35">
      <c r="A467">
        <v>26809.820870409701</v>
      </c>
      <c r="B467">
        <v>707.79218549944301</v>
      </c>
      <c r="C467">
        <v>2893.0371463121901</v>
      </c>
      <c r="D467" s="735">
        <v>26510.733382734332</v>
      </c>
      <c r="E467" s="735">
        <v>3611.5823105369477</v>
      </c>
      <c r="F467" s="735">
        <v>227.8734740515788</v>
      </c>
      <c r="H467" s="741">
        <v>465</v>
      </c>
      <c r="I467" s="735">
        <v>89.204269561743203</v>
      </c>
      <c r="J467">
        <f t="shared" si="14"/>
        <v>227.8734740515788</v>
      </c>
      <c r="K467" s="735">
        <v>617.14648820000002</v>
      </c>
      <c r="L467">
        <f t="shared" si="14"/>
        <v>3611.5823105369477</v>
      </c>
      <c r="M467" s="742">
        <v>2491.1232749999999</v>
      </c>
      <c r="N467">
        <f t="shared" si="15"/>
        <v>26510.733382734332</v>
      </c>
    </row>
    <row r="468" spans="1:14" ht="15.5" x14ac:dyDescent="0.35">
      <c r="A468">
        <v>211.258279951757</v>
      </c>
      <c r="B468">
        <v>455.418120001734</v>
      </c>
      <c r="C468">
        <v>17030.1228209361</v>
      </c>
      <c r="D468" s="735">
        <v>818601.91984797025</v>
      </c>
      <c r="E468" s="735">
        <v>136633.73300350024</v>
      </c>
      <c r="F468" s="735">
        <v>250.96079119317724</v>
      </c>
      <c r="H468" s="741">
        <v>466</v>
      </c>
      <c r="I468" s="735">
        <v>95.438611519326699</v>
      </c>
      <c r="J468">
        <f t="shared" si="14"/>
        <v>250.96079119317724</v>
      </c>
      <c r="K468" s="735">
        <v>7850.3777289999998</v>
      </c>
      <c r="L468">
        <f t="shared" si="14"/>
        <v>136633.73300350024</v>
      </c>
      <c r="M468" s="742">
        <v>27488.492999999999</v>
      </c>
      <c r="N468">
        <f t="shared" si="15"/>
        <v>818601.91984797025</v>
      </c>
    </row>
    <row r="469" spans="1:14" ht="15.5" x14ac:dyDescent="0.35">
      <c r="A469">
        <v>1449.80667957334</v>
      </c>
      <c r="B469">
        <v>89.376533900079806</v>
      </c>
      <c r="C469">
        <v>34779.5103912825</v>
      </c>
      <c r="D469" s="735">
        <v>3646.9302213519886</v>
      </c>
      <c r="E469" s="735">
        <v>240513.74866994051</v>
      </c>
      <c r="F469" s="735">
        <v>279.01240245213955</v>
      </c>
      <c r="H469" s="741">
        <v>467</v>
      </c>
      <c r="I469" s="735">
        <v>102.786589455617</v>
      </c>
      <c r="J469">
        <f t="shared" si="14"/>
        <v>279.01240245213955</v>
      </c>
      <c r="K469" s="735">
        <v>11662.668600000001</v>
      </c>
      <c r="L469">
        <f t="shared" si="14"/>
        <v>240513.74866994051</v>
      </c>
      <c r="M469" s="742">
        <v>621.36847790000002</v>
      </c>
      <c r="N469">
        <f t="shared" si="15"/>
        <v>3646.9302213519886</v>
      </c>
    </row>
    <row r="470" spans="1:14" ht="15.5" x14ac:dyDescent="0.35">
      <c r="A470">
        <v>302.33903621318302</v>
      </c>
      <c r="B470">
        <v>2085.7070628707702</v>
      </c>
      <c r="C470">
        <v>11132.424053037401</v>
      </c>
      <c r="D470" s="735">
        <v>31478.494812399887</v>
      </c>
      <c r="E470" s="735">
        <v>26996.207165959695</v>
      </c>
      <c r="F470" s="735">
        <v>55.884825279548188</v>
      </c>
      <c r="H470" s="741">
        <v>468</v>
      </c>
      <c r="I470" s="735">
        <v>33.350759472175298</v>
      </c>
      <c r="J470">
        <f t="shared" si="14"/>
        <v>55.884825279548188</v>
      </c>
      <c r="K470" s="735">
        <v>2522.969071</v>
      </c>
      <c r="L470">
        <f t="shared" si="14"/>
        <v>26996.207165959695</v>
      </c>
      <c r="M470" s="742">
        <v>2809.3753689999999</v>
      </c>
      <c r="N470">
        <f t="shared" si="15"/>
        <v>31478.494812399887</v>
      </c>
    </row>
    <row r="471" spans="1:14" ht="15.5" x14ac:dyDescent="0.35">
      <c r="A471">
        <v>349.75159607152602</v>
      </c>
      <c r="B471">
        <v>139.65468667933399</v>
      </c>
      <c r="C471">
        <v>5621.4254519469996</v>
      </c>
      <c r="D471" s="735">
        <v>16351.717122095364</v>
      </c>
      <c r="E471" s="735">
        <v>873553.77433238924</v>
      </c>
      <c r="F471" s="735">
        <v>299.97526433798117</v>
      </c>
      <c r="H471" s="741">
        <v>469</v>
      </c>
      <c r="I471" s="735">
        <v>108.13338822833001</v>
      </c>
      <c r="J471">
        <f t="shared" si="14"/>
        <v>299.97526433798117</v>
      </c>
      <c r="K471" s="735">
        <v>28767.541689999998</v>
      </c>
      <c r="L471">
        <f t="shared" si="14"/>
        <v>873553.77433238924</v>
      </c>
      <c r="M471" s="742">
        <v>1776.210184</v>
      </c>
      <c r="N471">
        <f t="shared" si="15"/>
        <v>16351.717122095364</v>
      </c>
    </row>
    <row r="472" spans="1:14" ht="15.5" x14ac:dyDescent="0.35">
      <c r="A472">
        <v>30.449084261494502</v>
      </c>
      <c r="B472">
        <v>865.84727603627596</v>
      </c>
      <c r="C472">
        <v>6506.8866173749402</v>
      </c>
      <c r="D472" s="735">
        <v>1099767.4713691194</v>
      </c>
      <c r="E472" s="735">
        <v>2060.3982264992983</v>
      </c>
      <c r="F472" s="735">
        <v>1416.6913204537198</v>
      </c>
      <c r="H472" s="741">
        <v>470</v>
      </c>
      <c r="I472" s="735">
        <v>320.547698621282</v>
      </c>
      <c r="J472">
        <f t="shared" si="14"/>
        <v>1416.6913204537198</v>
      </c>
      <c r="K472" s="735">
        <v>416.64465730000001</v>
      </c>
      <c r="L472">
        <f t="shared" si="14"/>
        <v>2060.3982264992983</v>
      </c>
      <c r="M472" s="742">
        <v>33799.52594</v>
      </c>
      <c r="N472">
        <f t="shared" si="15"/>
        <v>1099767.4713691194</v>
      </c>
    </row>
    <row r="473" spans="1:14" ht="15.5" x14ac:dyDescent="0.35">
      <c r="A473">
        <v>20078.417838998401</v>
      </c>
      <c r="B473">
        <v>48.652183397756502</v>
      </c>
      <c r="C473">
        <v>952.76102626595798</v>
      </c>
      <c r="D473" s="735">
        <v>7122.0256769271282</v>
      </c>
      <c r="E473" s="735">
        <v>223550.77661968835</v>
      </c>
      <c r="F473" s="735">
        <v>323.77039578617752</v>
      </c>
      <c r="H473" s="741">
        <v>471</v>
      </c>
      <c r="I473" s="735">
        <v>114.06856952282</v>
      </c>
      <c r="J473">
        <f t="shared" si="14"/>
        <v>323.77039578617752</v>
      </c>
      <c r="K473" s="735">
        <v>11080.601290000001</v>
      </c>
      <c r="L473">
        <f t="shared" si="14"/>
        <v>223550.77661968835</v>
      </c>
      <c r="M473" s="742">
        <v>992.71017789999996</v>
      </c>
      <c r="N473">
        <f t="shared" si="15"/>
        <v>7122.0256769271282</v>
      </c>
    </row>
    <row r="474" spans="1:14" ht="15.5" x14ac:dyDescent="0.35">
      <c r="A474">
        <v>1636.4966396939601</v>
      </c>
      <c r="B474">
        <v>304.27302819789497</v>
      </c>
      <c r="C474">
        <v>40218.192553633198</v>
      </c>
      <c r="D474" s="735">
        <v>238721.16769019421</v>
      </c>
      <c r="E474" s="735">
        <v>44139.466636496691</v>
      </c>
      <c r="F474" s="735">
        <v>2642.9146795777028</v>
      </c>
      <c r="H474" s="741">
        <v>472</v>
      </c>
      <c r="I474" s="735">
        <v>495.97318888462001</v>
      </c>
      <c r="J474">
        <f t="shared" si="14"/>
        <v>2642.9146795777028</v>
      </c>
      <c r="K474" s="735">
        <v>3559.4177079999999</v>
      </c>
      <c r="L474">
        <f t="shared" si="14"/>
        <v>44139.466636496691</v>
      </c>
      <c r="M474" s="742">
        <v>11601.75396</v>
      </c>
      <c r="N474">
        <f t="shared" si="15"/>
        <v>238721.16769019421</v>
      </c>
    </row>
    <row r="475" spans="1:14" ht="15.5" x14ac:dyDescent="0.35">
      <c r="A475">
        <v>248.66726127704601</v>
      </c>
      <c r="B475">
        <v>216.45228129162601</v>
      </c>
      <c r="C475">
        <v>6285.5305111060397</v>
      </c>
      <c r="D475" s="735">
        <v>69558.031583967444</v>
      </c>
      <c r="E475" s="735">
        <v>4406.0286461684591</v>
      </c>
      <c r="F475" s="735">
        <v>4588.2667477509085</v>
      </c>
      <c r="H475" s="741">
        <v>473</v>
      </c>
      <c r="I475" s="735">
        <v>729.71632279543803</v>
      </c>
      <c r="J475">
        <f t="shared" si="14"/>
        <v>4588.2667477509085</v>
      </c>
      <c r="K475" s="735">
        <v>709.30516369999998</v>
      </c>
      <c r="L475">
        <f t="shared" si="14"/>
        <v>4406.0286461684591</v>
      </c>
      <c r="M475" s="742">
        <v>4893.7648630000003</v>
      </c>
      <c r="N475">
        <f t="shared" si="15"/>
        <v>69558.031583967444</v>
      </c>
    </row>
    <row r="476" spans="1:14" ht="15.5" x14ac:dyDescent="0.35">
      <c r="A476">
        <v>1362.47944634902</v>
      </c>
      <c r="B476">
        <v>130.62075135587401</v>
      </c>
      <c r="C476">
        <v>13.0480577938159</v>
      </c>
      <c r="D476" s="735">
        <v>10392.486175284981</v>
      </c>
      <c r="E476" s="735">
        <v>26.011256443239841</v>
      </c>
      <c r="F476" s="735">
        <v>238.56635750496974</v>
      </c>
      <c r="H476" s="741">
        <v>474</v>
      </c>
      <c r="I476" s="735">
        <v>92.114169270367299</v>
      </c>
      <c r="J476">
        <f t="shared" si="14"/>
        <v>238.56635750496974</v>
      </c>
      <c r="K476" s="735">
        <v>19.52598411</v>
      </c>
      <c r="L476">
        <f t="shared" si="14"/>
        <v>26.011256443239841</v>
      </c>
      <c r="M476" s="742">
        <v>1293.3129280000001</v>
      </c>
      <c r="N476">
        <f t="shared" si="15"/>
        <v>10392.486175284981</v>
      </c>
    </row>
    <row r="477" spans="1:14" ht="15.5" x14ac:dyDescent="0.35">
      <c r="A477">
        <v>2140.8697372478</v>
      </c>
      <c r="B477">
        <v>147.21972231342099</v>
      </c>
      <c r="C477">
        <v>6036.0250834794097</v>
      </c>
      <c r="D477" s="735">
        <v>837971.64308129717</v>
      </c>
      <c r="E477" s="735">
        <v>67754.85351598206</v>
      </c>
      <c r="F477" s="735">
        <v>3393.7808654820228</v>
      </c>
      <c r="H477" s="741">
        <v>475</v>
      </c>
      <c r="I477" s="735">
        <v>590.85192896458102</v>
      </c>
      <c r="J477">
        <f t="shared" si="14"/>
        <v>3393.7808654820228</v>
      </c>
      <c r="K477" s="735">
        <v>4804.6116220000004</v>
      </c>
      <c r="L477">
        <f t="shared" si="14"/>
        <v>67754.85351598206</v>
      </c>
      <c r="M477" s="742">
        <v>27942.19542</v>
      </c>
      <c r="N477">
        <f t="shared" si="15"/>
        <v>837971.64308129717</v>
      </c>
    </row>
    <row r="478" spans="1:14" ht="15.5" x14ac:dyDescent="0.35">
      <c r="A478">
        <v>261.689390598351</v>
      </c>
      <c r="B478">
        <v>956.31940196621395</v>
      </c>
      <c r="C478">
        <v>8204.8794237810798</v>
      </c>
      <c r="D478" s="735">
        <v>293910.70690389932</v>
      </c>
      <c r="E478" s="735">
        <v>51513.074149169603</v>
      </c>
      <c r="F478" s="735">
        <v>48927.803324458582</v>
      </c>
      <c r="H478" s="741">
        <v>476</v>
      </c>
      <c r="I478" s="735">
        <v>3825.5070142353902</v>
      </c>
      <c r="J478">
        <f t="shared" si="14"/>
        <v>48927.803324458582</v>
      </c>
      <c r="K478" s="735">
        <v>3965.9042770000001</v>
      </c>
      <c r="L478">
        <f t="shared" si="14"/>
        <v>51513.074149169603</v>
      </c>
      <c r="M478" s="742">
        <v>13419.94652</v>
      </c>
      <c r="N478">
        <f t="shared" si="15"/>
        <v>293910.70690389932</v>
      </c>
    </row>
    <row r="479" spans="1:14" ht="15.5" x14ac:dyDescent="0.35">
      <c r="A479">
        <v>1080.4882572991901</v>
      </c>
      <c r="B479">
        <v>248.48677495076399</v>
      </c>
      <c r="C479">
        <v>25825.694986845501</v>
      </c>
      <c r="D479" s="735">
        <v>20496.244009751219</v>
      </c>
      <c r="E479" s="735">
        <v>1708.5581349988204</v>
      </c>
      <c r="F479" s="735">
        <v>50599.344154177219</v>
      </c>
      <c r="H479" s="741">
        <v>477</v>
      </c>
      <c r="I479" s="735">
        <v>3916.5296744893599</v>
      </c>
      <c r="J479">
        <f t="shared" si="14"/>
        <v>50599.344154177219</v>
      </c>
      <c r="K479" s="735">
        <v>365.46082680000001</v>
      </c>
      <c r="L479">
        <f t="shared" si="14"/>
        <v>1708.5581349988204</v>
      </c>
      <c r="M479" s="742">
        <v>2080.520493</v>
      </c>
      <c r="N479">
        <f t="shared" si="15"/>
        <v>20496.244009751219</v>
      </c>
    </row>
    <row r="480" spans="1:14" ht="15.5" x14ac:dyDescent="0.35">
      <c r="A480">
        <v>208.153116004937</v>
      </c>
      <c r="B480">
        <v>70.881767155405001</v>
      </c>
      <c r="C480">
        <v>17058.164411949001</v>
      </c>
      <c r="D480" s="735">
        <v>26751.038354453773</v>
      </c>
      <c r="E480" s="735">
        <v>93149.357809264751</v>
      </c>
      <c r="F480" s="735">
        <v>130015.18651846325</v>
      </c>
      <c r="H480" s="741">
        <v>478</v>
      </c>
      <c r="I480" s="735">
        <v>7582.2108675514401</v>
      </c>
      <c r="J480">
        <f t="shared" si="14"/>
        <v>130015.18651846325</v>
      </c>
      <c r="K480" s="735">
        <v>6003.7957020000003</v>
      </c>
      <c r="L480">
        <f t="shared" si="14"/>
        <v>93149.357809264751</v>
      </c>
      <c r="M480" s="742">
        <v>2506.9083150000001</v>
      </c>
      <c r="N480">
        <f t="shared" si="15"/>
        <v>26751.038354453773</v>
      </c>
    </row>
    <row r="481" spans="1:14" ht="15.5" x14ac:dyDescent="0.35">
      <c r="A481">
        <v>2804.7646403275899</v>
      </c>
      <c r="B481">
        <v>650.15659528768299</v>
      </c>
      <c r="C481">
        <v>21.704305215656301</v>
      </c>
      <c r="D481" s="735">
        <v>153251.93626412901</v>
      </c>
      <c r="E481" s="735">
        <v>455273.04285402363</v>
      </c>
      <c r="F481" s="735">
        <v>372.25458990541722</v>
      </c>
      <c r="H481" s="741">
        <v>479</v>
      </c>
      <c r="I481" s="735">
        <v>125.77318038609199</v>
      </c>
      <c r="J481">
        <f t="shared" si="14"/>
        <v>372.25458990541722</v>
      </c>
      <c r="K481" s="735">
        <v>18230.154750000002</v>
      </c>
      <c r="L481">
        <f t="shared" si="14"/>
        <v>455273.04285402363</v>
      </c>
      <c r="M481" s="742">
        <v>8507.1517390000008</v>
      </c>
      <c r="N481">
        <f t="shared" si="15"/>
        <v>153251.93626412901</v>
      </c>
    </row>
    <row r="482" spans="1:14" ht="15.5" x14ac:dyDescent="0.35">
      <c r="A482">
        <v>56.509832215942197</v>
      </c>
      <c r="B482">
        <v>373.76353223090098</v>
      </c>
      <c r="C482">
        <v>17999.669987290301</v>
      </c>
      <c r="D482" s="735">
        <v>1135.2757867773391</v>
      </c>
      <c r="E482" s="735">
        <v>2219.1904328489063</v>
      </c>
      <c r="F482" s="735">
        <v>340.01854834203988</v>
      </c>
      <c r="H482" s="741">
        <v>480</v>
      </c>
      <c r="I482" s="735">
        <v>118.046149674963</v>
      </c>
      <c r="J482">
        <f t="shared" si="14"/>
        <v>340.01854834203988</v>
      </c>
      <c r="K482" s="735">
        <v>438.87030859999999</v>
      </c>
      <c r="L482">
        <f t="shared" si="14"/>
        <v>2219.1904328489063</v>
      </c>
      <c r="M482" s="742">
        <v>274.51808629999999</v>
      </c>
      <c r="N482">
        <f t="shared" si="15"/>
        <v>1135.2757867773391</v>
      </c>
    </row>
    <row r="483" spans="1:14" ht="15.5" x14ac:dyDescent="0.35">
      <c r="A483">
        <v>27.3074223475469</v>
      </c>
      <c r="B483">
        <v>1002.49760668713</v>
      </c>
      <c r="C483">
        <v>72110.463350420701</v>
      </c>
      <c r="D483" s="735">
        <v>16530.464578803516</v>
      </c>
      <c r="E483" s="735">
        <v>6255.3698467211916</v>
      </c>
      <c r="F483" s="735">
        <v>19171.008373467619</v>
      </c>
      <c r="H483" s="741">
        <v>481</v>
      </c>
      <c r="I483" s="735">
        <v>1985.4157823071901</v>
      </c>
      <c r="J483">
        <f t="shared" si="14"/>
        <v>19171.008373467619</v>
      </c>
      <c r="K483" s="735">
        <v>906.51938319999999</v>
      </c>
      <c r="L483">
        <f t="shared" si="14"/>
        <v>6255.3698467211916</v>
      </c>
      <c r="M483" s="742">
        <v>1789.77955</v>
      </c>
      <c r="N483">
        <f t="shared" si="15"/>
        <v>16530.464578803516</v>
      </c>
    </row>
    <row r="484" spans="1:14" ht="15.5" x14ac:dyDescent="0.35">
      <c r="A484">
        <v>24.188963160021899</v>
      </c>
      <c r="B484">
        <v>43.121659577716002</v>
      </c>
      <c r="C484">
        <v>2465.16247321337</v>
      </c>
      <c r="D484" s="735">
        <v>35832.357567680781</v>
      </c>
      <c r="E484" s="735">
        <v>12624.883172601598</v>
      </c>
      <c r="F484" s="735">
        <v>390.94291400551793</v>
      </c>
      <c r="H484" s="741">
        <v>482</v>
      </c>
      <c r="I484" s="735">
        <v>130.16054010339101</v>
      </c>
      <c r="J484">
        <f t="shared" si="14"/>
        <v>390.94291400551793</v>
      </c>
      <c r="K484" s="735">
        <v>1482.03738</v>
      </c>
      <c r="L484">
        <f t="shared" si="14"/>
        <v>12624.883172601598</v>
      </c>
      <c r="M484" s="742">
        <v>3076.0455929999998</v>
      </c>
      <c r="N484">
        <f t="shared" si="15"/>
        <v>35832.357567680781</v>
      </c>
    </row>
    <row r="485" spans="1:14" ht="15.5" x14ac:dyDescent="0.35">
      <c r="A485">
        <v>274.38962442963299</v>
      </c>
      <c r="B485">
        <v>1222.9918713668301</v>
      </c>
      <c r="C485">
        <v>57.007579154712097</v>
      </c>
      <c r="D485" s="735">
        <v>562091.08366272738</v>
      </c>
      <c r="E485" s="735">
        <v>74290.84894882208</v>
      </c>
      <c r="F485" s="735">
        <v>4831.8708043851657</v>
      </c>
      <c r="H485" s="741">
        <v>483</v>
      </c>
      <c r="I485" s="735">
        <v>756.62505668199697</v>
      </c>
      <c r="J485">
        <f t="shared" si="14"/>
        <v>4831.8708043851657</v>
      </c>
      <c r="K485" s="735">
        <v>5124.538082</v>
      </c>
      <c r="L485">
        <f t="shared" si="14"/>
        <v>74290.84894882208</v>
      </c>
      <c r="M485" s="742">
        <v>21128.30645</v>
      </c>
      <c r="N485">
        <f t="shared" si="15"/>
        <v>562091.08366272738</v>
      </c>
    </row>
    <row r="486" spans="1:14" ht="15.5" x14ac:dyDescent="0.35">
      <c r="A486">
        <v>751.83850804291899</v>
      </c>
      <c r="B486">
        <v>29.865265090983598</v>
      </c>
      <c r="C486">
        <v>3034.7072035296301</v>
      </c>
      <c r="D486" s="735">
        <v>3667.45268528824</v>
      </c>
      <c r="E486" s="735">
        <v>12241.514503954821</v>
      </c>
      <c r="F486" s="735">
        <v>4406.9575119018973</v>
      </c>
      <c r="H486" s="741">
        <v>484</v>
      </c>
      <c r="I486" s="735">
        <v>709.40983390008296</v>
      </c>
      <c r="J486">
        <f t="shared" si="14"/>
        <v>4406.9575119018973</v>
      </c>
      <c r="K486" s="735">
        <v>1450.389363</v>
      </c>
      <c r="L486">
        <f t="shared" si="14"/>
        <v>12241.514503954821</v>
      </c>
      <c r="M486" s="742">
        <v>623.81406679999998</v>
      </c>
      <c r="N486">
        <f t="shared" si="15"/>
        <v>3667.45268528824</v>
      </c>
    </row>
    <row r="487" spans="1:14" ht="15.5" x14ac:dyDescent="0.35">
      <c r="A487">
        <v>1246.1205537144899</v>
      </c>
      <c r="B487">
        <v>202.39185640195899</v>
      </c>
      <c r="C487">
        <v>24465.0708413211</v>
      </c>
      <c r="D487" s="735">
        <v>5701.1198993957323</v>
      </c>
      <c r="E487" s="735">
        <v>6200.5903964689351</v>
      </c>
      <c r="F487" s="735">
        <v>19768.876050554485</v>
      </c>
      <c r="H487" s="741">
        <v>485</v>
      </c>
      <c r="I487" s="735">
        <v>2028.5577918803899</v>
      </c>
      <c r="J487">
        <f t="shared" si="14"/>
        <v>19768.876050554485</v>
      </c>
      <c r="K487" s="735">
        <v>900.95506330000001</v>
      </c>
      <c r="L487">
        <f t="shared" si="14"/>
        <v>6200.5903964689351</v>
      </c>
      <c r="M487" s="742">
        <v>849.51709419999997</v>
      </c>
      <c r="N487">
        <f t="shared" si="15"/>
        <v>5701.1198993957323</v>
      </c>
    </row>
    <row r="488" spans="1:14" ht="15.5" x14ac:dyDescent="0.35">
      <c r="A488">
        <v>219.38374090124299</v>
      </c>
      <c r="B488">
        <v>2702.23180092234</v>
      </c>
      <c r="C488">
        <v>27284.4550498639</v>
      </c>
      <c r="D488" s="735">
        <v>37097.751080212482</v>
      </c>
      <c r="E488" s="735">
        <v>4427.8953634705194</v>
      </c>
      <c r="F488" s="735">
        <v>183.3099108267391</v>
      </c>
      <c r="H488" s="741">
        <v>486</v>
      </c>
      <c r="I488" s="735">
        <v>76.600245636709502</v>
      </c>
      <c r="J488">
        <f t="shared" si="14"/>
        <v>183.3099108267391</v>
      </c>
      <c r="K488" s="735">
        <v>711.7674849</v>
      </c>
      <c r="L488">
        <f t="shared" si="14"/>
        <v>4427.8953634705194</v>
      </c>
      <c r="M488" s="742">
        <v>3151.6886519999998</v>
      </c>
      <c r="N488">
        <f t="shared" si="15"/>
        <v>37097.751080212482</v>
      </c>
    </row>
    <row r="489" spans="1:14" ht="15.5" x14ac:dyDescent="0.35">
      <c r="A489">
        <v>506.30219446844598</v>
      </c>
      <c r="B489">
        <v>67.864547828332306</v>
      </c>
      <c r="C489">
        <v>8113.2228295063396</v>
      </c>
      <c r="D489" s="735">
        <v>273510.4860710738</v>
      </c>
      <c r="E489" s="735">
        <v>12026.409473793286</v>
      </c>
      <c r="F489" s="735">
        <v>609.55782245526905</v>
      </c>
      <c r="H489" s="741">
        <v>487</v>
      </c>
      <c r="I489" s="735">
        <v>177.62759523497101</v>
      </c>
      <c r="J489">
        <f t="shared" si="14"/>
        <v>609.55782245526905</v>
      </c>
      <c r="K489" s="735">
        <v>1432.501847</v>
      </c>
      <c r="L489">
        <f t="shared" si="14"/>
        <v>12026.409473793286</v>
      </c>
      <c r="M489" s="742">
        <v>12760.914150000001</v>
      </c>
      <c r="N489">
        <f t="shared" si="15"/>
        <v>273510.4860710738</v>
      </c>
    </row>
    <row r="490" spans="1:14" ht="15.5" x14ac:dyDescent="0.35">
      <c r="A490">
        <v>844.94370664173402</v>
      </c>
      <c r="B490">
        <v>2862.7347743289101</v>
      </c>
      <c r="C490">
        <v>73945.687589197201</v>
      </c>
      <c r="D490" s="735">
        <v>45017.614470127271</v>
      </c>
      <c r="E490" s="735">
        <v>3508.9442831113538</v>
      </c>
      <c r="F490" s="735">
        <v>2119.0549414097472</v>
      </c>
      <c r="H490" s="741">
        <v>488</v>
      </c>
      <c r="I490" s="735">
        <v>424.91254362516901</v>
      </c>
      <c r="J490">
        <f t="shared" si="14"/>
        <v>2119.0549414097472</v>
      </c>
      <c r="K490" s="735">
        <v>604.81636070000002</v>
      </c>
      <c r="L490">
        <f t="shared" si="14"/>
        <v>3508.9442831113538</v>
      </c>
      <c r="M490" s="742">
        <v>3608.8408850000001</v>
      </c>
      <c r="N490">
        <f t="shared" si="15"/>
        <v>45017.614470127271</v>
      </c>
    </row>
    <row r="491" spans="1:14" ht="15.5" x14ac:dyDescent="0.35">
      <c r="A491">
        <v>628.60717063778304</v>
      </c>
      <c r="B491">
        <v>152.95508949949701</v>
      </c>
      <c r="C491">
        <v>78.530181686781901</v>
      </c>
      <c r="D491" s="735">
        <v>19161.055370894588</v>
      </c>
      <c r="E491" s="735">
        <v>127532.99197564374</v>
      </c>
      <c r="F491" s="735">
        <v>270.95397556291658</v>
      </c>
      <c r="H491" s="741">
        <v>489</v>
      </c>
      <c r="I491" s="735">
        <v>100.69939684742801</v>
      </c>
      <c r="J491">
        <f t="shared" si="14"/>
        <v>270.95397556291658</v>
      </c>
      <c r="K491" s="735">
        <v>7480.5888219999997</v>
      </c>
      <c r="L491">
        <f t="shared" si="14"/>
        <v>127532.99197564374</v>
      </c>
      <c r="M491" s="742">
        <v>1984.6941890000001</v>
      </c>
      <c r="N491">
        <f t="shared" si="15"/>
        <v>19161.055370894588</v>
      </c>
    </row>
    <row r="492" spans="1:14" ht="15.5" x14ac:dyDescent="0.35">
      <c r="A492">
        <v>71.561822523981704</v>
      </c>
      <c r="B492">
        <v>20.4619470998589</v>
      </c>
      <c r="C492">
        <v>2876.8422258578798</v>
      </c>
      <c r="D492" s="735">
        <v>98063.897843443556</v>
      </c>
      <c r="E492" s="735">
        <v>20216.895305150832</v>
      </c>
      <c r="F492" s="735">
        <v>39.736182055816933</v>
      </c>
      <c r="H492" s="741">
        <v>490</v>
      </c>
      <c r="I492" s="735">
        <v>26.268198880236501</v>
      </c>
      <c r="J492">
        <f t="shared" si="14"/>
        <v>39.736182055816933</v>
      </c>
      <c r="K492" s="735">
        <v>2060.6304989999999</v>
      </c>
      <c r="L492">
        <f t="shared" si="14"/>
        <v>20216.895305150832</v>
      </c>
      <c r="M492" s="742">
        <v>6223.8111470000003</v>
      </c>
      <c r="N492">
        <f t="shared" si="15"/>
        <v>98063.897843443556</v>
      </c>
    </row>
    <row r="493" spans="1:14" ht="15.5" x14ac:dyDescent="0.35">
      <c r="A493">
        <v>1129.77124146244</v>
      </c>
      <c r="B493">
        <v>461.03040888931298</v>
      </c>
      <c r="C493">
        <v>689.64382208184702</v>
      </c>
      <c r="D493" s="735">
        <v>17280.587690266839</v>
      </c>
      <c r="E493" s="735">
        <v>1091390.4011116144</v>
      </c>
      <c r="F493" s="735">
        <v>89660.482788449415</v>
      </c>
      <c r="H493" s="741">
        <v>491</v>
      </c>
      <c r="I493" s="735">
        <v>5845.4877016566898</v>
      </c>
      <c r="J493">
        <f t="shared" si="14"/>
        <v>89660.482788449415</v>
      </c>
      <c r="K493" s="735">
        <v>33619.100610000001</v>
      </c>
      <c r="L493">
        <f t="shared" si="14"/>
        <v>1091390.4011116144</v>
      </c>
      <c r="M493" s="742">
        <v>1846.251902</v>
      </c>
      <c r="N493">
        <f t="shared" si="15"/>
        <v>17280.587690266839</v>
      </c>
    </row>
    <row r="494" spans="1:14" ht="15.5" x14ac:dyDescent="0.35">
      <c r="A494">
        <v>159.699737245222</v>
      </c>
      <c r="B494">
        <v>348.48105584389202</v>
      </c>
      <c r="C494">
        <v>190.32555268323301</v>
      </c>
      <c r="D494" s="735">
        <v>3741.6678437314167</v>
      </c>
      <c r="E494" s="735">
        <v>21847.517458227925</v>
      </c>
      <c r="F494" s="735">
        <v>6835.8360545813794</v>
      </c>
      <c r="H494" s="741">
        <v>492</v>
      </c>
      <c r="I494" s="735">
        <v>964.61530173465496</v>
      </c>
      <c r="J494">
        <f t="shared" si="14"/>
        <v>6835.8360545813794</v>
      </c>
      <c r="K494" s="735">
        <v>2175.6121050000002</v>
      </c>
      <c r="L494">
        <f t="shared" si="14"/>
        <v>21847.517458227925</v>
      </c>
      <c r="M494" s="742">
        <v>632.62399749999997</v>
      </c>
      <c r="N494">
        <f t="shared" si="15"/>
        <v>3741.6678437314167</v>
      </c>
    </row>
    <row r="495" spans="1:14" ht="15.5" x14ac:dyDescent="0.35">
      <c r="A495">
        <v>2188.4012243498901</v>
      </c>
      <c r="B495">
        <v>107.78519148059701</v>
      </c>
      <c r="C495">
        <v>22703.890477771602</v>
      </c>
      <c r="D495" s="735">
        <v>15214.275405102568</v>
      </c>
      <c r="E495" s="735">
        <v>63873.374088078439</v>
      </c>
      <c r="F495" s="735">
        <v>1372.2607674163917</v>
      </c>
      <c r="H495" s="741">
        <v>493</v>
      </c>
      <c r="I495" s="735">
        <v>313.476979155744</v>
      </c>
      <c r="J495">
        <f t="shared" si="14"/>
        <v>1372.2607674163917</v>
      </c>
      <c r="K495" s="735">
        <v>4610.243888</v>
      </c>
      <c r="L495">
        <f t="shared" si="14"/>
        <v>63873.374088078439</v>
      </c>
      <c r="M495" s="742">
        <v>1688.7909440000001</v>
      </c>
      <c r="N495">
        <f t="shared" si="15"/>
        <v>15214.275405102568</v>
      </c>
    </row>
    <row r="496" spans="1:14" ht="15.5" x14ac:dyDescent="0.35">
      <c r="A496">
        <v>704.50147704264702</v>
      </c>
      <c r="B496">
        <v>172.700486766182</v>
      </c>
      <c r="C496">
        <v>18628.051746081099</v>
      </c>
      <c r="D496" s="735">
        <v>325123.47302533779</v>
      </c>
      <c r="E496" s="735">
        <v>830.62830367272591</v>
      </c>
      <c r="F496" s="735">
        <v>1914.3960840484228</v>
      </c>
      <c r="H496" s="741">
        <v>494</v>
      </c>
      <c r="I496" s="735">
        <v>395.75121609594203</v>
      </c>
      <c r="J496">
        <f t="shared" si="14"/>
        <v>1914.3960840484228</v>
      </c>
      <c r="K496" s="735">
        <v>220.58943479999999</v>
      </c>
      <c r="L496">
        <f t="shared" si="14"/>
        <v>830.62830367272591</v>
      </c>
      <c r="M496" s="742">
        <v>14402.36549</v>
      </c>
      <c r="N496">
        <f t="shared" si="15"/>
        <v>325123.47302533779</v>
      </c>
    </row>
    <row r="497" spans="1:14" ht="15.5" x14ac:dyDescent="0.35">
      <c r="A497">
        <v>173.685290099696</v>
      </c>
      <c r="B497">
        <v>202.74980909368099</v>
      </c>
      <c r="C497">
        <v>48860.424565744797</v>
      </c>
      <c r="D497" s="735">
        <v>68290.72068836882</v>
      </c>
      <c r="E497" s="735">
        <v>342.07432732170497</v>
      </c>
      <c r="F497" s="735">
        <v>187.59759485161425</v>
      </c>
      <c r="H497" s="741">
        <v>495</v>
      </c>
      <c r="I497" s="735">
        <v>77.850084134633704</v>
      </c>
      <c r="J497">
        <f t="shared" si="14"/>
        <v>187.59759485161425</v>
      </c>
      <c r="K497" s="735">
        <v>118.5452992</v>
      </c>
      <c r="L497">
        <f t="shared" si="14"/>
        <v>342.07432732170497</v>
      </c>
      <c r="M497" s="742">
        <v>4831.1796489999997</v>
      </c>
      <c r="N497">
        <f t="shared" si="15"/>
        <v>68290.72068836882</v>
      </c>
    </row>
    <row r="498" spans="1:14" ht="15.5" x14ac:dyDescent="0.35">
      <c r="A498">
        <v>2720.37642866633</v>
      </c>
      <c r="B498">
        <v>522.785325879781</v>
      </c>
      <c r="C498">
        <v>1056.9901366716899</v>
      </c>
      <c r="D498" s="735">
        <v>254377.35211962549</v>
      </c>
      <c r="E498" s="735">
        <v>209060.77556189641</v>
      </c>
      <c r="F498" s="735">
        <v>77.012006596400809</v>
      </c>
      <c r="H498" s="741">
        <v>496</v>
      </c>
      <c r="I498" s="735">
        <v>41.743696821472703</v>
      </c>
      <c r="J498">
        <f t="shared" si="14"/>
        <v>77.012006596400809</v>
      </c>
      <c r="K498" s="735">
        <v>10572.81882</v>
      </c>
      <c r="L498">
        <f t="shared" si="14"/>
        <v>209060.77556189641</v>
      </c>
      <c r="M498" s="742">
        <v>12129.27687</v>
      </c>
      <c r="N498">
        <f t="shared" si="15"/>
        <v>254377.35211962549</v>
      </c>
    </row>
    <row r="499" spans="1:14" ht="15.5" x14ac:dyDescent="0.35">
      <c r="A499">
        <v>167.96077980452301</v>
      </c>
      <c r="B499">
        <v>418.24777909838599</v>
      </c>
      <c r="C499">
        <v>36662.803096668402</v>
      </c>
      <c r="D499" s="735">
        <v>158657.63521685562</v>
      </c>
      <c r="E499" s="735">
        <v>1288.2343577969318</v>
      </c>
      <c r="F499" s="735">
        <v>531.83408080867162</v>
      </c>
      <c r="H499" s="741">
        <v>497</v>
      </c>
      <c r="I499" s="735">
        <v>161.451957505412</v>
      </c>
      <c r="J499">
        <f t="shared" si="14"/>
        <v>531.83408080867162</v>
      </c>
      <c r="K499" s="735">
        <v>299.9137758</v>
      </c>
      <c r="L499">
        <f t="shared" si="14"/>
        <v>1288.2343577969318</v>
      </c>
      <c r="M499" s="742">
        <v>8716.1096240000006</v>
      </c>
      <c r="N499">
        <f t="shared" si="15"/>
        <v>158657.63521685562</v>
      </c>
    </row>
    <row r="500" spans="1:14" ht="15.5" x14ac:dyDescent="0.35">
      <c r="A500">
        <v>7959.31629164069</v>
      </c>
      <c r="B500">
        <v>40.768926045679898</v>
      </c>
      <c r="C500">
        <v>69656.810779200707</v>
      </c>
      <c r="D500" s="735">
        <v>19758.339901584597</v>
      </c>
      <c r="E500" s="735">
        <v>1802.0606665829266</v>
      </c>
      <c r="F500" s="735">
        <v>5.3423982490774184</v>
      </c>
      <c r="H500" s="741">
        <v>498</v>
      </c>
      <c r="I500" s="735">
        <v>6.4478567684292596</v>
      </c>
      <c r="J500">
        <f t="shared" si="14"/>
        <v>5.3423982490774184</v>
      </c>
      <c r="K500" s="735">
        <v>379.34868699999998</v>
      </c>
      <c r="L500">
        <f t="shared" si="14"/>
        <v>1802.0606665829266</v>
      </c>
      <c r="M500" s="742">
        <v>2027.8009239999999</v>
      </c>
      <c r="N500">
        <f t="shared" si="15"/>
        <v>19758.339901584597</v>
      </c>
    </row>
    <row r="501" spans="1:14" ht="15.5" x14ac:dyDescent="0.35">
      <c r="A501">
        <v>11253.0962533199</v>
      </c>
      <c r="B501">
        <v>52.916116445846399</v>
      </c>
      <c r="C501">
        <v>9707.0615206054808</v>
      </c>
      <c r="D501" s="735">
        <v>12386.871187809427</v>
      </c>
      <c r="E501" s="735">
        <v>60732.005606600142</v>
      </c>
      <c r="F501" s="735">
        <v>130.9278318413877</v>
      </c>
      <c r="H501" s="741">
        <v>499</v>
      </c>
      <c r="I501" s="735">
        <v>60.5232698371927</v>
      </c>
      <c r="J501">
        <f t="shared" si="14"/>
        <v>130.9278318413877</v>
      </c>
      <c r="K501" s="735">
        <v>4450.3312349999997</v>
      </c>
      <c r="L501">
        <f t="shared" si="14"/>
        <v>60732.005606600142</v>
      </c>
      <c r="M501" s="742">
        <v>1462.423425</v>
      </c>
      <c r="N501">
        <f t="shared" si="15"/>
        <v>12386.871187809427</v>
      </c>
    </row>
    <row r="502" spans="1:14" ht="15.5" x14ac:dyDescent="0.35">
      <c r="A502">
        <v>1962.06035729269</v>
      </c>
      <c r="B502">
        <v>464.60738843996199</v>
      </c>
      <c r="C502">
        <v>609.97124761807004</v>
      </c>
      <c r="D502" s="735">
        <v>15246.673987676895</v>
      </c>
      <c r="E502" s="735">
        <v>91574.722642873297</v>
      </c>
      <c r="F502" s="735">
        <v>9.8982308275400328</v>
      </c>
      <c r="H502" s="741">
        <v>500</v>
      </c>
      <c r="I502" s="735">
        <v>9.9286523487468408</v>
      </c>
      <c r="J502">
        <f t="shared" si="14"/>
        <v>9.8982308275400328</v>
      </c>
      <c r="K502" s="735">
        <v>5932.57078</v>
      </c>
      <c r="L502">
        <f t="shared" si="14"/>
        <v>91574.722642873297</v>
      </c>
      <c r="M502" s="742">
        <v>1691.3075200000001</v>
      </c>
      <c r="N502">
        <f t="shared" si="15"/>
        <v>15246.673987676895</v>
      </c>
    </row>
    <row r="503" spans="1:14" ht="15.5" x14ac:dyDescent="0.35">
      <c r="A503">
        <v>466.19091608625399</v>
      </c>
      <c r="B503">
        <v>681.17918427332199</v>
      </c>
      <c r="C503">
        <v>942.91993755002295</v>
      </c>
      <c r="D503" s="735">
        <v>1455.8562763546158</v>
      </c>
      <c r="E503" s="735">
        <v>477266.96662303049</v>
      </c>
      <c r="F503" s="735">
        <v>3807.4126600213199</v>
      </c>
      <c r="H503" s="741">
        <v>501</v>
      </c>
      <c r="I503" s="735">
        <v>640.38472579587199</v>
      </c>
      <c r="J503">
        <f t="shared" si="14"/>
        <v>3807.4126600213199</v>
      </c>
      <c r="K503" s="735">
        <v>18842.258750000001</v>
      </c>
      <c r="L503">
        <f t="shared" si="14"/>
        <v>477266.96662303049</v>
      </c>
      <c r="M503" s="742">
        <v>326.72544049999999</v>
      </c>
      <c r="N503">
        <f t="shared" si="15"/>
        <v>1455.8562763546158</v>
      </c>
    </row>
    <row r="504" spans="1:14" ht="15.5" x14ac:dyDescent="0.35">
      <c r="A504">
        <v>42.025142488635197</v>
      </c>
      <c r="B504">
        <v>97.325336393945307</v>
      </c>
      <c r="C504">
        <v>19962.427456807702</v>
      </c>
      <c r="D504" s="735">
        <v>12135.622160120105</v>
      </c>
      <c r="E504" s="735">
        <v>6937.8530160842638</v>
      </c>
      <c r="F504" s="735">
        <v>33.450575846335312</v>
      </c>
      <c r="H504" s="741">
        <v>502</v>
      </c>
      <c r="I504" s="735">
        <v>23.2853365302465</v>
      </c>
      <c r="J504">
        <f t="shared" si="14"/>
        <v>33.450575846335312</v>
      </c>
      <c r="K504" s="735">
        <v>974.66992700000003</v>
      </c>
      <c r="L504">
        <f t="shared" si="14"/>
        <v>6937.8530160842638</v>
      </c>
      <c r="M504" s="742">
        <v>1441.595548</v>
      </c>
      <c r="N504">
        <f t="shared" si="15"/>
        <v>12135.622160120105</v>
      </c>
    </row>
    <row r="505" spans="1:14" ht="15.5" x14ac:dyDescent="0.35">
      <c r="A505">
        <v>9617.5162232108396</v>
      </c>
      <c r="B505">
        <v>187.534857255128</v>
      </c>
      <c r="C505">
        <v>10413.136023610699</v>
      </c>
      <c r="D505" s="735">
        <v>4861.4453761452323</v>
      </c>
      <c r="E505" s="735">
        <v>1036.32789319018</v>
      </c>
      <c r="F505" s="735">
        <v>2380.2422507533647</v>
      </c>
      <c r="H505" s="741">
        <v>503</v>
      </c>
      <c r="I505" s="735">
        <v>460.92982646465401</v>
      </c>
      <c r="J505">
        <f t="shared" si="14"/>
        <v>2380.2422507533647</v>
      </c>
      <c r="K505" s="735">
        <v>257.54198059999999</v>
      </c>
      <c r="L505">
        <f t="shared" si="14"/>
        <v>1036.32789319018</v>
      </c>
      <c r="M505" s="742">
        <v>759.86385610000002</v>
      </c>
      <c r="N505">
        <f t="shared" si="15"/>
        <v>4861.4453761452323</v>
      </c>
    </row>
    <row r="506" spans="1:14" ht="15.5" x14ac:dyDescent="0.35">
      <c r="A506">
        <v>755.05662701983294</v>
      </c>
      <c r="B506">
        <v>227.124842616195</v>
      </c>
      <c r="C506">
        <v>29822.026923216599</v>
      </c>
      <c r="D506" s="735">
        <v>8889.0289811314306</v>
      </c>
      <c r="E506" s="735">
        <v>773.23935003128236</v>
      </c>
      <c r="F506" s="735">
        <v>125.41631703682552</v>
      </c>
      <c r="H506" s="741">
        <v>504</v>
      </c>
      <c r="I506" s="735">
        <v>58.728354180305701</v>
      </c>
      <c r="J506">
        <f t="shared" si="14"/>
        <v>125.41631703682552</v>
      </c>
      <c r="K506" s="735">
        <v>209.80689810000001</v>
      </c>
      <c r="L506">
        <f t="shared" si="14"/>
        <v>773.23935003128236</v>
      </c>
      <c r="M506" s="742">
        <v>1159.3058450000001</v>
      </c>
      <c r="N506">
        <f t="shared" si="15"/>
        <v>8889.0289811314306</v>
      </c>
    </row>
    <row r="507" spans="1:14" ht="15.5" x14ac:dyDescent="0.35">
      <c r="A507">
        <v>18.5833361128823</v>
      </c>
      <c r="B507">
        <v>50.290929629060201</v>
      </c>
      <c r="C507">
        <v>17.322292829281398</v>
      </c>
      <c r="D507" s="735">
        <v>25358.835747455454</v>
      </c>
      <c r="E507" s="735">
        <v>125063.20508219149</v>
      </c>
      <c r="F507" s="735">
        <v>56058.596741746209</v>
      </c>
      <c r="H507" s="741">
        <v>505</v>
      </c>
      <c r="I507" s="735">
        <v>4207.7463856332097</v>
      </c>
      <c r="J507">
        <f t="shared" si="14"/>
        <v>56058.596741746209</v>
      </c>
      <c r="K507" s="735">
        <v>7378.884086</v>
      </c>
      <c r="L507">
        <f t="shared" si="14"/>
        <v>125063.20508219149</v>
      </c>
      <c r="M507" s="742">
        <v>2414.851991</v>
      </c>
      <c r="N507">
        <f t="shared" si="15"/>
        <v>25358.835747455454</v>
      </c>
    </row>
    <row r="508" spans="1:14" ht="15.5" x14ac:dyDescent="0.35">
      <c r="A508">
        <v>559.23971767587602</v>
      </c>
      <c r="B508">
        <v>434.77992137772702</v>
      </c>
      <c r="C508">
        <v>1833.15828781805</v>
      </c>
      <c r="D508" s="735">
        <v>127266.96335692726</v>
      </c>
      <c r="E508" s="735">
        <v>999.03286590367748</v>
      </c>
      <c r="F508" s="735">
        <v>256.92579942095324</v>
      </c>
      <c r="H508" s="741">
        <v>506</v>
      </c>
      <c r="I508" s="735">
        <v>97.020922915126704</v>
      </c>
      <c r="J508">
        <f t="shared" si="14"/>
        <v>256.92579942095324</v>
      </c>
      <c r="K508" s="735">
        <v>251.01856530000001</v>
      </c>
      <c r="L508">
        <f t="shared" si="14"/>
        <v>999.03286590367748</v>
      </c>
      <c r="M508" s="742">
        <v>7469.6624590000001</v>
      </c>
      <c r="N508">
        <f t="shared" si="15"/>
        <v>127266.96335692726</v>
      </c>
    </row>
    <row r="509" spans="1:14" ht="15.5" x14ac:dyDescent="0.35">
      <c r="A509">
        <v>7041.4199988369201</v>
      </c>
      <c r="B509">
        <v>821.43228579675997</v>
      </c>
      <c r="C509">
        <v>10084.092991235701</v>
      </c>
      <c r="D509" s="735">
        <v>25561.480428283641</v>
      </c>
      <c r="E509" s="735">
        <v>10905.307767601884</v>
      </c>
      <c r="F509" s="735">
        <v>222.56435110798409</v>
      </c>
      <c r="H509" s="741">
        <v>507</v>
      </c>
      <c r="I509" s="735">
        <v>87.744301728956998</v>
      </c>
      <c r="J509">
        <f t="shared" si="14"/>
        <v>222.56435110798409</v>
      </c>
      <c r="K509" s="735">
        <v>1337.6624890000001</v>
      </c>
      <c r="L509">
        <f t="shared" si="14"/>
        <v>10905.307767601884</v>
      </c>
      <c r="M509" s="742">
        <v>2428.343961</v>
      </c>
      <c r="N509">
        <f t="shared" si="15"/>
        <v>25561.480428283641</v>
      </c>
    </row>
    <row r="510" spans="1:14" ht="15.5" x14ac:dyDescent="0.35">
      <c r="A510">
        <v>1278.6616986465101</v>
      </c>
      <c r="B510">
        <v>516.78273803653406</v>
      </c>
      <c r="C510">
        <v>46331.834891715102</v>
      </c>
      <c r="D510" s="735">
        <v>75286.379948427668</v>
      </c>
      <c r="E510" s="735">
        <v>74929.453319092863</v>
      </c>
      <c r="F510" s="735">
        <v>29946.00565454927</v>
      </c>
      <c r="H510" s="741">
        <v>508</v>
      </c>
      <c r="I510" s="735">
        <v>2712.92152626711</v>
      </c>
      <c r="J510">
        <f t="shared" si="14"/>
        <v>29946.00565454927</v>
      </c>
      <c r="K510" s="735">
        <v>5155.3338519999998</v>
      </c>
      <c r="L510">
        <f t="shared" si="14"/>
        <v>74929.453319092863</v>
      </c>
      <c r="M510" s="742">
        <v>5172.5118060000004</v>
      </c>
      <c r="N510">
        <f t="shared" si="15"/>
        <v>75286.379948427668</v>
      </c>
    </row>
    <row r="511" spans="1:14" ht="15.5" x14ac:dyDescent="0.35">
      <c r="A511">
        <v>1857.0572432547899</v>
      </c>
      <c r="B511">
        <v>714.75938933175996</v>
      </c>
      <c r="C511">
        <v>1232.6604809646899</v>
      </c>
      <c r="D511" s="735">
        <v>18387.585679929427</v>
      </c>
      <c r="E511" s="735">
        <v>1217.0513653455835</v>
      </c>
      <c r="F511" s="735">
        <v>13315.128129572788</v>
      </c>
      <c r="H511" s="741">
        <v>509</v>
      </c>
      <c r="I511" s="735">
        <v>1538.30249688195</v>
      </c>
      <c r="J511">
        <f t="shared" si="14"/>
        <v>13315.128129572788</v>
      </c>
      <c r="K511" s="735">
        <v>288.21477160000001</v>
      </c>
      <c r="L511">
        <f t="shared" si="14"/>
        <v>1217.0513653455835</v>
      </c>
      <c r="M511" s="742">
        <v>1928.2675670000001</v>
      </c>
      <c r="N511">
        <f t="shared" si="15"/>
        <v>18387.585679929427</v>
      </c>
    </row>
    <row r="512" spans="1:14" ht="15.5" x14ac:dyDescent="0.35">
      <c r="A512">
        <v>7371.8184771850902</v>
      </c>
      <c r="B512">
        <v>214.52400253644501</v>
      </c>
      <c r="C512">
        <v>5797.6130760508204</v>
      </c>
      <c r="D512" s="735">
        <v>88336.988233150929</v>
      </c>
      <c r="E512" s="735">
        <v>78677.261805642556</v>
      </c>
      <c r="F512" s="735">
        <v>413.42482660044044</v>
      </c>
      <c r="H512" s="741">
        <v>510</v>
      </c>
      <c r="I512" s="735">
        <v>135.3560234686</v>
      </c>
      <c r="J512">
        <f t="shared" si="14"/>
        <v>413.42482660044044</v>
      </c>
      <c r="K512" s="735">
        <v>5334.5091670000002</v>
      </c>
      <c r="L512">
        <f t="shared" si="14"/>
        <v>78677.261805642556</v>
      </c>
      <c r="M512" s="742">
        <v>5784.9526930000002</v>
      </c>
      <c r="N512">
        <f t="shared" si="15"/>
        <v>88336.988233150929</v>
      </c>
    </row>
    <row r="513" spans="1:14" ht="15.5" x14ac:dyDescent="0.35">
      <c r="A513">
        <v>69.074058685864401</v>
      </c>
      <c r="B513">
        <v>344.64848505531597</v>
      </c>
      <c r="C513">
        <v>141.30774704964901</v>
      </c>
      <c r="D513" s="735">
        <v>12036.531475942906</v>
      </c>
      <c r="E513" s="735">
        <v>5535.143093361713</v>
      </c>
      <c r="F513" s="735">
        <v>7768.0851383728141</v>
      </c>
      <c r="H513" s="741">
        <v>511</v>
      </c>
      <c r="I513" s="735">
        <v>1054.92062586668</v>
      </c>
      <c r="J513">
        <f t="shared" si="14"/>
        <v>7768.0851383728141</v>
      </c>
      <c r="K513" s="735">
        <v>832.12811720000002</v>
      </c>
      <c r="L513">
        <f t="shared" si="14"/>
        <v>5535.143093361713</v>
      </c>
      <c r="M513" s="742">
        <v>1433.3457040000001</v>
      </c>
      <c r="N513">
        <f t="shared" si="15"/>
        <v>12036.531475942906</v>
      </c>
    </row>
    <row r="514" spans="1:14" ht="15.5" x14ac:dyDescent="0.35">
      <c r="A514">
        <v>60.450590786047599</v>
      </c>
      <c r="B514">
        <v>1729.99635364706</v>
      </c>
      <c r="C514">
        <v>59514.978085923802</v>
      </c>
      <c r="D514" s="735">
        <v>8136.654833622797</v>
      </c>
      <c r="E514" s="735">
        <v>1290.2668306628716</v>
      </c>
      <c r="F514" s="735">
        <v>245.59724557308985</v>
      </c>
      <c r="H514" s="741">
        <v>512</v>
      </c>
      <c r="I514" s="735">
        <v>94.006188450236195</v>
      </c>
      <c r="J514">
        <f t="shared" si="14"/>
        <v>245.59724557308985</v>
      </c>
      <c r="K514" s="735">
        <v>300.2449234</v>
      </c>
      <c r="L514">
        <f t="shared" si="14"/>
        <v>1290.2668306628716</v>
      </c>
      <c r="M514" s="742">
        <v>1089.7129829999999</v>
      </c>
      <c r="N514">
        <f t="shared" si="15"/>
        <v>8136.654833622797</v>
      </c>
    </row>
    <row r="515" spans="1:14" ht="15.5" x14ac:dyDescent="0.35">
      <c r="A515">
        <v>308.68212635377603</v>
      </c>
      <c r="B515">
        <v>788.41465091746102</v>
      </c>
      <c r="C515">
        <v>11409.9719967522</v>
      </c>
      <c r="D515" s="735">
        <v>158244.98027727241</v>
      </c>
      <c r="E515" s="735">
        <v>29500.024044278667</v>
      </c>
      <c r="F515" s="735">
        <v>89496.011746737931</v>
      </c>
      <c r="H515" s="741">
        <v>513</v>
      </c>
      <c r="I515" s="735">
        <v>5837.9796588725303</v>
      </c>
      <c r="J515">
        <f t="shared" si="14"/>
        <v>89496.011746737931</v>
      </c>
      <c r="K515" s="735">
        <v>2684.575726</v>
      </c>
      <c r="L515">
        <f t="shared" si="14"/>
        <v>29500.024044278667</v>
      </c>
      <c r="M515" s="742">
        <v>8700.2345270000005</v>
      </c>
      <c r="N515">
        <f t="shared" si="15"/>
        <v>158244.98027727241</v>
      </c>
    </row>
    <row r="516" spans="1:14" ht="15.5" x14ac:dyDescent="0.35">
      <c r="A516">
        <v>52.322483964399197</v>
      </c>
      <c r="B516">
        <v>59.353870359187603</v>
      </c>
      <c r="C516">
        <v>43.9017919025544</v>
      </c>
      <c r="D516" s="735">
        <v>6063.2210022628651</v>
      </c>
      <c r="E516" s="735">
        <v>112012.20466859105</v>
      </c>
      <c r="F516" s="735">
        <v>518.86713183436677</v>
      </c>
      <c r="H516" s="741">
        <v>514</v>
      </c>
      <c r="I516" s="735">
        <v>158.68625559148401</v>
      </c>
      <c r="J516">
        <f t="shared" ref="J516:L579" si="16">(10^(LOG(I516)-0.3))^(1/0.7)</f>
        <v>518.86713183436677</v>
      </c>
      <c r="K516" s="735">
        <v>6831.0229069999996</v>
      </c>
      <c r="L516">
        <f t="shared" si="16"/>
        <v>112012.20466859105</v>
      </c>
      <c r="M516" s="742">
        <v>886.936196</v>
      </c>
      <c r="N516">
        <f t="shared" ref="N516:N579" si="17">(10^(LOG(M516)-0.3))^(1/0.7)</f>
        <v>6063.2210022628651</v>
      </c>
    </row>
    <row r="517" spans="1:14" ht="15.5" x14ac:dyDescent="0.35">
      <c r="A517">
        <v>835.91708933236703</v>
      </c>
      <c r="B517">
        <v>241.12044727750001</v>
      </c>
      <c r="C517">
        <v>542.94834691622304</v>
      </c>
      <c r="D517" s="735">
        <v>65365.216935159959</v>
      </c>
      <c r="E517" s="735">
        <v>131915.74359670081</v>
      </c>
      <c r="F517" s="735">
        <v>152.59933895776146</v>
      </c>
      <c r="H517" s="741">
        <v>515</v>
      </c>
      <c r="I517" s="735">
        <v>67.373150551577396</v>
      </c>
      <c r="J517">
        <f t="shared" si="16"/>
        <v>152.59933895776146</v>
      </c>
      <c r="K517" s="735">
        <v>7659.6273449999999</v>
      </c>
      <c r="L517">
        <f t="shared" si="16"/>
        <v>131915.74359670081</v>
      </c>
      <c r="M517" s="742">
        <v>4685.3570790000003</v>
      </c>
      <c r="N517">
        <f t="shared" si="17"/>
        <v>65365.216935159959</v>
      </c>
    </row>
    <row r="518" spans="1:14" ht="15.5" x14ac:dyDescent="0.35">
      <c r="A518">
        <v>369.92350952850398</v>
      </c>
      <c r="B518">
        <v>1286.42837498224</v>
      </c>
      <c r="C518">
        <v>5962.7941632143202</v>
      </c>
      <c r="D518" s="735">
        <v>138790.30365507799</v>
      </c>
      <c r="E518" s="735">
        <v>4381.8881301968622</v>
      </c>
      <c r="F518" s="735">
        <v>225.77853990337962</v>
      </c>
      <c r="H518" s="741">
        <v>516</v>
      </c>
      <c r="I518" s="735">
        <v>88.629410788552306</v>
      </c>
      <c r="J518">
        <f t="shared" si="16"/>
        <v>225.77853990337962</v>
      </c>
      <c r="K518" s="735">
        <v>706.58253749999994</v>
      </c>
      <c r="L518">
        <f t="shared" si="16"/>
        <v>4381.8881301968622</v>
      </c>
      <c r="M518" s="742">
        <v>7936.9087659999996</v>
      </c>
      <c r="N518">
        <f t="shared" si="17"/>
        <v>138790.30365507799</v>
      </c>
    </row>
    <row r="519" spans="1:14" ht="15.5" x14ac:dyDescent="0.35">
      <c r="A519">
        <v>168.52383132727999</v>
      </c>
      <c r="B519">
        <v>734.35879407578204</v>
      </c>
      <c r="C519">
        <v>24805.326338627699</v>
      </c>
      <c r="D519" s="735">
        <v>20544.878206758523</v>
      </c>
      <c r="E519" s="735">
        <v>366.14244860409008</v>
      </c>
      <c r="F519" s="735">
        <v>222.97178256614202</v>
      </c>
      <c r="H519" s="741">
        <v>517</v>
      </c>
      <c r="I519" s="735">
        <v>87.856709604785294</v>
      </c>
      <c r="J519">
        <f t="shared" si="16"/>
        <v>222.97178256614202</v>
      </c>
      <c r="K519" s="735">
        <v>124.3240236</v>
      </c>
      <c r="L519">
        <f t="shared" si="16"/>
        <v>366.14244860409008</v>
      </c>
      <c r="M519" s="742">
        <v>2083.974976</v>
      </c>
      <c r="N519">
        <f t="shared" si="17"/>
        <v>20544.878206758523</v>
      </c>
    </row>
    <row r="520" spans="1:14" ht="15.5" x14ac:dyDescent="0.35">
      <c r="A520">
        <v>279.74934068154897</v>
      </c>
      <c r="B520">
        <v>3232.6628946125802</v>
      </c>
      <c r="C520">
        <v>429.27169766910498</v>
      </c>
      <c r="D520" s="735">
        <v>927.78609360293319</v>
      </c>
      <c r="E520" s="735">
        <v>3183.170122410259</v>
      </c>
      <c r="F520" s="735">
        <v>289.85534847326852</v>
      </c>
      <c r="H520" s="741">
        <v>518</v>
      </c>
      <c r="I520" s="735">
        <v>105.566694445648</v>
      </c>
      <c r="J520">
        <f t="shared" si="16"/>
        <v>289.85534847326852</v>
      </c>
      <c r="K520" s="735">
        <v>564.93943969999998</v>
      </c>
      <c r="L520">
        <f t="shared" si="16"/>
        <v>3183.170122410259</v>
      </c>
      <c r="M520" s="742">
        <v>238.34909160000001</v>
      </c>
      <c r="N520">
        <f t="shared" si="17"/>
        <v>927.78609360293319</v>
      </c>
    </row>
    <row r="521" spans="1:14" ht="15.5" x14ac:dyDescent="0.35">
      <c r="A521">
        <v>354.44157220063101</v>
      </c>
      <c r="B521">
        <v>514.64457001073595</v>
      </c>
      <c r="C521">
        <v>18.265657654246901</v>
      </c>
      <c r="D521" s="735">
        <v>116082.12471552243</v>
      </c>
      <c r="E521" s="735">
        <v>18615.867376589955</v>
      </c>
      <c r="F521" s="735">
        <v>21339.241279873502</v>
      </c>
      <c r="H521" s="741">
        <v>519</v>
      </c>
      <c r="I521" s="735">
        <v>2140.0567088513899</v>
      </c>
      <c r="J521">
        <f t="shared" si="16"/>
        <v>21339.241279873502</v>
      </c>
      <c r="K521" s="735">
        <v>1944.9941229999999</v>
      </c>
      <c r="L521">
        <f t="shared" si="16"/>
        <v>18615.867376589955</v>
      </c>
      <c r="M521" s="742">
        <v>7003.8323849999997</v>
      </c>
      <c r="N521">
        <f t="shared" si="17"/>
        <v>116082.12471552243</v>
      </c>
    </row>
    <row r="522" spans="1:14" ht="15.5" x14ac:dyDescent="0.35">
      <c r="A522">
        <v>222.567493129122</v>
      </c>
      <c r="B522">
        <v>186.53904348741</v>
      </c>
      <c r="C522">
        <v>1875.17001861731</v>
      </c>
      <c r="D522" s="735">
        <v>3912.4464317585325</v>
      </c>
      <c r="E522" s="735">
        <v>11534.351853954073</v>
      </c>
      <c r="F522" s="735">
        <v>99.04775511789353</v>
      </c>
      <c r="H522" s="741">
        <v>520</v>
      </c>
      <c r="I522" s="735">
        <v>49.7841671132946</v>
      </c>
      <c r="J522">
        <f t="shared" si="16"/>
        <v>99.04775511789353</v>
      </c>
      <c r="K522" s="735">
        <v>1391.2181559999999</v>
      </c>
      <c r="L522">
        <f t="shared" si="16"/>
        <v>11534.351853954073</v>
      </c>
      <c r="M522" s="742">
        <v>652.70040630000005</v>
      </c>
      <c r="N522">
        <f t="shared" si="17"/>
        <v>3912.4464317585325</v>
      </c>
    </row>
    <row r="523" spans="1:14" ht="15.5" x14ac:dyDescent="0.35">
      <c r="A523">
        <v>939.15868186350201</v>
      </c>
      <c r="B523">
        <v>401.82407077148702</v>
      </c>
      <c r="C523">
        <v>1702.77036782715</v>
      </c>
      <c r="D523" s="735">
        <v>297068.16810295079</v>
      </c>
      <c r="E523" s="735">
        <v>3537.7238319000489</v>
      </c>
      <c r="F523" s="735">
        <v>8428.3396100952777</v>
      </c>
      <c r="H523" s="741">
        <v>521</v>
      </c>
      <c r="I523" s="735">
        <v>1116.91318737037</v>
      </c>
      <c r="J523">
        <f t="shared" si="16"/>
        <v>8428.3396100952777</v>
      </c>
      <c r="K523" s="735">
        <v>608.28449850000004</v>
      </c>
      <c r="L523">
        <f t="shared" si="16"/>
        <v>3537.7238319000489</v>
      </c>
      <c r="M523" s="742">
        <v>13520.703299999999</v>
      </c>
      <c r="N523">
        <f t="shared" si="17"/>
        <v>297068.16810295079</v>
      </c>
    </row>
    <row r="524" spans="1:14" ht="15.5" x14ac:dyDescent="0.35">
      <c r="A524">
        <v>1010.75788889544</v>
      </c>
      <c r="B524">
        <v>191.852551141986</v>
      </c>
      <c r="C524">
        <v>715.35980572739095</v>
      </c>
      <c r="D524" s="735">
        <v>94406.61710497085</v>
      </c>
      <c r="E524" s="735">
        <v>13799.666079313974</v>
      </c>
      <c r="F524" s="735">
        <v>3739.7887374185848</v>
      </c>
      <c r="H524" s="741">
        <v>522</v>
      </c>
      <c r="I524" s="735">
        <v>632.40158328318</v>
      </c>
      <c r="J524">
        <f t="shared" si="16"/>
        <v>3739.7887374185848</v>
      </c>
      <c r="K524" s="735">
        <v>1577.2771230000001</v>
      </c>
      <c r="L524">
        <f t="shared" si="16"/>
        <v>13799.666079313974</v>
      </c>
      <c r="M524" s="742">
        <v>6060.4057979999998</v>
      </c>
      <c r="N524">
        <f t="shared" si="17"/>
        <v>94406.61710497085</v>
      </c>
    </row>
    <row r="525" spans="1:14" ht="15.5" x14ac:dyDescent="0.35">
      <c r="A525">
        <v>758.41363912515305</v>
      </c>
      <c r="B525">
        <v>550.12459230616003</v>
      </c>
      <c r="C525">
        <v>7636.0763998759003</v>
      </c>
      <c r="D525" s="735">
        <v>264867.91797525395</v>
      </c>
      <c r="E525" s="735">
        <v>121.13332596139072</v>
      </c>
      <c r="F525" s="735">
        <v>1037.9954777243822</v>
      </c>
      <c r="H525" s="741">
        <v>523</v>
      </c>
      <c r="I525" s="735">
        <v>257.83200329074299</v>
      </c>
      <c r="J525">
        <f t="shared" si="16"/>
        <v>1037.9954777243822</v>
      </c>
      <c r="K525" s="735">
        <v>57.317144929999998</v>
      </c>
      <c r="L525">
        <f t="shared" si="16"/>
        <v>121.13332596139072</v>
      </c>
      <c r="M525" s="742">
        <v>12477.29808</v>
      </c>
      <c r="N525">
        <f t="shared" si="17"/>
        <v>264867.91797525395</v>
      </c>
    </row>
    <row r="526" spans="1:14" ht="15.5" x14ac:dyDescent="0.35">
      <c r="A526">
        <v>394.38293244603199</v>
      </c>
      <c r="B526">
        <v>119.580009174797</v>
      </c>
      <c r="C526">
        <v>1094.2914701950699</v>
      </c>
      <c r="D526" s="735">
        <v>72212.1472083884</v>
      </c>
      <c r="E526" s="735">
        <v>201.51966721104037</v>
      </c>
      <c r="F526" s="735">
        <v>54.740975127179787</v>
      </c>
      <c r="H526" s="741">
        <v>524</v>
      </c>
      <c r="I526" s="735">
        <v>32.871443100174098</v>
      </c>
      <c r="J526">
        <f t="shared" si="16"/>
        <v>54.740975127179787</v>
      </c>
      <c r="K526" s="735">
        <v>81.850663850000004</v>
      </c>
      <c r="L526">
        <f t="shared" si="16"/>
        <v>201.51966721104037</v>
      </c>
      <c r="M526" s="742">
        <v>5023.7403059999997</v>
      </c>
      <c r="N526">
        <f t="shared" si="17"/>
        <v>72212.1472083884</v>
      </c>
    </row>
    <row r="527" spans="1:14" ht="15.5" x14ac:dyDescent="0.35">
      <c r="A527">
        <v>4594.32734622929</v>
      </c>
      <c r="B527">
        <v>1829.1726188721</v>
      </c>
      <c r="C527">
        <v>380.50239251251298</v>
      </c>
      <c r="D527" s="735">
        <v>9909.0557097862911</v>
      </c>
      <c r="E527" s="735">
        <v>2087.2341324265385</v>
      </c>
      <c r="F527" s="735">
        <v>582.93650637650433</v>
      </c>
      <c r="H527" s="741">
        <v>525</v>
      </c>
      <c r="I527" s="735">
        <v>172.161040074537</v>
      </c>
      <c r="J527">
        <f t="shared" si="16"/>
        <v>582.93650637650433</v>
      </c>
      <c r="K527" s="735">
        <v>420.43592460000002</v>
      </c>
      <c r="L527">
        <f t="shared" si="16"/>
        <v>2087.2341324265385</v>
      </c>
      <c r="M527" s="742">
        <v>1250.8999899999999</v>
      </c>
      <c r="N527">
        <f t="shared" si="17"/>
        <v>9909.0557097862911</v>
      </c>
    </row>
    <row r="528" spans="1:14" ht="15.5" x14ac:dyDescent="0.35">
      <c r="A528">
        <v>1033.25710651801</v>
      </c>
      <c r="B528">
        <v>548.24461053602602</v>
      </c>
      <c r="C528">
        <v>4542.4851168495998</v>
      </c>
      <c r="D528" s="735">
        <v>8262.539366595196</v>
      </c>
      <c r="E528" s="735">
        <v>197689.75801368876</v>
      </c>
      <c r="F528" s="735">
        <v>5744.7474585491827</v>
      </c>
      <c r="H528" s="741">
        <v>526</v>
      </c>
      <c r="I528" s="735">
        <v>854.06251141328903</v>
      </c>
      <c r="J528">
        <f t="shared" si="16"/>
        <v>5744.7474585491827</v>
      </c>
      <c r="K528" s="735">
        <v>10166.908589999999</v>
      </c>
      <c r="L528">
        <f t="shared" si="16"/>
        <v>197689.75801368876</v>
      </c>
      <c r="M528" s="742">
        <v>1101.4872620000001</v>
      </c>
      <c r="N528">
        <f t="shared" si="17"/>
        <v>8262.539366595196</v>
      </c>
    </row>
    <row r="529" spans="1:14" ht="15.5" x14ac:dyDescent="0.35">
      <c r="A529">
        <v>326.55372490449997</v>
      </c>
      <c r="B529">
        <v>47.260061890386602</v>
      </c>
      <c r="C529">
        <v>77391.148994752104</v>
      </c>
      <c r="D529" s="735">
        <v>13198.584408219551</v>
      </c>
      <c r="E529" s="735">
        <v>7783.1446711092249</v>
      </c>
      <c r="F529" s="735">
        <v>12209.903167216427</v>
      </c>
      <c r="H529" s="741">
        <v>527</v>
      </c>
      <c r="I529" s="735">
        <v>1447.76660189989</v>
      </c>
      <c r="J529">
        <f t="shared" si="16"/>
        <v>12209.903167216427</v>
      </c>
      <c r="K529" s="735">
        <v>1056.3517890000001</v>
      </c>
      <c r="L529">
        <f t="shared" si="16"/>
        <v>7783.1446711092249</v>
      </c>
      <c r="M529" s="742">
        <v>1528.865033</v>
      </c>
      <c r="N529">
        <f t="shared" si="17"/>
        <v>13198.584408219551</v>
      </c>
    </row>
    <row r="530" spans="1:14" ht="15.5" x14ac:dyDescent="0.35">
      <c r="A530">
        <v>125.513692488432</v>
      </c>
      <c r="B530">
        <v>205.66399315325901</v>
      </c>
      <c r="C530">
        <v>1472.8432298836301</v>
      </c>
      <c r="D530" s="735">
        <v>249779.7834007394</v>
      </c>
      <c r="E530" s="735">
        <v>20876.018828405027</v>
      </c>
      <c r="F530" s="735">
        <v>190.22559130424452</v>
      </c>
      <c r="H530" s="741">
        <v>528</v>
      </c>
      <c r="I530" s="735">
        <v>78.611894008571994</v>
      </c>
      <c r="J530">
        <f t="shared" si="16"/>
        <v>190.22559130424452</v>
      </c>
      <c r="K530" s="735">
        <v>2107.4310569999998</v>
      </c>
      <c r="L530">
        <f t="shared" si="16"/>
        <v>20876.018828405027</v>
      </c>
      <c r="M530" s="742">
        <v>11975.401949999999</v>
      </c>
      <c r="N530">
        <f t="shared" si="17"/>
        <v>249779.7834007394</v>
      </c>
    </row>
    <row r="531" spans="1:14" ht="15.5" x14ac:dyDescent="0.35">
      <c r="A531">
        <v>57.984653030045898</v>
      </c>
      <c r="B531">
        <v>188.266358360883</v>
      </c>
      <c r="C531">
        <v>28909.053881148498</v>
      </c>
      <c r="D531" s="735">
        <v>145006.56662808839</v>
      </c>
      <c r="E531" s="735">
        <v>2101.6661393140125</v>
      </c>
      <c r="F531" s="735">
        <v>449.52367383733002</v>
      </c>
      <c r="H531" s="741">
        <v>529</v>
      </c>
      <c r="I531" s="735">
        <v>143.52474962721701</v>
      </c>
      <c r="J531">
        <f t="shared" si="16"/>
        <v>449.52367383733002</v>
      </c>
      <c r="K531" s="735">
        <v>422.46876880000002</v>
      </c>
      <c r="L531">
        <f t="shared" si="16"/>
        <v>2101.6661393140125</v>
      </c>
      <c r="M531" s="742">
        <v>8184.1083200000003</v>
      </c>
      <c r="N531">
        <f t="shared" si="17"/>
        <v>145006.56662808839</v>
      </c>
    </row>
    <row r="532" spans="1:14" ht="15.5" x14ac:dyDescent="0.35">
      <c r="A532">
        <v>93.285854891673196</v>
      </c>
      <c r="B532">
        <v>125.05558278820099</v>
      </c>
      <c r="C532">
        <v>4280.8892173179001</v>
      </c>
      <c r="D532" s="735">
        <v>32428.524947719736</v>
      </c>
      <c r="E532" s="735">
        <v>743410.90748490265</v>
      </c>
      <c r="F532" s="735">
        <v>17.223672686322193</v>
      </c>
      <c r="H532" s="741">
        <v>530</v>
      </c>
      <c r="I532" s="735">
        <v>14.6314724729801</v>
      </c>
      <c r="J532">
        <f t="shared" si="16"/>
        <v>17.223672686322193</v>
      </c>
      <c r="K532" s="735">
        <v>25695.687989999999</v>
      </c>
      <c r="L532">
        <f t="shared" si="16"/>
        <v>743410.90748490265</v>
      </c>
      <c r="M532" s="742">
        <v>2868.461573</v>
      </c>
      <c r="N532">
        <f t="shared" si="17"/>
        <v>32428.524947719736</v>
      </c>
    </row>
    <row r="533" spans="1:14" ht="15.5" x14ac:dyDescent="0.35">
      <c r="A533">
        <v>546.49531489864205</v>
      </c>
      <c r="B533">
        <v>43.393487152382498</v>
      </c>
      <c r="C533">
        <v>748.67388321907004</v>
      </c>
      <c r="D533" s="735">
        <v>4513.3051573200019</v>
      </c>
      <c r="E533" s="735">
        <v>1285.051300195641</v>
      </c>
      <c r="F533" s="735">
        <v>438.2439832820387</v>
      </c>
      <c r="H533" s="741">
        <v>531</v>
      </c>
      <c r="I533" s="735">
        <v>140.994175951871</v>
      </c>
      <c r="J533">
        <f t="shared" si="16"/>
        <v>438.2439832820387</v>
      </c>
      <c r="K533" s="735">
        <v>299.39485009999999</v>
      </c>
      <c r="L533">
        <f t="shared" si="16"/>
        <v>1285.051300195641</v>
      </c>
      <c r="M533" s="742">
        <v>721.35041980000005</v>
      </c>
      <c r="N533">
        <f t="shared" si="17"/>
        <v>4513.3051573200019</v>
      </c>
    </row>
    <row r="534" spans="1:14" ht="15.5" x14ac:dyDescent="0.35">
      <c r="A534">
        <v>834.78222677028998</v>
      </c>
      <c r="B534">
        <v>17.999236801704601</v>
      </c>
      <c r="C534">
        <v>4194.4386493912698</v>
      </c>
      <c r="D534" s="735">
        <v>576280.00595319027</v>
      </c>
      <c r="E534" s="735">
        <v>39344.424557869635</v>
      </c>
      <c r="F534" s="735">
        <v>695.34714211980315</v>
      </c>
      <c r="H534" s="741">
        <v>532</v>
      </c>
      <c r="I534" s="735">
        <v>194.77856944643401</v>
      </c>
      <c r="J534">
        <f t="shared" si="16"/>
        <v>695.34714211980315</v>
      </c>
      <c r="K534" s="735">
        <v>3284.1141080000002</v>
      </c>
      <c r="L534">
        <f t="shared" si="16"/>
        <v>39344.424557869635</v>
      </c>
      <c r="M534" s="742">
        <v>21500.24884</v>
      </c>
      <c r="N534">
        <f t="shared" si="17"/>
        <v>576280.00595319027</v>
      </c>
    </row>
    <row r="535" spans="1:14" ht="15.5" x14ac:dyDescent="0.35">
      <c r="A535">
        <v>43.649204807447902</v>
      </c>
      <c r="B535">
        <v>295.66320312839099</v>
      </c>
      <c r="C535">
        <v>5628.4120916544598</v>
      </c>
      <c r="D535" s="735">
        <v>5618.4942280720334</v>
      </c>
      <c r="E535" s="735">
        <v>199126.11173616251</v>
      </c>
      <c r="F535" s="735">
        <v>5034.7950736369794</v>
      </c>
      <c r="H535" s="741">
        <v>533</v>
      </c>
      <c r="I535" s="735">
        <v>778.73063316800801</v>
      </c>
      <c r="J535">
        <f t="shared" si="16"/>
        <v>5034.7950736369794</v>
      </c>
      <c r="K535" s="735">
        <v>10218.561180000001</v>
      </c>
      <c r="L535">
        <f t="shared" si="16"/>
        <v>199126.11173616251</v>
      </c>
      <c r="M535" s="742">
        <v>840.87987269999996</v>
      </c>
      <c r="N535">
        <f t="shared" si="17"/>
        <v>5618.4942280720334</v>
      </c>
    </row>
    <row r="536" spans="1:14" ht="15.5" x14ac:dyDescent="0.35">
      <c r="A536">
        <v>96.384772403985195</v>
      </c>
      <c r="B536">
        <v>180.95561271063701</v>
      </c>
      <c r="C536">
        <v>353.61362262888201</v>
      </c>
      <c r="D536" s="735">
        <v>33635.382616973628</v>
      </c>
      <c r="E536" s="735">
        <v>210.20693750503855</v>
      </c>
      <c r="F536" s="735">
        <v>1852.2586685591225</v>
      </c>
      <c r="H536" s="741">
        <v>534</v>
      </c>
      <c r="I536" s="735">
        <v>386.71511330319498</v>
      </c>
      <c r="J536">
        <f t="shared" si="16"/>
        <v>1852.2586685591225</v>
      </c>
      <c r="K536" s="735">
        <v>84.304922120000001</v>
      </c>
      <c r="L536">
        <f t="shared" si="16"/>
        <v>210.20693750503855</v>
      </c>
      <c r="M536" s="742">
        <v>2942.7777289999999</v>
      </c>
      <c r="N536">
        <f t="shared" si="17"/>
        <v>33635.382616973628</v>
      </c>
    </row>
    <row r="537" spans="1:14" ht="15.5" x14ac:dyDescent="0.35">
      <c r="A537">
        <v>1263.57414490415</v>
      </c>
      <c r="B537">
        <v>56.379457766831699</v>
      </c>
      <c r="C537">
        <v>25608.0237912866</v>
      </c>
      <c r="D537" s="735">
        <v>3996.0737280171102</v>
      </c>
      <c r="E537" s="735">
        <v>14003.331691286618</v>
      </c>
      <c r="F537" s="735">
        <v>45.742874585033938</v>
      </c>
      <c r="H537" s="741">
        <v>535</v>
      </c>
      <c r="I537" s="735">
        <v>28.988544968586801</v>
      </c>
      <c r="J537">
        <f t="shared" si="16"/>
        <v>45.742874585033938</v>
      </c>
      <c r="K537" s="735">
        <v>1593.536308</v>
      </c>
      <c r="L537">
        <f t="shared" si="16"/>
        <v>14003.331691286618</v>
      </c>
      <c r="M537" s="742">
        <v>662.43526569999995</v>
      </c>
      <c r="N537">
        <f t="shared" si="17"/>
        <v>3996.0737280171102</v>
      </c>
    </row>
    <row r="538" spans="1:14" ht="15.5" x14ac:dyDescent="0.35">
      <c r="A538">
        <v>21.360858576007601</v>
      </c>
      <c r="B538">
        <v>61.971261047144097</v>
      </c>
      <c r="C538">
        <v>7238.3649337090501</v>
      </c>
      <c r="D538" s="735">
        <v>219589.74462229977</v>
      </c>
      <c r="E538" s="735">
        <v>207700.19579080155</v>
      </c>
      <c r="F538" s="735">
        <v>3570.268129731744</v>
      </c>
      <c r="H538" s="741">
        <v>536</v>
      </c>
      <c r="I538" s="735">
        <v>612.19613471084904</v>
      </c>
      <c r="J538">
        <f t="shared" si="16"/>
        <v>3570.268129731744</v>
      </c>
      <c r="K538" s="735">
        <v>10524.6057</v>
      </c>
      <c r="L538">
        <f t="shared" si="16"/>
        <v>207700.19579080155</v>
      </c>
      <c r="M538" s="742">
        <v>10942.79939</v>
      </c>
      <c r="N538">
        <f t="shared" si="17"/>
        <v>219589.74462229977</v>
      </c>
    </row>
    <row r="539" spans="1:14" ht="15.5" x14ac:dyDescent="0.35">
      <c r="A539">
        <v>10042.362682855201</v>
      </c>
      <c r="B539">
        <v>795.91322278975701</v>
      </c>
      <c r="C539">
        <v>2106.00883833425</v>
      </c>
      <c r="D539" s="735">
        <v>4173.4388672627956</v>
      </c>
      <c r="E539" s="735">
        <v>13693.97461381926</v>
      </c>
      <c r="F539" s="735">
        <v>15802.688702655038</v>
      </c>
      <c r="H539" s="741">
        <v>537</v>
      </c>
      <c r="I539" s="735">
        <v>1734.2499454526501</v>
      </c>
      <c r="J539">
        <f t="shared" si="16"/>
        <v>15802.688702655038</v>
      </c>
      <c r="K539" s="735">
        <v>1568.811134</v>
      </c>
      <c r="L539">
        <f t="shared" si="16"/>
        <v>13693.97461381926</v>
      </c>
      <c r="M539" s="742">
        <v>682.88227370000004</v>
      </c>
      <c r="N539">
        <f t="shared" si="17"/>
        <v>4173.4388672627956</v>
      </c>
    </row>
    <row r="540" spans="1:14" ht="15.5" x14ac:dyDescent="0.35">
      <c r="A540">
        <v>2281.5847297738201</v>
      </c>
      <c r="B540">
        <v>74.108182606910802</v>
      </c>
      <c r="C540">
        <v>4231.2277011592896</v>
      </c>
      <c r="D540" s="735">
        <v>2197.9006456668453</v>
      </c>
      <c r="E540" s="735">
        <v>1228.6039479061928</v>
      </c>
      <c r="F540" s="735">
        <v>81.099026593289494</v>
      </c>
      <c r="H540" s="741">
        <v>538</v>
      </c>
      <c r="I540" s="735">
        <v>43.282361607780601</v>
      </c>
      <c r="J540">
        <f t="shared" si="16"/>
        <v>81.099026593289494</v>
      </c>
      <c r="K540" s="735">
        <v>290.1271251</v>
      </c>
      <c r="L540">
        <f t="shared" si="16"/>
        <v>1228.6039479061928</v>
      </c>
      <c r="M540" s="742">
        <v>435.91884040000002</v>
      </c>
      <c r="N540">
        <f t="shared" si="17"/>
        <v>2197.9006456668453</v>
      </c>
    </row>
    <row r="541" spans="1:14" ht="15.5" x14ac:dyDescent="0.35">
      <c r="A541">
        <v>1209.9209057821099</v>
      </c>
      <c r="B541">
        <v>126.874745336041</v>
      </c>
      <c r="C541">
        <v>19638.097336687399</v>
      </c>
      <c r="D541" s="735">
        <v>60978.520508255839</v>
      </c>
      <c r="E541" s="735">
        <v>36006.702004760067</v>
      </c>
      <c r="F541" s="735">
        <v>6979.7444834771104</v>
      </c>
      <c r="H541" s="741">
        <v>539</v>
      </c>
      <c r="I541" s="735">
        <v>978.785815356635</v>
      </c>
      <c r="J541">
        <f t="shared" si="16"/>
        <v>6979.7444834771104</v>
      </c>
      <c r="K541" s="735">
        <v>3086.514639</v>
      </c>
      <c r="L541">
        <f t="shared" si="16"/>
        <v>36006.702004760067</v>
      </c>
      <c r="M541" s="742">
        <v>4462.9684649999999</v>
      </c>
      <c r="N541">
        <f t="shared" si="17"/>
        <v>60978.520508255839</v>
      </c>
    </row>
    <row r="542" spans="1:14" ht="15.5" x14ac:dyDescent="0.35">
      <c r="A542">
        <v>1046.12370623179</v>
      </c>
      <c r="B542">
        <v>1301.39746078138</v>
      </c>
      <c r="C542">
        <v>50.158791144993899</v>
      </c>
      <c r="D542" s="735">
        <v>22160.597927420553</v>
      </c>
      <c r="E542" s="735">
        <v>18363.232693517148</v>
      </c>
      <c r="F542" s="735">
        <v>2074.4128814848959</v>
      </c>
      <c r="H542" s="741">
        <v>540</v>
      </c>
      <c r="I542" s="735">
        <v>418.62642648618498</v>
      </c>
      <c r="J542">
        <f t="shared" si="16"/>
        <v>2074.4128814848959</v>
      </c>
      <c r="K542" s="735">
        <v>1926.479519</v>
      </c>
      <c r="L542">
        <f t="shared" si="16"/>
        <v>18363.232693517148</v>
      </c>
      <c r="M542" s="742">
        <v>2197.3894340000002</v>
      </c>
      <c r="N542">
        <f t="shared" si="17"/>
        <v>22160.597927420553</v>
      </c>
    </row>
    <row r="543" spans="1:14" ht="15.5" x14ac:dyDescent="0.35">
      <c r="A543">
        <v>620.24500295716302</v>
      </c>
      <c r="B543">
        <v>289.39215111512999</v>
      </c>
      <c r="C543">
        <v>19772.5441366468</v>
      </c>
      <c r="D543" s="735">
        <v>7217.2092115729547</v>
      </c>
      <c r="E543" s="735">
        <v>587.72151206874457</v>
      </c>
      <c r="F543" s="735">
        <v>506.74584038323098</v>
      </c>
      <c r="H543" s="741">
        <v>541</v>
      </c>
      <c r="I543" s="735">
        <v>156.08211261927099</v>
      </c>
      <c r="J543">
        <f t="shared" si="16"/>
        <v>506.74584038323098</v>
      </c>
      <c r="K543" s="735">
        <v>173.14904920000001</v>
      </c>
      <c r="L543">
        <f t="shared" si="16"/>
        <v>587.72151206874457</v>
      </c>
      <c r="M543" s="742">
        <v>1001.978739</v>
      </c>
      <c r="N543">
        <f t="shared" si="17"/>
        <v>7217.2092115729547</v>
      </c>
    </row>
    <row r="544" spans="1:14" ht="15.5" x14ac:dyDescent="0.35">
      <c r="A544">
        <v>3707.0618004273701</v>
      </c>
      <c r="B544">
        <v>655.66861302073505</v>
      </c>
      <c r="C544">
        <v>10235.1111214911</v>
      </c>
      <c r="D544" s="735">
        <v>5851.8143647722254</v>
      </c>
      <c r="E544" s="735">
        <v>8213.1817458299447</v>
      </c>
      <c r="F544" s="735">
        <v>708.04186443753269</v>
      </c>
      <c r="H544" s="741">
        <v>542</v>
      </c>
      <c r="I544" s="735">
        <v>197.26101157698699</v>
      </c>
      <c r="J544">
        <f t="shared" si="16"/>
        <v>708.04186443753269</v>
      </c>
      <c r="K544" s="735">
        <v>1096.8771850000001</v>
      </c>
      <c r="L544">
        <f t="shared" si="16"/>
        <v>8213.1817458299447</v>
      </c>
      <c r="M544" s="742">
        <v>865.17383830000006</v>
      </c>
      <c r="N544">
        <f t="shared" si="17"/>
        <v>5851.8143647722254</v>
      </c>
    </row>
    <row r="545" spans="1:14" ht="15.5" x14ac:dyDescent="0.35">
      <c r="A545">
        <v>720.40682737442603</v>
      </c>
      <c r="B545">
        <v>1890.0241335606099</v>
      </c>
      <c r="C545">
        <v>2443.9520263207701</v>
      </c>
      <c r="D545" s="735">
        <v>10255.380823123181</v>
      </c>
      <c r="E545" s="735">
        <v>360.19990576143323</v>
      </c>
      <c r="F545" s="735">
        <v>753.17349383047986</v>
      </c>
      <c r="H545" s="741">
        <v>543</v>
      </c>
      <c r="I545" s="735">
        <v>205.98069508658401</v>
      </c>
      <c r="J545">
        <f t="shared" si="16"/>
        <v>753.17349383047986</v>
      </c>
      <c r="K545" s="735">
        <v>122.9081032</v>
      </c>
      <c r="L545">
        <f t="shared" si="16"/>
        <v>360.19990576143323</v>
      </c>
      <c r="M545" s="742">
        <v>1281.345519</v>
      </c>
      <c r="N545">
        <f t="shared" si="17"/>
        <v>10255.380823123181</v>
      </c>
    </row>
    <row r="546" spans="1:14" ht="15.5" x14ac:dyDescent="0.35">
      <c r="A546">
        <v>49.191112061213701</v>
      </c>
      <c r="B546">
        <v>517.25846228695605</v>
      </c>
      <c r="C546">
        <v>10155.004802907701</v>
      </c>
      <c r="D546" s="735">
        <v>4839.6724389250303</v>
      </c>
      <c r="E546" s="735">
        <v>770742.05092287157</v>
      </c>
      <c r="F546" s="735">
        <v>32208.907824037604</v>
      </c>
      <c r="H546" s="741">
        <v>544</v>
      </c>
      <c r="I546" s="735">
        <v>2854.8493726003699</v>
      </c>
      <c r="J546">
        <f t="shared" si="16"/>
        <v>32208.907824037604</v>
      </c>
      <c r="K546" s="735">
        <v>26353.380829999998</v>
      </c>
      <c r="L546">
        <f t="shared" si="16"/>
        <v>770742.05092287157</v>
      </c>
      <c r="M546" s="742">
        <v>757.48001299999999</v>
      </c>
      <c r="N546">
        <f t="shared" si="17"/>
        <v>4839.6724389250303</v>
      </c>
    </row>
    <row r="547" spans="1:14" ht="15.5" x14ac:dyDescent="0.35">
      <c r="A547">
        <v>28.393556314590501</v>
      </c>
      <c r="B547">
        <v>2641.3764921379702</v>
      </c>
      <c r="C547">
        <v>582.521183169766</v>
      </c>
      <c r="D547" s="735">
        <v>1245.9634970581424</v>
      </c>
      <c r="E547" s="735">
        <v>292572.78639690724</v>
      </c>
      <c r="F547" s="735">
        <v>9959.7773369597016</v>
      </c>
      <c r="H547" s="741">
        <v>545</v>
      </c>
      <c r="I547" s="735">
        <v>1255.3786561669799</v>
      </c>
      <c r="J547">
        <f t="shared" si="16"/>
        <v>9959.7773369597016</v>
      </c>
      <c r="K547" s="735">
        <v>13377.154699999999</v>
      </c>
      <c r="L547">
        <f t="shared" si="16"/>
        <v>292572.78639690724</v>
      </c>
      <c r="M547" s="742">
        <v>292.9906244</v>
      </c>
      <c r="N547">
        <f t="shared" si="17"/>
        <v>1245.9634970581424</v>
      </c>
    </row>
    <row r="548" spans="1:14" ht="15.5" x14ac:dyDescent="0.35">
      <c r="A548">
        <v>1994.64782890009</v>
      </c>
      <c r="B548">
        <v>198.21412021324099</v>
      </c>
      <c r="C548">
        <v>1008.35014444059</v>
      </c>
      <c r="D548" s="735">
        <v>66972.862044545313</v>
      </c>
      <c r="E548" s="735">
        <v>3832.7028152485423</v>
      </c>
      <c r="F548" s="735">
        <v>52.366755353147866</v>
      </c>
      <c r="H548" s="741">
        <v>546</v>
      </c>
      <c r="I548" s="735">
        <v>31.866837524100902</v>
      </c>
      <c r="J548">
        <f t="shared" si="16"/>
        <v>52.366755353147866</v>
      </c>
      <c r="K548" s="735">
        <v>643.35932779999996</v>
      </c>
      <c r="L548">
        <f t="shared" si="16"/>
        <v>3832.7028152485423</v>
      </c>
      <c r="M548" s="742">
        <v>4765.7274440000001</v>
      </c>
      <c r="N548">
        <f t="shared" si="17"/>
        <v>66972.862044545313</v>
      </c>
    </row>
    <row r="549" spans="1:14" ht="15.5" x14ac:dyDescent="0.35">
      <c r="A549">
        <v>183.42777884991099</v>
      </c>
      <c r="B549">
        <v>391.154188464161</v>
      </c>
      <c r="C549">
        <v>60.394192878665898</v>
      </c>
      <c r="D549" s="735">
        <v>4685.8835092125109</v>
      </c>
      <c r="E549" s="735">
        <v>230594.58474787211</v>
      </c>
      <c r="F549" s="735">
        <v>946.37048837005557</v>
      </c>
      <c r="H549" s="741">
        <v>547</v>
      </c>
      <c r="I549" s="735">
        <v>241.68117969509501</v>
      </c>
      <c r="J549">
        <f t="shared" si="16"/>
        <v>946.37048837005557</v>
      </c>
      <c r="K549" s="735">
        <v>11323.85691</v>
      </c>
      <c r="L549">
        <f t="shared" si="16"/>
        <v>230594.58474787211</v>
      </c>
      <c r="M549" s="742">
        <v>740.54941210000004</v>
      </c>
      <c r="N549">
        <f t="shared" si="17"/>
        <v>4685.8835092125109</v>
      </c>
    </row>
    <row r="550" spans="1:14" ht="15.5" x14ac:dyDescent="0.35">
      <c r="A550">
        <v>49.764478715063397</v>
      </c>
      <c r="B550">
        <v>19.5968921284739</v>
      </c>
      <c r="C550">
        <v>2193.1137533236902</v>
      </c>
      <c r="D550" s="735">
        <v>130326.06307138516</v>
      </c>
      <c r="E550" s="735">
        <v>50394.436798126379</v>
      </c>
      <c r="F550" s="735">
        <v>75.160050392375723</v>
      </c>
      <c r="H550" s="741">
        <v>548</v>
      </c>
      <c r="I550" s="735">
        <v>41.038449478370701</v>
      </c>
      <c r="J550">
        <f t="shared" si="16"/>
        <v>75.160050392375723</v>
      </c>
      <c r="K550" s="735">
        <v>3905.4206399999998</v>
      </c>
      <c r="L550">
        <f t="shared" si="16"/>
        <v>50394.436798126379</v>
      </c>
      <c r="M550" s="742">
        <v>7594.8970849999996</v>
      </c>
      <c r="N550">
        <f t="shared" si="17"/>
        <v>130326.06307138516</v>
      </c>
    </row>
    <row r="551" spans="1:14" ht="15.5" x14ac:dyDescent="0.35">
      <c r="A551">
        <v>3205.97504849797</v>
      </c>
      <c r="B551">
        <v>7.4507862500728201</v>
      </c>
      <c r="C551">
        <v>35035.754909450698</v>
      </c>
      <c r="D551" s="735">
        <v>1513.6923402760358</v>
      </c>
      <c r="E551" s="735">
        <v>3906.9882967510921</v>
      </c>
      <c r="F551" s="735">
        <v>293.72176424975578</v>
      </c>
      <c r="H551" s="741">
        <v>549</v>
      </c>
      <c r="I551" s="735">
        <v>106.550450360992</v>
      </c>
      <c r="J551">
        <f t="shared" si="16"/>
        <v>293.72176424975578</v>
      </c>
      <c r="K551" s="735">
        <v>652.06287910000003</v>
      </c>
      <c r="L551">
        <f t="shared" si="16"/>
        <v>3906.9882967510921</v>
      </c>
      <c r="M551" s="742">
        <v>335.75796910000003</v>
      </c>
      <c r="N551">
        <f t="shared" si="17"/>
        <v>1513.6923402760358</v>
      </c>
    </row>
    <row r="552" spans="1:14" ht="15.5" x14ac:dyDescent="0.35">
      <c r="A552">
        <v>21765.432072458301</v>
      </c>
      <c r="B552">
        <v>543.18944607782203</v>
      </c>
      <c r="C552">
        <v>5419.0963227636203</v>
      </c>
      <c r="D552" s="735">
        <v>133551.80166852748</v>
      </c>
      <c r="E552" s="735">
        <v>457593.92151374661</v>
      </c>
      <c r="F552" s="735">
        <v>34.45059473784498</v>
      </c>
      <c r="H552" s="741">
        <v>550</v>
      </c>
      <c r="I552" s="735">
        <v>23.770466593093801</v>
      </c>
      <c r="J552">
        <f t="shared" si="16"/>
        <v>34.45059473784498</v>
      </c>
      <c r="K552" s="735">
        <v>18295.158350000002</v>
      </c>
      <c r="L552">
        <f t="shared" si="16"/>
        <v>457593.92151374661</v>
      </c>
      <c r="M552" s="742">
        <v>7726.0021710000001</v>
      </c>
      <c r="N552">
        <f t="shared" si="17"/>
        <v>133551.80166852748</v>
      </c>
    </row>
    <row r="553" spans="1:14" ht="15.5" x14ac:dyDescent="0.35">
      <c r="A553">
        <v>735.69310693430702</v>
      </c>
      <c r="B553">
        <v>3242.52042038132</v>
      </c>
      <c r="C553">
        <v>660.920762572797</v>
      </c>
      <c r="D553" s="735">
        <v>46851.900432557297</v>
      </c>
      <c r="E553" s="735">
        <v>3901.7041211520982</v>
      </c>
      <c r="F553" s="735">
        <v>2.4236895590152652</v>
      </c>
      <c r="H553" s="741">
        <v>551</v>
      </c>
      <c r="I553" s="735">
        <v>3.70795021449843</v>
      </c>
      <c r="J553">
        <f t="shared" si="16"/>
        <v>2.4236895590152652</v>
      </c>
      <c r="K553" s="735">
        <v>651.44541630000003</v>
      </c>
      <c r="L553">
        <f t="shared" si="16"/>
        <v>3901.7041211520982</v>
      </c>
      <c r="M553" s="742">
        <v>3711.1546130000002</v>
      </c>
      <c r="N553">
        <f t="shared" si="17"/>
        <v>46851.900432557297</v>
      </c>
    </row>
    <row r="554" spans="1:14" ht="15.5" x14ac:dyDescent="0.35">
      <c r="A554">
        <v>3764.7747348800499</v>
      </c>
      <c r="B554">
        <v>1570.5578932902899</v>
      </c>
      <c r="C554">
        <v>113.32662087812599</v>
      </c>
      <c r="D554" s="735">
        <v>50708.857116101884</v>
      </c>
      <c r="E554" s="735">
        <v>15095.482265714607</v>
      </c>
      <c r="F554" s="735">
        <v>12.154372970211659</v>
      </c>
      <c r="H554" s="741">
        <v>552</v>
      </c>
      <c r="I554" s="735">
        <v>11.4633826981708</v>
      </c>
      <c r="J554">
        <f t="shared" si="16"/>
        <v>12.154372970211659</v>
      </c>
      <c r="K554" s="735">
        <v>1679.549835</v>
      </c>
      <c r="L554">
        <f t="shared" si="16"/>
        <v>15095.482265714607</v>
      </c>
      <c r="M554" s="742">
        <v>3922.4613749999999</v>
      </c>
      <c r="N554">
        <f t="shared" si="17"/>
        <v>50708.857116101884</v>
      </c>
    </row>
    <row r="555" spans="1:14" ht="15.5" x14ac:dyDescent="0.35">
      <c r="A555">
        <v>189.79887734266299</v>
      </c>
      <c r="B555">
        <v>1578.1380033028399</v>
      </c>
      <c r="C555">
        <v>181.227078624824</v>
      </c>
      <c r="D555" s="735">
        <v>16252.000444072117</v>
      </c>
      <c r="E555" s="735">
        <v>1021425.2313628425</v>
      </c>
      <c r="F555" s="735">
        <v>13564.187841945241</v>
      </c>
      <c r="H555" s="741">
        <v>553</v>
      </c>
      <c r="I555" s="735">
        <v>1558.38822042725</v>
      </c>
      <c r="J555">
        <f t="shared" si="16"/>
        <v>13564.187841945241</v>
      </c>
      <c r="K555" s="735">
        <v>32095.534100000001</v>
      </c>
      <c r="L555">
        <f t="shared" si="16"/>
        <v>1021425.2313628425</v>
      </c>
      <c r="M555" s="742">
        <v>1768.6210020000001</v>
      </c>
      <c r="N555">
        <f t="shared" si="17"/>
        <v>16252.000444072117</v>
      </c>
    </row>
    <row r="556" spans="1:14" ht="15.5" x14ac:dyDescent="0.35">
      <c r="A556">
        <v>129.44438295272101</v>
      </c>
      <c r="B556">
        <v>16.7421709151917</v>
      </c>
      <c r="C556">
        <v>664.21042775005196</v>
      </c>
      <c r="D556" s="735">
        <v>53488.885492981775</v>
      </c>
      <c r="E556" s="735">
        <v>286468.39553295838</v>
      </c>
      <c r="F556" s="735">
        <v>79.226863394286895</v>
      </c>
      <c r="H556" s="741">
        <v>554</v>
      </c>
      <c r="I556" s="735">
        <v>42.580496755657798</v>
      </c>
      <c r="J556">
        <f t="shared" si="16"/>
        <v>79.226863394286895</v>
      </c>
      <c r="K556" s="735">
        <v>13181.1621</v>
      </c>
      <c r="L556">
        <f t="shared" si="16"/>
        <v>286468.39553295838</v>
      </c>
      <c r="M556" s="742">
        <v>4071.7816819999998</v>
      </c>
      <c r="N556">
        <f t="shared" si="17"/>
        <v>53488.885492981775</v>
      </c>
    </row>
    <row r="557" spans="1:14" ht="15.5" x14ac:dyDescent="0.35">
      <c r="A557">
        <v>1075.6082105001101</v>
      </c>
      <c r="B557">
        <v>1299.0988728125801</v>
      </c>
      <c r="C557">
        <v>113.562059516598</v>
      </c>
      <c r="D557" s="735">
        <v>4273.1758980826426</v>
      </c>
      <c r="E557" s="735">
        <v>5362.6281228330681</v>
      </c>
      <c r="F557" s="735">
        <v>3620.8085043244241</v>
      </c>
      <c r="H557" s="741">
        <v>555</v>
      </c>
      <c r="I557" s="735">
        <v>618.249664926847</v>
      </c>
      <c r="J557">
        <f t="shared" si="16"/>
        <v>3620.8085043244241</v>
      </c>
      <c r="K557" s="735">
        <v>813.88749719999998</v>
      </c>
      <c r="L557">
        <f t="shared" si="16"/>
        <v>5362.6281228330681</v>
      </c>
      <c r="M557" s="742">
        <v>694.26542749999999</v>
      </c>
      <c r="N557">
        <f t="shared" si="17"/>
        <v>4273.1758980826426</v>
      </c>
    </row>
    <row r="558" spans="1:14" ht="15.5" x14ac:dyDescent="0.35">
      <c r="A558">
        <v>397.49521730267702</v>
      </c>
      <c r="B558">
        <v>326.23389145372499</v>
      </c>
      <c r="C558">
        <v>1484.2316600806701</v>
      </c>
      <c r="D558" s="735">
        <v>6592.9522946354145</v>
      </c>
      <c r="E558" s="735">
        <v>2155.1344415802573</v>
      </c>
      <c r="F558" s="735">
        <v>139.17440670476429</v>
      </c>
      <c r="H558" s="741">
        <v>556</v>
      </c>
      <c r="I558" s="735">
        <v>63.167191067478598</v>
      </c>
      <c r="J558">
        <f t="shared" si="16"/>
        <v>139.17440670476429</v>
      </c>
      <c r="K558" s="735">
        <v>429.9639631</v>
      </c>
      <c r="L558">
        <f t="shared" si="16"/>
        <v>2155.1344415802573</v>
      </c>
      <c r="M558" s="742">
        <v>940.49383550000005</v>
      </c>
      <c r="N558">
        <f t="shared" si="17"/>
        <v>6592.9522946354145</v>
      </c>
    </row>
    <row r="559" spans="1:14" ht="15.5" x14ac:dyDescent="0.35">
      <c r="A559">
        <v>3378.0277772650702</v>
      </c>
      <c r="B559">
        <v>167.44314627096401</v>
      </c>
      <c r="C559">
        <v>3115.2943832175001</v>
      </c>
      <c r="D559" s="735">
        <v>10045.997930759462</v>
      </c>
      <c r="E559" s="735">
        <v>772.60520995368063</v>
      </c>
      <c r="F559" s="735">
        <v>43.918036821050151</v>
      </c>
      <c r="H559" s="741">
        <v>557</v>
      </c>
      <c r="I559" s="735">
        <v>28.174099429593401</v>
      </c>
      <c r="J559">
        <f t="shared" si="16"/>
        <v>43.918036821050151</v>
      </c>
      <c r="K559" s="735">
        <v>209.6864382</v>
      </c>
      <c r="L559">
        <f t="shared" si="16"/>
        <v>772.60520995368063</v>
      </c>
      <c r="M559" s="742">
        <v>1262.9761779999999</v>
      </c>
      <c r="N559">
        <f t="shared" si="17"/>
        <v>10045.997930759462</v>
      </c>
    </row>
    <row r="560" spans="1:14" ht="15.5" x14ac:dyDescent="0.35">
      <c r="A560">
        <v>174.474152927283</v>
      </c>
      <c r="B560">
        <v>34.017437323686401</v>
      </c>
      <c r="C560">
        <v>1656.3572748946401</v>
      </c>
      <c r="D560" s="735">
        <v>6888.2602054833951</v>
      </c>
      <c r="E560" s="735">
        <v>3.0803427561978736</v>
      </c>
      <c r="F560" s="735">
        <v>48.40807893197578</v>
      </c>
      <c r="H560" s="741">
        <v>558</v>
      </c>
      <c r="I560" s="735">
        <v>30.160774780270199</v>
      </c>
      <c r="J560">
        <f t="shared" si="16"/>
        <v>48.40807893197578</v>
      </c>
      <c r="K560" s="735">
        <v>4.3855021760000001</v>
      </c>
      <c r="L560">
        <f t="shared" si="16"/>
        <v>3.0803427561978736</v>
      </c>
      <c r="M560" s="742">
        <v>969.7877211</v>
      </c>
      <c r="N560">
        <f t="shared" si="17"/>
        <v>6888.2602054833951</v>
      </c>
    </row>
    <row r="561" spans="1:14" ht="15.5" x14ac:dyDescent="0.35">
      <c r="A561">
        <v>1511.46978778772</v>
      </c>
      <c r="B561">
        <v>98.949022602263696</v>
      </c>
      <c r="C561">
        <v>117.553602511587</v>
      </c>
      <c r="D561" s="735">
        <v>14357.387852975007</v>
      </c>
      <c r="E561" s="735">
        <v>1228.4777972631359</v>
      </c>
      <c r="F561" s="735">
        <v>8352.528095525684</v>
      </c>
      <c r="H561" s="741">
        <v>559</v>
      </c>
      <c r="I561" s="735">
        <v>1109.87114775482</v>
      </c>
      <c r="J561">
        <f t="shared" si="16"/>
        <v>8352.528095525684</v>
      </c>
      <c r="K561" s="735">
        <v>290.10627199999999</v>
      </c>
      <c r="L561">
        <f t="shared" si="16"/>
        <v>1228.4777972631359</v>
      </c>
      <c r="M561" s="742">
        <v>1621.6338559999999</v>
      </c>
      <c r="N561">
        <f t="shared" si="17"/>
        <v>14357.387852975007</v>
      </c>
    </row>
    <row r="562" spans="1:14" ht="15.5" x14ac:dyDescent="0.35">
      <c r="A562">
        <v>158.16531154044699</v>
      </c>
      <c r="B562">
        <v>372.65748864870301</v>
      </c>
      <c r="C562">
        <v>34475.483004055</v>
      </c>
      <c r="D562" s="735">
        <v>33590.682045302492</v>
      </c>
      <c r="E562" s="735">
        <v>88527.598466735188</v>
      </c>
      <c r="F562" s="735">
        <v>3094.593322467028</v>
      </c>
      <c r="H562" s="741">
        <v>560</v>
      </c>
      <c r="I562" s="735">
        <v>553.88870478434706</v>
      </c>
      <c r="J562">
        <f t="shared" si="16"/>
        <v>3094.593322467028</v>
      </c>
      <c r="K562" s="735">
        <v>5793.6876549999997</v>
      </c>
      <c r="L562">
        <f t="shared" si="16"/>
        <v>88527.598466735188</v>
      </c>
      <c r="M562" s="742">
        <v>2940.039569</v>
      </c>
      <c r="N562">
        <f t="shared" si="17"/>
        <v>33590.682045302492</v>
      </c>
    </row>
    <row r="563" spans="1:14" ht="15.5" x14ac:dyDescent="0.35">
      <c r="A563">
        <v>848.87164647677196</v>
      </c>
      <c r="B563">
        <v>156.220776258359</v>
      </c>
      <c r="C563">
        <v>17393.8418211676</v>
      </c>
      <c r="D563" s="735">
        <v>17583.255127662829</v>
      </c>
      <c r="E563" s="735">
        <v>12532.76423162458</v>
      </c>
      <c r="F563" s="735">
        <v>5807.1090312513852</v>
      </c>
      <c r="H563" s="741">
        <v>561</v>
      </c>
      <c r="I563" s="735">
        <v>860.54183075248795</v>
      </c>
      <c r="J563">
        <f t="shared" si="16"/>
        <v>5807.1090312513852</v>
      </c>
      <c r="K563" s="735">
        <v>1474.4593669999999</v>
      </c>
      <c r="L563">
        <f t="shared" si="16"/>
        <v>12532.76423162458</v>
      </c>
      <c r="M563" s="742">
        <v>1868.8286969999999</v>
      </c>
      <c r="N563">
        <f t="shared" si="17"/>
        <v>17583.255127662829</v>
      </c>
    </row>
    <row r="564" spans="1:14" ht="15.5" x14ac:dyDescent="0.35">
      <c r="A564">
        <v>719.00769121018902</v>
      </c>
      <c r="B564">
        <v>1205.5584791968899</v>
      </c>
      <c r="C564">
        <v>120.41193832856401</v>
      </c>
      <c r="D564" s="735">
        <v>5872.0464960602276</v>
      </c>
      <c r="E564" s="735">
        <v>2330.8724712974249</v>
      </c>
      <c r="F564" s="735">
        <v>91.167866844822726</v>
      </c>
      <c r="H564" s="741">
        <v>562</v>
      </c>
      <c r="I564" s="735">
        <v>46.977430128256501</v>
      </c>
      <c r="J564">
        <f t="shared" si="16"/>
        <v>91.167866844822726</v>
      </c>
      <c r="K564" s="735">
        <v>454.21655479999998</v>
      </c>
      <c r="L564">
        <f t="shared" si="16"/>
        <v>2330.8724712974249</v>
      </c>
      <c r="M564" s="742">
        <v>867.2666375</v>
      </c>
      <c r="N564">
        <f t="shared" si="17"/>
        <v>5872.0464960602276</v>
      </c>
    </row>
    <row r="565" spans="1:14" ht="15.5" x14ac:dyDescent="0.35">
      <c r="A565">
        <v>737.19814552995399</v>
      </c>
      <c r="B565">
        <v>250.03050643628899</v>
      </c>
      <c r="C565">
        <v>21175.259840099701</v>
      </c>
      <c r="D565" s="735">
        <v>179533.33552659591</v>
      </c>
      <c r="E565" s="735">
        <v>8073.1872213893621</v>
      </c>
      <c r="F565" s="735">
        <v>11379.179304282168</v>
      </c>
      <c r="H565" s="741">
        <v>563</v>
      </c>
      <c r="I565" s="735">
        <v>1378.09024503106</v>
      </c>
      <c r="J565">
        <f t="shared" si="16"/>
        <v>11379.179304282168</v>
      </c>
      <c r="K565" s="735">
        <v>1083.756005</v>
      </c>
      <c r="L565">
        <f t="shared" si="16"/>
        <v>8073.1872213893621</v>
      </c>
      <c r="M565" s="742">
        <v>9503.8936919999996</v>
      </c>
      <c r="N565">
        <f t="shared" si="17"/>
        <v>179533.33552659591</v>
      </c>
    </row>
    <row r="566" spans="1:14" ht="15.5" x14ac:dyDescent="0.35">
      <c r="A566">
        <v>4318.0428407667596</v>
      </c>
      <c r="B566">
        <v>2370.8514882726699</v>
      </c>
      <c r="C566">
        <v>329.32087218644398</v>
      </c>
      <c r="D566" s="735">
        <v>49287.730989402706</v>
      </c>
      <c r="E566" s="735">
        <v>58486.544559217291</v>
      </c>
      <c r="F566" s="735">
        <v>513.52819582035545</v>
      </c>
      <c r="H566" s="741">
        <v>564</v>
      </c>
      <c r="I566" s="735">
        <v>157.541510735884</v>
      </c>
      <c r="J566">
        <f t="shared" si="16"/>
        <v>513.52819582035545</v>
      </c>
      <c r="K566" s="735">
        <v>4334.5016690000002</v>
      </c>
      <c r="L566">
        <f t="shared" si="16"/>
        <v>58486.544559217291</v>
      </c>
      <c r="M566" s="742">
        <v>3845.1844540000002</v>
      </c>
      <c r="N566">
        <f t="shared" si="17"/>
        <v>49287.730989402706</v>
      </c>
    </row>
    <row r="567" spans="1:14" ht="15.5" x14ac:dyDescent="0.35">
      <c r="A567">
        <v>46.1398547568485</v>
      </c>
      <c r="B567">
        <v>79.044502329885105</v>
      </c>
      <c r="C567">
        <v>4904.7870831446799</v>
      </c>
      <c r="D567" s="735">
        <v>36941.135044969487</v>
      </c>
      <c r="E567" s="735">
        <v>4548.3618638582775</v>
      </c>
      <c r="F567" s="735">
        <v>989.45935022568631</v>
      </c>
      <c r="H567" s="741">
        <v>565</v>
      </c>
      <c r="I567" s="735">
        <v>249.33231524325501</v>
      </c>
      <c r="J567">
        <f t="shared" si="16"/>
        <v>989.45935022568631</v>
      </c>
      <c r="K567" s="735">
        <v>725.2679842</v>
      </c>
      <c r="L567">
        <f t="shared" si="16"/>
        <v>4548.3618638582775</v>
      </c>
      <c r="M567" s="742">
        <v>3142.3688769999999</v>
      </c>
      <c r="N567">
        <f t="shared" si="17"/>
        <v>36941.135044969487</v>
      </c>
    </row>
    <row r="568" spans="1:14" ht="15.5" x14ac:dyDescent="0.35">
      <c r="A568">
        <v>2754.7369928407202</v>
      </c>
      <c r="B568">
        <v>231.34954114352499</v>
      </c>
      <c r="C568">
        <v>228.386907232114</v>
      </c>
      <c r="D568" s="735">
        <v>148410.79052037932</v>
      </c>
      <c r="E568" s="735">
        <v>44.80977277303402</v>
      </c>
      <c r="F568" s="735">
        <v>253.28979876269361</v>
      </c>
      <c r="H568" s="741">
        <v>566</v>
      </c>
      <c r="I568" s="735">
        <v>96.057745465634994</v>
      </c>
      <c r="J568">
        <f t="shared" si="16"/>
        <v>253.28979876269361</v>
      </c>
      <c r="K568" s="735">
        <v>28.573334089999999</v>
      </c>
      <c r="L568">
        <f t="shared" si="16"/>
        <v>44.80977277303402</v>
      </c>
      <c r="M568" s="742">
        <v>8318.132517</v>
      </c>
      <c r="N568">
        <f t="shared" si="17"/>
        <v>148410.79052037932</v>
      </c>
    </row>
    <row r="569" spans="1:14" ht="15.5" x14ac:dyDescent="0.35">
      <c r="A569">
        <v>231.09046816749699</v>
      </c>
      <c r="B569">
        <v>244.63001078523101</v>
      </c>
      <c r="C569">
        <v>34815.353947732998</v>
      </c>
      <c r="D569" s="735">
        <v>67874.961669856377</v>
      </c>
      <c r="E569" s="735">
        <v>8539.0375438570172</v>
      </c>
      <c r="F569" s="735">
        <v>337.03284642328128</v>
      </c>
      <c r="H569" s="741">
        <v>567</v>
      </c>
      <c r="I569" s="735">
        <v>117.319596267715</v>
      </c>
      <c r="J569">
        <f t="shared" si="16"/>
        <v>337.03284642328128</v>
      </c>
      <c r="K569" s="735">
        <v>1127.1617590000001</v>
      </c>
      <c r="L569">
        <f t="shared" si="16"/>
        <v>8539.0375438570172</v>
      </c>
      <c r="M569" s="742">
        <v>4810.571989</v>
      </c>
      <c r="N569">
        <f t="shared" si="17"/>
        <v>67874.961669856377</v>
      </c>
    </row>
    <row r="570" spans="1:14" ht="15.5" x14ac:dyDescent="0.35">
      <c r="A570">
        <v>330.57379745711199</v>
      </c>
      <c r="B570">
        <v>326.93943024685302</v>
      </c>
      <c r="C570">
        <v>7891.4838829534901</v>
      </c>
      <c r="D570" s="735">
        <v>658614.4703726545</v>
      </c>
      <c r="E570" s="735">
        <v>64028.700287264219</v>
      </c>
      <c r="F570" s="735">
        <v>258.6554486326342</v>
      </c>
      <c r="H570" s="741">
        <v>568</v>
      </c>
      <c r="I570" s="735">
        <v>97.477670495799501</v>
      </c>
      <c r="J570">
        <f t="shared" si="16"/>
        <v>258.6554486326342</v>
      </c>
      <c r="K570" s="735">
        <v>4618.0888080000004</v>
      </c>
      <c r="L570">
        <f t="shared" si="16"/>
        <v>64028.700287264219</v>
      </c>
      <c r="M570" s="742">
        <v>23607.059130000001</v>
      </c>
      <c r="N570">
        <f t="shared" si="17"/>
        <v>658614.4703726545</v>
      </c>
    </row>
    <row r="571" spans="1:14" ht="15.5" x14ac:dyDescent="0.35">
      <c r="A571">
        <v>146.043846511966</v>
      </c>
      <c r="B571">
        <v>24.2136537317582</v>
      </c>
      <c r="C571">
        <v>2500.2693753660401</v>
      </c>
      <c r="D571" s="735">
        <v>418314.73830312426</v>
      </c>
      <c r="E571" s="735">
        <v>695.55952765006373</v>
      </c>
      <c r="F571" s="735">
        <v>1504.7815034462328</v>
      </c>
      <c r="H571" s="741">
        <v>569</v>
      </c>
      <c r="I571" s="735">
        <v>334.37316114122802</v>
      </c>
      <c r="J571">
        <f t="shared" si="16"/>
        <v>1504.7815034462328</v>
      </c>
      <c r="K571" s="735">
        <v>194.8202125</v>
      </c>
      <c r="L571">
        <f t="shared" si="16"/>
        <v>695.55952765006373</v>
      </c>
      <c r="M571" s="742">
        <v>17181.14948</v>
      </c>
      <c r="N571">
        <f t="shared" si="17"/>
        <v>418314.73830312426</v>
      </c>
    </row>
    <row r="572" spans="1:14" ht="15.5" x14ac:dyDescent="0.35">
      <c r="A572">
        <v>34.196859228582198</v>
      </c>
      <c r="B572">
        <v>261.44604099396003</v>
      </c>
      <c r="C572">
        <v>25.192655116428998</v>
      </c>
      <c r="D572" s="735">
        <v>155924.63436112195</v>
      </c>
      <c r="E572" s="735">
        <v>2795074.00852687</v>
      </c>
      <c r="F572" s="735">
        <v>67576.645591182343</v>
      </c>
      <c r="H572" s="741">
        <v>570</v>
      </c>
      <c r="I572" s="735">
        <v>4795.7622096353798</v>
      </c>
      <c r="J572">
        <f t="shared" si="16"/>
        <v>67576.645591182343</v>
      </c>
      <c r="K572" s="735">
        <v>64934.472699999998</v>
      </c>
      <c r="L572">
        <f t="shared" si="16"/>
        <v>2795074.00852687</v>
      </c>
      <c r="M572" s="742">
        <v>8610.7367890000005</v>
      </c>
      <c r="N572">
        <f t="shared" si="17"/>
        <v>155924.63436112195</v>
      </c>
    </row>
    <row r="573" spans="1:14" ht="15.5" x14ac:dyDescent="0.35">
      <c r="A573">
        <v>322.978785119024</v>
      </c>
      <c r="B573">
        <v>64.819512142636498</v>
      </c>
      <c r="C573">
        <v>45820.721298997501</v>
      </c>
      <c r="D573" s="735">
        <v>34734.444560746997</v>
      </c>
      <c r="E573" s="735">
        <v>11585.484336493641</v>
      </c>
      <c r="F573" s="735">
        <v>952.36421538028844</v>
      </c>
      <c r="H573" s="741">
        <v>571</v>
      </c>
      <c r="I573" s="735">
        <v>242.75162625860199</v>
      </c>
      <c r="J573">
        <f t="shared" si="16"/>
        <v>952.36421538028844</v>
      </c>
      <c r="K573" s="735">
        <v>1395.5324390000001</v>
      </c>
      <c r="L573">
        <f t="shared" si="16"/>
        <v>11585.484336493641</v>
      </c>
      <c r="M573" s="742">
        <v>3009.762667</v>
      </c>
      <c r="N573">
        <f t="shared" si="17"/>
        <v>34734.444560746997</v>
      </c>
    </row>
    <row r="574" spans="1:14" ht="15.5" x14ac:dyDescent="0.35">
      <c r="A574">
        <v>911.15439849092797</v>
      </c>
      <c r="B574">
        <v>50.969414702912502</v>
      </c>
      <c r="C574">
        <v>734.36928941930398</v>
      </c>
      <c r="D574" s="735">
        <v>41186.314143496027</v>
      </c>
      <c r="E574" s="735">
        <v>16001.853276479271</v>
      </c>
      <c r="F574" s="735">
        <v>4184.7447931569359</v>
      </c>
      <c r="H574" s="741">
        <v>572</v>
      </c>
      <c r="I574" s="735">
        <v>684.176706925497</v>
      </c>
      <c r="J574">
        <f t="shared" si="16"/>
        <v>4184.7447931569359</v>
      </c>
      <c r="K574" s="735">
        <v>1749.5211569999999</v>
      </c>
      <c r="L574">
        <f t="shared" si="16"/>
        <v>16001.853276479271</v>
      </c>
      <c r="M574" s="742">
        <v>3390.9942190000002</v>
      </c>
      <c r="N574">
        <f t="shared" si="17"/>
        <v>41186.314143496027</v>
      </c>
    </row>
    <row r="575" spans="1:14" ht="15.5" x14ac:dyDescent="0.35">
      <c r="A575">
        <v>5240.7473080932996</v>
      </c>
      <c r="B575">
        <v>2059.3744007380901</v>
      </c>
      <c r="C575">
        <v>74691.041232722506</v>
      </c>
      <c r="D575" s="735">
        <v>9642.229601468378</v>
      </c>
      <c r="E575" s="735">
        <v>4218.6672113418072</v>
      </c>
      <c r="F575" s="735">
        <v>18638.548977418315</v>
      </c>
      <c r="H575" s="741">
        <v>573</v>
      </c>
      <c r="I575" s="735">
        <v>1946.65266862507</v>
      </c>
      <c r="J575">
        <f t="shared" si="16"/>
        <v>18638.548977418315</v>
      </c>
      <c r="K575" s="735">
        <v>688.05425869999999</v>
      </c>
      <c r="L575">
        <f t="shared" si="16"/>
        <v>4218.6672113418072</v>
      </c>
      <c r="M575" s="742">
        <v>1227.225097</v>
      </c>
      <c r="N575">
        <f t="shared" si="17"/>
        <v>9642.229601468378</v>
      </c>
    </row>
    <row r="576" spans="1:14" ht="15.5" x14ac:dyDescent="0.35">
      <c r="A576">
        <v>86.2634715636907</v>
      </c>
      <c r="B576">
        <v>316.60947246074801</v>
      </c>
      <c r="C576">
        <v>93698.3503617112</v>
      </c>
      <c r="D576" s="735">
        <v>8234.9687057288738</v>
      </c>
      <c r="E576" s="735">
        <v>2823.502953156225</v>
      </c>
      <c r="F576" s="735">
        <v>3023.6158070019483</v>
      </c>
      <c r="H576" s="741">
        <v>574</v>
      </c>
      <c r="I576" s="735">
        <v>544.96501764378695</v>
      </c>
      <c r="J576">
        <f t="shared" si="16"/>
        <v>3023.6158070019483</v>
      </c>
      <c r="K576" s="735">
        <v>519.45959479999999</v>
      </c>
      <c r="L576">
        <f t="shared" si="16"/>
        <v>2823.502953156225</v>
      </c>
      <c r="M576" s="742">
        <v>1098.9131420000001</v>
      </c>
      <c r="N576">
        <f t="shared" si="17"/>
        <v>8234.9687057288738</v>
      </c>
    </row>
    <row r="577" spans="1:14" ht="15.5" x14ac:dyDescent="0.35">
      <c r="A577">
        <v>1909.8681300375199</v>
      </c>
      <c r="B577">
        <v>209.60254258776101</v>
      </c>
      <c r="C577">
        <v>723.12812535294904</v>
      </c>
      <c r="D577" s="735">
        <v>1955.1428874757489</v>
      </c>
      <c r="E577" s="735">
        <v>2748.8406002982279</v>
      </c>
      <c r="F577" s="735">
        <v>9290.961606756222</v>
      </c>
      <c r="H577" s="741">
        <v>575</v>
      </c>
      <c r="I577" s="735">
        <v>1195.7557166162801</v>
      </c>
      <c r="J577">
        <f t="shared" si="16"/>
        <v>9290.961606756222</v>
      </c>
      <c r="K577" s="735">
        <v>509.8057033</v>
      </c>
      <c r="L577">
        <f t="shared" si="16"/>
        <v>2748.8406002982279</v>
      </c>
      <c r="M577" s="742">
        <v>401.62889619999999</v>
      </c>
      <c r="N577">
        <f t="shared" si="17"/>
        <v>1955.1428874757489</v>
      </c>
    </row>
    <row r="578" spans="1:14" ht="15.5" x14ac:dyDescent="0.35">
      <c r="A578">
        <v>65.349528520088398</v>
      </c>
      <c r="B578">
        <v>28.402987045781298</v>
      </c>
      <c r="C578">
        <v>3322.18401208449</v>
      </c>
      <c r="D578" s="735">
        <v>37383.604625257321</v>
      </c>
      <c r="E578" s="735">
        <v>6888.5377115916945</v>
      </c>
      <c r="F578" s="735">
        <v>6486.828845816246</v>
      </c>
      <c r="H578" s="741">
        <v>576</v>
      </c>
      <c r="I578" s="735">
        <v>929.87100848788498</v>
      </c>
      <c r="J578">
        <f t="shared" si="16"/>
        <v>6486.828845816246</v>
      </c>
      <c r="K578" s="735">
        <v>969.81506969999998</v>
      </c>
      <c r="L578">
        <f t="shared" si="16"/>
        <v>6888.5377115916945</v>
      </c>
      <c r="M578" s="742">
        <v>3168.6686159999999</v>
      </c>
      <c r="N578">
        <f t="shared" si="17"/>
        <v>37383.604625257321</v>
      </c>
    </row>
    <row r="579" spans="1:14" ht="15.5" x14ac:dyDescent="0.35">
      <c r="A579">
        <v>28.338521859305899</v>
      </c>
      <c r="B579">
        <v>636.51224300342199</v>
      </c>
      <c r="C579">
        <v>171.613976779578</v>
      </c>
      <c r="D579" s="735">
        <v>6855.8880450638171</v>
      </c>
      <c r="E579" s="735">
        <v>17413.086512035632</v>
      </c>
      <c r="F579" s="735">
        <v>187.12610383908716</v>
      </c>
      <c r="H579" s="741">
        <v>577</v>
      </c>
      <c r="I579" s="735">
        <v>77.713069437803895</v>
      </c>
      <c r="J579">
        <f t="shared" si="16"/>
        <v>187.12610383908716</v>
      </c>
      <c r="K579" s="735">
        <v>1856.1498320000001</v>
      </c>
      <c r="L579">
        <f t="shared" si="16"/>
        <v>17413.086512035632</v>
      </c>
      <c r="M579" s="742">
        <v>966.59512830000006</v>
      </c>
      <c r="N579">
        <f t="shared" si="17"/>
        <v>6855.8880450638171</v>
      </c>
    </row>
    <row r="580" spans="1:14" ht="15.5" x14ac:dyDescent="0.35">
      <c r="A580">
        <v>287.80251374075601</v>
      </c>
      <c r="B580">
        <v>109.535116545794</v>
      </c>
      <c r="C580">
        <v>12087.251942021399</v>
      </c>
      <c r="D580" s="735">
        <v>35871.709962187968</v>
      </c>
      <c r="E580" s="735">
        <v>42443.935727720273</v>
      </c>
      <c r="F580" s="735">
        <v>14762.716455420781</v>
      </c>
      <c r="H580" s="741">
        <v>578</v>
      </c>
      <c r="I580" s="735">
        <v>1653.5464334413</v>
      </c>
      <c r="J580">
        <f t="shared" ref="J580:L643" si="18">(10^(LOG(I580)-0.3))^(1/0.7)</f>
        <v>14762.716455420781</v>
      </c>
      <c r="K580" s="735">
        <v>3463.1472180000001</v>
      </c>
      <c r="L580">
        <f t="shared" si="18"/>
        <v>42443.935727720273</v>
      </c>
      <c r="M580" s="742">
        <v>3078.4099609999998</v>
      </c>
      <c r="N580">
        <f t="shared" ref="N580:N643" si="19">(10^(LOG(M580)-0.3))^(1/0.7)</f>
        <v>35871.709962187968</v>
      </c>
    </row>
    <row r="581" spans="1:14" ht="15.5" x14ac:dyDescent="0.35">
      <c r="A581">
        <v>950.15857984517004</v>
      </c>
      <c r="B581">
        <v>3425.6149590025998</v>
      </c>
      <c r="C581">
        <v>10594.736866728899</v>
      </c>
      <c r="D581" s="735">
        <v>163369.42869125278</v>
      </c>
      <c r="E581" s="735">
        <v>492.26295361752318</v>
      </c>
      <c r="F581" s="735">
        <v>5.4058161102081899</v>
      </c>
      <c r="H581" s="741">
        <v>579</v>
      </c>
      <c r="I581" s="735">
        <v>6.5013401325065896</v>
      </c>
      <c r="J581">
        <f t="shared" si="18"/>
        <v>5.4058161102081899</v>
      </c>
      <c r="K581" s="735">
        <v>152.94595910000001</v>
      </c>
      <c r="L581">
        <f t="shared" si="18"/>
        <v>492.26295361752318</v>
      </c>
      <c r="M581" s="742">
        <v>8896.5075820000002</v>
      </c>
      <c r="N581">
        <f t="shared" si="19"/>
        <v>163369.42869125278</v>
      </c>
    </row>
    <row r="582" spans="1:14" ht="15.5" x14ac:dyDescent="0.35">
      <c r="A582">
        <v>14662.9696328178</v>
      </c>
      <c r="B582">
        <v>780.370276683621</v>
      </c>
      <c r="C582">
        <v>201.75580411678399</v>
      </c>
      <c r="D582" s="735">
        <v>7118.7831105852956</v>
      </c>
      <c r="E582" s="735">
        <v>253.92751813142618</v>
      </c>
      <c r="F582" s="735">
        <v>2238.8793038286399</v>
      </c>
      <c r="H582" s="741">
        <v>580</v>
      </c>
      <c r="I582" s="735">
        <v>441.59228493477701</v>
      </c>
      <c r="J582">
        <f t="shared" si="18"/>
        <v>2238.8793038286399</v>
      </c>
      <c r="K582" s="735">
        <v>96.226975899999999</v>
      </c>
      <c r="L582">
        <f t="shared" si="18"/>
        <v>253.92751813142618</v>
      </c>
      <c r="M582" s="742">
        <v>992.39377860000002</v>
      </c>
      <c r="N582">
        <f t="shared" si="19"/>
        <v>7118.7831105852956</v>
      </c>
    </row>
    <row r="583" spans="1:14" ht="15.5" x14ac:dyDescent="0.35">
      <c r="A583">
        <v>161.276777042086</v>
      </c>
      <c r="B583">
        <v>1351.93372444845</v>
      </c>
      <c r="C583">
        <v>457.503797139916</v>
      </c>
      <c r="D583" s="735">
        <v>7252.8456697220881</v>
      </c>
      <c r="E583" s="735">
        <v>378375.80948880891</v>
      </c>
      <c r="F583" s="735">
        <v>1623.5967552656746</v>
      </c>
      <c r="H583" s="741">
        <v>581</v>
      </c>
      <c r="I583" s="735">
        <v>352.64255732305901</v>
      </c>
      <c r="J583">
        <f t="shared" si="18"/>
        <v>1623.5967552656746</v>
      </c>
      <c r="K583" s="735">
        <v>16015.715819999999</v>
      </c>
      <c r="L583">
        <f t="shared" si="18"/>
        <v>378375.80948880891</v>
      </c>
      <c r="M583" s="742">
        <v>1005.4394129999999</v>
      </c>
      <c r="N583">
        <f t="shared" si="19"/>
        <v>7252.8456697220881</v>
      </c>
    </row>
    <row r="584" spans="1:14" ht="15.5" x14ac:dyDescent="0.35">
      <c r="A584">
        <v>22.0147977031564</v>
      </c>
      <c r="B584">
        <v>251.40968828884101</v>
      </c>
      <c r="C584">
        <v>209.03278014953901</v>
      </c>
      <c r="D584" s="735">
        <v>78231.176383831771</v>
      </c>
      <c r="E584" s="735">
        <v>34352.082302125455</v>
      </c>
      <c r="F584" s="735">
        <v>2501.7916709867527</v>
      </c>
      <c r="H584" s="741">
        <v>582</v>
      </c>
      <c r="I584" s="735">
        <v>477.28281735805598</v>
      </c>
      <c r="J584">
        <f t="shared" si="18"/>
        <v>2501.7916709867527</v>
      </c>
      <c r="K584" s="735">
        <v>2986.5318269999998</v>
      </c>
      <c r="L584">
        <f t="shared" si="18"/>
        <v>34352.082302125455</v>
      </c>
      <c r="M584" s="742">
        <v>5313.3191450000004</v>
      </c>
      <c r="N584">
        <f t="shared" si="19"/>
        <v>78231.176383831771</v>
      </c>
    </row>
    <row r="585" spans="1:14" ht="15.5" x14ac:dyDescent="0.35">
      <c r="A585">
        <v>1204.5791508412501</v>
      </c>
      <c r="B585">
        <v>118.605054712658</v>
      </c>
      <c r="C585">
        <v>1287.45717424699</v>
      </c>
      <c r="D585" s="735">
        <v>3896.4997637968886</v>
      </c>
      <c r="E585" s="735">
        <v>125282.03819466596</v>
      </c>
      <c r="F585" s="735">
        <v>114.1933375845753</v>
      </c>
      <c r="H585" s="741">
        <v>583</v>
      </c>
      <c r="I585" s="735">
        <v>54.998207667582903</v>
      </c>
      <c r="J585">
        <f t="shared" si="18"/>
        <v>114.1933375845753</v>
      </c>
      <c r="K585" s="735">
        <v>7387.9197130000002</v>
      </c>
      <c r="L585">
        <f t="shared" si="18"/>
        <v>125282.03819466596</v>
      </c>
      <c r="M585" s="742">
        <v>650.83703509999998</v>
      </c>
      <c r="N585">
        <f t="shared" si="19"/>
        <v>3896.4997637968886</v>
      </c>
    </row>
    <row r="586" spans="1:14" ht="15.5" x14ac:dyDescent="0.35">
      <c r="A586">
        <v>104.19449247439699</v>
      </c>
      <c r="B586">
        <v>1161.64129526649</v>
      </c>
      <c r="C586">
        <v>17275.6409427037</v>
      </c>
      <c r="D586" s="735">
        <v>59952.022383916788</v>
      </c>
      <c r="E586" s="735">
        <v>41075.613936174159</v>
      </c>
      <c r="F586" s="735">
        <v>59990.923961685628</v>
      </c>
      <c r="H586" s="741">
        <v>584</v>
      </c>
      <c r="I586" s="735">
        <v>4412.2477021246204</v>
      </c>
      <c r="J586">
        <f t="shared" si="18"/>
        <v>59990.923961685628</v>
      </c>
      <c r="K586" s="735">
        <v>3384.611645</v>
      </c>
      <c r="L586">
        <f t="shared" si="18"/>
        <v>41075.613936174159</v>
      </c>
      <c r="M586" s="742">
        <v>4410.2446980000004</v>
      </c>
      <c r="N586">
        <f t="shared" si="19"/>
        <v>59952.022383916788</v>
      </c>
    </row>
    <row r="587" spans="1:14" ht="15.5" x14ac:dyDescent="0.35">
      <c r="A587">
        <v>106.455998015101</v>
      </c>
      <c r="B587">
        <v>446.396683800218</v>
      </c>
      <c r="C587">
        <v>24780.045749522698</v>
      </c>
      <c r="D587" s="735">
        <v>46869.618209772365</v>
      </c>
      <c r="E587" s="735">
        <v>4357.5542180777147</v>
      </c>
      <c r="F587" s="735">
        <v>918.38547533312158</v>
      </c>
      <c r="H587" s="741">
        <v>585</v>
      </c>
      <c r="I587" s="735">
        <v>236.65599175185801</v>
      </c>
      <c r="J587">
        <f t="shared" si="18"/>
        <v>918.38547533312158</v>
      </c>
      <c r="K587" s="735">
        <v>703.83354169999996</v>
      </c>
      <c r="L587">
        <f t="shared" si="18"/>
        <v>4357.5542180777147</v>
      </c>
      <c r="M587" s="742">
        <v>3712.1369589999999</v>
      </c>
      <c r="N587">
        <f t="shared" si="19"/>
        <v>46869.618209772365</v>
      </c>
    </row>
    <row r="588" spans="1:14" ht="15.5" x14ac:dyDescent="0.35">
      <c r="A588">
        <v>170.33319599953001</v>
      </c>
      <c r="B588">
        <v>68.800388570292199</v>
      </c>
      <c r="C588">
        <v>335.99951678075598</v>
      </c>
      <c r="D588" s="735">
        <v>6807.2110076900117</v>
      </c>
      <c r="E588" s="735">
        <v>24952.782066538177</v>
      </c>
      <c r="F588" s="735">
        <v>524.17500364314662</v>
      </c>
      <c r="H588" s="741">
        <v>586</v>
      </c>
      <c r="I588" s="735">
        <v>159.820842163957</v>
      </c>
      <c r="J588">
        <f t="shared" si="18"/>
        <v>524.17500364314662</v>
      </c>
      <c r="K588" s="735">
        <v>2387.719364</v>
      </c>
      <c r="L588">
        <f t="shared" si="18"/>
        <v>24952.782066538177</v>
      </c>
      <c r="M588" s="742">
        <v>961.78599550000001</v>
      </c>
      <c r="N588">
        <f t="shared" si="19"/>
        <v>6807.2110076900117</v>
      </c>
    </row>
    <row r="589" spans="1:14" ht="15.5" x14ac:dyDescent="0.35">
      <c r="A589">
        <v>612.76831357983599</v>
      </c>
      <c r="B589">
        <v>1154.8797270940699</v>
      </c>
      <c r="C589">
        <v>45316.401124224198</v>
      </c>
      <c r="D589" s="735">
        <v>7654.4183423483855</v>
      </c>
      <c r="E589" s="735">
        <v>7369.7219446700155</v>
      </c>
      <c r="F589" s="735">
        <v>347.74284772763912</v>
      </c>
      <c r="H589" s="741">
        <v>587</v>
      </c>
      <c r="I589" s="735">
        <v>119.916997051423</v>
      </c>
      <c r="J589">
        <f t="shared" si="18"/>
        <v>347.74284772763912</v>
      </c>
      <c r="K589" s="735">
        <v>1016.753724</v>
      </c>
      <c r="L589">
        <f t="shared" si="18"/>
        <v>7369.7219446700155</v>
      </c>
      <c r="M589" s="742">
        <v>1044.0914419999999</v>
      </c>
      <c r="N589">
        <f t="shared" si="19"/>
        <v>7654.4183423483855</v>
      </c>
    </row>
    <row r="590" spans="1:14" ht="15.5" x14ac:dyDescent="0.35">
      <c r="A590">
        <v>176.58912760694599</v>
      </c>
      <c r="B590">
        <v>81.029126348490905</v>
      </c>
      <c r="C590">
        <v>14069.304110176599</v>
      </c>
      <c r="D590" s="735">
        <v>31053.775758858195</v>
      </c>
      <c r="E590" s="735">
        <v>1233.7094020035313</v>
      </c>
      <c r="F590" s="735">
        <v>29493.694432127446</v>
      </c>
      <c r="H590" s="741">
        <v>588</v>
      </c>
      <c r="I590" s="735">
        <v>2684.17250568279</v>
      </c>
      <c r="J590">
        <f t="shared" si="18"/>
        <v>29493.694432127446</v>
      </c>
      <c r="K590" s="735">
        <v>290.97053469999997</v>
      </c>
      <c r="L590">
        <f t="shared" si="18"/>
        <v>1233.7094020035313</v>
      </c>
      <c r="M590" s="742">
        <v>2782.7877880000001</v>
      </c>
      <c r="N590">
        <f t="shared" si="19"/>
        <v>31053.775758858195</v>
      </c>
    </row>
    <row r="591" spans="1:14" ht="15.5" x14ac:dyDescent="0.35">
      <c r="A591">
        <v>335.284235601977</v>
      </c>
      <c r="B591">
        <v>146.56919644304099</v>
      </c>
      <c r="C591">
        <v>2690.52923507593</v>
      </c>
      <c r="D591" s="735">
        <v>4311.2516261493502</v>
      </c>
      <c r="E591" s="735">
        <v>1259218.3741047957</v>
      </c>
      <c r="F591" s="735">
        <v>5184.3317388075147</v>
      </c>
      <c r="H591" s="741">
        <v>589</v>
      </c>
      <c r="I591" s="735">
        <v>794.84957909401703</v>
      </c>
      <c r="J591">
        <f t="shared" si="18"/>
        <v>5184.3317388075147</v>
      </c>
      <c r="K591" s="735">
        <v>37159.574849999997</v>
      </c>
      <c r="L591">
        <f t="shared" si="18"/>
        <v>1259218.3741047957</v>
      </c>
      <c r="M591" s="742">
        <v>698.58999229999995</v>
      </c>
      <c r="N591">
        <f t="shared" si="19"/>
        <v>4311.2516261493502</v>
      </c>
    </row>
    <row r="592" spans="1:14" ht="15.5" x14ac:dyDescent="0.35">
      <c r="A592">
        <v>244.86812368104799</v>
      </c>
      <c r="B592">
        <v>262.32706368059701</v>
      </c>
      <c r="C592">
        <v>94253.889968335701</v>
      </c>
      <c r="D592" s="735">
        <v>5183.8950525209802</v>
      </c>
      <c r="E592" s="735">
        <v>83080.176544847331</v>
      </c>
      <c r="F592" s="735">
        <v>769.26261776854142</v>
      </c>
      <c r="H592" s="741">
        <v>590</v>
      </c>
      <c r="I592" s="735">
        <v>209.05099546195001</v>
      </c>
      <c r="J592">
        <f t="shared" si="18"/>
        <v>769.26261776854142</v>
      </c>
      <c r="K592" s="735">
        <v>5541.7660470000001</v>
      </c>
      <c r="L592">
        <f t="shared" si="18"/>
        <v>83080.176544847331</v>
      </c>
      <c r="M592" s="742">
        <v>794.80271230000005</v>
      </c>
      <c r="N592">
        <f t="shared" si="19"/>
        <v>5183.8950525209802</v>
      </c>
    </row>
    <row r="593" spans="1:14" ht="15.5" x14ac:dyDescent="0.35">
      <c r="A593">
        <v>811.19793393483201</v>
      </c>
      <c r="B593">
        <v>117.70959086889</v>
      </c>
      <c r="C593">
        <v>2201.8014079659501</v>
      </c>
      <c r="D593" s="735">
        <v>7075.1463889004162</v>
      </c>
      <c r="E593" s="735">
        <v>451784.70485830872</v>
      </c>
      <c r="F593" s="735">
        <v>60.154721494364324</v>
      </c>
      <c r="H593" s="741">
        <v>591</v>
      </c>
      <c r="I593" s="735">
        <v>35.114687216615501</v>
      </c>
      <c r="J593">
        <f t="shared" si="18"/>
        <v>60.154721494364324</v>
      </c>
      <c r="K593" s="735">
        <v>18132.265380000001</v>
      </c>
      <c r="L593">
        <f t="shared" si="18"/>
        <v>451784.70485830872</v>
      </c>
      <c r="M593" s="742">
        <v>988.1316296</v>
      </c>
      <c r="N593">
        <f t="shared" si="19"/>
        <v>7075.1463889004162</v>
      </c>
    </row>
    <row r="594" spans="1:14" ht="15.5" x14ac:dyDescent="0.35">
      <c r="A594">
        <v>222.66364028809599</v>
      </c>
      <c r="B594">
        <v>545.85346309466297</v>
      </c>
      <c r="C594">
        <v>848.37782271216702</v>
      </c>
      <c r="D594" s="735">
        <v>12803.139736363191</v>
      </c>
      <c r="E594" s="735">
        <v>8183.3186260598632</v>
      </c>
      <c r="F594" s="735">
        <v>208.55837179658272</v>
      </c>
      <c r="H594" s="741">
        <v>592</v>
      </c>
      <c r="I594" s="735">
        <v>83.841557864298807</v>
      </c>
      <c r="J594">
        <f t="shared" si="18"/>
        <v>208.55837179658272</v>
      </c>
      <c r="K594" s="735">
        <v>1094.083889</v>
      </c>
      <c r="L594">
        <f t="shared" si="18"/>
        <v>8183.3186260598632</v>
      </c>
      <c r="M594" s="742">
        <v>1496.6544449999999</v>
      </c>
      <c r="N594">
        <f t="shared" si="19"/>
        <v>12803.139736363191</v>
      </c>
    </row>
    <row r="595" spans="1:14" ht="15.5" x14ac:dyDescent="0.35">
      <c r="A595">
        <v>109.595228167024</v>
      </c>
      <c r="B595">
        <v>630.68810154030996</v>
      </c>
      <c r="C595">
        <v>800.444355745591</v>
      </c>
      <c r="D595" s="735">
        <v>99757.46427910465</v>
      </c>
      <c r="E595" s="735">
        <v>16089.288946387318</v>
      </c>
      <c r="F595" s="735">
        <v>3653.5865203835588</v>
      </c>
      <c r="H595" s="741">
        <v>593</v>
      </c>
      <c r="I595" s="735">
        <v>622.16213664520103</v>
      </c>
      <c r="J595">
        <f t="shared" si="18"/>
        <v>3653.5865203835588</v>
      </c>
      <c r="K595" s="735">
        <v>1756.2073720000001</v>
      </c>
      <c r="L595">
        <f t="shared" si="18"/>
        <v>16089.288946387318</v>
      </c>
      <c r="M595" s="742">
        <v>6298.857465</v>
      </c>
      <c r="N595">
        <f t="shared" si="19"/>
        <v>99757.46427910465</v>
      </c>
    </row>
    <row r="596" spans="1:14" ht="15.5" x14ac:dyDescent="0.35">
      <c r="A596">
        <v>18.742308447755899</v>
      </c>
      <c r="B596">
        <v>184.95824811752499</v>
      </c>
      <c r="C596">
        <v>15614.4829902001</v>
      </c>
      <c r="D596" s="735">
        <v>10134.578625588338</v>
      </c>
      <c r="E596" s="735">
        <v>34776.273587880598</v>
      </c>
      <c r="F596" s="735">
        <v>2780.1141806145979</v>
      </c>
      <c r="H596" s="741">
        <v>594</v>
      </c>
      <c r="I596" s="735">
        <v>513.85885290525698</v>
      </c>
      <c r="J596">
        <f t="shared" si="18"/>
        <v>2780.1141806145979</v>
      </c>
      <c r="K596" s="735">
        <v>3012.299368</v>
      </c>
      <c r="L596">
        <f t="shared" si="18"/>
        <v>34776.273587880598</v>
      </c>
      <c r="M596" s="742">
        <v>1270.761321</v>
      </c>
      <c r="N596">
        <f t="shared" si="19"/>
        <v>10134.578625588338</v>
      </c>
    </row>
    <row r="597" spans="1:14" ht="15.5" x14ac:dyDescent="0.35">
      <c r="A597">
        <v>269.70302680538299</v>
      </c>
      <c r="B597">
        <v>82.591799047005594</v>
      </c>
      <c r="C597">
        <v>15386.3420660218</v>
      </c>
      <c r="D597" s="735">
        <v>57523.690994155892</v>
      </c>
      <c r="E597" s="735">
        <v>6202.8154161201182</v>
      </c>
      <c r="F597" s="735">
        <v>1985.3789573864296</v>
      </c>
      <c r="H597" s="741">
        <v>595</v>
      </c>
      <c r="I597" s="735">
        <v>405.966680172726</v>
      </c>
      <c r="J597">
        <f t="shared" si="18"/>
        <v>1985.3789573864296</v>
      </c>
      <c r="K597" s="735">
        <v>901.18136019999997</v>
      </c>
      <c r="L597">
        <f t="shared" si="18"/>
        <v>6202.8154161201182</v>
      </c>
      <c r="M597" s="742">
        <v>4284.4267410000002</v>
      </c>
      <c r="N597">
        <f t="shared" si="19"/>
        <v>57523.690994155892</v>
      </c>
    </row>
    <row r="598" spans="1:14" ht="15.5" x14ac:dyDescent="0.35">
      <c r="A598">
        <v>461.251394058144</v>
      </c>
      <c r="B598">
        <v>3021.5671756178199</v>
      </c>
      <c r="C598">
        <v>365.69337198362001</v>
      </c>
      <c r="D598" s="735">
        <v>3904.1898244836138</v>
      </c>
      <c r="E598" s="735">
        <v>49348.503728516334</v>
      </c>
      <c r="F598" s="735">
        <v>199.06279671620047</v>
      </c>
      <c r="H598" s="741">
        <v>596</v>
      </c>
      <c r="I598" s="735">
        <v>81.150849593904098</v>
      </c>
      <c r="J598">
        <f t="shared" si="18"/>
        <v>199.06279671620047</v>
      </c>
      <c r="K598" s="735">
        <v>3848.5026720000001</v>
      </c>
      <c r="L598">
        <f t="shared" si="18"/>
        <v>49348.503728516334</v>
      </c>
      <c r="M598" s="742">
        <v>651.73590520000005</v>
      </c>
      <c r="N598">
        <f t="shared" si="19"/>
        <v>3904.1898244836138</v>
      </c>
    </row>
    <row r="599" spans="1:14" ht="15.5" x14ac:dyDescent="0.35">
      <c r="A599">
        <v>367.96775077802198</v>
      </c>
      <c r="B599">
        <v>3046.5369776448401</v>
      </c>
      <c r="C599">
        <v>4325.4135543874499</v>
      </c>
      <c r="D599" s="735">
        <v>246253.16659906058</v>
      </c>
      <c r="E599" s="735">
        <v>28667.871073345577</v>
      </c>
      <c r="F599" s="735">
        <v>5668.1479570708107</v>
      </c>
      <c r="H599" s="741">
        <v>597</v>
      </c>
      <c r="I599" s="735">
        <v>846.07492623789904</v>
      </c>
      <c r="J599">
        <f t="shared" si="18"/>
        <v>5668.1479570708107</v>
      </c>
      <c r="K599" s="735">
        <v>2631.3390439999998</v>
      </c>
      <c r="L599">
        <f t="shared" si="18"/>
        <v>28667.871073345577</v>
      </c>
      <c r="M599" s="742">
        <v>11856.79406</v>
      </c>
      <c r="N599">
        <f t="shared" si="19"/>
        <v>246253.16659906058</v>
      </c>
    </row>
    <row r="600" spans="1:14" ht="15.5" x14ac:dyDescent="0.35">
      <c r="A600">
        <v>6398.1354756042201</v>
      </c>
      <c r="B600">
        <v>91.494269993269597</v>
      </c>
      <c r="C600">
        <v>56305.0376957884</v>
      </c>
      <c r="D600" s="735">
        <v>25075.551150865216</v>
      </c>
      <c r="E600" s="735">
        <v>877.65538259434459</v>
      </c>
      <c r="F600" s="735">
        <v>927.91820704360327</v>
      </c>
      <c r="H600" s="741">
        <v>598</v>
      </c>
      <c r="I600" s="735">
        <v>238.372849136751</v>
      </c>
      <c r="J600">
        <f t="shared" si="18"/>
        <v>927.91820704360327</v>
      </c>
      <c r="K600" s="735">
        <v>229.25922209999999</v>
      </c>
      <c r="L600">
        <f t="shared" si="18"/>
        <v>877.65538259434459</v>
      </c>
      <c r="M600" s="742">
        <v>2395.9367069999998</v>
      </c>
      <c r="N600">
        <f t="shared" si="19"/>
        <v>25075.551150865216</v>
      </c>
    </row>
    <row r="601" spans="1:14" ht="15.5" x14ac:dyDescent="0.35">
      <c r="A601">
        <v>261.12029345543101</v>
      </c>
      <c r="B601">
        <v>132.690695311333</v>
      </c>
      <c r="C601">
        <v>17884.7017242357</v>
      </c>
      <c r="D601" s="735">
        <v>2269.4271940442654</v>
      </c>
      <c r="E601" s="735">
        <v>1742.6418228365458</v>
      </c>
      <c r="F601" s="735">
        <v>1237.5574825129515</v>
      </c>
      <c r="H601" s="741">
        <v>599</v>
      </c>
      <c r="I601" s="735">
        <v>291.60553709316599</v>
      </c>
      <c r="J601">
        <f t="shared" si="18"/>
        <v>1237.5574825129515</v>
      </c>
      <c r="K601" s="735">
        <v>370.54904040000002</v>
      </c>
      <c r="L601">
        <f t="shared" si="18"/>
        <v>1742.6418228365458</v>
      </c>
      <c r="M601" s="742">
        <v>445.80134889999999</v>
      </c>
      <c r="N601">
        <f t="shared" si="19"/>
        <v>2269.4271940442654</v>
      </c>
    </row>
    <row r="602" spans="1:14" ht="15.5" x14ac:dyDescent="0.35">
      <c r="A602">
        <v>15.1013039140855</v>
      </c>
      <c r="B602">
        <v>506.66388315770399</v>
      </c>
      <c r="C602">
        <v>18583.422707448499</v>
      </c>
      <c r="D602" s="735">
        <v>4826.7664134713004</v>
      </c>
      <c r="E602" s="735">
        <v>1497.6664690326834</v>
      </c>
      <c r="F602" s="735">
        <v>4491.0004539602796</v>
      </c>
      <c r="H602" s="741">
        <v>600</v>
      </c>
      <c r="I602" s="735">
        <v>718.85313199931204</v>
      </c>
      <c r="J602">
        <f t="shared" si="18"/>
        <v>4491.0004539602796</v>
      </c>
      <c r="K602" s="735">
        <v>333.2656667</v>
      </c>
      <c r="L602">
        <f t="shared" si="18"/>
        <v>1497.6664690326834</v>
      </c>
      <c r="M602" s="742">
        <v>756.06545860000006</v>
      </c>
      <c r="N602">
        <f t="shared" si="19"/>
        <v>4826.7664134713004</v>
      </c>
    </row>
    <row r="603" spans="1:14" ht="15.5" x14ac:dyDescent="0.35">
      <c r="A603">
        <v>171.33192824087001</v>
      </c>
      <c r="B603">
        <v>418.78889299622199</v>
      </c>
      <c r="C603">
        <v>51277.520214230797</v>
      </c>
      <c r="D603" s="735">
        <v>22343.143192276402</v>
      </c>
      <c r="E603" s="735">
        <v>1695.0716239295859</v>
      </c>
      <c r="F603" s="735">
        <v>10619.893194264798</v>
      </c>
      <c r="H603" s="741">
        <v>601</v>
      </c>
      <c r="I603" s="735">
        <v>1313.0585873554101</v>
      </c>
      <c r="J603">
        <f t="shared" si="18"/>
        <v>10619.893194264798</v>
      </c>
      <c r="K603" s="735">
        <v>363.43909100000002</v>
      </c>
      <c r="L603">
        <f t="shared" si="18"/>
        <v>1695.0716239295859</v>
      </c>
      <c r="M603" s="742">
        <v>2210.0443460000001</v>
      </c>
      <c r="N603">
        <f t="shared" si="19"/>
        <v>22343.143192276402</v>
      </c>
    </row>
    <row r="604" spans="1:14" ht="15.5" x14ac:dyDescent="0.35">
      <c r="A604">
        <v>1269.6045760366201</v>
      </c>
      <c r="B604">
        <v>98.933823964728205</v>
      </c>
      <c r="C604">
        <v>21690.007484723301</v>
      </c>
      <c r="D604" s="735">
        <v>105476.96255545224</v>
      </c>
      <c r="E604" s="735">
        <v>1542.086739609065</v>
      </c>
      <c r="F604" s="735">
        <v>46.70716923135717</v>
      </c>
      <c r="H604" s="741">
        <v>602</v>
      </c>
      <c r="I604" s="735">
        <v>29.414974947797599</v>
      </c>
      <c r="J604">
        <f t="shared" si="18"/>
        <v>46.70716923135717</v>
      </c>
      <c r="K604" s="735">
        <v>340.15445390000002</v>
      </c>
      <c r="L604">
        <f t="shared" si="18"/>
        <v>1542.086739609065</v>
      </c>
      <c r="M604" s="742">
        <v>6549.5329350000002</v>
      </c>
      <c r="N604">
        <f t="shared" si="19"/>
        <v>105476.96255545224</v>
      </c>
    </row>
    <row r="605" spans="1:14" ht="15.5" x14ac:dyDescent="0.35">
      <c r="A605">
        <v>136.034562490311</v>
      </c>
      <c r="B605">
        <v>1834.6803000437701</v>
      </c>
      <c r="C605">
        <v>6048.0215207333404</v>
      </c>
      <c r="D605" s="735">
        <v>30480.06390929448</v>
      </c>
      <c r="E605" s="735">
        <v>26555.998588422091</v>
      </c>
      <c r="F605" s="735">
        <v>634.98426832341704</v>
      </c>
      <c r="H605" s="741">
        <v>603</v>
      </c>
      <c r="I605" s="735">
        <v>182.78227399082499</v>
      </c>
      <c r="J605">
        <f t="shared" si="18"/>
        <v>634.98426832341704</v>
      </c>
      <c r="K605" s="735">
        <v>2494.099905</v>
      </c>
      <c r="L605">
        <f t="shared" si="18"/>
        <v>26555.998588422091</v>
      </c>
      <c r="M605" s="742">
        <v>2746.6992650000002</v>
      </c>
      <c r="N605">
        <f t="shared" si="19"/>
        <v>30480.06390929448</v>
      </c>
    </row>
    <row r="606" spans="1:14" ht="15.5" x14ac:dyDescent="0.35">
      <c r="A606">
        <v>41.8210047637683</v>
      </c>
      <c r="B606">
        <v>272.00250786690702</v>
      </c>
      <c r="C606">
        <v>2404.9839577000198</v>
      </c>
      <c r="D606" s="735">
        <v>317571.93039239472</v>
      </c>
      <c r="E606" s="735">
        <v>25167.342393221785</v>
      </c>
      <c r="F606" s="735">
        <v>5248.5480851205302</v>
      </c>
      <c r="H606" s="741">
        <v>604</v>
      </c>
      <c r="I606" s="735">
        <v>801.72869202139998</v>
      </c>
      <c r="J606">
        <f t="shared" si="18"/>
        <v>5248.5480851205302</v>
      </c>
      <c r="K606" s="735">
        <v>2402.0727160000001</v>
      </c>
      <c r="L606">
        <f t="shared" si="18"/>
        <v>25167.342393221785</v>
      </c>
      <c r="M606" s="742">
        <v>14167.377829999999</v>
      </c>
      <c r="N606">
        <f t="shared" si="19"/>
        <v>317571.93039239472</v>
      </c>
    </row>
    <row r="607" spans="1:14" ht="15.5" x14ac:dyDescent="0.35">
      <c r="A607">
        <v>345.98561840006801</v>
      </c>
      <c r="B607">
        <v>160.16536279272401</v>
      </c>
      <c r="C607">
        <v>3297.8128086112201</v>
      </c>
      <c r="D607" s="735">
        <v>162776.80638406522</v>
      </c>
      <c r="E607" s="735">
        <v>62889.130799228747</v>
      </c>
      <c r="F607" s="735">
        <v>3467.6162566420321</v>
      </c>
      <c r="H607" s="741">
        <v>605</v>
      </c>
      <c r="I607" s="735">
        <v>599.82107553050298</v>
      </c>
      <c r="J607">
        <f t="shared" si="18"/>
        <v>3467.6162566420321</v>
      </c>
      <c r="K607" s="735">
        <v>4560.3997650000001</v>
      </c>
      <c r="L607">
        <f t="shared" si="18"/>
        <v>62889.130799228747</v>
      </c>
      <c r="M607" s="742">
        <v>8873.9048249999996</v>
      </c>
      <c r="N607">
        <f t="shared" si="19"/>
        <v>162776.80638406522</v>
      </c>
    </row>
    <row r="608" spans="1:14" ht="15.5" x14ac:dyDescent="0.35">
      <c r="A608">
        <v>5365.5518461495303</v>
      </c>
      <c r="B608">
        <v>593.82476928274002</v>
      </c>
      <c r="C608">
        <v>3362.6746163450498</v>
      </c>
      <c r="D608" s="735">
        <v>9309.0683624682624</v>
      </c>
      <c r="E608" s="735">
        <v>23395.290335872967</v>
      </c>
      <c r="F608" s="735">
        <v>361.83886636664829</v>
      </c>
      <c r="H608" s="741">
        <v>606</v>
      </c>
      <c r="I608" s="735">
        <v>123.299311034222</v>
      </c>
      <c r="J608">
        <f t="shared" si="18"/>
        <v>361.83886636664829</v>
      </c>
      <c r="K608" s="735">
        <v>2282.3902710000002</v>
      </c>
      <c r="L608">
        <f t="shared" si="18"/>
        <v>23395.290335872967</v>
      </c>
      <c r="M608" s="742">
        <v>1197.3864900000001</v>
      </c>
      <c r="N608">
        <f t="shared" si="19"/>
        <v>9309.0683624682624</v>
      </c>
    </row>
    <row r="609" spans="1:14" ht="15.5" x14ac:dyDescent="0.35">
      <c r="A609">
        <v>488.655417769493</v>
      </c>
      <c r="B609">
        <v>416.81008345743101</v>
      </c>
      <c r="C609">
        <v>22.758859026556799</v>
      </c>
      <c r="D609" s="735">
        <v>5029.3563353324207</v>
      </c>
      <c r="E609" s="735">
        <v>353.29242835736699</v>
      </c>
      <c r="F609" s="735">
        <v>2870.9667768673521</v>
      </c>
      <c r="H609" s="741">
        <v>607</v>
      </c>
      <c r="I609" s="735">
        <v>525.55686913373597</v>
      </c>
      <c r="J609">
        <f t="shared" si="18"/>
        <v>2870.9667768673521</v>
      </c>
      <c r="K609" s="735">
        <v>121.2534295</v>
      </c>
      <c r="L609">
        <f t="shared" si="18"/>
        <v>353.29242835736699</v>
      </c>
      <c r="M609" s="742">
        <v>778.14169179999999</v>
      </c>
      <c r="N609">
        <f t="shared" si="19"/>
        <v>5029.3563353324207</v>
      </c>
    </row>
    <row r="610" spans="1:14" ht="15.5" x14ac:dyDescent="0.35">
      <c r="A610">
        <v>1093.8624000539501</v>
      </c>
      <c r="B610">
        <v>2631.7700433100699</v>
      </c>
      <c r="C610">
        <v>2160.9617640189899</v>
      </c>
      <c r="D610" s="735">
        <v>24773.931390920323</v>
      </c>
      <c r="E610" s="735">
        <v>23202.201870663386</v>
      </c>
      <c r="F610" s="735">
        <v>25789.137261010615</v>
      </c>
      <c r="H610" s="741">
        <v>608</v>
      </c>
      <c r="I610" s="735">
        <v>2443.4630137188901</v>
      </c>
      <c r="J610">
        <f t="shared" si="18"/>
        <v>25789.137261010615</v>
      </c>
      <c r="K610" s="735">
        <v>2269.1878040000001</v>
      </c>
      <c r="L610">
        <f t="shared" si="18"/>
        <v>23202.201870663386</v>
      </c>
      <c r="M610" s="742">
        <v>2375.7265510000002</v>
      </c>
      <c r="N610">
        <f t="shared" si="19"/>
        <v>24773.931390920323</v>
      </c>
    </row>
    <row r="611" spans="1:14" ht="15.5" x14ac:dyDescent="0.35">
      <c r="A611">
        <v>1400.0495300044199</v>
      </c>
      <c r="B611">
        <v>153.50908691216</v>
      </c>
      <c r="C611">
        <v>30.180133447619301</v>
      </c>
      <c r="D611" s="735">
        <v>137437.03322735504</v>
      </c>
      <c r="E611" s="735">
        <v>32.782584323353305</v>
      </c>
      <c r="F611" s="735">
        <v>2244.3156946795025</v>
      </c>
      <c r="H611" s="741">
        <v>609</v>
      </c>
      <c r="I611" s="735">
        <v>442.34259619546401</v>
      </c>
      <c r="J611">
        <f t="shared" si="18"/>
        <v>2244.3156946795025</v>
      </c>
      <c r="K611" s="735">
        <v>22.9588553</v>
      </c>
      <c r="L611">
        <f t="shared" si="18"/>
        <v>32.782584323353305</v>
      </c>
      <c r="M611" s="742">
        <v>7882.6571960000001</v>
      </c>
      <c r="N611">
        <f t="shared" si="19"/>
        <v>137437.03322735504</v>
      </c>
    </row>
    <row r="612" spans="1:14" ht="15.5" x14ac:dyDescent="0.35">
      <c r="A612">
        <v>616.28652137750203</v>
      </c>
      <c r="B612">
        <v>60.586932584707803</v>
      </c>
      <c r="C612">
        <v>7536.8019016111202</v>
      </c>
      <c r="D612" s="735">
        <v>409136.03864083643</v>
      </c>
      <c r="E612" s="735">
        <v>6016.9244309193518</v>
      </c>
      <c r="F612" s="735">
        <v>1919.9498731249923</v>
      </c>
      <c r="H612" s="741">
        <v>610</v>
      </c>
      <c r="I612" s="735">
        <v>396.55453704270298</v>
      </c>
      <c r="J612">
        <f t="shared" si="18"/>
        <v>1919.9498731249923</v>
      </c>
      <c r="K612" s="735">
        <v>882.1901206</v>
      </c>
      <c r="L612">
        <f t="shared" si="18"/>
        <v>6016.9244309193518</v>
      </c>
      <c r="M612" s="742">
        <v>16916.37933</v>
      </c>
      <c r="N612">
        <f t="shared" si="19"/>
        <v>409136.03864083643</v>
      </c>
    </row>
    <row r="613" spans="1:14" ht="15.5" x14ac:dyDescent="0.35">
      <c r="A613">
        <v>1071.2469912258</v>
      </c>
      <c r="B613">
        <v>73.800881029799498</v>
      </c>
      <c r="C613">
        <v>411.10204189369398</v>
      </c>
      <c r="D613" s="735">
        <v>50198.517241671696</v>
      </c>
      <c r="E613" s="735">
        <v>19.728797607262543</v>
      </c>
      <c r="F613" s="735">
        <v>421.46857151030946</v>
      </c>
      <c r="H613" s="741">
        <v>611</v>
      </c>
      <c r="I613" s="735">
        <v>137.194163699554</v>
      </c>
      <c r="J613">
        <f t="shared" si="18"/>
        <v>421.46857151030946</v>
      </c>
      <c r="K613" s="735">
        <v>16.090533069999999</v>
      </c>
      <c r="L613">
        <f t="shared" si="18"/>
        <v>19.728797607262543</v>
      </c>
      <c r="M613" s="742">
        <v>3894.7861990000001</v>
      </c>
      <c r="N613">
        <f t="shared" si="19"/>
        <v>50198.517241671696</v>
      </c>
    </row>
    <row r="614" spans="1:14" ht="15.5" x14ac:dyDescent="0.35">
      <c r="A614">
        <v>1540.5564442258001</v>
      </c>
      <c r="B614">
        <v>206.22772247473799</v>
      </c>
      <c r="C614">
        <v>173.75573310401401</v>
      </c>
      <c r="D614" s="735">
        <v>2036.4836701448137</v>
      </c>
      <c r="E614" s="735">
        <v>4829.906504850439</v>
      </c>
      <c r="F614" s="735">
        <v>116.03597646938788</v>
      </c>
      <c r="H614" s="741">
        <v>612</v>
      </c>
      <c r="I614" s="735">
        <v>55.617935345621497</v>
      </c>
      <c r="J614">
        <f t="shared" si="18"/>
        <v>116.03597646938788</v>
      </c>
      <c r="K614" s="735">
        <v>756.40973010000005</v>
      </c>
      <c r="L614">
        <f t="shared" si="18"/>
        <v>4829.906504850439</v>
      </c>
      <c r="M614" s="742">
        <v>413.25360649999999</v>
      </c>
      <c r="N614">
        <f t="shared" si="19"/>
        <v>2036.4836701448137</v>
      </c>
    </row>
    <row r="615" spans="1:14" ht="15.5" x14ac:dyDescent="0.35">
      <c r="A615">
        <v>71.476842676167706</v>
      </c>
      <c r="B615">
        <v>294.191425156158</v>
      </c>
      <c r="C615">
        <v>22699.672884277101</v>
      </c>
      <c r="D615" s="735">
        <v>363103.01349318307</v>
      </c>
      <c r="E615" s="735">
        <v>4873.7775619039412</v>
      </c>
      <c r="F615" s="735">
        <v>346.01151453796945</v>
      </c>
      <c r="H615" s="741">
        <v>613</v>
      </c>
      <c r="I615" s="735">
        <v>119.498756487973</v>
      </c>
      <c r="J615">
        <f t="shared" si="18"/>
        <v>346.01151453796945</v>
      </c>
      <c r="K615" s="735">
        <v>761.21264310000004</v>
      </c>
      <c r="L615">
        <f t="shared" si="18"/>
        <v>4873.7775619039412</v>
      </c>
      <c r="M615" s="742">
        <v>15560.40503</v>
      </c>
      <c r="N615">
        <f t="shared" si="19"/>
        <v>363103.01349318307</v>
      </c>
    </row>
    <row r="616" spans="1:14" ht="15.5" x14ac:dyDescent="0.35">
      <c r="A616">
        <v>104.503074127931</v>
      </c>
      <c r="B616">
        <v>3221.6468371512201</v>
      </c>
      <c r="C616">
        <v>57.948909099423801</v>
      </c>
      <c r="D616" s="735">
        <v>7754.3578549486665</v>
      </c>
      <c r="E616" s="735">
        <v>1802.9623058420925</v>
      </c>
      <c r="F616" s="735">
        <v>62.783921876974354</v>
      </c>
      <c r="H616" s="741">
        <v>614</v>
      </c>
      <c r="I616" s="735">
        <v>36.182111586858802</v>
      </c>
      <c r="J616">
        <f t="shared" si="18"/>
        <v>62.783921876974354</v>
      </c>
      <c r="K616" s="735">
        <v>379.48153880000001</v>
      </c>
      <c r="L616">
        <f t="shared" si="18"/>
        <v>1802.9623058420925</v>
      </c>
      <c r="M616" s="742">
        <v>1053.615346</v>
      </c>
      <c r="N616">
        <f t="shared" si="19"/>
        <v>7754.3578549486665</v>
      </c>
    </row>
    <row r="617" spans="1:14" ht="15.5" x14ac:dyDescent="0.35">
      <c r="A617">
        <v>1544.25095437293</v>
      </c>
      <c r="B617">
        <v>2397.1443960178899</v>
      </c>
      <c r="C617">
        <v>655.56259264601499</v>
      </c>
      <c r="D617" s="735">
        <v>61691.448151451747</v>
      </c>
      <c r="E617" s="735">
        <v>25274.586667186522</v>
      </c>
      <c r="F617" s="735">
        <v>502.64597185072364</v>
      </c>
      <c r="H617" s="741">
        <v>615</v>
      </c>
      <c r="I617" s="735">
        <v>155.19707954293</v>
      </c>
      <c r="J617">
        <f t="shared" si="18"/>
        <v>502.64597185072364</v>
      </c>
      <c r="K617" s="735">
        <v>2409.2332230000002</v>
      </c>
      <c r="L617">
        <f t="shared" si="18"/>
        <v>25274.586667186522</v>
      </c>
      <c r="M617" s="742">
        <v>4499.4297500000002</v>
      </c>
      <c r="N617">
        <f t="shared" si="19"/>
        <v>61691.448151451747</v>
      </c>
    </row>
    <row r="618" spans="1:14" ht="15.5" x14ac:dyDescent="0.35">
      <c r="A618">
        <v>2060.8954903712001</v>
      </c>
      <c r="B618">
        <v>128.92513442731601</v>
      </c>
      <c r="C618">
        <v>9640.1666200464897</v>
      </c>
      <c r="D618" s="735">
        <v>12122.654313546484</v>
      </c>
      <c r="E618" s="735">
        <v>563.6228941107114</v>
      </c>
      <c r="F618" s="735">
        <v>63.858795035229612</v>
      </c>
      <c r="H618" s="741">
        <v>616</v>
      </c>
      <c r="I618" s="735">
        <v>36.614617674248201</v>
      </c>
      <c r="J618">
        <f t="shared" si="18"/>
        <v>63.858795035229612</v>
      </c>
      <c r="K618" s="735">
        <v>168.14812850000001</v>
      </c>
      <c r="L618">
        <f t="shared" si="18"/>
        <v>563.6228941107114</v>
      </c>
      <c r="M618" s="742">
        <v>1440.5170559999999</v>
      </c>
      <c r="N618">
        <f t="shared" si="19"/>
        <v>12122.654313546484</v>
      </c>
    </row>
    <row r="619" spans="1:14" ht="15.5" x14ac:dyDescent="0.35">
      <c r="A619">
        <v>72.749344548637097</v>
      </c>
      <c r="B619">
        <v>74.166230290744494</v>
      </c>
      <c r="C619">
        <v>71.869286516967904</v>
      </c>
      <c r="D619" s="735">
        <v>165105.1453464558</v>
      </c>
      <c r="E619" s="735">
        <v>7288.8051086608866</v>
      </c>
      <c r="F619" s="735">
        <v>265.40378533598488</v>
      </c>
      <c r="H619" s="741">
        <v>617</v>
      </c>
      <c r="I619" s="735">
        <v>99.251020049004595</v>
      </c>
      <c r="J619">
        <f t="shared" si="18"/>
        <v>265.40378533598488</v>
      </c>
      <c r="K619" s="735">
        <v>1008.926285</v>
      </c>
      <c r="L619">
        <f t="shared" si="18"/>
        <v>7288.8051086608866</v>
      </c>
      <c r="M619" s="742">
        <v>8962.5672109999996</v>
      </c>
      <c r="N619">
        <f t="shared" si="19"/>
        <v>165105.1453464558</v>
      </c>
    </row>
    <row r="620" spans="1:14" ht="15.5" x14ac:dyDescent="0.35">
      <c r="A620">
        <v>306.63599967854299</v>
      </c>
      <c r="B620">
        <v>8.1849243993007299</v>
      </c>
      <c r="C620">
        <v>252.274103803109</v>
      </c>
      <c r="D620" s="735">
        <v>103465.2327508184</v>
      </c>
      <c r="E620" s="735">
        <v>4175.2986912944525</v>
      </c>
      <c r="F620" s="735">
        <v>391.39096854672886</v>
      </c>
      <c r="H620" s="741">
        <v>618</v>
      </c>
      <c r="I620" s="735">
        <v>130.26494486100901</v>
      </c>
      <c r="J620">
        <f t="shared" si="18"/>
        <v>391.39096854672886</v>
      </c>
      <c r="K620" s="735">
        <v>683.09528009999997</v>
      </c>
      <c r="L620">
        <f t="shared" si="18"/>
        <v>4175.2986912944525</v>
      </c>
      <c r="M620" s="742">
        <v>6461.838616</v>
      </c>
      <c r="N620">
        <f t="shared" si="19"/>
        <v>103465.2327508184</v>
      </c>
    </row>
    <row r="621" spans="1:14" ht="15.5" x14ac:dyDescent="0.35">
      <c r="A621">
        <v>52.3240449556369</v>
      </c>
      <c r="B621">
        <v>264.01811008390303</v>
      </c>
      <c r="C621">
        <v>8001.9100735776101</v>
      </c>
      <c r="D621" s="735">
        <v>8531.0767284108551</v>
      </c>
      <c r="E621" s="735">
        <v>545733.89486699924</v>
      </c>
      <c r="F621" s="735">
        <v>2010.6997893501407</v>
      </c>
      <c r="H621" s="741">
        <v>619</v>
      </c>
      <c r="I621" s="735">
        <v>409.58407515575601</v>
      </c>
      <c r="J621">
        <f t="shared" si="18"/>
        <v>2010.6997893501407</v>
      </c>
      <c r="K621" s="735">
        <v>20696.011149999998</v>
      </c>
      <c r="L621">
        <f t="shared" si="18"/>
        <v>545733.89486699924</v>
      </c>
      <c r="M621" s="742">
        <v>1126.4260710000001</v>
      </c>
      <c r="N621">
        <f t="shared" si="19"/>
        <v>8531.0767284108551</v>
      </c>
    </row>
    <row r="622" spans="1:14" ht="15.5" x14ac:dyDescent="0.35">
      <c r="A622">
        <v>85.533870047112401</v>
      </c>
      <c r="B622">
        <v>35.314376466333897</v>
      </c>
      <c r="C622">
        <v>696.55208555906495</v>
      </c>
      <c r="D622" s="735">
        <v>75814.231205060787</v>
      </c>
      <c r="E622" s="735">
        <v>2847.6386398917198</v>
      </c>
      <c r="F622" s="735">
        <v>2251.5279433090036</v>
      </c>
      <c r="H622" s="741">
        <v>620</v>
      </c>
      <c r="I622" s="735">
        <v>443.33716410360802</v>
      </c>
      <c r="J622">
        <f t="shared" si="18"/>
        <v>2251.5279433090036</v>
      </c>
      <c r="K622" s="735">
        <v>522.56391180000003</v>
      </c>
      <c r="L622">
        <f t="shared" si="18"/>
        <v>2847.6386398917198</v>
      </c>
      <c r="M622" s="742">
        <v>5197.871212</v>
      </c>
      <c r="N622">
        <f t="shared" si="19"/>
        <v>75814.231205060787</v>
      </c>
    </row>
    <row r="623" spans="1:14" ht="15.5" x14ac:dyDescent="0.35">
      <c r="A623">
        <v>110.338213719843</v>
      </c>
      <c r="B623">
        <v>526.81236826308998</v>
      </c>
      <c r="C623">
        <v>5800.26075394502</v>
      </c>
      <c r="D623" s="735">
        <v>38771.778099948388</v>
      </c>
      <c r="E623" s="735">
        <v>19794.421001061113</v>
      </c>
      <c r="F623" s="735">
        <v>2875.3602616400972</v>
      </c>
      <c r="H623" s="741">
        <v>621</v>
      </c>
      <c r="I623" s="735">
        <v>526.11972743935905</v>
      </c>
      <c r="J623">
        <f t="shared" si="18"/>
        <v>2875.3602616400972</v>
      </c>
      <c r="K623" s="735">
        <v>2030.3923199999999</v>
      </c>
      <c r="L623">
        <f t="shared" si="18"/>
        <v>19794.421001061113</v>
      </c>
      <c r="M623" s="742">
        <v>3250.5810780000002</v>
      </c>
      <c r="N623">
        <f t="shared" si="19"/>
        <v>38771.778099948388</v>
      </c>
    </row>
    <row r="624" spans="1:14" ht="15.5" x14ac:dyDescent="0.35">
      <c r="A624">
        <v>1604.32753540811</v>
      </c>
      <c r="B624">
        <v>92.243672406805103</v>
      </c>
      <c r="C624">
        <v>28549.785878881699</v>
      </c>
      <c r="D624" s="735">
        <v>10225.189443759484</v>
      </c>
      <c r="E624" s="735">
        <v>5311.3676149992771</v>
      </c>
      <c r="F624" s="735">
        <v>217.80143320650541</v>
      </c>
      <c r="H624" s="741">
        <v>622</v>
      </c>
      <c r="I624" s="735">
        <v>86.425621889723303</v>
      </c>
      <c r="J624">
        <f t="shared" si="18"/>
        <v>217.80143320650541</v>
      </c>
      <c r="K624" s="735">
        <v>808.43378159999997</v>
      </c>
      <c r="L624">
        <f t="shared" si="18"/>
        <v>5311.3676149992771</v>
      </c>
      <c r="M624" s="742">
        <v>1278.7037949999999</v>
      </c>
      <c r="N624">
        <f t="shared" si="19"/>
        <v>10225.189443759484</v>
      </c>
    </row>
    <row r="625" spans="1:14" ht="15.5" x14ac:dyDescent="0.35">
      <c r="A625">
        <v>134.671445560135</v>
      </c>
      <c r="B625">
        <v>3163.0240964218001</v>
      </c>
      <c r="C625">
        <v>8151.0331637582603</v>
      </c>
      <c r="D625" s="735">
        <v>22157.502325504203</v>
      </c>
      <c r="E625" s="735">
        <v>1687.7293461158977</v>
      </c>
      <c r="F625" s="735">
        <v>2185.2013469051917</v>
      </c>
      <c r="H625" s="741">
        <v>623</v>
      </c>
      <c r="I625" s="735">
        <v>434.154214930931</v>
      </c>
      <c r="J625">
        <f t="shared" si="18"/>
        <v>2185.2013469051917</v>
      </c>
      <c r="K625" s="735">
        <v>362.33639690000001</v>
      </c>
      <c r="L625">
        <f t="shared" si="18"/>
        <v>1687.7293461158977</v>
      </c>
      <c r="M625" s="742">
        <v>2197.174563</v>
      </c>
      <c r="N625">
        <f t="shared" si="19"/>
        <v>22157.502325504203</v>
      </c>
    </row>
    <row r="626" spans="1:14" ht="15.5" x14ac:dyDescent="0.35">
      <c r="A626">
        <v>1087.89063834739</v>
      </c>
      <c r="B626">
        <v>3711.2108862387099</v>
      </c>
      <c r="C626">
        <v>1449.1209805077699</v>
      </c>
      <c r="D626" s="735">
        <v>42064.728242295962</v>
      </c>
      <c r="E626" s="735">
        <v>131252254.27676801</v>
      </c>
      <c r="F626" s="735">
        <v>31421.13052764878</v>
      </c>
      <c r="H626" s="741">
        <v>624</v>
      </c>
      <c r="I626" s="735">
        <v>2805.7906573476698</v>
      </c>
      <c r="J626">
        <f t="shared" si="18"/>
        <v>31421.13052764878</v>
      </c>
      <c r="K626" s="735">
        <v>960892.35889999999</v>
      </c>
      <c r="L626">
        <f t="shared" si="18"/>
        <v>131252254.27676801</v>
      </c>
      <c r="M626" s="742">
        <v>3441.4594860000002</v>
      </c>
      <c r="N626">
        <f t="shared" si="19"/>
        <v>42064.728242295962</v>
      </c>
    </row>
    <row r="627" spans="1:14" ht="15.5" x14ac:dyDescent="0.35">
      <c r="A627">
        <v>29.1522941928393</v>
      </c>
      <c r="B627">
        <v>2217.1068328169699</v>
      </c>
      <c r="C627">
        <v>6716.7154542278204</v>
      </c>
      <c r="D627" s="735">
        <v>52611.830680220199</v>
      </c>
      <c r="E627" s="735">
        <v>92452.905819292268</v>
      </c>
      <c r="F627" s="735">
        <v>295.12902981717002</v>
      </c>
      <c r="H627" s="741">
        <v>625</v>
      </c>
      <c r="I627" s="735">
        <v>106.907543644757</v>
      </c>
      <c r="J627">
        <f t="shared" si="18"/>
        <v>295.12902981717002</v>
      </c>
      <c r="K627" s="735">
        <v>5972.3382430000001</v>
      </c>
      <c r="L627">
        <f t="shared" si="18"/>
        <v>92452.905819292268</v>
      </c>
      <c r="M627" s="742">
        <v>4024.9305370000002</v>
      </c>
      <c r="N627">
        <f t="shared" si="19"/>
        <v>52611.830680220199</v>
      </c>
    </row>
    <row r="628" spans="1:14" ht="15.5" x14ac:dyDescent="0.35">
      <c r="A628">
        <v>109.041871765618</v>
      </c>
      <c r="B628">
        <v>168.335768456739</v>
      </c>
      <c r="C628">
        <v>4528.6378414302899</v>
      </c>
      <c r="D628" s="735">
        <v>5933.7223046400886</v>
      </c>
      <c r="E628" s="735">
        <v>19177.183736319079</v>
      </c>
      <c r="F628" s="735">
        <v>18638.29776430643</v>
      </c>
      <c r="H628" s="741">
        <v>626</v>
      </c>
      <c r="I628" s="735">
        <v>1946.63430249771</v>
      </c>
      <c r="J628">
        <f t="shared" si="18"/>
        <v>18638.29776430643</v>
      </c>
      <c r="K628" s="735">
        <v>1985.8634400000001</v>
      </c>
      <c r="L628">
        <f t="shared" si="18"/>
        <v>19177.183736319079</v>
      </c>
      <c r="M628" s="742">
        <v>873.63304419999997</v>
      </c>
      <c r="N628">
        <f t="shared" si="19"/>
        <v>5933.7223046400886</v>
      </c>
    </row>
    <row r="629" spans="1:14" ht="15.5" x14ac:dyDescent="0.35">
      <c r="A629">
        <v>678.67311572199901</v>
      </c>
      <c r="B629">
        <v>60.997345934419698</v>
      </c>
      <c r="C629">
        <v>78.366230277276102</v>
      </c>
      <c r="D629" s="735">
        <v>37134.059851290796</v>
      </c>
      <c r="E629" s="735">
        <v>876.84376924765866</v>
      </c>
      <c r="F629" s="735">
        <v>774.57247105728629</v>
      </c>
      <c r="H629" s="741">
        <v>627</v>
      </c>
      <c r="I629" s="735">
        <v>210.06003834149399</v>
      </c>
      <c r="J629">
        <f t="shared" si="18"/>
        <v>774.57247105728629</v>
      </c>
      <c r="K629" s="735">
        <v>229.11079599999999</v>
      </c>
      <c r="L629">
        <f t="shared" si="18"/>
        <v>876.84376924765866</v>
      </c>
      <c r="M629" s="742">
        <v>3153.847597</v>
      </c>
      <c r="N629">
        <f t="shared" si="19"/>
        <v>37134.059851290796</v>
      </c>
    </row>
    <row r="630" spans="1:14" ht="15.5" x14ac:dyDescent="0.35">
      <c r="A630">
        <v>4965.4134137398196</v>
      </c>
      <c r="B630">
        <v>484.28787853795302</v>
      </c>
      <c r="C630">
        <v>14281.191184067</v>
      </c>
      <c r="D630" s="735">
        <v>37236.645323821831</v>
      </c>
      <c r="E630" s="735">
        <v>7199.4199452012945</v>
      </c>
      <c r="F630" s="735">
        <v>2979.2775407836803</v>
      </c>
      <c r="H630" s="741">
        <v>628</v>
      </c>
      <c r="I630" s="735">
        <v>539.35868196886702</v>
      </c>
      <c r="J630">
        <f t="shared" si="18"/>
        <v>2979.2775407836803</v>
      </c>
      <c r="K630" s="735">
        <v>1000.249297</v>
      </c>
      <c r="L630">
        <f t="shared" si="18"/>
        <v>7199.4199452012945</v>
      </c>
      <c r="M630" s="742">
        <v>3159.9439819999998</v>
      </c>
      <c r="N630">
        <f t="shared" si="19"/>
        <v>37236.645323821831</v>
      </c>
    </row>
    <row r="631" spans="1:14" ht="15.5" x14ac:dyDescent="0.35">
      <c r="A631">
        <v>31.679654405160601</v>
      </c>
      <c r="B631">
        <v>21.8172826461856</v>
      </c>
      <c r="C631">
        <v>25514.107569506901</v>
      </c>
      <c r="D631" s="735">
        <v>48904.533342242277</v>
      </c>
      <c r="E631" s="735">
        <v>322278.12483850005</v>
      </c>
      <c r="F631" s="735">
        <v>12.599125931943094</v>
      </c>
      <c r="H631" s="741">
        <v>629</v>
      </c>
      <c r="I631" s="735">
        <v>11.755423830116101</v>
      </c>
      <c r="J631">
        <f t="shared" si="18"/>
        <v>12.599125931943094</v>
      </c>
      <c r="K631" s="735">
        <v>14314.018679999999</v>
      </c>
      <c r="L631">
        <f t="shared" si="18"/>
        <v>322278.12483850005</v>
      </c>
      <c r="M631" s="742">
        <v>3824.2333400000002</v>
      </c>
      <c r="N631">
        <f t="shared" si="19"/>
        <v>48904.533342242277</v>
      </c>
    </row>
    <row r="632" spans="1:14" ht="15.5" x14ac:dyDescent="0.35">
      <c r="A632">
        <v>1052.1459185214501</v>
      </c>
      <c r="B632">
        <v>170.84267890138099</v>
      </c>
      <c r="C632">
        <v>340.80426139675001</v>
      </c>
      <c r="D632" s="735">
        <v>36449.700641925963</v>
      </c>
      <c r="E632" s="735">
        <v>3616.1952191667301</v>
      </c>
      <c r="F632" s="735">
        <v>1382.6834082554042</v>
      </c>
      <c r="H632" s="741">
        <v>630</v>
      </c>
      <c r="I632" s="735">
        <v>315.141738166371</v>
      </c>
      <c r="J632">
        <f t="shared" si="18"/>
        <v>1382.6834082554042</v>
      </c>
      <c r="K632" s="735">
        <v>617.69815960000005</v>
      </c>
      <c r="L632">
        <f t="shared" si="18"/>
        <v>3616.1952191667301</v>
      </c>
      <c r="M632" s="742">
        <v>3113.0477059999998</v>
      </c>
      <c r="N632">
        <f t="shared" si="19"/>
        <v>36449.700641925963</v>
      </c>
    </row>
    <row r="633" spans="1:14" ht="15.5" x14ac:dyDescent="0.35">
      <c r="A633">
        <v>2622.1758113257501</v>
      </c>
      <c r="B633">
        <v>167.452534409913</v>
      </c>
      <c r="C633">
        <v>2177.75756663846</v>
      </c>
      <c r="D633" s="735">
        <v>279895.90934639971</v>
      </c>
      <c r="E633" s="735">
        <v>3727.3562133204732</v>
      </c>
      <c r="F633" s="735">
        <v>46.569629223974282</v>
      </c>
      <c r="H633" s="741">
        <v>631</v>
      </c>
      <c r="I633" s="735">
        <v>29.354314717609299</v>
      </c>
      <c r="J633">
        <f t="shared" si="18"/>
        <v>46.569629223974282</v>
      </c>
      <c r="K633" s="735">
        <v>630.92920279999998</v>
      </c>
      <c r="L633">
        <f t="shared" si="18"/>
        <v>3727.3562133204732</v>
      </c>
      <c r="M633" s="742">
        <v>12968.7341</v>
      </c>
      <c r="N633">
        <f t="shared" si="19"/>
        <v>279895.90934639971</v>
      </c>
    </row>
    <row r="634" spans="1:14" ht="15.5" x14ac:dyDescent="0.35">
      <c r="A634">
        <v>165.96152584703901</v>
      </c>
      <c r="B634">
        <v>218.53516121996</v>
      </c>
      <c r="C634">
        <v>37711.703295495703</v>
      </c>
      <c r="D634" s="735">
        <v>123984.08048275941</v>
      </c>
      <c r="E634" s="735">
        <v>22761.115412619103</v>
      </c>
      <c r="F634" s="735">
        <v>1728.3443202549847</v>
      </c>
      <c r="H634" s="741">
        <v>632</v>
      </c>
      <c r="I634" s="735">
        <v>368.41829363689902</v>
      </c>
      <c r="J634">
        <f t="shared" si="18"/>
        <v>1728.3443202549847</v>
      </c>
      <c r="K634" s="735">
        <v>2238.9040329999998</v>
      </c>
      <c r="L634">
        <f t="shared" si="18"/>
        <v>22761.115412619103</v>
      </c>
      <c r="M634" s="742">
        <v>7334.2574020000002</v>
      </c>
      <c r="N634">
        <f t="shared" si="19"/>
        <v>123984.08048275941</v>
      </c>
    </row>
    <row r="635" spans="1:14" ht="15.5" x14ac:dyDescent="0.35">
      <c r="A635">
        <v>294.10430896575599</v>
      </c>
      <c r="B635">
        <v>1507.84039207716</v>
      </c>
      <c r="C635">
        <v>104.180445677275</v>
      </c>
      <c r="D635" s="735">
        <v>638059.29813718633</v>
      </c>
      <c r="E635" s="735">
        <v>97499.793692019884</v>
      </c>
      <c r="F635" s="735">
        <v>3244.939288178583</v>
      </c>
      <c r="H635" s="741">
        <v>633</v>
      </c>
      <c r="I635" s="735">
        <v>572.59111272581004</v>
      </c>
      <c r="J635">
        <f t="shared" si="18"/>
        <v>3244.939288178583</v>
      </c>
      <c r="K635" s="735">
        <v>6198.7281110000004</v>
      </c>
      <c r="L635">
        <f t="shared" si="18"/>
        <v>97499.793692019884</v>
      </c>
      <c r="M635" s="742">
        <v>23088.8727</v>
      </c>
      <c r="N635">
        <f t="shared" si="19"/>
        <v>638059.29813718633</v>
      </c>
    </row>
    <row r="636" spans="1:14" ht="15.5" x14ac:dyDescent="0.35">
      <c r="A636">
        <v>1196.6807328637001</v>
      </c>
      <c r="B636">
        <v>554.68442862339202</v>
      </c>
      <c r="C636">
        <v>14.577027254673199</v>
      </c>
      <c r="D636" s="735">
        <v>23737.696150886077</v>
      </c>
      <c r="E636" s="735">
        <v>802.42294484557294</v>
      </c>
      <c r="F636" s="735">
        <v>75.42442649939332</v>
      </c>
      <c r="H636" s="741">
        <v>634</v>
      </c>
      <c r="I636" s="735">
        <v>41.139443407265702</v>
      </c>
      <c r="J636">
        <f t="shared" si="18"/>
        <v>75.42442649939332</v>
      </c>
      <c r="K636" s="735">
        <v>215.31899150000001</v>
      </c>
      <c r="L636">
        <f t="shared" si="18"/>
        <v>802.42294484557294</v>
      </c>
      <c r="M636" s="742">
        <v>2305.7222820000002</v>
      </c>
      <c r="N636">
        <f t="shared" si="19"/>
        <v>23737.696150886077</v>
      </c>
    </row>
    <row r="637" spans="1:14" ht="15.5" x14ac:dyDescent="0.35">
      <c r="A637">
        <v>281.89121388305398</v>
      </c>
      <c r="B637">
        <v>27.1329369576953</v>
      </c>
      <c r="C637">
        <v>73442.287801449202</v>
      </c>
      <c r="D637" s="735">
        <v>13918.514091649906</v>
      </c>
      <c r="E637" s="735">
        <v>45475.886758559944</v>
      </c>
      <c r="F637" s="735">
        <v>48.433262664488595</v>
      </c>
      <c r="H637" s="741">
        <v>635</v>
      </c>
      <c r="I637" s="735">
        <v>30.171757474671001</v>
      </c>
      <c r="J637">
        <f t="shared" si="18"/>
        <v>48.433262664488595</v>
      </c>
      <c r="K637" s="735">
        <v>3634.5179950000002</v>
      </c>
      <c r="L637">
        <f t="shared" si="18"/>
        <v>45475.886758559944</v>
      </c>
      <c r="M637" s="742">
        <v>1586.7737649999999</v>
      </c>
      <c r="N637">
        <f t="shared" si="19"/>
        <v>13918.514091649906</v>
      </c>
    </row>
    <row r="638" spans="1:14" ht="15.5" x14ac:dyDescent="0.35">
      <c r="A638">
        <v>1226.93753087044</v>
      </c>
      <c r="B638">
        <v>153.05729792536101</v>
      </c>
      <c r="C638">
        <v>27793.042853396601</v>
      </c>
      <c r="D638" s="735">
        <v>81484.66090889959</v>
      </c>
      <c r="E638" s="735">
        <v>810.37929471368943</v>
      </c>
      <c r="F638" s="735">
        <v>2438.3528226751819</v>
      </c>
      <c r="H638" s="741">
        <v>636</v>
      </c>
      <c r="I638" s="735">
        <v>468.778389750869</v>
      </c>
      <c r="J638">
        <f t="shared" si="18"/>
        <v>2438.3528226751819</v>
      </c>
      <c r="K638" s="735">
        <v>216.811261</v>
      </c>
      <c r="L638">
        <f t="shared" si="18"/>
        <v>810.37929471368943</v>
      </c>
      <c r="M638" s="742">
        <v>5467.0507299999999</v>
      </c>
      <c r="N638">
        <f t="shared" si="19"/>
        <v>81484.66090889959</v>
      </c>
    </row>
    <row r="639" spans="1:14" ht="15.5" x14ac:dyDescent="0.35">
      <c r="A639">
        <v>32.805504259824602</v>
      </c>
      <c r="B639">
        <v>153.02014621924701</v>
      </c>
      <c r="C639">
        <v>10337.349185687601</v>
      </c>
      <c r="D639" s="735">
        <v>5341.9246988326095</v>
      </c>
      <c r="E639" s="735">
        <v>5448.7261820228987</v>
      </c>
      <c r="F639" s="735">
        <v>2543.9989901672511</v>
      </c>
      <c r="H639" s="741">
        <v>637</v>
      </c>
      <c r="I639" s="735">
        <v>482.90516912345697</v>
      </c>
      <c r="J639">
        <f t="shared" si="18"/>
        <v>2543.9989901672511</v>
      </c>
      <c r="K639" s="735">
        <v>823.01260830000001</v>
      </c>
      <c r="L639">
        <f t="shared" si="18"/>
        <v>5448.7261820228987</v>
      </c>
      <c r="M639" s="742">
        <v>811.68670640000005</v>
      </c>
      <c r="N639">
        <f t="shared" si="19"/>
        <v>5341.9246988326095</v>
      </c>
    </row>
    <row r="640" spans="1:14" ht="15.5" x14ac:dyDescent="0.35">
      <c r="A640">
        <v>39.146309225390802</v>
      </c>
      <c r="B640">
        <v>114.994514712625</v>
      </c>
      <c r="C640">
        <v>140.178240718148</v>
      </c>
      <c r="D640" s="735">
        <v>69574.107076568194</v>
      </c>
      <c r="E640" s="735">
        <v>6393.2191358675245</v>
      </c>
      <c r="F640" s="735">
        <v>1254.3180691109624</v>
      </c>
      <c r="H640" s="741">
        <v>638</v>
      </c>
      <c r="I640" s="735">
        <v>294.36446038308202</v>
      </c>
      <c r="J640">
        <f t="shared" si="18"/>
        <v>1254.3180691109624</v>
      </c>
      <c r="K640" s="735">
        <v>920.45744219999995</v>
      </c>
      <c r="L640">
        <f t="shared" si="18"/>
        <v>6393.2191358675245</v>
      </c>
      <c r="M640" s="742">
        <v>4894.5565310000002</v>
      </c>
      <c r="N640">
        <f t="shared" si="19"/>
        <v>69574.107076568194</v>
      </c>
    </row>
    <row r="641" spans="1:14" ht="15.5" x14ac:dyDescent="0.35">
      <c r="A641">
        <v>820.28102142435296</v>
      </c>
      <c r="B641">
        <v>193.50604453288301</v>
      </c>
      <c r="C641">
        <v>5775.34837416563</v>
      </c>
      <c r="D641" s="735">
        <v>3232.6913985634401</v>
      </c>
      <c r="E641" s="735">
        <v>83403.017261639252</v>
      </c>
      <c r="F641" s="735">
        <v>335.02615983794885</v>
      </c>
      <c r="H641" s="741">
        <v>639</v>
      </c>
      <c r="I641" s="735">
        <v>116.83019553392</v>
      </c>
      <c r="J641">
        <f t="shared" si="18"/>
        <v>335.02615983794885</v>
      </c>
      <c r="K641" s="735">
        <v>5556.8315739999998</v>
      </c>
      <c r="L641">
        <f t="shared" si="18"/>
        <v>83403.017261639252</v>
      </c>
      <c r="M641" s="742">
        <v>571.0773997</v>
      </c>
      <c r="N641">
        <f t="shared" si="19"/>
        <v>3232.6913985634401</v>
      </c>
    </row>
    <row r="642" spans="1:14" ht="15.5" x14ac:dyDescent="0.35">
      <c r="A642">
        <v>1622.49574018711</v>
      </c>
      <c r="B642">
        <v>604.77078937884096</v>
      </c>
      <c r="C642">
        <v>2228.48619692588</v>
      </c>
      <c r="D642" s="735">
        <v>251715.00406039649</v>
      </c>
      <c r="E642" s="735">
        <v>15036.523265931746</v>
      </c>
      <c r="F642" s="735">
        <v>379.79887752432268</v>
      </c>
      <c r="H642" s="741">
        <v>640</v>
      </c>
      <c r="I642" s="735">
        <v>127.552088439786</v>
      </c>
      <c r="J642">
        <f t="shared" si="18"/>
        <v>379.79887752432268</v>
      </c>
      <c r="K642" s="735">
        <v>1674.9552229999999</v>
      </c>
      <c r="L642">
        <f t="shared" si="18"/>
        <v>15036.523265931746</v>
      </c>
      <c r="M642" s="742">
        <v>12040.27406</v>
      </c>
      <c r="N642">
        <f t="shared" si="19"/>
        <v>251715.00406039649</v>
      </c>
    </row>
    <row r="643" spans="1:14" ht="15.5" x14ac:dyDescent="0.35">
      <c r="A643">
        <v>235.929422840619</v>
      </c>
      <c r="B643">
        <v>1098.31501292691</v>
      </c>
      <c r="C643">
        <v>768.30907295181498</v>
      </c>
      <c r="D643" s="735">
        <v>17026.503994755334</v>
      </c>
      <c r="E643" s="735">
        <v>4778.1077174828142</v>
      </c>
      <c r="F643" s="735">
        <v>4907.560520171286</v>
      </c>
      <c r="H643" s="741">
        <v>641</v>
      </c>
      <c r="I643" s="735">
        <v>764.90229649966295</v>
      </c>
      <c r="J643">
        <f t="shared" si="18"/>
        <v>4907.560520171286</v>
      </c>
      <c r="K643" s="735">
        <v>750.72202119999997</v>
      </c>
      <c r="L643">
        <f t="shared" si="18"/>
        <v>4778.1077174828142</v>
      </c>
      <c r="M643" s="742">
        <v>1827.2073740000001</v>
      </c>
      <c r="N643">
        <f t="shared" si="19"/>
        <v>17026.503994755334</v>
      </c>
    </row>
    <row r="644" spans="1:14" ht="15.5" x14ac:dyDescent="0.35">
      <c r="A644">
        <v>3393.4890464292798</v>
      </c>
      <c r="B644">
        <v>1466.2511785774</v>
      </c>
      <c r="C644">
        <v>28206.438061298399</v>
      </c>
      <c r="D644" s="735">
        <v>5489.4169979173312</v>
      </c>
      <c r="E644" s="735">
        <v>13656.278875469698</v>
      </c>
      <c r="F644" s="735">
        <v>2932.8436608322077</v>
      </c>
      <c r="H644" s="741">
        <v>642</v>
      </c>
      <c r="I644" s="735">
        <v>533.46046484460396</v>
      </c>
      <c r="J644">
        <f t="shared" ref="J644:L707" si="20">(10^(LOG(I644)-0.3))^(1/0.7)</f>
        <v>2932.8436608322077</v>
      </c>
      <c r="K644" s="735">
        <v>1565.7869310000001</v>
      </c>
      <c r="L644">
        <f t="shared" si="20"/>
        <v>13656.278875469698</v>
      </c>
      <c r="M644" s="742">
        <v>827.31015639999998</v>
      </c>
      <c r="N644">
        <f t="shared" ref="N644:N707" si="21">(10^(LOG(M644)-0.3))^(1/0.7)</f>
        <v>5489.4169979173312</v>
      </c>
    </row>
    <row r="645" spans="1:14" ht="15.5" x14ac:dyDescent="0.35">
      <c r="A645">
        <v>73.323549223166296</v>
      </c>
      <c r="B645">
        <v>629.21648482142803</v>
      </c>
      <c r="C645">
        <v>93.590344518200396</v>
      </c>
      <c r="D645" s="735">
        <v>15314.233347592317</v>
      </c>
      <c r="E645" s="735">
        <v>60370.832739100195</v>
      </c>
      <c r="F645" s="735">
        <v>8865.8557161815934</v>
      </c>
      <c r="H645" s="741">
        <v>643</v>
      </c>
      <c r="I645" s="735">
        <v>1157.1894391317301</v>
      </c>
      <c r="J645">
        <f t="shared" si="20"/>
        <v>8865.8557161815934</v>
      </c>
      <c r="K645" s="735">
        <v>4431.7884009999998</v>
      </c>
      <c r="L645">
        <f t="shared" si="20"/>
        <v>60370.832739100195</v>
      </c>
      <c r="M645" s="742">
        <v>1696.5500730000001</v>
      </c>
      <c r="N645">
        <f t="shared" si="21"/>
        <v>15314.233347592317</v>
      </c>
    </row>
    <row r="646" spans="1:14" ht="15.5" x14ac:dyDescent="0.35">
      <c r="A646">
        <v>745.57237997490097</v>
      </c>
      <c r="B646">
        <v>499.48134559141801</v>
      </c>
      <c r="C646">
        <v>4768.9556299876704</v>
      </c>
      <c r="D646" s="735">
        <v>15592.53337101774</v>
      </c>
      <c r="E646" s="735">
        <v>314.35300673426514</v>
      </c>
      <c r="F646" s="735">
        <v>163.45238593821321</v>
      </c>
      <c r="H646" s="741">
        <v>644</v>
      </c>
      <c r="I646" s="735">
        <v>70.692588645265204</v>
      </c>
      <c r="J646">
        <f t="shared" si="20"/>
        <v>163.45238593821321</v>
      </c>
      <c r="K646" s="735">
        <v>111.7357975</v>
      </c>
      <c r="L646">
        <f t="shared" si="20"/>
        <v>314.35300673426514</v>
      </c>
      <c r="M646" s="742">
        <v>1718.0732559999999</v>
      </c>
      <c r="N646">
        <f t="shared" si="21"/>
        <v>15592.53337101774</v>
      </c>
    </row>
    <row r="647" spans="1:14" ht="15.5" x14ac:dyDescent="0.35">
      <c r="A647">
        <v>440.02064965146701</v>
      </c>
      <c r="B647">
        <v>1042.6885784933199</v>
      </c>
      <c r="C647">
        <v>586.86697639860404</v>
      </c>
      <c r="D647" s="735">
        <v>193516.11285963067</v>
      </c>
      <c r="E647" s="735">
        <v>105464.42832332957</v>
      </c>
      <c r="F647" s="735">
        <v>25.169205547502571</v>
      </c>
      <c r="H647" s="741">
        <v>645</v>
      </c>
      <c r="I647" s="735">
        <v>19.0813305616599</v>
      </c>
      <c r="J647">
        <f t="shared" si="20"/>
        <v>25.169205547502571</v>
      </c>
      <c r="K647" s="735">
        <v>6548.9881109999997</v>
      </c>
      <c r="L647">
        <f t="shared" si="20"/>
        <v>105464.42832332957</v>
      </c>
      <c r="M647" s="742">
        <v>10016.17704</v>
      </c>
      <c r="N647">
        <f t="shared" si="21"/>
        <v>193516.11285963067</v>
      </c>
    </row>
    <row r="648" spans="1:14" ht="15.5" x14ac:dyDescent="0.35">
      <c r="A648">
        <v>41.2009349583779</v>
      </c>
      <c r="B648">
        <v>334.608783704921</v>
      </c>
      <c r="C648">
        <v>18436.839042183899</v>
      </c>
      <c r="D648" s="735">
        <v>2057.0495836909627</v>
      </c>
      <c r="E648" s="735">
        <v>13862.239156418387</v>
      </c>
      <c r="F648" s="735">
        <v>290.53396542673659</v>
      </c>
      <c r="H648" s="741">
        <v>646</v>
      </c>
      <c r="I648" s="735">
        <v>105.73964261133</v>
      </c>
      <c r="J648">
        <f t="shared" si="20"/>
        <v>290.53396542673659</v>
      </c>
      <c r="K648" s="735">
        <v>1582.2801179999999</v>
      </c>
      <c r="L648">
        <f t="shared" si="20"/>
        <v>13862.239156418387</v>
      </c>
      <c r="M648" s="742">
        <v>416.17053820000001</v>
      </c>
      <c r="N648">
        <f t="shared" si="21"/>
        <v>2057.0495836909627</v>
      </c>
    </row>
    <row r="649" spans="1:14" ht="15.5" x14ac:dyDescent="0.35">
      <c r="A649">
        <v>56.945015918430002</v>
      </c>
      <c r="B649">
        <v>480.34613253853701</v>
      </c>
      <c r="C649">
        <v>6987.9610964207905</v>
      </c>
      <c r="D649" s="735">
        <v>12165.969180456912</v>
      </c>
      <c r="E649" s="735">
        <v>330.42805046374184</v>
      </c>
      <c r="F649" s="735">
        <v>101.45220460898743</v>
      </c>
      <c r="H649" s="741">
        <v>647</v>
      </c>
      <c r="I649" s="735">
        <v>50.627098975748801</v>
      </c>
      <c r="J649">
        <f t="shared" si="20"/>
        <v>101.45220460898743</v>
      </c>
      <c r="K649" s="735">
        <v>115.7054553</v>
      </c>
      <c r="L649">
        <f t="shared" si="20"/>
        <v>330.42805046374184</v>
      </c>
      <c r="M649" s="742">
        <v>1444.1180569999999</v>
      </c>
      <c r="N649">
        <f t="shared" si="21"/>
        <v>12165.969180456912</v>
      </c>
    </row>
    <row r="650" spans="1:14" ht="15.5" x14ac:dyDescent="0.35">
      <c r="A650">
        <v>437.27513516760098</v>
      </c>
      <c r="B650">
        <v>140.376135773215</v>
      </c>
      <c r="C650">
        <v>107.586157363992</v>
      </c>
      <c r="D650" s="735">
        <v>643.45199625166424</v>
      </c>
      <c r="E650" s="735">
        <v>4637.1362176663843</v>
      </c>
      <c r="F650" s="735">
        <v>199.90826286106682</v>
      </c>
      <c r="H650" s="741">
        <v>648</v>
      </c>
      <c r="I650" s="735">
        <v>81.391962783943001</v>
      </c>
      <c r="J650">
        <f t="shared" si="20"/>
        <v>199.90826286106682</v>
      </c>
      <c r="K650" s="735">
        <v>735.14819890000001</v>
      </c>
      <c r="L650">
        <f t="shared" si="20"/>
        <v>4637.1362176663843</v>
      </c>
      <c r="M650" s="742">
        <v>184.4851046</v>
      </c>
      <c r="N650">
        <f t="shared" si="21"/>
        <v>643.45199625166424</v>
      </c>
    </row>
    <row r="651" spans="1:14" ht="15.5" x14ac:dyDescent="0.35">
      <c r="A651">
        <v>75.101379487115295</v>
      </c>
      <c r="B651">
        <v>241.701187231554</v>
      </c>
      <c r="C651">
        <v>75.675344388158507</v>
      </c>
      <c r="D651" s="735">
        <v>3245.3703056972145</v>
      </c>
      <c r="E651" s="735">
        <v>11904.68295289595</v>
      </c>
      <c r="F651" s="735">
        <v>55.816222933954201</v>
      </c>
      <c r="H651" s="741">
        <v>649</v>
      </c>
      <c r="I651" s="735">
        <v>33.322095997235998</v>
      </c>
      <c r="J651">
        <f t="shared" si="20"/>
        <v>55.816222933954201</v>
      </c>
      <c r="K651" s="735">
        <v>1422.3369210000001</v>
      </c>
      <c r="L651">
        <f t="shared" si="20"/>
        <v>11904.68295289595</v>
      </c>
      <c r="M651" s="742">
        <v>572.64435079999998</v>
      </c>
      <c r="N651">
        <f t="shared" si="21"/>
        <v>3245.3703056972145</v>
      </c>
    </row>
    <row r="652" spans="1:14" ht="15.5" x14ac:dyDescent="0.35">
      <c r="A652">
        <v>1151.8361549963699</v>
      </c>
      <c r="B652">
        <v>447.64371220478199</v>
      </c>
      <c r="C652">
        <v>18156.955273218398</v>
      </c>
      <c r="D652" s="735">
        <v>10423.983157018803</v>
      </c>
      <c r="E652" s="735">
        <v>11598.369301032162</v>
      </c>
      <c r="F652" s="735">
        <v>6204.0616413192756</v>
      </c>
      <c r="H652" s="741">
        <v>650</v>
      </c>
      <c r="I652" s="735">
        <v>901.30809760893101</v>
      </c>
      <c r="J652">
        <f t="shared" si="20"/>
        <v>6204.0616413192756</v>
      </c>
      <c r="K652" s="735">
        <v>1396.6187010000001</v>
      </c>
      <c r="L652">
        <f t="shared" si="20"/>
        <v>11598.369301032162</v>
      </c>
      <c r="M652" s="742">
        <v>1296.055474</v>
      </c>
      <c r="N652">
        <f t="shared" si="21"/>
        <v>10423.983157018803</v>
      </c>
    </row>
    <row r="653" spans="1:14" ht="15.5" x14ac:dyDescent="0.35">
      <c r="A653">
        <v>195.35366883788899</v>
      </c>
      <c r="B653">
        <v>324.22709373089202</v>
      </c>
      <c r="C653">
        <v>245.78972489731001</v>
      </c>
      <c r="D653" s="735">
        <v>20337.568796512813</v>
      </c>
      <c r="E653" s="735">
        <v>1314.1712248688661</v>
      </c>
      <c r="F653" s="735">
        <v>3622.1683932440319</v>
      </c>
      <c r="H653" s="741">
        <v>651</v>
      </c>
      <c r="I653" s="735">
        <v>618.41219560404102</v>
      </c>
      <c r="J653">
        <f t="shared" si="20"/>
        <v>3622.1683932440319</v>
      </c>
      <c r="K653" s="735">
        <v>304.12797310000002</v>
      </c>
      <c r="L653">
        <f t="shared" si="20"/>
        <v>1314.1712248688661</v>
      </c>
      <c r="M653" s="742">
        <v>2069.2326600000001</v>
      </c>
      <c r="N653">
        <f t="shared" si="21"/>
        <v>20337.568796512813</v>
      </c>
    </row>
    <row r="654" spans="1:14" ht="15.5" x14ac:dyDescent="0.35">
      <c r="A654">
        <v>116.944827049558</v>
      </c>
      <c r="B654">
        <v>23.7066505260414</v>
      </c>
      <c r="C654">
        <v>581.42221601353106</v>
      </c>
      <c r="D654" s="735">
        <v>7681.3682270687423</v>
      </c>
      <c r="E654" s="735">
        <v>6614.3067547770506</v>
      </c>
      <c r="F654" s="735">
        <v>1540.1912902727493</v>
      </c>
      <c r="H654" s="741">
        <v>652</v>
      </c>
      <c r="I654" s="735">
        <v>339.86173033424097</v>
      </c>
      <c r="J654">
        <f t="shared" si="20"/>
        <v>1540.1912902727493</v>
      </c>
      <c r="K654" s="735">
        <v>942.6251714</v>
      </c>
      <c r="L654">
        <f t="shared" si="20"/>
        <v>6614.3067547770506</v>
      </c>
      <c r="M654" s="742">
        <v>1046.663331</v>
      </c>
      <c r="N654">
        <f t="shared" si="21"/>
        <v>7681.3682270687423</v>
      </c>
    </row>
    <row r="655" spans="1:14" ht="15.5" x14ac:dyDescent="0.35">
      <c r="A655">
        <v>237.10025296660299</v>
      </c>
      <c r="B655">
        <v>1294.01911832016</v>
      </c>
      <c r="C655">
        <v>58455.149236084697</v>
      </c>
      <c r="D655" s="735">
        <v>14326.855790209527</v>
      </c>
      <c r="E655" s="735">
        <v>23.359754114386114</v>
      </c>
      <c r="F655" s="735">
        <v>6148.8859222574119</v>
      </c>
      <c r="H655" s="741">
        <v>653</v>
      </c>
      <c r="I655" s="735">
        <v>895.68954535556304</v>
      </c>
      <c r="J655">
        <f t="shared" si="20"/>
        <v>6148.8859222574119</v>
      </c>
      <c r="K655" s="735">
        <v>18.110389340000001</v>
      </c>
      <c r="L655">
        <f t="shared" si="20"/>
        <v>23.359754114386114</v>
      </c>
      <c r="M655" s="742">
        <v>1619.2191170000001</v>
      </c>
      <c r="N655">
        <f t="shared" si="21"/>
        <v>14326.855790209527</v>
      </c>
    </row>
    <row r="656" spans="1:14" ht="15.5" x14ac:dyDescent="0.35">
      <c r="A656">
        <v>1141.9752845947701</v>
      </c>
      <c r="B656">
        <v>140.95015743717599</v>
      </c>
      <c r="C656">
        <v>38782.677309544801</v>
      </c>
      <c r="D656" s="735">
        <v>24169.562840883224</v>
      </c>
      <c r="E656" s="735">
        <v>241.9682851262254</v>
      </c>
      <c r="F656" s="735">
        <v>4568.9709562539483</v>
      </c>
      <c r="H656" s="741">
        <v>654</v>
      </c>
      <c r="I656" s="735">
        <v>727.56680811577405</v>
      </c>
      <c r="J656">
        <f t="shared" si="20"/>
        <v>4568.9709562539483</v>
      </c>
      <c r="K656" s="735">
        <v>93.031690479999995</v>
      </c>
      <c r="L656">
        <f t="shared" si="20"/>
        <v>241.9682851262254</v>
      </c>
      <c r="M656" s="742">
        <v>2335.0068379999998</v>
      </c>
      <c r="N656">
        <f t="shared" si="21"/>
        <v>24169.562840883224</v>
      </c>
    </row>
    <row r="657" spans="1:14" ht="15.5" x14ac:dyDescent="0.35">
      <c r="A657">
        <v>47.9692351077084</v>
      </c>
      <c r="B657">
        <v>1424.38226128573</v>
      </c>
      <c r="C657">
        <v>12604.544258099701</v>
      </c>
      <c r="D657" s="735">
        <v>15188.149677021909</v>
      </c>
      <c r="E657" s="735">
        <v>15140.01544636849</v>
      </c>
      <c r="F657" s="735">
        <v>173.01072412351627</v>
      </c>
      <c r="H657" s="741">
        <v>655</v>
      </c>
      <c r="I657" s="735">
        <v>73.561591515251095</v>
      </c>
      <c r="J657">
        <f t="shared" si="20"/>
        <v>173.01072412351627</v>
      </c>
      <c r="K657" s="735">
        <v>1683.0166899999999</v>
      </c>
      <c r="L657">
        <f t="shared" si="20"/>
        <v>15140.01544636849</v>
      </c>
      <c r="M657" s="742">
        <v>1686.760444</v>
      </c>
      <c r="N657">
        <f t="shared" si="21"/>
        <v>15188.149677021909</v>
      </c>
    </row>
    <row r="658" spans="1:14" ht="15.5" x14ac:dyDescent="0.35">
      <c r="A658">
        <v>18.544777433767099</v>
      </c>
      <c r="B658">
        <v>3886.5247403591502</v>
      </c>
      <c r="C658">
        <v>3130.0845775233602</v>
      </c>
      <c r="D658" s="735">
        <v>17004.549767435845</v>
      </c>
      <c r="E658" s="735">
        <v>81871.419147439461</v>
      </c>
      <c r="F658" s="735">
        <v>807.02025193791394</v>
      </c>
      <c r="H658" s="741">
        <v>656</v>
      </c>
      <c r="I658" s="735">
        <v>216.18178743020101</v>
      </c>
      <c r="J658">
        <f t="shared" si="20"/>
        <v>807.02025193791394</v>
      </c>
      <c r="K658" s="735">
        <v>5485.2019650000002</v>
      </c>
      <c r="L658">
        <f t="shared" si="20"/>
        <v>81871.419147439461</v>
      </c>
      <c r="M658" s="742">
        <v>1825.5578350000001</v>
      </c>
      <c r="N658">
        <f t="shared" si="21"/>
        <v>17004.549767435845</v>
      </c>
    </row>
    <row r="659" spans="1:14" ht="15.5" x14ac:dyDescent="0.35">
      <c r="A659">
        <v>1894.3572592513301</v>
      </c>
      <c r="B659">
        <v>1821.04471570802</v>
      </c>
      <c r="C659">
        <v>6265.6724259045905</v>
      </c>
      <c r="D659" s="735">
        <v>3063.3788411986634</v>
      </c>
      <c r="E659" s="735">
        <v>56.152960419166895</v>
      </c>
      <c r="F659" s="735">
        <v>1533.2714584683295</v>
      </c>
      <c r="H659" s="741">
        <v>657</v>
      </c>
      <c r="I659" s="735">
        <v>338.79214772195297</v>
      </c>
      <c r="J659">
        <f t="shared" si="20"/>
        <v>1533.2714584683295</v>
      </c>
      <c r="K659" s="735">
        <v>33.462690780000003</v>
      </c>
      <c r="L659">
        <f t="shared" si="20"/>
        <v>56.152960419166895</v>
      </c>
      <c r="M659" s="742">
        <v>549.97189419999995</v>
      </c>
      <c r="N659">
        <f t="shared" si="21"/>
        <v>3063.3788411986634</v>
      </c>
    </row>
    <row r="660" spans="1:14" ht="15.5" x14ac:dyDescent="0.35">
      <c r="A660">
        <v>203.463938325133</v>
      </c>
      <c r="B660">
        <v>443.17093891926902</v>
      </c>
      <c r="C660">
        <v>281.25117454679901</v>
      </c>
      <c r="D660" s="735">
        <v>180939.9437171602</v>
      </c>
      <c r="E660" s="735">
        <v>151095.70388607343</v>
      </c>
      <c r="F660" s="735">
        <v>16098.037009426174</v>
      </c>
      <c r="H660" s="741">
        <v>658</v>
      </c>
      <c r="I660" s="735">
        <v>1756.87573665528</v>
      </c>
      <c r="J660">
        <f t="shared" si="20"/>
        <v>16098.037009426174</v>
      </c>
      <c r="K660" s="735">
        <v>8423.1877550000008</v>
      </c>
      <c r="L660">
        <f t="shared" si="20"/>
        <v>151095.70388607343</v>
      </c>
      <c r="M660" s="742">
        <v>9555.9554329999992</v>
      </c>
      <c r="N660">
        <f t="shared" si="21"/>
        <v>180939.9437171602</v>
      </c>
    </row>
    <row r="661" spans="1:14" ht="15.5" x14ac:dyDescent="0.35">
      <c r="A661">
        <v>1614.82399916489</v>
      </c>
      <c r="B661">
        <v>130.460582471176</v>
      </c>
      <c r="C661">
        <v>3108.1439984738799</v>
      </c>
      <c r="D661" s="735">
        <v>11740.80152242545</v>
      </c>
      <c r="E661" s="735">
        <v>2145.3549018089766</v>
      </c>
      <c r="F661" s="735">
        <v>5.7577148474419229</v>
      </c>
      <c r="H661" s="741">
        <v>659</v>
      </c>
      <c r="I661" s="735">
        <v>6.7947754152096103</v>
      </c>
      <c r="J661">
        <f t="shared" si="20"/>
        <v>5.7577148474419229</v>
      </c>
      <c r="K661" s="735">
        <v>428.59727240000001</v>
      </c>
      <c r="L661">
        <f t="shared" si="20"/>
        <v>2145.3549018089766</v>
      </c>
      <c r="M661" s="742">
        <v>1408.6023949999999</v>
      </c>
      <c r="N661">
        <f t="shared" si="21"/>
        <v>11740.80152242545</v>
      </c>
    </row>
    <row r="662" spans="1:14" ht="15.5" x14ac:dyDescent="0.35">
      <c r="A662">
        <v>2704.97733080543</v>
      </c>
      <c r="B662">
        <v>38.304823344891602</v>
      </c>
      <c r="C662">
        <v>40.1268285879082</v>
      </c>
      <c r="D662" s="735">
        <v>86287.324960677841</v>
      </c>
      <c r="E662" s="735">
        <v>3254.4752583063705</v>
      </c>
      <c r="F662" s="735">
        <v>7837.0870889417802</v>
      </c>
      <c r="H662" s="741">
        <v>660</v>
      </c>
      <c r="I662" s="735">
        <v>1061.4713360907001</v>
      </c>
      <c r="J662">
        <f t="shared" si="20"/>
        <v>7837.0870889417802</v>
      </c>
      <c r="K662" s="735">
        <v>573.7684739</v>
      </c>
      <c r="L662">
        <f t="shared" si="20"/>
        <v>3254.4752583063705</v>
      </c>
      <c r="M662" s="742">
        <v>5690.6634750000003</v>
      </c>
      <c r="N662">
        <f t="shared" si="21"/>
        <v>86287.324960677841</v>
      </c>
    </row>
    <row r="663" spans="1:14" ht="15.5" x14ac:dyDescent="0.35">
      <c r="A663">
        <v>76.664981803363702</v>
      </c>
      <c r="B663">
        <v>72.378583339095101</v>
      </c>
      <c r="C663">
        <v>34539.269237794899</v>
      </c>
      <c r="D663" s="735">
        <v>26893.042879021974</v>
      </c>
      <c r="E663" s="735">
        <v>668.25999891563879</v>
      </c>
      <c r="F663" s="735">
        <v>125.22989219198973</v>
      </c>
      <c r="H663" s="741">
        <v>661</v>
      </c>
      <c r="I663" s="735">
        <v>58.667232891613999</v>
      </c>
      <c r="J663">
        <f t="shared" si="20"/>
        <v>125.22989219198973</v>
      </c>
      <c r="K663" s="735">
        <v>189.4356995</v>
      </c>
      <c r="L663">
        <f t="shared" si="20"/>
        <v>668.25999891563879</v>
      </c>
      <c r="M663" s="742">
        <v>2516.2162400000002</v>
      </c>
      <c r="N663">
        <f t="shared" si="21"/>
        <v>26893.042879021974</v>
      </c>
    </row>
    <row r="664" spans="1:14" ht="15.5" x14ac:dyDescent="0.35">
      <c r="A664">
        <v>558.49965212462803</v>
      </c>
      <c r="B664">
        <v>52.6186070099087</v>
      </c>
      <c r="C664">
        <v>22701.270231021899</v>
      </c>
      <c r="D664" s="735">
        <v>95627.368012087056</v>
      </c>
      <c r="E664" s="735">
        <v>2383.9509897230937</v>
      </c>
      <c r="F664" s="735">
        <v>13.30542981267244</v>
      </c>
      <c r="H664" s="741">
        <v>662</v>
      </c>
      <c r="I664" s="735">
        <v>12.212940347739901</v>
      </c>
      <c r="J664">
        <f t="shared" si="20"/>
        <v>13.30542981267244</v>
      </c>
      <c r="K664" s="735">
        <v>461.43244270000002</v>
      </c>
      <c r="L664">
        <f t="shared" si="20"/>
        <v>2383.9509897230937</v>
      </c>
      <c r="M664" s="742">
        <v>6115.156019</v>
      </c>
      <c r="N664">
        <f t="shared" si="21"/>
        <v>95627.368012087056</v>
      </c>
    </row>
    <row r="665" spans="1:14" ht="15.5" x14ac:dyDescent="0.35">
      <c r="A665">
        <v>923.89596738070497</v>
      </c>
      <c r="B665">
        <v>159.40398582790701</v>
      </c>
      <c r="C665">
        <v>40.761830899944002</v>
      </c>
      <c r="D665" s="735">
        <v>77138.905870286399</v>
      </c>
      <c r="E665" s="735">
        <v>2593.3525506640631</v>
      </c>
      <c r="F665" s="735">
        <v>329.20854053873961</v>
      </c>
      <c r="H665" s="741">
        <v>663</v>
      </c>
      <c r="I665" s="735">
        <v>115.406365878454</v>
      </c>
      <c r="J665">
        <f t="shared" si="20"/>
        <v>329.20854053873961</v>
      </c>
      <c r="K665" s="735">
        <v>489.44409400000001</v>
      </c>
      <c r="L665">
        <f t="shared" si="20"/>
        <v>2593.3525506640631</v>
      </c>
      <c r="M665" s="742">
        <v>5261.2802069999998</v>
      </c>
      <c r="N665">
        <f t="shared" si="21"/>
        <v>77138.905870286399</v>
      </c>
    </row>
    <row r="666" spans="1:14" ht="15.5" x14ac:dyDescent="0.35">
      <c r="A666">
        <v>9462.6623123721092</v>
      </c>
      <c r="B666">
        <v>539.84088150911202</v>
      </c>
      <c r="C666">
        <v>41849.062322326798</v>
      </c>
      <c r="D666" s="735">
        <v>84226.94757271964</v>
      </c>
      <c r="E666" s="735">
        <v>6491.9053498995772</v>
      </c>
      <c r="F666" s="735">
        <v>1517.9119084443589</v>
      </c>
      <c r="H666" s="741">
        <v>664</v>
      </c>
      <c r="I666" s="735">
        <v>336.41286662436102</v>
      </c>
      <c r="J666">
        <f t="shared" si="20"/>
        <v>1517.9119084443589</v>
      </c>
      <c r="K666" s="735">
        <v>930.3803418</v>
      </c>
      <c r="L666">
        <f t="shared" si="20"/>
        <v>6491.9053498995772</v>
      </c>
      <c r="M666" s="742">
        <v>5595.2016540000004</v>
      </c>
      <c r="N666">
        <f t="shared" si="21"/>
        <v>84226.94757271964</v>
      </c>
    </row>
    <row r="667" spans="1:14" ht="15.5" x14ac:dyDescent="0.35">
      <c r="A667">
        <v>10.9407141466243</v>
      </c>
      <c r="B667">
        <v>146.74404736231801</v>
      </c>
      <c r="C667">
        <v>39.872843241186402</v>
      </c>
      <c r="D667" s="735">
        <v>10746.956570846209</v>
      </c>
      <c r="E667" s="735">
        <v>24271.896190959629</v>
      </c>
      <c r="F667" s="735">
        <v>7416.9715383733765</v>
      </c>
      <c r="H667" s="741">
        <v>665</v>
      </c>
      <c r="I667" s="735">
        <v>1021.31245623828</v>
      </c>
      <c r="J667">
        <f t="shared" si="20"/>
        <v>7416.9715383733765</v>
      </c>
      <c r="K667" s="735">
        <v>2341.9229049999999</v>
      </c>
      <c r="L667">
        <f t="shared" si="20"/>
        <v>24271.896190959629</v>
      </c>
      <c r="M667" s="742">
        <v>1324.036159</v>
      </c>
      <c r="N667">
        <f t="shared" si="21"/>
        <v>10746.956570846209</v>
      </c>
    </row>
    <row r="668" spans="1:14" ht="15.5" x14ac:dyDescent="0.35">
      <c r="A668">
        <v>145.30465333301001</v>
      </c>
      <c r="B668">
        <v>188.21803351786099</v>
      </c>
      <c r="C668">
        <v>262.00377736224499</v>
      </c>
      <c r="D668" s="735">
        <v>29473.831987727357</v>
      </c>
      <c r="E668" s="735">
        <v>132.27964620406127</v>
      </c>
      <c r="F668" s="735">
        <v>7511.9056960885264</v>
      </c>
      <c r="H668" s="741">
        <v>666</v>
      </c>
      <c r="I668" s="735">
        <v>1030.4456471916001</v>
      </c>
      <c r="J668">
        <f t="shared" si="20"/>
        <v>7511.9056960885264</v>
      </c>
      <c r="K668" s="735">
        <v>60.960022309999999</v>
      </c>
      <c r="L668">
        <f t="shared" si="20"/>
        <v>132.27964620406127</v>
      </c>
      <c r="M668" s="742">
        <v>2682.9070240000001</v>
      </c>
      <c r="N668">
        <f t="shared" si="21"/>
        <v>29473.831987727357</v>
      </c>
    </row>
    <row r="669" spans="1:14" ht="15.5" x14ac:dyDescent="0.35">
      <c r="A669">
        <v>347.77351164684501</v>
      </c>
      <c r="B669">
        <v>124.84342637348099</v>
      </c>
      <c r="C669">
        <v>1697.78301744641</v>
      </c>
      <c r="D669" s="735">
        <v>138994.17193993952</v>
      </c>
      <c r="E669" s="735">
        <v>1254.3510131690743</v>
      </c>
      <c r="F669" s="735">
        <v>214.23803772330399</v>
      </c>
      <c r="H669" s="741">
        <v>667</v>
      </c>
      <c r="I669" s="735">
        <v>85.433383658304606</v>
      </c>
      <c r="J669">
        <f t="shared" si="20"/>
        <v>214.23803772330399</v>
      </c>
      <c r="K669" s="735">
        <v>294.3698723</v>
      </c>
      <c r="L669">
        <f t="shared" si="20"/>
        <v>1254.3510131690743</v>
      </c>
      <c r="M669" s="742">
        <v>7945.0679049999999</v>
      </c>
      <c r="N669">
        <f t="shared" si="21"/>
        <v>138994.17193993952</v>
      </c>
    </row>
    <row r="670" spans="1:14" ht="15.5" x14ac:dyDescent="0.35">
      <c r="A670">
        <v>6037.1586539741002</v>
      </c>
      <c r="B670">
        <v>159.39462727336701</v>
      </c>
      <c r="C670">
        <v>3691.9695413242698</v>
      </c>
      <c r="D670" s="735">
        <v>20865.652077128496</v>
      </c>
      <c r="E670" s="735">
        <v>16.700010938029447</v>
      </c>
      <c r="F670" s="735">
        <v>50.933903205765972</v>
      </c>
      <c r="H670" s="741">
        <v>668</v>
      </c>
      <c r="I670" s="735">
        <v>31.253946978406699</v>
      </c>
      <c r="J670">
        <f t="shared" si="20"/>
        <v>50.933903205765972</v>
      </c>
      <c r="K670" s="735">
        <v>14.31863864</v>
      </c>
      <c r="L670">
        <f t="shared" si="20"/>
        <v>16.700010938029447</v>
      </c>
      <c r="M670" s="742">
        <v>2106.698437</v>
      </c>
      <c r="N670">
        <f t="shared" si="21"/>
        <v>20865.652077128496</v>
      </c>
    </row>
    <row r="671" spans="1:14" ht="15.5" x14ac:dyDescent="0.35">
      <c r="A671">
        <v>367.26448161742201</v>
      </c>
      <c r="B671">
        <v>409.82944882774802</v>
      </c>
      <c r="C671">
        <v>200.145271022054</v>
      </c>
      <c r="D671" s="735">
        <v>8337.3650306859381</v>
      </c>
      <c r="E671" s="735">
        <v>2087922.1023433441</v>
      </c>
      <c r="F671" s="735">
        <v>8816.1024259118603</v>
      </c>
      <c r="H671" s="741">
        <v>669</v>
      </c>
      <c r="I671" s="735">
        <v>1152.63987321797</v>
      </c>
      <c r="J671">
        <f t="shared" si="20"/>
        <v>8816.1024259118603</v>
      </c>
      <c r="K671" s="735">
        <v>52941.958610000001</v>
      </c>
      <c r="L671">
        <f t="shared" si="20"/>
        <v>2087922.1023433441</v>
      </c>
      <c r="M671" s="742">
        <v>1108.460372</v>
      </c>
      <c r="N671">
        <f t="shared" si="21"/>
        <v>8337.3650306859381</v>
      </c>
    </row>
    <row r="672" spans="1:14" ht="15.5" x14ac:dyDescent="0.35">
      <c r="A672">
        <v>492.70008650350502</v>
      </c>
      <c r="B672">
        <v>396.87809409299598</v>
      </c>
      <c r="C672">
        <v>76224.037958777306</v>
      </c>
      <c r="D672" s="735">
        <v>5430.5590261332482</v>
      </c>
      <c r="E672" s="735">
        <v>56226.717328588391</v>
      </c>
      <c r="F672" s="735">
        <v>741.06609198198987</v>
      </c>
      <c r="H672" s="741">
        <v>670</v>
      </c>
      <c r="I672" s="735">
        <v>203.657242696157</v>
      </c>
      <c r="J672">
        <f t="shared" si="20"/>
        <v>741.06609198198987</v>
      </c>
      <c r="K672" s="735">
        <v>4216.5757839999997</v>
      </c>
      <c r="L672">
        <f t="shared" si="20"/>
        <v>56226.717328588391</v>
      </c>
      <c r="M672" s="742">
        <v>821.09078280000006</v>
      </c>
      <c r="N672">
        <f t="shared" si="21"/>
        <v>5430.5590261332482</v>
      </c>
    </row>
    <row r="673" spans="1:14" ht="15.5" x14ac:dyDescent="0.35">
      <c r="A673">
        <v>25029.2876747517</v>
      </c>
      <c r="B673">
        <v>2262.4600035851599</v>
      </c>
      <c r="C673">
        <v>556.46741006313596</v>
      </c>
      <c r="D673" s="735">
        <v>19795.064901906237</v>
      </c>
      <c r="E673" s="735">
        <v>3030.713581743265</v>
      </c>
      <c r="F673" s="735">
        <v>21441.679413163147</v>
      </c>
      <c r="H673" s="741">
        <v>671</v>
      </c>
      <c r="I673" s="735">
        <v>2147.2428181485002</v>
      </c>
      <c r="J673">
        <f t="shared" si="20"/>
        <v>21441.679413163147</v>
      </c>
      <c r="K673" s="735">
        <v>545.86019580000004</v>
      </c>
      <c r="L673">
        <f t="shared" si="20"/>
        <v>3030.713581743265</v>
      </c>
      <c r="M673" s="742">
        <v>2030.438553</v>
      </c>
      <c r="N673">
        <f t="shared" si="21"/>
        <v>19795.064901906237</v>
      </c>
    </row>
    <row r="674" spans="1:14" ht="15.5" x14ac:dyDescent="0.35">
      <c r="A674">
        <v>63.533435978009699</v>
      </c>
      <c r="B674">
        <v>816.09174346356997</v>
      </c>
      <c r="C674">
        <v>359.979058599795</v>
      </c>
      <c r="D674" s="735">
        <v>16720.986393586689</v>
      </c>
      <c r="E674" s="735">
        <v>2077.3452784306078</v>
      </c>
      <c r="F674" s="735">
        <v>12.494917543899945</v>
      </c>
      <c r="H674" s="741">
        <v>672</v>
      </c>
      <c r="I674" s="735">
        <v>11.687278043388501</v>
      </c>
      <c r="J674">
        <f t="shared" si="20"/>
        <v>12.494917543899945</v>
      </c>
      <c r="K674" s="735">
        <v>419.04057890000001</v>
      </c>
      <c r="L674">
        <f t="shared" si="20"/>
        <v>2077.3452784306078</v>
      </c>
      <c r="M674" s="742">
        <v>1804.194379</v>
      </c>
      <c r="N674">
        <f t="shared" si="21"/>
        <v>16720.986393586689</v>
      </c>
    </row>
    <row r="675" spans="1:14" ht="15.5" x14ac:dyDescent="0.35">
      <c r="A675">
        <v>1914.35502662104</v>
      </c>
      <c r="B675">
        <v>430.522192601119</v>
      </c>
      <c r="C675">
        <v>483.46549244318498</v>
      </c>
      <c r="D675" s="735">
        <v>4215.7243603825282</v>
      </c>
      <c r="E675" s="735">
        <v>2576.432138831507</v>
      </c>
      <c r="F675" s="735">
        <v>4117.2191116435424</v>
      </c>
      <c r="H675" s="741">
        <v>673</v>
      </c>
      <c r="I675" s="735">
        <v>676.42988398177204</v>
      </c>
      <c r="J675">
        <f t="shared" si="20"/>
        <v>4117.2191116435424</v>
      </c>
      <c r="K675" s="735">
        <v>487.2065245</v>
      </c>
      <c r="L675">
        <f t="shared" si="20"/>
        <v>2576.432138831507</v>
      </c>
      <c r="M675" s="742">
        <v>687.71824330000004</v>
      </c>
      <c r="N675">
        <f t="shared" si="21"/>
        <v>4215.7243603825282</v>
      </c>
    </row>
    <row r="676" spans="1:14" ht="15.5" x14ac:dyDescent="0.35">
      <c r="A676">
        <v>922.86875281081905</v>
      </c>
      <c r="B676">
        <v>220.294925604583</v>
      </c>
      <c r="C676">
        <v>7486.9236612497898</v>
      </c>
      <c r="D676" s="735">
        <v>2223.8676807333691</v>
      </c>
      <c r="E676" s="735">
        <v>7143.1513101926166</v>
      </c>
      <c r="F676" s="735">
        <v>1429.4208645247518</v>
      </c>
      <c r="H676" s="741">
        <v>674</v>
      </c>
      <c r="I676" s="735">
        <v>322.56116716020699</v>
      </c>
      <c r="J676">
        <f t="shared" si="20"/>
        <v>1429.4208645247518</v>
      </c>
      <c r="K676" s="735">
        <v>994.77049320000003</v>
      </c>
      <c r="L676">
        <f t="shared" si="20"/>
        <v>7143.1513101926166</v>
      </c>
      <c r="M676" s="742">
        <v>439.51758960000001</v>
      </c>
      <c r="N676">
        <f t="shared" si="21"/>
        <v>2223.8676807333691</v>
      </c>
    </row>
    <row r="677" spans="1:14" ht="15.5" x14ac:dyDescent="0.35">
      <c r="A677">
        <v>705.25391354497901</v>
      </c>
      <c r="B677">
        <v>682.014093294688</v>
      </c>
      <c r="C677">
        <v>2648.8520248107002</v>
      </c>
      <c r="D677" s="735">
        <v>14583.183928831217</v>
      </c>
      <c r="E677" s="735">
        <v>1456.5936426916596</v>
      </c>
      <c r="F677" s="735">
        <v>150.97388590659907</v>
      </c>
      <c r="H677" s="741">
        <v>675</v>
      </c>
      <c r="I677" s="735">
        <v>66.869993876208</v>
      </c>
      <c r="J677">
        <f t="shared" si="20"/>
        <v>150.97388590659907</v>
      </c>
      <c r="K677" s="735">
        <v>326.84126830000002</v>
      </c>
      <c r="L677">
        <f t="shared" si="20"/>
        <v>1456.5936426916596</v>
      </c>
      <c r="M677" s="742">
        <v>1639.444229</v>
      </c>
      <c r="N677">
        <f t="shared" si="21"/>
        <v>14583.183928831217</v>
      </c>
    </row>
    <row r="678" spans="1:14" ht="15.5" x14ac:dyDescent="0.35">
      <c r="A678">
        <v>317.91984855581097</v>
      </c>
      <c r="B678">
        <v>231.62866387035501</v>
      </c>
      <c r="C678">
        <v>542.03978292873603</v>
      </c>
      <c r="D678" s="735">
        <v>181950.45765242202</v>
      </c>
      <c r="E678" s="735">
        <v>31750.283268786563</v>
      </c>
      <c r="F678" s="735">
        <v>152.01796232266284</v>
      </c>
      <c r="H678" s="741">
        <v>676</v>
      </c>
      <c r="I678" s="735">
        <v>67.193371806059503</v>
      </c>
      <c r="J678">
        <f t="shared" si="20"/>
        <v>152.01796232266284</v>
      </c>
      <c r="K678" s="735">
        <v>2826.3329589999998</v>
      </c>
      <c r="L678">
        <f t="shared" si="20"/>
        <v>31750.283268786563</v>
      </c>
      <c r="M678" s="742">
        <v>9593.2819029999991</v>
      </c>
      <c r="N678">
        <f t="shared" si="21"/>
        <v>181950.45765242202</v>
      </c>
    </row>
    <row r="679" spans="1:14" ht="15.5" x14ac:dyDescent="0.35">
      <c r="A679">
        <v>1292.70173818993</v>
      </c>
      <c r="B679">
        <v>103.882790891604</v>
      </c>
      <c r="C679">
        <v>33442.257856551201</v>
      </c>
      <c r="D679" s="735">
        <v>65508.983097510551</v>
      </c>
      <c r="E679" s="735">
        <v>53066.355724705274</v>
      </c>
      <c r="F679" s="735">
        <v>502.69037945891785</v>
      </c>
      <c r="H679" s="741">
        <v>677</v>
      </c>
      <c r="I679" s="735">
        <v>155.20667732767399</v>
      </c>
      <c r="J679">
        <f t="shared" si="20"/>
        <v>502.69037945891785</v>
      </c>
      <c r="K679" s="735">
        <v>4049.2396869999998</v>
      </c>
      <c r="L679">
        <f t="shared" si="20"/>
        <v>53066.355724705274</v>
      </c>
      <c r="M679" s="742">
        <v>4692.5682790000001</v>
      </c>
      <c r="N679">
        <f t="shared" si="21"/>
        <v>65508.983097510551</v>
      </c>
    </row>
    <row r="680" spans="1:14" ht="15.5" x14ac:dyDescent="0.35">
      <c r="A680">
        <v>220.61597212696401</v>
      </c>
      <c r="B680">
        <v>50.506044010499302</v>
      </c>
      <c r="C680">
        <v>966.50061926379999</v>
      </c>
      <c r="D680" s="735">
        <v>10399.010213090969</v>
      </c>
      <c r="E680" s="735">
        <v>5404.8897366489073</v>
      </c>
      <c r="F680" s="735">
        <v>396.20939928683174</v>
      </c>
      <c r="H680" s="741">
        <v>678</v>
      </c>
      <c r="I680" s="735">
        <v>131.385470873782</v>
      </c>
      <c r="J680">
        <f t="shared" si="20"/>
        <v>396.20939928683174</v>
      </c>
      <c r="K680" s="735">
        <v>818.3720472</v>
      </c>
      <c r="L680">
        <f t="shared" si="20"/>
        <v>5404.8897366489073</v>
      </c>
      <c r="M680" s="742">
        <v>1293.881202</v>
      </c>
      <c r="N680">
        <f t="shared" si="21"/>
        <v>10399.010213090969</v>
      </c>
    </row>
    <row r="681" spans="1:14" ht="15.5" x14ac:dyDescent="0.35">
      <c r="A681">
        <v>170.99161873422199</v>
      </c>
      <c r="B681">
        <v>32.228345528441601</v>
      </c>
      <c r="C681">
        <v>1989.9741068461699</v>
      </c>
      <c r="D681" s="735">
        <v>7860.2487156331754</v>
      </c>
      <c r="E681" s="735">
        <v>2993.1484734172432</v>
      </c>
      <c r="F681" s="735">
        <v>10249.1529101738</v>
      </c>
      <c r="H681" s="741">
        <v>679</v>
      </c>
      <c r="I681" s="735">
        <v>1280.8007723031701</v>
      </c>
      <c r="J681">
        <f t="shared" si="20"/>
        <v>10249.1529101738</v>
      </c>
      <c r="K681" s="735">
        <v>541.11526070000002</v>
      </c>
      <c r="L681">
        <f t="shared" si="20"/>
        <v>2993.1484734172432</v>
      </c>
      <c r="M681" s="742">
        <v>1063.666305</v>
      </c>
      <c r="N681">
        <f t="shared" si="21"/>
        <v>7860.2487156331754</v>
      </c>
    </row>
    <row r="682" spans="1:14" ht="15.5" x14ac:dyDescent="0.35">
      <c r="A682">
        <v>972.98430752604304</v>
      </c>
      <c r="B682">
        <v>1309.36198325855</v>
      </c>
      <c r="C682">
        <v>4368.2238258728803</v>
      </c>
      <c r="D682" s="735">
        <v>15320.497636496026</v>
      </c>
      <c r="E682" s="735">
        <v>4143.8267877498301</v>
      </c>
      <c r="F682" s="735">
        <v>1117.5246086122484</v>
      </c>
      <c r="H682" s="741">
        <v>680</v>
      </c>
      <c r="I682" s="735">
        <v>271.506334626804</v>
      </c>
      <c r="J682">
        <f t="shared" si="20"/>
        <v>1117.5246086122484</v>
      </c>
      <c r="K682" s="735">
        <v>679.48694260000002</v>
      </c>
      <c r="L682">
        <f t="shared" si="20"/>
        <v>4143.8267877498301</v>
      </c>
      <c r="M682" s="742">
        <v>1697.0358249999999</v>
      </c>
      <c r="N682">
        <f t="shared" si="21"/>
        <v>15320.497636496026</v>
      </c>
    </row>
    <row r="683" spans="1:14" ht="15.5" x14ac:dyDescent="0.35">
      <c r="A683">
        <v>262.97063850143098</v>
      </c>
      <c r="B683">
        <v>154.75064319112701</v>
      </c>
      <c r="C683">
        <v>23046.109972731902</v>
      </c>
      <c r="D683" s="735">
        <v>3468.455789522709</v>
      </c>
      <c r="E683" s="735">
        <v>62952.285113775702</v>
      </c>
      <c r="F683" s="735">
        <v>332.25554896904328</v>
      </c>
      <c r="H683" s="741">
        <v>681</v>
      </c>
      <c r="I683" s="735">
        <v>116.153037098512</v>
      </c>
      <c r="J683">
        <f t="shared" si="20"/>
        <v>332.25554896904328</v>
      </c>
      <c r="K683" s="735">
        <v>4563.6050230000001</v>
      </c>
      <c r="L683">
        <f t="shared" si="20"/>
        <v>62952.285113775702</v>
      </c>
      <c r="M683" s="742">
        <v>599.92272630000002</v>
      </c>
      <c r="N683">
        <f t="shared" si="21"/>
        <v>3468.455789522709</v>
      </c>
    </row>
    <row r="684" spans="1:14" ht="15.5" x14ac:dyDescent="0.35">
      <c r="A684">
        <v>499.85911712279398</v>
      </c>
      <c r="B684">
        <v>435.43245620225002</v>
      </c>
      <c r="C684">
        <v>8360.4361560051402</v>
      </c>
      <c r="D684" s="735">
        <v>10491.62772626374</v>
      </c>
      <c r="E684" s="735">
        <v>3304.0027613824891</v>
      </c>
      <c r="F684" s="735">
        <v>2062.5117540908109</v>
      </c>
      <c r="H684" s="741">
        <v>682</v>
      </c>
      <c r="I684" s="735">
        <v>416.943783058012</v>
      </c>
      <c r="J684">
        <f t="shared" si="20"/>
        <v>2062.5117540908109</v>
      </c>
      <c r="K684" s="735">
        <v>579.86684939999998</v>
      </c>
      <c r="L684">
        <f t="shared" si="20"/>
        <v>3304.0027613824891</v>
      </c>
      <c r="M684" s="742">
        <v>1301.9371229999999</v>
      </c>
      <c r="N684">
        <f t="shared" si="21"/>
        <v>10491.62772626374</v>
      </c>
    </row>
    <row r="685" spans="1:14" ht="15.5" x14ac:dyDescent="0.35">
      <c r="A685">
        <v>60.246933226362401</v>
      </c>
      <c r="B685">
        <v>308.79702331276701</v>
      </c>
      <c r="C685">
        <v>5535.3401975371798</v>
      </c>
      <c r="D685" s="735">
        <v>12252.42953286412</v>
      </c>
      <c r="E685" s="735">
        <v>431.29969120340343</v>
      </c>
      <c r="F685" s="735">
        <v>728.38057159275786</v>
      </c>
      <c r="H685" s="741">
        <v>683</v>
      </c>
      <c r="I685" s="735">
        <v>201.21059587721399</v>
      </c>
      <c r="J685">
        <f t="shared" si="20"/>
        <v>728.38057159275786</v>
      </c>
      <c r="K685" s="735">
        <v>139.4265249</v>
      </c>
      <c r="L685">
        <f t="shared" si="20"/>
        <v>431.29969120340343</v>
      </c>
      <c r="M685" s="742">
        <v>1451.2945</v>
      </c>
      <c r="N685">
        <f t="shared" si="21"/>
        <v>12252.42953286412</v>
      </c>
    </row>
    <row r="686" spans="1:14" ht="15.5" x14ac:dyDescent="0.35">
      <c r="A686">
        <v>343.59457485454499</v>
      </c>
      <c r="B686">
        <v>310.929772370102</v>
      </c>
      <c r="C686">
        <v>5435.6918690866496</v>
      </c>
      <c r="D686" s="735">
        <v>174292.99581928333</v>
      </c>
      <c r="E686" s="735">
        <v>123281.40696450835</v>
      </c>
      <c r="F686" s="735">
        <v>126.52846714306648</v>
      </c>
      <c r="H686" s="741">
        <v>684</v>
      </c>
      <c r="I686" s="735">
        <v>59.092419562202402</v>
      </c>
      <c r="J686">
        <f t="shared" si="20"/>
        <v>126.52846714306648</v>
      </c>
      <c r="K686" s="735">
        <v>7305.1360320000003</v>
      </c>
      <c r="L686">
        <f t="shared" si="20"/>
        <v>123281.40696450835</v>
      </c>
      <c r="M686" s="742">
        <v>9308.8483300000007</v>
      </c>
      <c r="N686">
        <f t="shared" si="21"/>
        <v>174292.99581928333</v>
      </c>
    </row>
    <row r="687" spans="1:14" ht="15.5" x14ac:dyDescent="0.35">
      <c r="A687">
        <v>46.936522528354601</v>
      </c>
      <c r="B687">
        <v>482.56528724001402</v>
      </c>
      <c r="C687">
        <v>8255.8983562434296</v>
      </c>
      <c r="D687" s="735">
        <v>153011.3635731634</v>
      </c>
      <c r="E687" s="735">
        <v>881552.59537395462</v>
      </c>
      <c r="F687" s="735">
        <v>8641.1760477129737</v>
      </c>
      <c r="H687" s="741">
        <v>685</v>
      </c>
      <c r="I687" s="735">
        <v>1136.58258452668</v>
      </c>
      <c r="J687">
        <f t="shared" si="20"/>
        <v>8641.1760477129737</v>
      </c>
      <c r="K687" s="735">
        <v>28951.679329999999</v>
      </c>
      <c r="L687">
        <f t="shared" si="20"/>
        <v>881552.59537395462</v>
      </c>
      <c r="M687" s="742">
        <v>8497.801453</v>
      </c>
      <c r="N687">
        <f t="shared" si="21"/>
        <v>153011.3635731634</v>
      </c>
    </row>
    <row r="688" spans="1:14" ht="15.5" x14ac:dyDescent="0.35">
      <c r="A688">
        <v>687.59479689183297</v>
      </c>
      <c r="B688">
        <v>271.166998537815</v>
      </c>
      <c r="C688">
        <v>344.76703503285802</v>
      </c>
      <c r="D688" s="735">
        <v>10513.224136678871</v>
      </c>
      <c r="E688" s="735">
        <v>63492.695065221786</v>
      </c>
      <c r="F688" s="735">
        <v>650.97683737527962</v>
      </c>
      <c r="H688" s="741">
        <v>686</v>
      </c>
      <c r="I688" s="735">
        <v>185.99268983026499</v>
      </c>
      <c r="J688">
        <f t="shared" si="20"/>
        <v>650.97683737527962</v>
      </c>
      <c r="K688" s="735">
        <v>4590.9930290000002</v>
      </c>
      <c r="L688">
        <f t="shared" si="20"/>
        <v>63492.695065221786</v>
      </c>
      <c r="M688" s="742">
        <v>1303.812518</v>
      </c>
      <c r="N688">
        <f t="shared" si="21"/>
        <v>10513.224136678871</v>
      </c>
    </row>
    <row r="689" spans="1:14" ht="15.5" x14ac:dyDescent="0.35">
      <c r="A689">
        <v>11.225992447696701</v>
      </c>
      <c r="B689">
        <v>274.05856124115502</v>
      </c>
      <c r="C689">
        <v>1313.2811998837699</v>
      </c>
      <c r="D689" s="735">
        <v>38638.623314033968</v>
      </c>
      <c r="E689" s="735">
        <v>4354.8091431330895</v>
      </c>
      <c r="F689" s="735">
        <v>10698.543099670322</v>
      </c>
      <c r="H689" s="741">
        <v>687</v>
      </c>
      <c r="I689" s="735">
        <v>1319.8581193827599</v>
      </c>
      <c r="J689">
        <f t="shared" si="20"/>
        <v>10698.543099670322</v>
      </c>
      <c r="K689" s="735">
        <v>703.52314260000003</v>
      </c>
      <c r="L689">
        <f t="shared" si="20"/>
        <v>4354.8091431330895</v>
      </c>
      <c r="M689" s="742">
        <v>3242.7625659999999</v>
      </c>
      <c r="N689">
        <f t="shared" si="21"/>
        <v>38638.623314033968</v>
      </c>
    </row>
    <row r="690" spans="1:14" ht="15.5" x14ac:dyDescent="0.35">
      <c r="A690">
        <v>4653.4431477930402</v>
      </c>
      <c r="B690">
        <v>216.31092217793599</v>
      </c>
      <c r="C690">
        <v>1843.06153788648</v>
      </c>
      <c r="D690" s="735">
        <v>18510.819517289776</v>
      </c>
      <c r="E690" s="735">
        <v>826.73449793812608</v>
      </c>
      <c r="F690" s="735">
        <v>9343.0598163617924</v>
      </c>
      <c r="H690" s="741">
        <v>688</v>
      </c>
      <c r="I690" s="735">
        <v>1200.4453412345699</v>
      </c>
      <c r="J690">
        <f t="shared" si="20"/>
        <v>9343.0598163617924</v>
      </c>
      <c r="K690" s="735">
        <v>219.8650719</v>
      </c>
      <c r="L690">
        <f t="shared" si="20"/>
        <v>826.73449793812608</v>
      </c>
      <c r="M690" s="742">
        <v>1937.304791</v>
      </c>
      <c r="N690">
        <f t="shared" si="21"/>
        <v>18510.819517289776</v>
      </c>
    </row>
    <row r="691" spans="1:14" ht="15.5" x14ac:dyDescent="0.35">
      <c r="A691">
        <v>213.20232504576501</v>
      </c>
      <c r="B691">
        <v>528.80765569421601</v>
      </c>
      <c r="C691">
        <v>3378.3782121607401</v>
      </c>
      <c r="D691" s="735">
        <v>228079.12644747971</v>
      </c>
      <c r="E691" s="735">
        <v>489.79472807687358</v>
      </c>
      <c r="F691" s="735">
        <v>236.91180924987958</v>
      </c>
      <c r="H691" s="741">
        <v>689</v>
      </c>
      <c r="I691" s="735">
        <v>91.666509936025605</v>
      </c>
      <c r="J691">
        <f t="shared" si="20"/>
        <v>236.91180924987958</v>
      </c>
      <c r="K691" s="735">
        <v>152.40874059999999</v>
      </c>
      <c r="L691">
        <f t="shared" si="20"/>
        <v>489.79472807687358</v>
      </c>
      <c r="M691" s="742">
        <v>11237.24575</v>
      </c>
      <c r="N691">
        <f t="shared" si="21"/>
        <v>228079.12644747971</v>
      </c>
    </row>
    <row r="692" spans="1:14" ht="15.5" x14ac:dyDescent="0.35">
      <c r="A692">
        <v>18.724119463724598</v>
      </c>
      <c r="B692">
        <v>67.915710120172903</v>
      </c>
      <c r="C692">
        <v>12.3369922153899</v>
      </c>
      <c r="D692" s="735">
        <v>319871.81163876259</v>
      </c>
      <c r="E692" s="735">
        <v>21248.360207160618</v>
      </c>
      <c r="F692" s="735">
        <v>645.62976924343127</v>
      </c>
      <c r="H692" s="741">
        <v>690</v>
      </c>
      <c r="I692" s="735">
        <v>184.92195786627801</v>
      </c>
      <c r="J692">
        <f t="shared" si="20"/>
        <v>645.62976924343127</v>
      </c>
      <c r="K692" s="735">
        <v>2133.6726680000002</v>
      </c>
      <c r="L692">
        <f t="shared" si="20"/>
        <v>21248.360207160618</v>
      </c>
      <c r="M692" s="742">
        <v>14239.12095</v>
      </c>
      <c r="N692">
        <f t="shared" si="21"/>
        <v>319871.81163876259</v>
      </c>
    </row>
    <row r="693" spans="1:14" ht="15.5" x14ac:dyDescent="0.35">
      <c r="A693">
        <v>791.29012140942905</v>
      </c>
      <c r="B693">
        <v>663.74492447052</v>
      </c>
      <c r="C693">
        <v>28941.809189924901</v>
      </c>
      <c r="D693" s="735">
        <v>81466.141087061347</v>
      </c>
      <c r="E693" s="735">
        <v>25717.366364485424</v>
      </c>
      <c r="F693" s="735">
        <v>353.3314604799769</v>
      </c>
      <c r="H693" s="741">
        <v>691</v>
      </c>
      <c r="I693" s="735">
        <v>121.26280668995101</v>
      </c>
      <c r="J693">
        <f t="shared" si="20"/>
        <v>353.3314604799769</v>
      </c>
      <c r="K693" s="735">
        <v>2438.7009320000002</v>
      </c>
      <c r="L693">
        <f t="shared" si="20"/>
        <v>25717.366364485424</v>
      </c>
      <c r="M693" s="742">
        <v>5466.1809149999999</v>
      </c>
      <c r="N693">
        <f t="shared" si="21"/>
        <v>81466.141087061347</v>
      </c>
    </row>
    <row r="694" spans="1:14" ht="15.5" x14ac:dyDescent="0.35">
      <c r="A694">
        <v>76.746690581129002</v>
      </c>
      <c r="B694">
        <v>1253.1229115680001</v>
      </c>
      <c r="C694">
        <v>16219.749955107</v>
      </c>
      <c r="D694" s="735">
        <v>110310.98665150242</v>
      </c>
      <c r="E694" s="735">
        <v>7652.231808013431</v>
      </c>
      <c r="F694" s="735">
        <v>1391.9179171849978</v>
      </c>
      <c r="H694" s="741">
        <v>692</v>
      </c>
      <c r="I694" s="735">
        <v>316.61357944967699</v>
      </c>
      <c r="J694">
        <f t="shared" si="20"/>
        <v>1391.9179171849978</v>
      </c>
      <c r="K694" s="735">
        <v>1043.8826570000001</v>
      </c>
      <c r="L694">
        <f t="shared" si="20"/>
        <v>7652.231808013431</v>
      </c>
      <c r="M694" s="742">
        <v>6758.232653</v>
      </c>
      <c r="N694">
        <f t="shared" si="21"/>
        <v>110310.98665150242</v>
      </c>
    </row>
    <row r="695" spans="1:14" ht="15.5" x14ac:dyDescent="0.35">
      <c r="A695">
        <v>13.5454211654811</v>
      </c>
      <c r="B695">
        <v>222.567776828332</v>
      </c>
      <c r="C695">
        <v>1071.7899542832399</v>
      </c>
      <c r="D695" s="735">
        <v>2651.6784471992278</v>
      </c>
      <c r="E695" s="735">
        <v>3456.1598446545081</v>
      </c>
      <c r="F695" s="735">
        <v>78.051164456311426</v>
      </c>
      <c r="H695" s="741">
        <v>693</v>
      </c>
      <c r="I695" s="735">
        <v>42.137190024522198</v>
      </c>
      <c r="J695">
        <f t="shared" si="20"/>
        <v>78.051164456311426</v>
      </c>
      <c r="K695" s="735">
        <v>598.43319259999998</v>
      </c>
      <c r="L695">
        <f t="shared" si="20"/>
        <v>3456.1598446545081</v>
      </c>
      <c r="M695" s="742">
        <v>497.123852</v>
      </c>
      <c r="N695">
        <f t="shared" si="21"/>
        <v>2651.6784471992278</v>
      </c>
    </row>
    <row r="696" spans="1:14" ht="15.5" x14ac:dyDescent="0.35">
      <c r="A696">
        <v>169.45899824863901</v>
      </c>
      <c r="B696">
        <v>149.72881844417401</v>
      </c>
      <c r="C696">
        <v>29274.4061830393</v>
      </c>
      <c r="D696" s="735">
        <v>5368.7315359637769</v>
      </c>
      <c r="E696" s="735">
        <v>148286.40635426226</v>
      </c>
      <c r="F696" s="735">
        <v>5125.8796139872293</v>
      </c>
      <c r="H696" s="741">
        <v>694</v>
      </c>
      <c r="I696" s="735">
        <v>788.56569770956901</v>
      </c>
      <c r="J696">
        <f t="shared" si="20"/>
        <v>5125.8796139872293</v>
      </c>
      <c r="K696" s="735">
        <v>8313.2518619999992</v>
      </c>
      <c r="L696">
        <f t="shared" si="20"/>
        <v>148286.40635426226</v>
      </c>
      <c r="M696" s="742">
        <v>814.53580820000002</v>
      </c>
      <c r="N696">
        <f t="shared" si="21"/>
        <v>5368.7315359637769</v>
      </c>
    </row>
    <row r="697" spans="1:14" ht="15.5" x14ac:dyDescent="0.35">
      <c r="A697">
        <v>1551.3986859934701</v>
      </c>
      <c r="B697">
        <v>218.05411660625401</v>
      </c>
      <c r="C697">
        <v>3296.4851045211299</v>
      </c>
      <c r="D697" s="735">
        <v>2099.8734457350406</v>
      </c>
      <c r="E697" s="735">
        <v>19864.649128323086</v>
      </c>
      <c r="F697" s="735">
        <v>1094.0022166540364</v>
      </c>
      <c r="H697" s="741">
        <v>695</v>
      </c>
      <c r="I697" s="735">
        <v>267.49319702181401</v>
      </c>
      <c r="J697">
        <f t="shared" si="20"/>
        <v>1094.0022166540364</v>
      </c>
      <c r="K697" s="735">
        <v>2035.432145</v>
      </c>
      <c r="L697">
        <f t="shared" si="20"/>
        <v>19864.649128323086</v>
      </c>
      <c r="M697" s="742">
        <v>422.21648429999999</v>
      </c>
      <c r="N697">
        <f t="shared" si="21"/>
        <v>2099.8734457350406</v>
      </c>
    </row>
    <row r="698" spans="1:14" ht="15.5" x14ac:dyDescent="0.35">
      <c r="A698">
        <v>16.469762365681301</v>
      </c>
      <c r="B698">
        <v>321.048704693356</v>
      </c>
      <c r="C698">
        <v>1923.0264119066101</v>
      </c>
      <c r="D698" s="735">
        <v>33564.41929664182</v>
      </c>
      <c r="E698" s="735">
        <v>9380.3540553725416</v>
      </c>
      <c r="F698" s="735">
        <v>538.46546251508516</v>
      </c>
      <c r="H698" s="741">
        <v>696</v>
      </c>
      <c r="I698" s="735">
        <v>162.85852490441101</v>
      </c>
      <c r="J698">
        <f t="shared" si="20"/>
        <v>538.46546251508516</v>
      </c>
      <c r="K698" s="735">
        <v>1203.797568</v>
      </c>
      <c r="L698">
        <f t="shared" si="20"/>
        <v>9380.3540553725416</v>
      </c>
      <c r="M698" s="742">
        <v>2938.4303190000001</v>
      </c>
      <c r="N698">
        <f t="shared" si="21"/>
        <v>33564.41929664182</v>
      </c>
    </row>
    <row r="699" spans="1:14" ht="15.5" x14ac:dyDescent="0.35">
      <c r="A699">
        <v>757.356649668518</v>
      </c>
      <c r="B699">
        <v>269.97543893808597</v>
      </c>
      <c r="C699">
        <v>5695.0576635363695</v>
      </c>
      <c r="D699" s="735">
        <v>9242.0719391981365</v>
      </c>
      <c r="E699" s="735">
        <v>1159.797443575854</v>
      </c>
      <c r="F699" s="735">
        <v>9957.4950428497468</v>
      </c>
      <c r="H699" s="741">
        <v>697</v>
      </c>
      <c r="I699" s="735">
        <v>1255.1772792490301</v>
      </c>
      <c r="J699">
        <f t="shared" si="20"/>
        <v>9957.4950428497468</v>
      </c>
      <c r="K699" s="735">
        <v>278.65542529999999</v>
      </c>
      <c r="L699">
        <f t="shared" si="20"/>
        <v>1159.797443575854</v>
      </c>
      <c r="M699" s="742">
        <v>1191.3477290000001</v>
      </c>
      <c r="N699">
        <f t="shared" si="21"/>
        <v>9242.0719391981365</v>
      </c>
    </row>
    <row r="700" spans="1:14" ht="15.5" x14ac:dyDescent="0.35">
      <c r="A700">
        <v>1027.9538695410799</v>
      </c>
      <c r="B700">
        <v>261.606557081169</v>
      </c>
      <c r="C700">
        <v>18661.457043626498</v>
      </c>
      <c r="D700" s="735">
        <v>24062.134071057426</v>
      </c>
      <c r="E700" s="735">
        <v>99623.861908938736</v>
      </c>
      <c r="F700" s="735">
        <v>993.33980624516471</v>
      </c>
      <c r="H700" s="741">
        <v>698</v>
      </c>
      <c r="I700" s="735">
        <v>250.016394300267</v>
      </c>
      <c r="J700">
        <f t="shared" si="20"/>
        <v>993.33980624516471</v>
      </c>
      <c r="K700" s="735">
        <v>6292.9511599999996</v>
      </c>
      <c r="L700">
        <f t="shared" si="20"/>
        <v>99623.861908938736</v>
      </c>
      <c r="M700" s="742">
        <v>2327.7369450000001</v>
      </c>
      <c r="N700">
        <f t="shared" si="21"/>
        <v>24062.134071057426</v>
      </c>
    </row>
    <row r="701" spans="1:14" ht="15.5" x14ac:dyDescent="0.35">
      <c r="A701">
        <v>2166.4917866017699</v>
      </c>
      <c r="B701">
        <v>109.07416737090399</v>
      </c>
      <c r="C701">
        <v>16652.6487966487</v>
      </c>
      <c r="D701" s="735">
        <v>493657.82138941175</v>
      </c>
      <c r="E701" s="735">
        <v>137523.8646326563</v>
      </c>
      <c r="F701" s="735">
        <v>18.054676871049686</v>
      </c>
      <c r="H701" s="741">
        <v>699</v>
      </c>
      <c r="I701" s="735">
        <v>15.1221243202016</v>
      </c>
      <c r="J701">
        <f t="shared" si="20"/>
        <v>18.054676871049686</v>
      </c>
      <c r="K701" s="735">
        <v>7886.1429969999999</v>
      </c>
      <c r="L701">
        <f t="shared" si="20"/>
        <v>137523.8646326563</v>
      </c>
      <c r="M701" s="742">
        <v>19292.931199999999</v>
      </c>
      <c r="N701">
        <f t="shared" si="21"/>
        <v>493657.82138941175</v>
      </c>
    </row>
    <row r="702" spans="1:14" ht="15.5" x14ac:dyDescent="0.35">
      <c r="A702">
        <v>20.348834866801599</v>
      </c>
      <c r="B702">
        <v>439.27773344717201</v>
      </c>
      <c r="C702">
        <v>12131.689481132</v>
      </c>
      <c r="D702" s="735">
        <v>793792.08005612518</v>
      </c>
      <c r="E702" s="735">
        <v>9428.1484971422415</v>
      </c>
      <c r="F702" s="735">
        <v>449.55691377923023</v>
      </c>
      <c r="H702" s="741">
        <v>700</v>
      </c>
      <c r="I702" s="735">
        <v>143.53217858189001</v>
      </c>
      <c r="J702">
        <f t="shared" si="20"/>
        <v>449.55691377923023</v>
      </c>
      <c r="K702" s="735">
        <v>1208.0877760000001</v>
      </c>
      <c r="L702">
        <f t="shared" si="20"/>
        <v>9428.1484971422415</v>
      </c>
      <c r="M702" s="742">
        <v>26902.629649999999</v>
      </c>
      <c r="N702">
        <f t="shared" si="21"/>
        <v>793792.08005612518</v>
      </c>
    </row>
    <row r="703" spans="1:14" ht="15.5" x14ac:dyDescent="0.35">
      <c r="A703">
        <v>162.362780142194</v>
      </c>
      <c r="B703">
        <v>304.46867896042897</v>
      </c>
      <c r="C703">
        <v>658.32832185049904</v>
      </c>
      <c r="D703" s="735">
        <v>38953.240273118521</v>
      </c>
      <c r="E703" s="735">
        <v>13756.912251426993</v>
      </c>
      <c r="F703" s="735">
        <v>6723.205335673937</v>
      </c>
      <c r="H703" s="741">
        <v>701</v>
      </c>
      <c r="I703" s="735">
        <v>953.46216191169106</v>
      </c>
      <c r="J703">
        <f t="shared" si="20"/>
        <v>6723.205335673937</v>
      </c>
      <c r="K703" s="735">
        <v>1573.8548510000001</v>
      </c>
      <c r="L703">
        <f t="shared" si="20"/>
        <v>13756.912251426993</v>
      </c>
      <c r="M703" s="742">
        <v>3261.2231219999999</v>
      </c>
      <c r="N703">
        <f t="shared" si="21"/>
        <v>38953.240273118521</v>
      </c>
    </row>
    <row r="704" spans="1:14" ht="15.5" x14ac:dyDescent="0.35">
      <c r="A704">
        <v>188.57247524151401</v>
      </c>
      <c r="B704">
        <v>160.912097436594</v>
      </c>
      <c r="C704">
        <v>19994.499807681401</v>
      </c>
      <c r="D704" s="735">
        <v>288338.18296530633</v>
      </c>
      <c r="E704" s="735">
        <v>113738.13693483257</v>
      </c>
      <c r="F704" s="735">
        <v>675.71196402605449</v>
      </c>
      <c r="H704" s="741">
        <v>702</v>
      </c>
      <c r="I704" s="735">
        <v>190.91195543574</v>
      </c>
      <c r="J704">
        <f t="shared" si="20"/>
        <v>675.71196402605449</v>
      </c>
      <c r="K704" s="735">
        <v>6904.5324819999996</v>
      </c>
      <c r="L704">
        <f t="shared" si="20"/>
        <v>113738.13693483257</v>
      </c>
      <c r="M704" s="742">
        <v>13241.32698</v>
      </c>
      <c r="N704">
        <f t="shared" si="21"/>
        <v>288338.18296530633</v>
      </c>
    </row>
    <row r="705" spans="1:14" ht="15.5" x14ac:dyDescent="0.35">
      <c r="A705">
        <v>88.577000537912198</v>
      </c>
      <c r="B705">
        <v>152.645040527503</v>
      </c>
      <c r="C705">
        <v>1984.6448466694701</v>
      </c>
      <c r="D705" s="735">
        <v>47014.544398900609</v>
      </c>
      <c r="E705" s="735">
        <v>747152.50689622061</v>
      </c>
      <c r="F705" s="735">
        <v>137.19185037829632</v>
      </c>
      <c r="H705" s="741">
        <v>703</v>
      </c>
      <c r="I705" s="735">
        <v>62.535959773537499</v>
      </c>
      <c r="J705">
        <f t="shared" si="20"/>
        <v>137.19185037829632</v>
      </c>
      <c r="K705" s="735">
        <v>25786.148570000001</v>
      </c>
      <c r="L705">
        <f t="shared" si="20"/>
        <v>747152.50689622061</v>
      </c>
      <c r="M705" s="742">
        <v>3720.1680820000001</v>
      </c>
      <c r="N705">
        <f t="shared" si="21"/>
        <v>47014.544398900609</v>
      </c>
    </row>
    <row r="706" spans="1:14" ht="15.5" x14ac:dyDescent="0.35">
      <c r="A706">
        <v>334.38430492069398</v>
      </c>
      <c r="B706">
        <v>46.424575649922197</v>
      </c>
      <c r="C706">
        <v>86.8710090968505</v>
      </c>
      <c r="D706" s="735">
        <v>1498206.0892597253</v>
      </c>
      <c r="E706" s="735">
        <v>231.86029417298678</v>
      </c>
      <c r="F706" s="735">
        <v>3648.0300710280053</v>
      </c>
      <c r="H706" s="741">
        <v>704</v>
      </c>
      <c r="I706" s="735">
        <v>621.49964758961596</v>
      </c>
      <c r="J706">
        <f t="shared" si="20"/>
        <v>3648.0300710280053</v>
      </c>
      <c r="K706" s="735">
        <v>90.293911679999994</v>
      </c>
      <c r="L706">
        <f t="shared" si="20"/>
        <v>231.86029417298678</v>
      </c>
      <c r="M706" s="742">
        <v>41966.24295</v>
      </c>
      <c r="N706">
        <f t="shared" si="21"/>
        <v>1498206.0892597253</v>
      </c>
    </row>
    <row r="707" spans="1:14" ht="15.5" x14ac:dyDescent="0.35">
      <c r="A707">
        <v>639.23841222461397</v>
      </c>
      <c r="B707">
        <v>61.833966153852899</v>
      </c>
      <c r="C707">
        <v>231.78671231956599</v>
      </c>
      <c r="D707" s="735">
        <v>115110.77969355448</v>
      </c>
      <c r="E707" s="735">
        <v>946.62147698588262</v>
      </c>
      <c r="F707" s="735">
        <v>220.79148281190484</v>
      </c>
      <c r="H707" s="741">
        <v>705</v>
      </c>
      <c r="I707" s="735">
        <v>87.254457229659096</v>
      </c>
      <c r="J707">
        <f t="shared" si="20"/>
        <v>220.79148281190484</v>
      </c>
      <c r="K707" s="735">
        <v>241.72604559999999</v>
      </c>
      <c r="L707">
        <f t="shared" si="20"/>
        <v>946.62147698588262</v>
      </c>
      <c r="M707" s="742">
        <v>6962.7563319999999</v>
      </c>
      <c r="N707">
        <f t="shared" si="21"/>
        <v>115110.77969355448</v>
      </c>
    </row>
    <row r="708" spans="1:14" ht="15.5" x14ac:dyDescent="0.35">
      <c r="A708">
        <v>993.30019998005605</v>
      </c>
      <c r="B708">
        <v>1166.6514909699899</v>
      </c>
      <c r="C708">
        <v>24553.2144766991</v>
      </c>
      <c r="D708" s="735">
        <v>398517.60219331528</v>
      </c>
      <c r="E708" s="735">
        <v>5150.9337939420848</v>
      </c>
      <c r="F708" s="735">
        <v>380.36159894868524</v>
      </c>
      <c r="H708" s="741">
        <v>706</v>
      </c>
      <c r="I708" s="735">
        <v>127.68434856175099</v>
      </c>
      <c r="J708">
        <f t="shared" ref="J708:L771" si="22">(10^(LOG(I708)-0.3))^(1/0.7)</f>
        <v>380.36159894868524</v>
      </c>
      <c r="K708" s="735">
        <v>791.2617596</v>
      </c>
      <c r="L708">
        <f t="shared" si="22"/>
        <v>5150.9337939420848</v>
      </c>
      <c r="M708" s="742">
        <v>16607.843970000002</v>
      </c>
      <c r="N708">
        <f t="shared" ref="N708:N771" si="23">(10^(LOG(M708)-0.3))^(1/0.7)</f>
        <v>398517.60219331528</v>
      </c>
    </row>
    <row r="709" spans="1:14" ht="15.5" x14ac:dyDescent="0.35">
      <c r="A709">
        <v>1987.6051340017</v>
      </c>
      <c r="B709">
        <v>137.13053170896799</v>
      </c>
      <c r="C709">
        <v>26021.546507885199</v>
      </c>
      <c r="D709" s="735">
        <v>9023.0736972492505</v>
      </c>
      <c r="E709" s="735">
        <v>103018.09988443305</v>
      </c>
      <c r="F709" s="735">
        <v>33.212288224477547</v>
      </c>
      <c r="H709" s="741">
        <v>707</v>
      </c>
      <c r="I709" s="735">
        <v>23.169099717803402</v>
      </c>
      <c r="J709">
        <f t="shared" si="22"/>
        <v>33.212288224477547</v>
      </c>
      <c r="K709" s="735">
        <v>6442.2781919999998</v>
      </c>
      <c r="L709">
        <f t="shared" si="22"/>
        <v>103018.09988443305</v>
      </c>
      <c r="M709" s="742">
        <v>1171.5158080000001</v>
      </c>
      <c r="N709">
        <f t="shared" si="23"/>
        <v>9023.0736972492505</v>
      </c>
    </row>
    <row r="710" spans="1:14" ht="15.5" x14ac:dyDescent="0.35">
      <c r="A710">
        <v>346.057074135064</v>
      </c>
      <c r="B710">
        <v>1150.4702876957299</v>
      </c>
      <c r="C710">
        <v>19204.0522279742</v>
      </c>
      <c r="D710" s="735">
        <v>2916.9345895737897</v>
      </c>
      <c r="E710" s="735">
        <v>26777.577241572457</v>
      </c>
      <c r="F710" s="735">
        <v>618.49018263107689</v>
      </c>
      <c r="H710" s="741">
        <v>708</v>
      </c>
      <c r="I710" s="735">
        <v>179.44566337245399</v>
      </c>
      <c r="J710">
        <f t="shared" si="22"/>
        <v>618.49018263107689</v>
      </c>
      <c r="K710" s="735">
        <v>2508.6489750000001</v>
      </c>
      <c r="L710">
        <f t="shared" si="22"/>
        <v>26777.577241572457</v>
      </c>
      <c r="M710" s="742">
        <v>531.43320110000002</v>
      </c>
      <c r="N710">
        <f t="shared" si="23"/>
        <v>2916.9345895737897</v>
      </c>
    </row>
    <row r="711" spans="1:14" ht="15.5" x14ac:dyDescent="0.35">
      <c r="A711">
        <v>62.731387173177403</v>
      </c>
      <c r="B711">
        <v>221.78217036325299</v>
      </c>
      <c r="C711">
        <v>746.52367229450294</v>
      </c>
      <c r="D711" s="735">
        <v>177793.99499042219</v>
      </c>
      <c r="E711" s="735">
        <v>107413.58392974135</v>
      </c>
      <c r="F711" s="735">
        <v>489.25266637464921</v>
      </c>
      <c r="H711" s="741">
        <v>709</v>
      </c>
      <c r="I711" s="735">
        <v>152.290650182739</v>
      </c>
      <c r="J711">
        <f t="shared" si="22"/>
        <v>489.25266637464921</v>
      </c>
      <c r="K711" s="735">
        <v>6633.4803220000003</v>
      </c>
      <c r="L711">
        <f t="shared" si="22"/>
        <v>107413.58392974135</v>
      </c>
      <c r="M711" s="742">
        <v>9439.3472280000005</v>
      </c>
      <c r="N711">
        <f t="shared" si="23"/>
        <v>177793.99499042219</v>
      </c>
    </row>
    <row r="712" spans="1:14" ht="15.5" x14ac:dyDescent="0.35">
      <c r="A712">
        <v>81.154876089811793</v>
      </c>
      <c r="B712">
        <v>150.99485039144699</v>
      </c>
      <c r="C712">
        <v>18008.8113773154</v>
      </c>
      <c r="D712" s="735">
        <v>14595.747441825624</v>
      </c>
      <c r="E712" s="735">
        <v>116769.65999618074</v>
      </c>
      <c r="F712" s="735">
        <v>12331.387779774039</v>
      </c>
      <c r="H712" s="741">
        <v>710</v>
      </c>
      <c r="I712" s="735">
        <v>1457.8349861624999</v>
      </c>
      <c r="J712">
        <f t="shared" si="22"/>
        <v>12331.387779774039</v>
      </c>
      <c r="K712" s="735">
        <v>7032.8444339999996</v>
      </c>
      <c r="L712">
        <f t="shared" si="22"/>
        <v>116769.65999618074</v>
      </c>
      <c r="M712" s="742">
        <v>1640.4327760000001</v>
      </c>
      <c r="N712">
        <f t="shared" si="23"/>
        <v>14595.747441825624</v>
      </c>
    </row>
    <row r="713" spans="1:14" ht="15.5" x14ac:dyDescent="0.35">
      <c r="A713">
        <v>2016.4355478760699</v>
      </c>
      <c r="B713">
        <v>956.64409197724103</v>
      </c>
      <c r="C713">
        <v>33273.515788164397</v>
      </c>
      <c r="D713" s="735">
        <v>18994.365642796285</v>
      </c>
      <c r="E713" s="735">
        <v>1400.3279017506377</v>
      </c>
      <c r="F713" s="735">
        <v>5716.9475056902293</v>
      </c>
      <c r="H713" s="741">
        <v>711</v>
      </c>
      <c r="I713" s="735">
        <v>851.16732447746801</v>
      </c>
      <c r="J713">
        <f t="shared" si="22"/>
        <v>5716.9475056902293</v>
      </c>
      <c r="K713" s="735">
        <v>317.95145710000003</v>
      </c>
      <c r="L713">
        <f t="shared" si="22"/>
        <v>1400.3279017506377</v>
      </c>
      <c r="M713" s="742">
        <v>1972.5924010000001</v>
      </c>
      <c r="N713">
        <f t="shared" si="23"/>
        <v>18994.365642796285</v>
      </c>
    </row>
    <row r="714" spans="1:14" ht="15.5" x14ac:dyDescent="0.35">
      <c r="A714">
        <v>177.744532262777</v>
      </c>
      <c r="B714">
        <v>173.295441384079</v>
      </c>
      <c r="C714">
        <v>27147.375472927401</v>
      </c>
      <c r="D714" s="735">
        <v>209381.77457483319</v>
      </c>
      <c r="E714" s="735">
        <v>958472.2196960682</v>
      </c>
      <c r="F714" s="735">
        <v>116.05062634004312</v>
      </c>
      <c r="H714" s="741">
        <v>712</v>
      </c>
      <c r="I714" s="735">
        <v>55.622850597837399</v>
      </c>
      <c r="J714">
        <f t="shared" si="22"/>
        <v>116.05062634004312</v>
      </c>
      <c r="K714" s="735">
        <v>30697.68822</v>
      </c>
      <c r="L714">
        <f t="shared" si="22"/>
        <v>958472.2196960682</v>
      </c>
      <c r="M714" s="742">
        <v>10584.179910000001</v>
      </c>
      <c r="N714">
        <f t="shared" si="23"/>
        <v>209381.77457483319</v>
      </c>
    </row>
    <row r="715" spans="1:14" ht="15.5" x14ac:dyDescent="0.35">
      <c r="A715">
        <v>842.35388965587197</v>
      </c>
      <c r="B715">
        <v>1715.7451815955101</v>
      </c>
      <c r="C715">
        <v>4945.7540265468297</v>
      </c>
      <c r="D715" s="735">
        <v>5857.2817055048172</v>
      </c>
      <c r="E715" s="735">
        <v>1735.6842334021708</v>
      </c>
      <c r="F715" s="735">
        <v>67810.542448329827</v>
      </c>
      <c r="H715" s="741">
        <v>713</v>
      </c>
      <c r="I715" s="735">
        <v>4807.3755789932902</v>
      </c>
      <c r="J715">
        <f t="shared" si="22"/>
        <v>67810.542448329827</v>
      </c>
      <c r="K715" s="735">
        <v>369.51281349999999</v>
      </c>
      <c r="L715">
        <f t="shared" si="22"/>
        <v>1735.6842334021708</v>
      </c>
      <c r="M715" s="742">
        <v>865.7395904</v>
      </c>
      <c r="N715">
        <f t="shared" si="23"/>
        <v>5857.2817055048172</v>
      </c>
    </row>
    <row r="716" spans="1:14" ht="15.5" x14ac:dyDescent="0.35">
      <c r="A716">
        <v>65.354023479789007</v>
      </c>
      <c r="B716">
        <v>515.83350652431704</v>
      </c>
      <c r="C716">
        <v>23505.8921113139</v>
      </c>
      <c r="D716" s="735">
        <v>80277.260323899347</v>
      </c>
      <c r="E716" s="735">
        <v>11109.516829344508</v>
      </c>
      <c r="F716" s="735">
        <v>61799.842569931301</v>
      </c>
      <c r="H716" s="741">
        <v>714</v>
      </c>
      <c r="I716" s="735">
        <v>4504.9622711301899</v>
      </c>
      <c r="J716">
        <f t="shared" si="22"/>
        <v>61799.842569931301</v>
      </c>
      <c r="K716" s="735">
        <v>1355.147661</v>
      </c>
      <c r="L716">
        <f t="shared" si="22"/>
        <v>11109.516829344508</v>
      </c>
      <c r="M716" s="742">
        <v>5410.2181849999997</v>
      </c>
      <c r="N716">
        <f t="shared" si="23"/>
        <v>80277.260323899347</v>
      </c>
    </row>
    <row r="717" spans="1:14" ht="15.5" x14ac:dyDescent="0.35">
      <c r="A717">
        <v>179.09268256030401</v>
      </c>
      <c r="B717">
        <v>301.20199500424599</v>
      </c>
      <c r="C717">
        <v>63866.2835210044</v>
      </c>
      <c r="D717" s="735">
        <v>161696.88171654195</v>
      </c>
      <c r="E717" s="735">
        <v>4901.9905250101447</v>
      </c>
      <c r="F717" s="735">
        <v>2871.5144859415941</v>
      </c>
      <c r="H717" s="741">
        <v>715</v>
      </c>
      <c r="I717" s="735">
        <v>525.62705135332806</v>
      </c>
      <c r="J717">
        <f t="shared" si="22"/>
        <v>2871.5144859415941</v>
      </c>
      <c r="K717" s="735">
        <v>764.29448749999995</v>
      </c>
      <c r="L717">
        <f t="shared" si="22"/>
        <v>4901.9905250101447</v>
      </c>
      <c r="M717" s="742">
        <v>8832.6526389999999</v>
      </c>
      <c r="N717">
        <f t="shared" si="23"/>
        <v>161696.88171654195</v>
      </c>
    </row>
    <row r="718" spans="1:14" ht="15.5" x14ac:dyDescent="0.35">
      <c r="A718">
        <v>181.90430399435601</v>
      </c>
      <c r="B718">
        <v>152.67543376662101</v>
      </c>
      <c r="C718">
        <v>4888.8784929677604</v>
      </c>
      <c r="D718" s="735">
        <v>195393.48180375123</v>
      </c>
      <c r="E718" s="735">
        <v>11634.483068384074</v>
      </c>
      <c r="F718" s="735">
        <v>8006.1415606118799</v>
      </c>
      <c r="H718" s="741">
        <v>716</v>
      </c>
      <c r="I718" s="735">
        <v>1077.44791573664</v>
      </c>
      <c r="J718">
        <f t="shared" si="22"/>
        <v>8006.1415606118799</v>
      </c>
      <c r="K718" s="735">
        <v>1399.661331</v>
      </c>
      <c r="L718">
        <f t="shared" si="22"/>
        <v>11634.483068384074</v>
      </c>
      <c r="M718" s="742">
        <v>10084.097830000001</v>
      </c>
      <c r="N718">
        <f t="shared" si="23"/>
        <v>195393.48180375123</v>
      </c>
    </row>
    <row r="719" spans="1:14" ht="15.5" x14ac:dyDescent="0.35">
      <c r="A719">
        <v>74.011131769441505</v>
      </c>
      <c r="B719">
        <v>584.89964310561197</v>
      </c>
      <c r="C719">
        <v>772.49155567963498</v>
      </c>
      <c r="D719" s="735">
        <v>11410.936230879066</v>
      </c>
      <c r="E719" s="735">
        <v>432914.19342215906</v>
      </c>
      <c r="F719" s="735">
        <v>1215.180211195541</v>
      </c>
      <c r="H719" s="741">
        <v>717</v>
      </c>
      <c r="I719" s="735">
        <v>287.90451920276303</v>
      </c>
      <c r="J719">
        <f t="shared" si="22"/>
        <v>1215.180211195541</v>
      </c>
      <c r="K719" s="735">
        <v>17598.727930000001</v>
      </c>
      <c r="L719">
        <f t="shared" si="22"/>
        <v>432914.19342215906</v>
      </c>
      <c r="M719" s="742">
        <v>1380.7812939999999</v>
      </c>
      <c r="N719">
        <f t="shared" si="23"/>
        <v>11410.936230879066</v>
      </c>
    </row>
    <row r="720" spans="1:14" ht="15.5" x14ac:dyDescent="0.35">
      <c r="A720">
        <v>380.83446700320002</v>
      </c>
      <c r="B720">
        <v>39.514889309901903</v>
      </c>
      <c r="C720">
        <v>13803.2328434914</v>
      </c>
      <c r="D720" s="735">
        <v>9686.9490858660029</v>
      </c>
      <c r="E720" s="735">
        <v>44801.888503016038</v>
      </c>
      <c r="F720" s="735">
        <v>391.45902492036822</v>
      </c>
      <c r="H720" s="741">
        <v>718</v>
      </c>
      <c r="I720" s="735">
        <v>130.280800081188</v>
      </c>
      <c r="J720">
        <f t="shared" si="22"/>
        <v>391.45902492036822</v>
      </c>
      <c r="K720" s="735">
        <v>3596.7265819999998</v>
      </c>
      <c r="L720">
        <f t="shared" si="22"/>
        <v>44801.888503016038</v>
      </c>
      <c r="M720" s="742">
        <v>1231.206535</v>
      </c>
      <c r="N720">
        <f t="shared" si="23"/>
        <v>9686.9490858660029</v>
      </c>
    </row>
    <row r="721" spans="1:14" ht="15.5" x14ac:dyDescent="0.35">
      <c r="A721">
        <v>13.189793594774899</v>
      </c>
      <c r="B721">
        <v>165.76722887770001</v>
      </c>
      <c r="C721">
        <v>36678.737022633402</v>
      </c>
      <c r="D721" s="735">
        <v>53232.277353541409</v>
      </c>
      <c r="E721" s="735">
        <v>136.52970566743366</v>
      </c>
      <c r="F721" s="735">
        <v>1077.4086371733408</v>
      </c>
      <c r="H721" s="741">
        <v>719</v>
      </c>
      <c r="I721" s="735">
        <v>264.64659885166498</v>
      </c>
      <c r="J721">
        <f t="shared" si="22"/>
        <v>1077.4086371733408</v>
      </c>
      <c r="K721" s="735">
        <v>62.324529380000001</v>
      </c>
      <c r="L721">
        <f t="shared" si="22"/>
        <v>136.52970566743366</v>
      </c>
      <c r="M721" s="742">
        <v>4058.0980159999999</v>
      </c>
      <c r="N721">
        <f t="shared" si="23"/>
        <v>53232.277353541409</v>
      </c>
    </row>
    <row r="722" spans="1:14" ht="15.5" x14ac:dyDescent="0.35">
      <c r="A722">
        <v>1202.2956351380301</v>
      </c>
      <c r="B722">
        <v>387.44476882462902</v>
      </c>
      <c r="C722">
        <v>39413.645735980499</v>
      </c>
      <c r="D722" s="735">
        <v>17153.968684767977</v>
      </c>
      <c r="E722" s="735">
        <v>310951.7917315049</v>
      </c>
      <c r="F722" s="735">
        <v>1424.061958165672</v>
      </c>
      <c r="H722" s="741">
        <v>720</v>
      </c>
      <c r="I722" s="735">
        <v>321.71419189442901</v>
      </c>
      <c r="J722">
        <f t="shared" si="22"/>
        <v>1424.061958165672</v>
      </c>
      <c r="K722" s="735">
        <v>13959.9912</v>
      </c>
      <c r="L722">
        <f t="shared" si="22"/>
        <v>310951.7917315049</v>
      </c>
      <c r="M722" s="742">
        <v>1836.7719099999999</v>
      </c>
      <c r="N722">
        <f t="shared" si="23"/>
        <v>17153.968684767977</v>
      </c>
    </row>
    <row r="723" spans="1:14" ht="15.5" x14ac:dyDescent="0.35">
      <c r="A723">
        <v>840.534556218788</v>
      </c>
      <c r="B723">
        <v>168.09926775360199</v>
      </c>
      <c r="C723">
        <v>190.43428690265799</v>
      </c>
      <c r="D723" s="735">
        <v>677704.39917234681</v>
      </c>
      <c r="E723" s="735">
        <v>133248.56264655339</v>
      </c>
      <c r="F723" s="735">
        <v>23.065286742019776</v>
      </c>
      <c r="H723" s="741">
        <v>721</v>
      </c>
      <c r="I723" s="735">
        <v>17.950278894083699</v>
      </c>
      <c r="J723">
        <f t="shared" si="22"/>
        <v>23.065286742019776</v>
      </c>
      <c r="K723" s="735">
        <v>7713.7182720000001</v>
      </c>
      <c r="L723">
        <f t="shared" si="22"/>
        <v>133248.56264655339</v>
      </c>
      <c r="M723" s="742">
        <v>24083.97753</v>
      </c>
      <c r="N723">
        <f t="shared" si="23"/>
        <v>677704.39917234681</v>
      </c>
    </row>
    <row r="724" spans="1:14" ht="15.5" x14ac:dyDescent="0.35">
      <c r="A724">
        <v>85.254828004108901</v>
      </c>
      <c r="B724">
        <v>1044.3868680242699</v>
      </c>
      <c r="C724">
        <v>1169.88865880359</v>
      </c>
      <c r="D724" s="735">
        <v>537099.50409183919</v>
      </c>
      <c r="E724" s="735">
        <v>6624.1867697460639</v>
      </c>
      <c r="F724" s="735">
        <v>372.39296482035201</v>
      </c>
      <c r="H724" s="741">
        <v>722</v>
      </c>
      <c r="I724" s="735">
        <v>125.805905350003</v>
      </c>
      <c r="J724">
        <f t="shared" si="22"/>
        <v>372.39296482035201</v>
      </c>
      <c r="K724" s="735">
        <v>943.61057259999995</v>
      </c>
      <c r="L724">
        <f t="shared" si="22"/>
        <v>6624.1867697460639</v>
      </c>
      <c r="M724" s="742">
        <v>20466.252410000001</v>
      </c>
      <c r="N724">
        <f t="shared" si="23"/>
        <v>537099.50409183919</v>
      </c>
    </row>
    <row r="725" spans="1:14" ht="15.5" x14ac:dyDescent="0.35">
      <c r="A725">
        <v>12.063294546323201</v>
      </c>
      <c r="B725">
        <v>321.30190784959899</v>
      </c>
      <c r="C725">
        <v>48.870261992096196</v>
      </c>
      <c r="D725" s="735">
        <v>83110.595315921848</v>
      </c>
      <c r="E725" s="735">
        <v>169386.69850719452</v>
      </c>
      <c r="F725" s="735">
        <v>35.518034669249396</v>
      </c>
      <c r="H725" s="741">
        <v>723</v>
      </c>
      <c r="I725" s="735">
        <v>24.283665880319301</v>
      </c>
      <c r="J725">
        <f t="shared" si="22"/>
        <v>35.518034669249396</v>
      </c>
      <c r="K725" s="735">
        <v>9124.6352380000008</v>
      </c>
      <c r="L725">
        <f t="shared" si="22"/>
        <v>169386.69850719452</v>
      </c>
      <c r="M725" s="742">
        <v>5543.1863030000004</v>
      </c>
      <c r="N725">
        <f t="shared" si="23"/>
        <v>83110.595315921848</v>
      </c>
    </row>
    <row r="726" spans="1:14" ht="15.5" x14ac:dyDescent="0.35">
      <c r="A726">
        <v>110.13256349609</v>
      </c>
      <c r="B726">
        <v>388.39958404446003</v>
      </c>
      <c r="C726">
        <v>36.129459994477003</v>
      </c>
      <c r="D726" s="735">
        <v>7433.4571497762872</v>
      </c>
      <c r="E726" s="735">
        <v>3025.4679529565233</v>
      </c>
      <c r="F726" s="735">
        <v>20.06959202832854</v>
      </c>
      <c r="H726" s="741">
        <v>724</v>
      </c>
      <c r="I726" s="735">
        <v>16.2845957101054</v>
      </c>
      <c r="J726">
        <f t="shared" si="22"/>
        <v>20.06959202832854</v>
      </c>
      <c r="K726" s="735">
        <v>545.19867280000005</v>
      </c>
      <c r="L726">
        <f t="shared" si="22"/>
        <v>3025.4679529565233</v>
      </c>
      <c r="M726" s="742">
        <v>1022.900968</v>
      </c>
      <c r="N726">
        <f t="shared" si="23"/>
        <v>7433.4571497762872</v>
      </c>
    </row>
    <row r="727" spans="1:14" ht="15.5" x14ac:dyDescent="0.35">
      <c r="A727">
        <v>328.68856381594202</v>
      </c>
      <c r="B727">
        <v>107.81107343844199</v>
      </c>
      <c r="C727">
        <v>954.95257174073799</v>
      </c>
      <c r="D727" s="735">
        <v>44642.35460779084</v>
      </c>
      <c r="E727" s="735">
        <v>17670746.822799336</v>
      </c>
      <c r="F727" s="735">
        <v>784.92269849876789</v>
      </c>
      <c r="H727" s="741">
        <v>725</v>
      </c>
      <c r="I727" s="735">
        <v>212.02097229028701</v>
      </c>
      <c r="J727">
        <f t="shared" si="22"/>
        <v>784.92269849876789</v>
      </c>
      <c r="K727" s="735">
        <v>236090.4572</v>
      </c>
      <c r="L727">
        <f t="shared" si="22"/>
        <v>17670746.822799336</v>
      </c>
      <c r="M727" s="742">
        <v>3587.7565420000001</v>
      </c>
      <c r="N727">
        <f t="shared" si="23"/>
        <v>44642.35460779084</v>
      </c>
    </row>
    <row r="728" spans="1:14" ht="15.5" x14ac:dyDescent="0.35">
      <c r="A728">
        <v>175.61829158113099</v>
      </c>
      <c r="B728">
        <v>11.949640294916501</v>
      </c>
      <c r="C728">
        <v>8806.9268637827699</v>
      </c>
      <c r="D728" s="735">
        <v>9304.7288017044611</v>
      </c>
      <c r="E728" s="735">
        <v>475433.94172549207</v>
      </c>
      <c r="F728" s="735">
        <v>513.66212811259652</v>
      </c>
      <c r="H728" s="741">
        <v>726</v>
      </c>
      <c r="I728" s="735">
        <v>157.570271277812</v>
      </c>
      <c r="J728">
        <f t="shared" si="22"/>
        <v>513.66212811259652</v>
      </c>
      <c r="K728" s="735">
        <v>18791.572690000001</v>
      </c>
      <c r="L728">
        <f t="shared" si="22"/>
        <v>475433.94172549207</v>
      </c>
      <c r="M728" s="742">
        <v>1196.995737</v>
      </c>
      <c r="N728">
        <f t="shared" si="23"/>
        <v>9304.7288017044611</v>
      </c>
    </row>
    <row r="729" spans="1:14" ht="15.5" x14ac:dyDescent="0.35">
      <c r="A729">
        <v>455.12506045326199</v>
      </c>
      <c r="B729">
        <v>269.63921540822298</v>
      </c>
      <c r="C729">
        <v>3583.71554546279</v>
      </c>
      <c r="D729" s="735">
        <v>89818.871656661475</v>
      </c>
      <c r="E729" s="735">
        <v>10374.377349349757</v>
      </c>
      <c r="F729" s="735">
        <v>8001.750665874968</v>
      </c>
      <c r="H729" s="741">
        <v>727</v>
      </c>
      <c r="I729" s="735">
        <v>1077.0342402169299</v>
      </c>
      <c r="J729">
        <f t="shared" si="22"/>
        <v>8001.750665874968</v>
      </c>
      <c r="K729" s="735">
        <v>1291.7350039999999</v>
      </c>
      <c r="L729">
        <f t="shared" si="22"/>
        <v>10374.377349349757</v>
      </c>
      <c r="M729" s="742">
        <v>5852.714191</v>
      </c>
      <c r="N729">
        <f t="shared" si="23"/>
        <v>89818.871656661475</v>
      </c>
    </row>
    <row r="730" spans="1:14" ht="15.5" x14ac:dyDescent="0.35">
      <c r="A730">
        <v>376.90567168634101</v>
      </c>
      <c r="B730">
        <v>325.55489071301599</v>
      </c>
      <c r="C730">
        <v>2860.83336273329</v>
      </c>
      <c r="D730" s="735">
        <v>98131.606695685143</v>
      </c>
      <c r="E730" s="735">
        <v>8088.3621084497627</v>
      </c>
      <c r="F730" s="735">
        <v>17578.895439693209</v>
      </c>
      <c r="H730" s="741">
        <v>728</v>
      </c>
      <c r="I730" s="735">
        <v>1868.50432764477</v>
      </c>
      <c r="J730">
        <f t="shared" si="22"/>
        <v>17578.895439693209</v>
      </c>
      <c r="K730" s="735">
        <v>1085.181572</v>
      </c>
      <c r="L730">
        <f t="shared" si="22"/>
        <v>8088.3621084497627</v>
      </c>
      <c r="M730" s="742">
        <v>6226.8189249999996</v>
      </c>
      <c r="N730">
        <f t="shared" si="23"/>
        <v>98131.606695685143</v>
      </c>
    </row>
    <row r="731" spans="1:14" ht="15.5" x14ac:dyDescent="0.35">
      <c r="A731">
        <v>114.887441516349</v>
      </c>
      <c r="B731">
        <v>47.929537274081298</v>
      </c>
      <c r="C731">
        <v>62376.678761566</v>
      </c>
      <c r="D731" s="735">
        <v>2421.4572882390794</v>
      </c>
      <c r="E731" s="735">
        <v>44919.341948159912</v>
      </c>
      <c r="F731" s="735">
        <v>51089.98507737145</v>
      </c>
      <c r="H731" s="741">
        <v>729</v>
      </c>
      <c r="I731" s="735">
        <v>3943.0750485759299</v>
      </c>
      <c r="J731">
        <f t="shared" si="22"/>
        <v>51089.98507737145</v>
      </c>
      <c r="K731" s="735">
        <v>3603.3244599999998</v>
      </c>
      <c r="L731">
        <f t="shared" si="22"/>
        <v>44919.341948159912</v>
      </c>
      <c r="M731" s="742">
        <v>466.5022783</v>
      </c>
      <c r="N731">
        <f t="shared" si="23"/>
        <v>2421.4572882390794</v>
      </c>
    </row>
    <row r="732" spans="1:14" ht="15.5" x14ac:dyDescent="0.35">
      <c r="A732">
        <v>1028.3742518460699</v>
      </c>
      <c r="B732">
        <v>174.37196497198099</v>
      </c>
      <c r="C732">
        <v>4781.3481150077896</v>
      </c>
      <c r="D732" s="735">
        <v>293720.78015268728</v>
      </c>
      <c r="E732" s="735">
        <v>8156.6969112793658</v>
      </c>
      <c r="F732" s="735">
        <v>1898.1779524145277</v>
      </c>
      <c r="H732" s="741">
        <v>730</v>
      </c>
      <c r="I732" s="735">
        <v>393.401351247246</v>
      </c>
      <c r="J732">
        <f t="shared" si="22"/>
        <v>1898.1779524145277</v>
      </c>
      <c r="K732" s="735">
        <v>1091.5912040000001</v>
      </c>
      <c r="L732">
        <f t="shared" si="22"/>
        <v>8156.6969112793658</v>
      </c>
      <c r="M732" s="742">
        <v>13413.8755</v>
      </c>
      <c r="N732">
        <f t="shared" si="23"/>
        <v>293720.78015268728</v>
      </c>
    </row>
    <row r="733" spans="1:14" ht="15.5" x14ac:dyDescent="0.35">
      <c r="A733">
        <v>589.58716421504198</v>
      </c>
      <c r="B733">
        <v>1503.07127430316</v>
      </c>
      <c r="C733">
        <v>890.47515701678401</v>
      </c>
      <c r="D733" s="735">
        <v>1134.6174268950758</v>
      </c>
      <c r="E733" s="735">
        <v>841929.03094325494</v>
      </c>
      <c r="F733" s="735">
        <v>9.376095060345941</v>
      </c>
      <c r="H733" s="741">
        <v>731</v>
      </c>
      <c r="I733" s="735">
        <v>9.5590647036275698</v>
      </c>
      <c r="J733">
        <f t="shared" si="22"/>
        <v>9.376095060345941</v>
      </c>
      <c r="K733" s="735">
        <v>28034.50159</v>
      </c>
      <c r="L733">
        <f t="shared" si="22"/>
        <v>841929.03094325494</v>
      </c>
      <c r="M733" s="742">
        <v>274.40663919999997</v>
      </c>
      <c r="N733">
        <f t="shared" si="23"/>
        <v>1134.6174268950758</v>
      </c>
    </row>
    <row r="734" spans="1:14" ht="15.5" x14ac:dyDescent="0.35">
      <c r="A734">
        <v>559.01287923355403</v>
      </c>
      <c r="B734">
        <v>472.95223762059101</v>
      </c>
      <c r="C734">
        <v>16318.1400159882</v>
      </c>
      <c r="D734" s="735">
        <v>38233.42316051136</v>
      </c>
      <c r="E734" s="735">
        <v>246383.87422739429</v>
      </c>
      <c r="F734" s="735">
        <v>3536.4157158413927</v>
      </c>
      <c r="H734" s="741">
        <v>732</v>
      </c>
      <c r="I734" s="735">
        <v>608.12704539476897</v>
      </c>
      <c r="J734">
        <f t="shared" si="22"/>
        <v>3536.4157158413927</v>
      </c>
      <c r="K734" s="735">
        <v>11861.1991</v>
      </c>
      <c r="L734">
        <f t="shared" si="22"/>
        <v>246383.87422739429</v>
      </c>
      <c r="M734" s="742">
        <v>3218.9203349999998</v>
      </c>
      <c r="N734">
        <f t="shared" si="23"/>
        <v>38233.42316051136</v>
      </c>
    </row>
    <row r="735" spans="1:14" ht="15.5" x14ac:dyDescent="0.35">
      <c r="A735">
        <v>71.424719009364594</v>
      </c>
      <c r="B735">
        <v>181.41810680461501</v>
      </c>
      <c r="C735">
        <v>21934.164427410698</v>
      </c>
      <c r="D735" s="735">
        <v>823.25447034017873</v>
      </c>
      <c r="E735" s="735">
        <v>28904.745780779795</v>
      </c>
      <c r="F735" s="735">
        <v>271.65180768591415</v>
      </c>
      <c r="H735" s="741">
        <v>733</v>
      </c>
      <c r="I735" s="735">
        <v>100.88087013926</v>
      </c>
      <c r="J735">
        <f t="shared" si="22"/>
        <v>271.65180768591415</v>
      </c>
      <c r="K735" s="735">
        <v>2646.5396679999999</v>
      </c>
      <c r="L735">
        <f t="shared" si="22"/>
        <v>28904.745780779795</v>
      </c>
      <c r="M735" s="742">
        <v>219.2168174</v>
      </c>
      <c r="N735">
        <f t="shared" si="23"/>
        <v>823.25447034017873</v>
      </c>
    </row>
    <row r="736" spans="1:14" ht="15.5" x14ac:dyDescent="0.35">
      <c r="A736">
        <v>3755.2004470971401</v>
      </c>
      <c r="B736">
        <v>109.3432251886</v>
      </c>
      <c r="C736">
        <v>616.734595443275</v>
      </c>
      <c r="D736" s="735">
        <v>52262.34391712182</v>
      </c>
      <c r="E736" s="735">
        <v>916.18381593200968</v>
      </c>
      <c r="F736" s="735">
        <v>900.89580548858373</v>
      </c>
      <c r="H736" s="741">
        <v>734</v>
      </c>
      <c r="I736" s="735">
        <v>233.49210227701801</v>
      </c>
      <c r="J736">
        <f t="shared" si="22"/>
        <v>900.89580548858373</v>
      </c>
      <c r="K736" s="735">
        <v>236.2587115</v>
      </c>
      <c r="L736">
        <f t="shared" si="22"/>
        <v>916.18381593200968</v>
      </c>
      <c r="M736" s="742">
        <v>4006.1962349999999</v>
      </c>
      <c r="N736">
        <f t="shared" si="23"/>
        <v>52262.34391712182</v>
      </c>
    </row>
    <row r="737" spans="1:14" ht="15.5" x14ac:dyDescent="0.35">
      <c r="A737">
        <v>8506.3067517932395</v>
      </c>
      <c r="B737">
        <v>1662.23418709517</v>
      </c>
      <c r="C737">
        <v>64041.261211855497</v>
      </c>
      <c r="D737" s="735">
        <v>75436.769371684612</v>
      </c>
      <c r="E737" s="735">
        <v>19032.618197932734</v>
      </c>
      <c r="F737" s="735">
        <v>119.84718501041201</v>
      </c>
      <c r="H737" s="741">
        <v>735</v>
      </c>
      <c r="I737" s="735">
        <v>56.890465375449502</v>
      </c>
      <c r="J737">
        <f t="shared" si="22"/>
        <v>119.84718501041201</v>
      </c>
      <c r="K737" s="735">
        <v>1975.37237</v>
      </c>
      <c r="L737">
        <f t="shared" si="22"/>
        <v>19032.618197932734</v>
      </c>
      <c r="M737" s="742">
        <v>5179.7423399999998</v>
      </c>
      <c r="N737">
        <f t="shared" si="23"/>
        <v>75436.769371684612</v>
      </c>
    </row>
    <row r="738" spans="1:14" ht="15.5" x14ac:dyDescent="0.35">
      <c r="A738">
        <v>505.20249603920797</v>
      </c>
      <c r="B738">
        <v>1681.35482233681</v>
      </c>
      <c r="C738">
        <v>8882.1960645893796</v>
      </c>
      <c r="D738" s="735">
        <v>111249.99973746762</v>
      </c>
      <c r="E738" s="735">
        <v>168.00043443410357</v>
      </c>
      <c r="F738" s="735">
        <v>3143.2010613235407</v>
      </c>
      <c r="H738" s="741">
        <v>736</v>
      </c>
      <c r="I738" s="735">
        <v>559.96452417166404</v>
      </c>
      <c r="J738">
        <f t="shared" si="22"/>
        <v>3143.2010613235407</v>
      </c>
      <c r="K738" s="735">
        <v>72.0638206</v>
      </c>
      <c r="L738">
        <f t="shared" si="22"/>
        <v>168.00043443410357</v>
      </c>
      <c r="M738" s="742">
        <v>6798.4516469999999</v>
      </c>
      <c r="N738">
        <f t="shared" si="23"/>
        <v>111249.99973746762</v>
      </c>
    </row>
    <row r="739" spans="1:14" ht="15.5" x14ac:dyDescent="0.35">
      <c r="A739">
        <v>57.496066522027398</v>
      </c>
      <c r="B739">
        <v>469.94042838454601</v>
      </c>
      <c r="C739">
        <v>1070.8212637285001</v>
      </c>
      <c r="D739" s="735">
        <v>41609.09132166599</v>
      </c>
      <c r="E739" s="735">
        <v>185005.9371056548</v>
      </c>
      <c r="F739" s="735">
        <v>235.8894350625647</v>
      </c>
      <c r="H739" s="741">
        <v>737</v>
      </c>
      <c r="I739" s="735">
        <v>91.389424650481402</v>
      </c>
      <c r="J739">
        <f t="shared" si="22"/>
        <v>235.8894350625647</v>
      </c>
      <c r="K739" s="735">
        <v>9705.7693409999993</v>
      </c>
      <c r="L739">
        <f t="shared" si="22"/>
        <v>185005.9371056548</v>
      </c>
      <c r="M739" s="742">
        <v>3415.3228370000002</v>
      </c>
      <c r="N739">
        <f t="shared" si="23"/>
        <v>41609.09132166599</v>
      </c>
    </row>
    <row r="740" spans="1:14" ht="15.5" x14ac:dyDescent="0.35">
      <c r="A740">
        <v>124.249339333048</v>
      </c>
      <c r="B740">
        <v>503.21187311315998</v>
      </c>
      <c r="C740">
        <v>666.83442266280201</v>
      </c>
      <c r="D740" s="735">
        <v>48193.84794372043</v>
      </c>
      <c r="E740" s="735">
        <v>90.596783965326097</v>
      </c>
      <c r="F740" s="735">
        <v>237.50363592527273</v>
      </c>
      <c r="H740" s="741">
        <v>738</v>
      </c>
      <c r="I740" s="735">
        <v>91.826743677262797</v>
      </c>
      <c r="J740">
        <f t="shared" si="22"/>
        <v>237.50363592527273</v>
      </c>
      <c r="K740" s="735">
        <v>46.771246759999997</v>
      </c>
      <c r="L740">
        <f t="shared" si="22"/>
        <v>90.596783965326097</v>
      </c>
      <c r="M740" s="742">
        <v>3785.2461130000002</v>
      </c>
      <c r="N740">
        <f t="shared" si="23"/>
        <v>48193.84794372043</v>
      </c>
    </row>
    <row r="741" spans="1:14" ht="15.5" x14ac:dyDescent="0.35">
      <c r="A741">
        <v>133.202735523076</v>
      </c>
      <c r="B741">
        <v>836.71868069443997</v>
      </c>
      <c r="C741">
        <v>17812.059122699298</v>
      </c>
      <c r="D741" s="735">
        <v>18697.081542474207</v>
      </c>
      <c r="E741" s="735">
        <v>271.85003647099791</v>
      </c>
      <c r="F741" s="735">
        <v>1027.1397271958147</v>
      </c>
      <c r="H741" s="741">
        <v>739</v>
      </c>
      <c r="I741" s="735">
        <v>255.941475237784</v>
      </c>
      <c r="J741">
        <f t="shared" si="22"/>
        <v>1027.1397271958147</v>
      </c>
      <c r="K741" s="735">
        <v>100.93239459999999</v>
      </c>
      <c r="L741">
        <f t="shared" si="22"/>
        <v>271.85003647099791</v>
      </c>
      <c r="M741" s="742">
        <v>1950.929948</v>
      </c>
      <c r="N741">
        <f t="shared" si="23"/>
        <v>18697.081542474207</v>
      </c>
    </row>
    <row r="742" spans="1:14" ht="15.5" x14ac:dyDescent="0.35">
      <c r="A742">
        <v>16858.536776191999</v>
      </c>
      <c r="B742">
        <v>145.819005807351</v>
      </c>
      <c r="C742">
        <v>1017.2526228461099</v>
      </c>
      <c r="D742" s="735">
        <v>6015.8895572434631</v>
      </c>
      <c r="E742" s="735">
        <v>130193.12657994285</v>
      </c>
      <c r="F742" s="735">
        <v>4353.0624345617525</v>
      </c>
      <c r="H742" s="741">
        <v>740</v>
      </c>
      <c r="I742" s="735">
        <v>703.32560312892099</v>
      </c>
      <c r="J742">
        <f t="shared" si="22"/>
        <v>4353.0624345617525</v>
      </c>
      <c r="K742" s="735">
        <v>7589.4733390000001</v>
      </c>
      <c r="L742">
        <f t="shared" si="22"/>
        <v>130193.12657994285</v>
      </c>
      <c r="M742" s="742">
        <v>882.08390599999996</v>
      </c>
      <c r="N742">
        <f t="shared" si="23"/>
        <v>6015.8895572434631</v>
      </c>
    </row>
    <row r="743" spans="1:14" ht="15.5" x14ac:dyDescent="0.35">
      <c r="A743">
        <v>74.9376463429778</v>
      </c>
      <c r="B743">
        <v>27.544159651982799</v>
      </c>
      <c r="C743">
        <v>3257.2224670918399</v>
      </c>
      <c r="D743" s="735">
        <v>18756.073102542417</v>
      </c>
      <c r="E743" s="735">
        <v>225410.39047448727</v>
      </c>
      <c r="F743" s="735">
        <v>118.19965755690322</v>
      </c>
      <c r="H743" s="741">
        <v>741</v>
      </c>
      <c r="I743" s="735">
        <v>56.341882402827999</v>
      </c>
      <c r="J743">
        <f t="shared" si="22"/>
        <v>118.19965755690322</v>
      </c>
      <c r="K743" s="735">
        <v>11145.043089999999</v>
      </c>
      <c r="L743">
        <f t="shared" si="22"/>
        <v>225410.39047448727</v>
      </c>
      <c r="M743" s="742">
        <v>1955.2367059999999</v>
      </c>
      <c r="N743">
        <f t="shared" si="23"/>
        <v>18756.073102542417</v>
      </c>
    </row>
    <row r="744" spans="1:14" ht="15.5" x14ac:dyDescent="0.35">
      <c r="A744">
        <v>333.06019302162798</v>
      </c>
      <c r="B744">
        <v>485.004731614869</v>
      </c>
      <c r="C744">
        <v>2988.7015846582299</v>
      </c>
      <c r="D744" s="735">
        <v>17304.902507638672</v>
      </c>
      <c r="E744" s="735">
        <v>141539.79371804046</v>
      </c>
      <c r="F744" s="735">
        <v>3498.5377823048698</v>
      </c>
      <c r="H744" s="741">
        <v>742</v>
      </c>
      <c r="I744" s="735">
        <v>603.56020571920806</v>
      </c>
      <c r="J744">
        <f t="shared" si="22"/>
        <v>3498.5377823048698</v>
      </c>
      <c r="K744" s="735">
        <v>8046.6477640000003</v>
      </c>
      <c r="L744">
        <f t="shared" si="22"/>
        <v>141539.79371804046</v>
      </c>
      <c r="M744" s="742">
        <v>1848.0699689999999</v>
      </c>
      <c r="N744">
        <f t="shared" si="23"/>
        <v>17304.902507638672</v>
      </c>
    </row>
    <row r="745" spans="1:14" ht="15.5" x14ac:dyDescent="0.35">
      <c r="A745">
        <v>75.347317910176599</v>
      </c>
      <c r="B745">
        <v>113.22874920332499</v>
      </c>
      <c r="C745">
        <v>698.29083114588002</v>
      </c>
      <c r="D745" s="735">
        <v>92773.029365508439</v>
      </c>
      <c r="E745" s="735">
        <v>1235.0588353793048</v>
      </c>
      <c r="F745" s="735">
        <v>474.75443224423793</v>
      </c>
      <c r="H745" s="741">
        <v>743</v>
      </c>
      <c r="I745" s="735">
        <v>149.11739890508099</v>
      </c>
      <c r="J745">
        <f t="shared" si="22"/>
        <v>474.75443224423793</v>
      </c>
      <c r="K745" s="735">
        <v>291.19328300000001</v>
      </c>
      <c r="L745">
        <f t="shared" si="22"/>
        <v>1235.0588353793048</v>
      </c>
      <c r="M745" s="742">
        <v>5986.8064329999997</v>
      </c>
      <c r="N745">
        <f t="shared" si="23"/>
        <v>92773.029365508439</v>
      </c>
    </row>
    <row r="746" spans="1:14" ht="15.5" x14ac:dyDescent="0.35">
      <c r="A746">
        <v>75.394386279320898</v>
      </c>
      <c r="B746">
        <v>79.446542938567504</v>
      </c>
      <c r="C746">
        <v>18106.268086797299</v>
      </c>
      <c r="D746" s="735">
        <v>161825.66660425562</v>
      </c>
      <c r="E746" s="735">
        <v>2080903.0338998856</v>
      </c>
      <c r="F746" s="735">
        <v>22422.724420865256</v>
      </c>
      <c r="H746" s="741">
        <v>744</v>
      </c>
      <c r="I746" s="735">
        <v>2215.5515817225</v>
      </c>
      <c r="J746">
        <f t="shared" si="22"/>
        <v>22422.724420865256</v>
      </c>
      <c r="K746" s="735">
        <v>52817.311419999998</v>
      </c>
      <c r="L746">
        <f t="shared" si="22"/>
        <v>2080903.0338998856</v>
      </c>
      <c r="M746" s="742">
        <v>8837.5764409999992</v>
      </c>
      <c r="N746">
        <f t="shared" si="23"/>
        <v>161825.66660425562</v>
      </c>
    </row>
    <row r="747" spans="1:14" ht="15.5" x14ac:dyDescent="0.35">
      <c r="A747">
        <v>155.889347215405</v>
      </c>
      <c r="B747">
        <v>431.51383974605699</v>
      </c>
      <c r="C747">
        <v>38421.564643060199</v>
      </c>
      <c r="D747" s="735">
        <v>22844.035534770774</v>
      </c>
      <c r="E747" s="735">
        <v>8991.0979990012002</v>
      </c>
      <c r="F747" s="735">
        <v>2787.959369781714</v>
      </c>
      <c r="H747" s="741">
        <v>745</v>
      </c>
      <c r="I747" s="735">
        <v>514.87346264197799</v>
      </c>
      <c r="J747">
        <f t="shared" si="22"/>
        <v>2787.959369781714</v>
      </c>
      <c r="K747" s="735">
        <v>1168.6081529999999</v>
      </c>
      <c r="L747">
        <f t="shared" si="22"/>
        <v>8991.0979990012002</v>
      </c>
      <c r="M747" s="742">
        <v>2244.6104420000001</v>
      </c>
      <c r="N747">
        <f t="shared" si="23"/>
        <v>22844.035534770774</v>
      </c>
    </row>
    <row r="748" spans="1:14" ht="15.5" x14ac:dyDescent="0.35">
      <c r="A748">
        <v>14370.062812182699</v>
      </c>
      <c r="B748">
        <v>208.881947557703</v>
      </c>
      <c r="C748">
        <v>1022.52388397965</v>
      </c>
      <c r="D748" s="735">
        <v>84644.831819403553</v>
      </c>
      <c r="E748" s="735">
        <v>25734.624290859167</v>
      </c>
      <c r="F748" s="735">
        <v>5921.1636800142624</v>
      </c>
      <c r="H748" s="741">
        <v>746</v>
      </c>
      <c r="I748" s="735">
        <v>872.33831203998704</v>
      </c>
      <c r="J748">
        <f t="shared" si="22"/>
        <v>5921.1636800142624</v>
      </c>
      <c r="K748" s="735">
        <v>2439.8463790000001</v>
      </c>
      <c r="L748">
        <f t="shared" si="22"/>
        <v>25734.624290859167</v>
      </c>
      <c r="M748" s="742">
        <v>5614.6192780000001</v>
      </c>
      <c r="N748">
        <f t="shared" si="23"/>
        <v>84644.831819403553</v>
      </c>
    </row>
    <row r="749" spans="1:14" ht="15.5" x14ac:dyDescent="0.35">
      <c r="A749">
        <v>299.25941380050102</v>
      </c>
      <c r="B749">
        <v>170.59790197182201</v>
      </c>
      <c r="C749">
        <v>448.79458271477802</v>
      </c>
      <c r="D749" s="735">
        <v>123793.00671064324</v>
      </c>
      <c r="E749" s="735">
        <v>653.22101582998482</v>
      </c>
      <c r="F749" s="735">
        <v>134.31303956352662</v>
      </c>
      <c r="H749" s="741">
        <v>747</v>
      </c>
      <c r="I749" s="735">
        <v>61.614471015428798</v>
      </c>
      <c r="J749">
        <f t="shared" si="22"/>
        <v>134.31303956352662</v>
      </c>
      <c r="K749" s="735">
        <v>186.4412921</v>
      </c>
      <c r="L749">
        <f t="shared" si="22"/>
        <v>653.22101582998482</v>
      </c>
      <c r="M749" s="742">
        <v>7326.3435159999999</v>
      </c>
      <c r="N749">
        <f t="shared" si="23"/>
        <v>123793.00671064324</v>
      </c>
    </row>
    <row r="750" spans="1:14" ht="15.5" x14ac:dyDescent="0.35">
      <c r="A750">
        <v>208.12085431655501</v>
      </c>
      <c r="B750">
        <v>113.837973321127</v>
      </c>
      <c r="C750">
        <v>9893.4056248422094</v>
      </c>
      <c r="D750" s="735">
        <v>2979.1527194763271</v>
      </c>
      <c r="E750" s="735">
        <v>3298.5460841055974</v>
      </c>
      <c r="F750" s="735">
        <v>110.01522267363717</v>
      </c>
      <c r="H750" s="741">
        <v>748</v>
      </c>
      <c r="I750" s="735">
        <v>53.581756632680502</v>
      </c>
      <c r="J750">
        <f t="shared" si="22"/>
        <v>110.01522267363717</v>
      </c>
      <c r="K750" s="735">
        <v>579.19631379999998</v>
      </c>
      <c r="L750">
        <f t="shared" si="22"/>
        <v>3298.5460841055974</v>
      </c>
      <c r="M750" s="742">
        <v>539.34286380000003</v>
      </c>
      <c r="N750">
        <f t="shared" si="23"/>
        <v>2979.1527194763271</v>
      </c>
    </row>
    <row r="751" spans="1:14" ht="15.5" x14ac:dyDescent="0.35">
      <c r="A751">
        <v>872.44435346748298</v>
      </c>
      <c r="B751">
        <v>3945.91646808106</v>
      </c>
      <c r="C751">
        <v>1023.23059156712</v>
      </c>
      <c r="D751" s="735">
        <v>42152.136493353239</v>
      </c>
      <c r="E751" s="735">
        <v>215.1934887626029</v>
      </c>
      <c r="F751" s="735">
        <v>20.403564954139121</v>
      </c>
      <c r="H751" s="741">
        <v>749</v>
      </c>
      <c r="I751" s="735">
        <v>16.473817043156799</v>
      </c>
      <c r="J751">
        <f t="shared" si="22"/>
        <v>20.403564954139121</v>
      </c>
      <c r="K751" s="735">
        <v>85.699914480000004</v>
      </c>
      <c r="L751">
        <f t="shared" si="22"/>
        <v>215.1934887626029</v>
      </c>
      <c r="M751" s="742">
        <v>3446.463745</v>
      </c>
      <c r="N751">
        <f t="shared" si="23"/>
        <v>42152.136493353239</v>
      </c>
    </row>
    <row r="752" spans="1:14" ht="15.5" x14ac:dyDescent="0.35">
      <c r="A752">
        <v>16524.597241310999</v>
      </c>
      <c r="B752">
        <v>233.68344423345499</v>
      </c>
      <c r="C752">
        <v>2188.4603986043999</v>
      </c>
      <c r="D752" s="735">
        <v>102983.67982680745</v>
      </c>
      <c r="E752" s="735">
        <v>147667.6416916656</v>
      </c>
      <c r="F752" s="735">
        <v>448.08686097922578</v>
      </c>
      <c r="H752" s="741">
        <v>750</v>
      </c>
      <c r="I752" s="735">
        <v>143.203471666426</v>
      </c>
      <c r="J752">
        <f t="shared" si="22"/>
        <v>448.08686097922578</v>
      </c>
      <c r="K752" s="735">
        <v>8288.9541499999996</v>
      </c>
      <c r="L752">
        <f t="shared" si="22"/>
        <v>147667.6416916656</v>
      </c>
      <c r="M752" s="742">
        <v>6440.7713860000003</v>
      </c>
      <c r="N752">
        <f t="shared" si="23"/>
        <v>102983.67982680745</v>
      </c>
    </row>
    <row r="753" spans="1:14" ht="15.5" x14ac:dyDescent="0.35">
      <c r="A753">
        <v>228.47148803804899</v>
      </c>
      <c r="B753">
        <v>246.35742566290699</v>
      </c>
      <c r="C753">
        <v>25801.6494214753</v>
      </c>
      <c r="D753" s="735">
        <v>7241.6895772359121</v>
      </c>
      <c r="E753" s="735">
        <v>103145.88984050968</v>
      </c>
      <c r="F753" s="735">
        <v>8945.5260503567442</v>
      </c>
      <c r="H753" s="741">
        <v>751</v>
      </c>
      <c r="I753" s="735">
        <v>1164.45877873939</v>
      </c>
      <c r="J753">
        <f t="shared" si="22"/>
        <v>8945.5260503567442</v>
      </c>
      <c r="K753" s="735">
        <v>6447.8711290000001</v>
      </c>
      <c r="L753">
        <f t="shared" si="22"/>
        <v>103145.88984050968</v>
      </c>
      <c r="M753" s="742">
        <v>1004.356589</v>
      </c>
      <c r="N753">
        <f t="shared" si="23"/>
        <v>7241.6895772359121</v>
      </c>
    </row>
    <row r="754" spans="1:14" ht="15.5" x14ac:dyDescent="0.35">
      <c r="A754">
        <v>25.070634513934099</v>
      </c>
      <c r="B754">
        <v>873.814931659085</v>
      </c>
      <c r="C754">
        <v>2430.89124642557</v>
      </c>
      <c r="D754" s="735">
        <v>679112.60560581903</v>
      </c>
      <c r="E754" s="735">
        <v>3220.8499312247204</v>
      </c>
      <c r="F754" s="735">
        <v>353.1158097024479</v>
      </c>
      <c r="H754" s="741">
        <v>752</v>
      </c>
      <c r="I754" s="735">
        <v>121.210994238102</v>
      </c>
      <c r="J754">
        <f t="shared" si="22"/>
        <v>353.1158097024479</v>
      </c>
      <c r="K754" s="735">
        <v>569.61227959999997</v>
      </c>
      <c r="L754">
        <f t="shared" si="22"/>
        <v>3220.8499312247204</v>
      </c>
      <c r="M754" s="742">
        <v>24118.997599999999</v>
      </c>
      <c r="N754">
        <f t="shared" si="23"/>
        <v>679112.60560581903</v>
      </c>
    </row>
    <row r="755" spans="1:14" ht="15.5" x14ac:dyDescent="0.35">
      <c r="A755">
        <v>36.883964881989399</v>
      </c>
      <c r="B755">
        <v>929.88967983943701</v>
      </c>
      <c r="C755">
        <v>241.45841342407601</v>
      </c>
      <c r="D755" s="735">
        <v>68852.208803765287</v>
      </c>
      <c r="E755" s="735">
        <v>2618.9856218981372</v>
      </c>
      <c r="F755" s="735">
        <v>32.966948425043121</v>
      </c>
      <c r="H755" s="741">
        <v>753</v>
      </c>
      <c r="I755" s="735">
        <v>23.049161136754499</v>
      </c>
      <c r="J755">
        <f t="shared" si="22"/>
        <v>32.966948425043121</v>
      </c>
      <c r="K755" s="735">
        <v>492.82550989999999</v>
      </c>
      <c r="L755">
        <f t="shared" si="22"/>
        <v>2618.9856218981372</v>
      </c>
      <c r="M755" s="742">
        <v>4858.9509390000003</v>
      </c>
      <c r="N755">
        <f t="shared" si="23"/>
        <v>68852.208803765287</v>
      </c>
    </row>
    <row r="756" spans="1:14" ht="15.5" x14ac:dyDescent="0.35">
      <c r="A756">
        <v>1186.4779517499901</v>
      </c>
      <c r="B756">
        <v>948.93444741353699</v>
      </c>
      <c r="C756">
        <v>831.15685805053101</v>
      </c>
      <c r="D756" s="735">
        <v>54570.614245472963</v>
      </c>
      <c r="E756" s="735">
        <v>317.69902097914343</v>
      </c>
      <c r="F756" s="735">
        <v>1336.1752208623241</v>
      </c>
      <c r="H756" s="741">
        <v>754</v>
      </c>
      <c r="I756" s="735">
        <v>307.68362918192599</v>
      </c>
      <c r="J756">
        <f t="shared" si="22"/>
        <v>1336.1752208623241</v>
      </c>
      <c r="K756" s="735">
        <v>112.5670056</v>
      </c>
      <c r="L756">
        <f t="shared" si="22"/>
        <v>317.69902097914343</v>
      </c>
      <c r="M756" s="742">
        <v>4129.2501149999998</v>
      </c>
      <c r="N756">
        <f t="shared" si="23"/>
        <v>54570.614245472963</v>
      </c>
    </row>
    <row r="757" spans="1:14" ht="15.5" x14ac:dyDescent="0.35">
      <c r="A757">
        <v>1553.2511613429399</v>
      </c>
      <c r="B757">
        <v>35.356202923128897</v>
      </c>
      <c r="C757">
        <v>25817.060982799499</v>
      </c>
      <c r="D757" s="735">
        <v>19398.987917886836</v>
      </c>
      <c r="E757" s="735">
        <v>657.29768280380881</v>
      </c>
      <c r="F757" s="735">
        <v>1041.0559033784646</v>
      </c>
      <c r="H757" s="741">
        <v>755</v>
      </c>
      <c r="I757" s="735">
        <v>258.36390252723999</v>
      </c>
      <c r="J757">
        <f t="shared" si="22"/>
        <v>1041.0559033784646</v>
      </c>
      <c r="K757" s="735">
        <v>187.25502069999999</v>
      </c>
      <c r="L757">
        <f t="shared" si="22"/>
        <v>657.29768280380881</v>
      </c>
      <c r="M757" s="742">
        <v>2001.9136960000001</v>
      </c>
      <c r="N757">
        <f t="shared" si="23"/>
        <v>19398.987917886836</v>
      </c>
    </row>
    <row r="758" spans="1:14" ht="15.5" x14ac:dyDescent="0.35">
      <c r="A758">
        <v>19250.6725660999</v>
      </c>
      <c r="B758">
        <v>422.24537370867199</v>
      </c>
      <c r="C758">
        <v>31213.0451425186</v>
      </c>
      <c r="D758" s="735">
        <v>11017.86901857573</v>
      </c>
      <c r="E758" s="735">
        <v>808925.92609703087</v>
      </c>
      <c r="F758" s="735">
        <v>48.750665269980772</v>
      </c>
      <c r="H758" s="741">
        <v>756</v>
      </c>
      <c r="I758" s="735">
        <v>30.310031145620801</v>
      </c>
      <c r="J758">
        <f t="shared" si="22"/>
        <v>48.750665269980772</v>
      </c>
      <c r="K758" s="735">
        <v>27260.645069999999</v>
      </c>
      <c r="L758">
        <f t="shared" si="22"/>
        <v>808925.92609703087</v>
      </c>
      <c r="M758" s="742">
        <v>1347.3124519999999</v>
      </c>
      <c r="N758">
        <f t="shared" si="23"/>
        <v>11017.86901857573</v>
      </c>
    </row>
    <row r="759" spans="1:14" ht="15.5" x14ac:dyDescent="0.35">
      <c r="A759">
        <v>1250.1516747507001</v>
      </c>
      <c r="B759">
        <v>16.981915811419</v>
      </c>
      <c r="C759">
        <v>57.336145468576802</v>
      </c>
      <c r="D759" s="735">
        <v>42467.115361459466</v>
      </c>
      <c r="E759" s="735">
        <v>1089.52875288516</v>
      </c>
      <c r="F759" s="735">
        <v>1185.1750772405101</v>
      </c>
      <c r="H759" s="741">
        <v>757</v>
      </c>
      <c r="I759" s="735">
        <v>282.90964722555202</v>
      </c>
      <c r="J759">
        <f t="shared" si="22"/>
        <v>1185.1750772405101</v>
      </c>
      <c r="K759" s="735">
        <v>266.7270656</v>
      </c>
      <c r="L759">
        <f t="shared" si="22"/>
        <v>1089.52875288516</v>
      </c>
      <c r="M759" s="742">
        <v>3464.4710239999999</v>
      </c>
      <c r="N759">
        <f t="shared" si="23"/>
        <v>42467.115361459466</v>
      </c>
    </row>
    <row r="760" spans="1:14" ht="15.5" x14ac:dyDescent="0.35">
      <c r="A760">
        <v>69.226737133005599</v>
      </c>
      <c r="B760">
        <v>882.47982601512604</v>
      </c>
      <c r="C760">
        <v>196.27209110149599</v>
      </c>
      <c r="D760" s="735">
        <v>159542.30579688461</v>
      </c>
      <c r="E760" s="735">
        <v>24599.565377546212</v>
      </c>
      <c r="F760" s="735">
        <v>201.29128714129502</v>
      </c>
      <c r="H760" s="741">
        <v>758</v>
      </c>
      <c r="I760" s="735">
        <v>81.785720473083103</v>
      </c>
      <c r="J760">
        <f t="shared" si="22"/>
        <v>201.29128714129502</v>
      </c>
      <c r="K760" s="735">
        <v>2364.0094260000001</v>
      </c>
      <c r="L760">
        <f t="shared" si="22"/>
        <v>24599.565377546212</v>
      </c>
      <c r="M760" s="742">
        <v>8750.1017879999999</v>
      </c>
      <c r="N760">
        <f t="shared" si="23"/>
        <v>159542.30579688461</v>
      </c>
    </row>
    <row r="761" spans="1:14" ht="15.5" x14ac:dyDescent="0.35">
      <c r="A761">
        <v>5205.4035456668598</v>
      </c>
      <c r="B761">
        <v>60.055510347723803</v>
      </c>
      <c r="C761">
        <v>22.6159542358665</v>
      </c>
      <c r="D761" s="735">
        <v>9390.9381257473142</v>
      </c>
      <c r="E761" s="735">
        <v>18429.261022292536</v>
      </c>
      <c r="F761" s="735">
        <v>11647.446854920288</v>
      </c>
      <c r="H761" s="741">
        <v>759</v>
      </c>
      <c r="I761" s="735">
        <v>1400.7528548395601</v>
      </c>
      <c r="J761">
        <f t="shared" si="22"/>
        <v>11647.446854920288</v>
      </c>
      <c r="K761" s="735">
        <v>1931.325812</v>
      </c>
      <c r="L761">
        <f t="shared" si="22"/>
        <v>18429.261022292536</v>
      </c>
      <c r="M761" s="742">
        <v>1204.748198</v>
      </c>
      <c r="N761">
        <f t="shared" si="23"/>
        <v>9390.9381257473142</v>
      </c>
    </row>
    <row r="762" spans="1:14" ht="15.5" x14ac:dyDescent="0.35">
      <c r="A762">
        <v>1055.8121084163199</v>
      </c>
      <c r="B762">
        <v>323.75889462541602</v>
      </c>
      <c r="C762">
        <v>96.172092229765099</v>
      </c>
      <c r="D762" s="735">
        <v>307523.12538731308</v>
      </c>
      <c r="E762" s="735">
        <v>1966.6447705750272</v>
      </c>
      <c r="F762" s="735">
        <v>11724.581521891152</v>
      </c>
      <c r="H762" s="741">
        <v>760</v>
      </c>
      <c r="I762" s="735">
        <v>1407.23991661234</v>
      </c>
      <c r="J762">
        <f t="shared" si="22"/>
        <v>11724.581521891152</v>
      </c>
      <c r="K762" s="735">
        <v>403.28135639999999</v>
      </c>
      <c r="L762">
        <f t="shared" si="22"/>
        <v>1966.6447705750272</v>
      </c>
      <c r="M762" s="742">
        <v>13852.062610000001</v>
      </c>
      <c r="N762">
        <f t="shared" si="23"/>
        <v>307523.12538731308</v>
      </c>
    </row>
    <row r="763" spans="1:14" ht="15.5" x14ac:dyDescent="0.35">
      <c r="A763">
        <v>1291.0728829314201</v>
      </c>
      <c r="B763">
        <v>1948.47279218264</v>
      </c>
      <c r="C763">
        <v>53.906417198169898</v>
      </c>
      <c r="D763" s="735">
        <v>358353.54482810735</v>
      </c>
      <c r="E763" s="735">
        <v>3129.9180686963837</v>
      </c>
      <c r="F763" s="735">
        <v>308.78564602956891</v>
      </c>
      <c r="H763" s="741">
        <v>761</v>
      </c>
      <c r="I763" s="735">
        <v>110.34685826979</v>
      </c>
      <c r="J763">
        <f t="shared" si="22"/>
        <v>308.78564602956891</v>
      </c>
      <c r="K763" s="735">
        <v>558.307007</v>
      </c>
      <c r="L763">
        <f t="shared" si="22"/>
        <v>3129.9180686963837</v>
      </c>
      <c r="M763" s="742">
        <v>15417.650390000001</v>
      </c>
      <c r="N763">
        <f t="shared" si="23"/>
        <v>358353.54482810735</v>
      </c>
    </row>
    <row r="764" spans="1:14" ht="15.5" x14ac:dyDescent="0.35">
      <c r="A764">
        <v>430.24714783297901</v>
      </c>
      <c r="B764">
        <v>133.225000617944</v>
      </c>
      <c r="C764">
        <v>108.656889642934</v>
      </c>
      <c r="D764" s="735">
        <v>15849.65498804671</v>
      </c>
      <c r="E764" s="735">
        <v>29061.46297639978</v>
      </c>
      <c r="F764" s="735">
        <v>32630.986896125258</v>
      </c>
      <c r="H764" s="741">
        <v>762</v>
      </c>
      <c r="I764" s="735">
        <v>2880.9859889899699</v>
      </c>
      <c r="J764">
        <f t="shared" si="22"/>
        <v>32630.986896125258</v>
      </c>
      <c r="K764" s="735">
        <v>2656.5759170000001</v>
      </c>
      <c r="L764">
        <f t="shared" si="22"/>
        <v>29061.46297639978</v>
      </c>
      <c r="M764" s="742">
        <v>1737.8563260000001</v>
      </c>
      <c r="N764">
        <f t="shared" si="23"/>
        <v>15849.65498804671</v>
      </c>
    </row>
    <row r="765" spans="1:14" ht="15.5" x14ac:dyDescent="0.35">
      <c r="A765">
        <v>44.113728630007699</v>
      </c>
      <c r="B765">
        <v>433.34361746466197</v>
      </c>
      <c r="C765">
        <v>6635.79826737638</v>
      </c>
      <c r="D765" s="735">
        <v>33082.627069841714</v>
      </c>
      <c r="E765" s="735">
        <v>2791.037018520442</v>
      </c>
      <c r="F765" s="735">
        <v>426.00794903777859</v>
      </c>
      <c r="H765" s="741">
        <v>763</v>
      </c>
      <c r="I765" s="735">
        <v>138.22684389787099</v>
      </c>
      <c r="J765">
        <f t="shared" si="22"/>
        <v>426.00794903777859</v>
      </c>
      <c r="K765" s="735">
        <v>515.27125760000001</v>
      </c>
      <c r="L765">
        <f t="shared" si="22"/>
        <v>2791.037018520442</v>
      </c>
      <c r="M765" s="742">
        <v>2908.8410640000002</v>
      </c>
      <c r="N765">
        <f t="shared" si="23"/>
        <v>33082.627069841714</v>
      </c>
    </row>
    <row r="766" spans="1:14" ht="15.5" x14ac:dyDescent="0.35">
      <c r="A766">
        <v>468.04545751054201</v>
      </c>
      <c r="B766">
        <v>1427.4008273427501</v>
      </c>
      <c r="C766">
        <v>38544.799879085702</v>
      </c>
      <c r="D766" s="735">
        <v>301568.84474027081</v>
      </c>
      <c r="E766" s="735">
        <v>580.93605841500414</v>
      </c>
      <c r="F766" s="735">
        <v>62.123660020798724</v>
      </c>
      <c r="H766" s="741">
        <v>764</v>
      </c>
      <c r="I766" s="735">
        <v>35.915335194218301</v>
      </c>
      <c r="J766">
        <f t="shared" si="22"/>
        <v>62.123660020798724</v>
      </c>
      <c r="K766" s="735">
        <v>171.74726649999999</v>
      </c>
      <c r="L766">
        <f t="shared" si="22"/>
        <v>580.93605841500414</v>
      </c>
      <c r="M766" s="742">
        <v>13663.769609999999</v>
      </c>
      <c r="N766">
        <f t="shared" si="23"/>
        <v>301568.84474027081</v>
      </c>
    </row>
    <row r="767" spans="1:14" ht="15.5" x14ac:dyDescent="0.35">
      <c r="A767">
        <v>329.76117597324799</v>
      </c>
      <c r="B767">
        <v>2656.0372595887302</v>
      </c>
      <c r="C767">
        <v>60167.302997131097</v>
      </c>
      <c r="D767" s="735">
        <v>18423.444688897605</v>
      </c>
      <c r="E767" s="735">
        <v>3704.1634131001574</v>
      </c>
      <c r="F767" s="735">
        <v>3728.3059846501392</v>
      </c>
      <c r="H767" s="741">
        <v>765</v>
      </c>
      <c r="I767" s="735">
        <v>631.04173588580102</v>
      </c>
      <c r="J767">
        <f t="shared" si="22"/>
        <v>3728.3059846501392</v>
      </c>
      <c r="K767" s="735">
        <v>628.17854090000003</v>
      </c>
      <c r="L767">
        <f t="shared" si="22"/>
        <v>3704.1634131001574</v>
      </c>
      <c r="M767" s="742">
        <v>1930.8991189999999</v>
      </c>
      <c r="N767">
        <f t="shared" si="23"/>
        <v>18423.444688897605</v>
      </c>
    </row>
    <row r="768" spans="1:14" ht="15.5" x14ac:dyDescent="0.35">
      <c r="A768">
        <v>30886.097644551999</v>
      </c>
      <c r="B768">
        <v>184.82037662193099</v>
      </c>
      <c r="C768">
        <v>80.548248502174204</v>
      </c>
      <c r="D768" s="735">
        <v>388406.56576138135</v>
      </c>
      <c r="E768" s="735">
        <v>53767.737841036396</v>
      </c>
      <c r="F768" s="735">
        <v>182.9663635932973</v>
      </c>
      <c r="H768" s="741">
        <v>766</v>
      </c>
      <c r="I768" s="735">
        <v>76.499726006402398</v>
      </c>
      <c r="J768">
        <f t="shared" si="22"/>
        <v>182.9663635932973</v>
      </c>
      <c r="K768" s="735">
        <v>4086.6292149999999</v>
      </c>
      <c r="L768">
        <f t="shared" si="22"/>
        <v>53767.737841036396</v>
      </c>
      <c r="M768" s="742">
        <v>16311.751399999999</v>
      </c>
      <c r="N768">
        <f t="shared" si="23"/>
        <v>388406.56576138135</v>
      </c>
    </row>
    <row r="769" spans="1:14" ht="15.5" x14ac:dyDescent="0.35">
      <c r="A769">
        <v>517.30064789885</v>
      </c>
      <c r="B769">
        <v>696.36890486459902</v>
      </c>
      <c r="C769">
        <v>14492.2974740271</v>
      </c>
      <c r="D769" s="735">
        <v>733701.45682387881</v>
      </c>
      <c r="E769" s="735">
        <v>163512.11695432081</v>
      </c>
      <c r="F769" s="735">
        <v>67.515489777739589</v>
      </c>
      <c r="H769" s="741">
        <v>767</v>
      </c>
      <c r="I769" s="735">
        <v>38.069957830744599</v>
      </c>
      <c r="J769">
        <f t="shared" si="22"/>
        <v>67.515489777739589</v>
      </c>
      <c r="K769" s="735">
        <v>8901.94607</v>
      </c>
      <c r="L769">
        <f t="shared" si="22"/>
        <v>163512.11695432081</v>
      </c>
      <c r="M769" s="742">
        <v>25460.302950000001</v>
      </c>
      <c r="N769">
        <f t="shared" si="23"/>
        <v>733701.45682387881</v>
      </c>
    </row>
    <row r="770" spans="1:14" ht="15.5" x14ac:dyDescent="0.35">
      <c r="A770">
        <v>1395.75075925439</v>
      </c>
      <c r="B770">
        <v>283.84007238348102</v>
      </c>
      <c r="C770">
        <v>98122.325739069798</v>
      </c>
      <c r="D770" s="735">
        <v>32061.410579778334</v>
      </c>
      <c r="E770" s="735">
        <v>17512.926489539776</v>
      </c>
      <c r="F770" s="735">
        <v>28517.230632648891</v>
      </c>
      <c r="H770" s="741">
        <v>768</v>
      </c>
      <c r="I770" s="735">
        <v>2621.65260957396</v>
      </c>
      <c r="J770">
        <f t="shared" si="22"/>
        <v>28517.230632648891</v>
      </c>
      <c r="K770" s="735">
        <v>1863.5931579999999</v>
      </c>
      <c r="L770">
        <f t="shared" si="22"/>
        <v>17512.926489539776</v>
      </c>
      <c r="M770" s="742">
        <v>2845.69164</v>
      </c>
      <c r="N770">
        <f t="shared" si="23"/>
        <v>32061.410579778334</v>
      </c>
    </row>
    <row r="771" spans="1:14" ht="15.5" x14ac:dyDescent="0.35">
      <c r="A771">
        <v>669.01913137072904</v>
      </c>
      <c r="B771">
        <v>93.623916226300807</v>
      </c>
      <c r="C771">
        <v>7494.4707752596696</v>
      </c>
      <c r="D771" s="735">
        <v>36533.465684185059</v>
      </c>
      <c r="E771" s="735">
        <v>1350.8210534310003</v>
      </c>
      <c r="F771" s="735">
        <v>13.4145152495011</v>
      </c>
      <c r="H771" s="741">
        <v>769</v>
      </c>
      <c r="I771" s="735">
        <v>12.2829444702302</v>
      </c>
      <c r="J771">
        <f t="shared" si="22"/>
        <v>13.4145152495011</v>
      </c>
      <c r="K771" s="735">
        <v>310.04053279999999</v>
      </c>
      <c r="L771">
        <f t="shared" si="22"/>
        <v>1350.8210534310003</v>
      </c>
      <c r="M771" s="742">
        <v>3118.0538470000001</v>
      </c>
      <c r="N771">
        <f t="shared" si="23"/>
        <v>36533.465684185059</v>
      </c>
    </row>
    <row r="772" spans="1:14" ht="15.5" x14ac:dyDescent="0.35">
      <c r="A772">
        <v>492.82859062778101</v>
      </c>
      <c r="B772">
        <v>344.68844331938197</v>
      </c>
      <c r="C772">
        <v>325.29989363365502</v>
      </c>
      <c r="D772" s="735">
        <v>24939.617132760679</v>
      </c>
      <c r="E772" s="735">
        <v>13571.299365085419</v>
      </c>
      <c r="F772" s="735">
        <v>158.25141614440227</v>
      </c>
      <c r="H772" s="741">
        <v>770</v>
      </c>
      <c r="I772" s="735">
        <v>69.110386784163495</v>
      </c>
      <c r="J772">
        <f t="shared" ref="J772:L835" si="24">(10^(LOG(I772)-0.3))^(1/0.7)</f>
        <v>158.25141614440227</v>
      </c>
      <c r="K772" s="735">
        <v>1558.9601050000001</v>
      </c>
      <c r="L772">
        <f t="shared" si="24"/>
        <v>13571.299365085419</v>
      </c>
      <c r="M772" s="742">
        <v>2386.8374720000002</v>
      </c>
      <c r="N772">
        <f t="shared" ref="N772:N835" si="25">(10^(LOG(M772)-0.3))^(1/0.7)</f>
        <v>24939.617132760679</v>
      </c>
    </row>
    <row r="773" spans="1:14" ht="15.5" x14ac:dyDescent="0.35">
      <c r="A773">
        <v>33.298973106917998</v>
      </c>
      <c r="B773">
        <v>93.967769220874203</v>
      </c>
      <c r="C773">
        <v>96858.479256375693</v>
      </c>
      <c r="D773" s="735">
        <v>214055.99013386172</v>
      </c>
      <c r="E773" s="735">
        <v>125181.79259952335</v>
      </c>
      <c r="F773" s="735">
        <v>39830.095836450062</v>
      </c>
      <c r="H773" s="741">
        <v>771</v>
      </c>
      <c r="I773" s="735">
        <v>3312.4394322227199</v>
      </c>
      <c r="J773">
        <f t="shared" si="24"/>
        <v>39830.095836450062</v>
      </c>
      <c r="K773" s="735">
        <v>7383.7811570000003</v>
      </c>
      <c r="L773">
        <f t="shared" si="24"/>
        <v>125181.79259952335</v>
      </c>
      <c r="M773" s="742">
        <v>10749.027400000001</v>
      </c>
      <c r="N773">
        <f t="shared" si="25"/>
        <v>214055.99013386172</v>
      </c>
    </row>
    <row r="774" spans="1:14" ht="15.5" x14ac:dyDescent="0.35">
      <c r="A774">
        <v>2579.41883007765</v>
      </c>
      <c r="B774">
        <v>553.84513430925006</v>
      </c>
      <c r="C774">
        <v>528.76627769242896</v>
      </c>
      <c r="D774" s="735">
        <v>41501.358897542705</v>
      </c>
      <c r="E774" s="735">
        <v>973926.3973925485</v>
      </c>
      <c r="F774" s="735">
        <v>31071.569105671926</v>
      </c>
      <c r="H774" s="741">
        <v>772</v>
      </c>
      <c r="I774" s="735">
        <v>2783.9038390002002</v>
      </c>
      <c r="J774">
        <f t="shared" si="24"/>
        <v>31071.569105671926</v>
      </c>
      <c r="K774" s="735">
        <v>31043.329600000001</v>
      </c>
      <c r="L774">
        <f t="shared" si="24"/>
        <v>973926.3973925485</v>
      </c>
      <c r="M774" s="742">
        <v>3409.1304679999998</v>
      </c>
      <c r="N774">
        <f t="shared" si="25"/>
        <v>41501.358897542705</v>
      </c>
    </row>
    <row r="775" spans="1:14" ht="15.5" x14ac:dyDescent="0.35">
      <c r="A775">
        <v>64.176636611463394</v>
      </c>
      <c r="B775">
        <v>20.153419272433101</v>
      </c>
      <c r="C775">
        <v>2098.1364596071198</v>
      </c>
      <c r="D775" s="735">
        <v>93845.826377463032</v>
      </c>
      <c r="E775" s="735">
        <v>4850.0001996521096</v>
      </c>
      <c r="F775" s="735">
        <v>96.862496937569119</v>
      </c>
      <c r="H775" s="741">
        <v>773</v>
      </c>
      <c r="I775" s="735">
        <v>49.012737765675297</v>
      </c>
      <c r="J775">
        <f t="shared" si="24"/>
        <v>96.862496937569119</v>
      </c>
      <c r="K775" s="735">
        <v>758.61116379999999</v>
      </c>
      <c r="L775">
        <f t="shared" si="24"/>
        <v>4850.0001996521096</v>
      </c>
      <c r="M775" s="742">
        <v>6035.1834259999996</v>
      </c>
      <c r="N775">
        <f t="shared" si="25"/>
        <v>93845.826377463032</v>
      </c>
    </row>
    <row r="776" spans="1:14" ht="15.5" x14ac:dyDescent="0.35">
      <c r="A776">
        <v>169.21116874126</v>
      </c>
      <c r="B776">
        <v>462.77992332300101</v>
      </c>
      <c r="C776">
        <v>24704.095056325201</v>
      </c>
      <c r="D776" s="735">
        <v>21438.835931142374</v>
      </c>
      <c r="E776" s="735">
        <v>263556.03170141677</v>
      </c>
      <c r="F776" s="735">
        <v>491.28602399206687</v>
      </c>
      <c r="H776" s="741">
        <v>774</v>
      </c>
      <c r="I776" s="735">
        <v>152.73342356675099</v>
      </c>
      <c r="J776">
        <f t="shared" si="24"/>
        <v>491.28602399206687</v>
      </c>
      <c r="K776" s="735">
        <v>12434.00598</v>
      </c>
      <c r="L776">
        <f t="shared" si="24"/>
        <v>263556.03170141677</v>
      </c>
      <c r="M776" s="742">
        <v>2147.0434850000001</v>
      </c>
      <c r="N776">
        <f t="shared" si="25"/>
        <v>21438.835931142374</v>
      </c>
    </row>
    <row r="777" spans="1:14" ht="15.5" x14ac:dyDescent="0.35">
      <c r="A777">
        <v>226.07085151855301</v>
      </c>
      <c r="B777">
        <v>546.30850251457605</v>
      </c>
      <c r="C777">
        <v>3551.6273894146502</v>
      </c>
      <c r="D777" s="735">
        <v>30764.402707358618</v>
      </c>
      <c r="E777" s="735">
        <v>17189.16219636166</v>
      </c>
      <c r="F777" s="735">
        <v>153.74856988220643</v>
      </c>
      <c r="H777" s="741">
        <v>775</v>
      </c>
      <c r="I777" s="735">
        <v>67.7279233092315</v>
      </c>
      <c r="J777">
        <f t="shared" si="24"/>
        <v>153.74856988220643</v>
      </c>
      <c r="K777" s="735">
        <v>1839.408956</v>
      </c>
      <c r="L777">
        <f t="shared" si="24"/>
        <v>17189.16219636166</v>
      </c>
      <c r="M777" s="742">
        <v>2764.6104249999999</v>
      </c>
      <c r="N777">
        <f t="shared" si="25"/>
        <v>30764.402707358618</v>
      </c>
    </row>
    <row r="778" spans="1:14" ht="15.5" x14ac:dyDescent="0.35">
      <c r="A778">
        <v>630.89734610137998</v>
      </c>
      <c r="B778">
        <v>694.86229956589796</v>
      </c>
      <c r="C778">
        <v>47.905730914075498</v>
      </c>
      <c r="D778" s="735">
        <v>12875.068015448185</v>
      </c>
      <c r="E778" s="735">
        <v>1193.062421765753</v>
      </c>
      <c r="F778" s="735">
        <v>53.596631806497243</v>
      </c>
      <c r="H778" s="741">
        <v>776</v>
      </c>
      <c r="I778" s="735">
        <v>32.388903726688099</v>
      </c>
      <c r="J778">
        <f t="shared" si="24"/>
        <v>53.596631806497243</v>
      </c>
      <c r="K778" s="735">
        <v>284.22627069999999</v>
      </c>
      <c r="L778">
        <f t="shared" si="24"/>
        <v>1193.062421765753</v>
      </c>
      <c r="M778" s="742">
        <v>1502.5352600000001</v>
      </c>
      <c r="N778">
        <f t="shared" si="25"/>
        <v>12875.068015448185</v>
      </c>
    </row>
    <row r="779" spans="1:14" ht="15.5" x14ac:dyDescent="0.35">
      <c r="A779">
        <v>89.0234627402303</v>
      </c>
      <c r="B779">
        <v>348.58159717806501</v>
      </c>
      <c r="C779">
        <v>36.715759588475699</v>
      </c>
      <c r="D779" s="735">
        <v>28104.599149387064</v>
      </c>
      <c r="E779" s="735">
        <v>1835594.2338404711</v>
      </c>
      <c r="F779" s="735">
        <v>1354.6025398366733</v>
      </c>
      <c r="H779" s="741">
        <v>777</v>
      </c>
      <c r="I779" s="735">
        <v>310.64782689095102</v>
      </c>
      <c r="J779">
        <f t="shared" si="24"/>
        <v>1354.6025398366733</v>
      </c>
      <c r="K779" s="735">
        <v>48377.528709999999</v>
      </c>
      <c r="L779">
        <f t="shared" si="24"/>
        <v>1835594.2338404711</v>
      </c>
      <c r="M779" s="742">
        <v>2595.0407190000001</v>
      </c>
      <c r="N779">
        <f t="shared" si="25"/>
        <v>28104.599149387064</v>
      </c>
    </row>
    <row r="780" spans="1:14" ht="15.5" x14ac:dyDescent="0.35">
      <c r="A780">
        <v>207.4832319345</v>
      </c>
      <c r="B780">
        <v>157.38423727680399</v>
      </c>
      <c r="C780">
        <v>1547.0285263969899</v>
      </c>
      <c r="D780" s="735">
        <v>66111.131811319225</v>
      </c>
      <c r="E780" s="735">
        <v>4858.4361577945028</v>
      </c>
      <c r="F780" s="735">
        <v>787.05128836173344</v>
      </c>
      <c r="H780" s="741">
        <v>778</v>
      </c>
      <c r="I780" s="735">
        <v>212.42328659396799</v>
      </c>
      <c r="J780">
        <f t="shared" si="24"/>
        <v>787.05128836173344</v>
      </c>
      <c r="K780" s="735">
        <v>759.53457830000002</v>
      </c>
      <c r="L780">
        <f t="shared" si="24"/>
        <v>4858.4361577945028</v>
      </c>
      <c r="M780" s="742">
        <v>4722.7201809999997</v>
      </c>
      <c r="N780">
        <f t="shared" si="25"/>
        <v>66111.131811319225</v>
      </c>
    </row>
    <row r="781" spans="1:14" ht="15.5" x14ac:dyDescent="0.35">
      <c r="A781">
        <v>197.50105657633199</v>
      </c>
      <c r="B781">
        <v>123.48071831566899</v>
      </c>
      <c r="C781">
        <v>391.38888650909598</v>
      </c>
      <c r="D781" s="735">
        <v>12472.240940418369</v>
      </c>
      <c r="E781" s="735">
        <v>1062.5887312617747</v>
      </c>
      <c r="F781" s="735">
        <v>2467.0040082068335</v>
      </c>
      <c r="H781" s="741">
        <v>779</v>
      </c>
      <c r="I781" s="735">
        <v>472.62740309966</v>
      </c>
      <c r="J781">
        <f t="shared" si="24"/>
        <v>2467.0040082068335</v>
      </c>
      <c r="K781" s="735">
        <v>262.09313409999999</v>
      </c>
      <c r="L781">
        <f t="shared" si="24"/>
        <v>1062.5887312617747</v>
      </c>
      <c r="M781" s="742">
        <v>1469.4714220000001</v>
      </c>
      <c r="N781">
        <f t="shared" si="25"/>
        <v>12472.240940418369</v>
      </c>
    </row>
    <row r="782" spans="1:14" ht="15.5" x14ac:dyDescent="0.35">
      <c r="A782">
        <v>2002.1964869205301</v>
      </c>
      <c r="B782">
        <v>252.3360193835</v>
      </c>
      <c r="C782">
        <v>34464.337330463</v>
      </c>
      <c r="D782" s="735">
        <v>9825.0014666744082</v>
      </c>
      <c r="E782" s="735">
        <v>1728.069020931121</v>
      </c>
      <c r="F782" s="735">
        <v>3952.3116689087801</v>
      </c>
      <c r="H782" s="741">
        <v>780</v>
      </c>
      <c r="I782" s="735">
        <v>657.34873151261797</v>
      </c>
      <c r="J782">
        <f t="shared" si="24"/>
        <v>3952.3116689087801</v>
      </c>
      <c r="K782" s="735">
        <v>368.37721420000003</v>
      </c>
      <c r="L782">
        <f t="shared" si="24"/>
        <v>1728.069020931121</v>
      </c>
      <c r="M782" s="742">
        <v>1243.4629130000001</v>
      </c>
      <c r="N782">
        <f t="shared" si="25"/>
        <v>9825.0014666744082</v>
      </c>
    </row>
    <row r="783" spans="1:14" ht="15.5" x14ac:dyDescent="0.35">
      <c r="A783">
        <v>1054.64229698756</v>
      </c>
      <c r="B783">
        <v>385.23139441986899</v>
      </c>
      <c r="C783">
        <v>223.49959019815799</v>
      </c>
      <c r="D783" s="735">
        <v>14583.463798036502</v>
      </c>
      <c r="E783" s="735">
        <v>4.9784211571033001</v>
      </c>
      <c r="F783" s="735">
        <v>1503.3571298152676</v>
      </c>
      <c r="H783" s="741">
        <v>781</v>
      </c>
      <c r="I783" s="735">
        <v>334.15157549933002</v>
      </c>
      <c r="J783">
        <f t="shared" si="24"/>
        <v>1503.3571298152676</v>
      </c>
      <c r="K783" s="735">
        <v>6.1371133349999996</v>
      </c>
      <c r="L783">
        <f t="shared" si="24"/>
        <v>4.9784211571033001</v>
      </c>
      <c r="M783" s="742">
        <v>1639.4662530000001</v>
      </c>
      <c r="N783">
        <f t="shared" si="25"/>
        <v>14583.463798036502</v>
      </c>
    </row>
    <row r="784" spans="1:14" ht="15.5" x14ac:dyDescent="0.35">
      <c r="A784">
        <v>35.9002313838552</v>
      </c>
      <c r="B784">
        <v>391.03203285761202</v>
      </c>
      <c r="C784">
        <v>637.09470842403198</v>
      </c>
      <c r="D784" s="735">
        <v>5382.2828050973085</v>
      </c>
      <c r="E784" s="735">
        <v>18604.851624656047</v>
      </c>
      <c r="F784" s="735">
        <v>10008.490159995194</v>
      </c>
      <c r="H784" s="741">
        <v>782</v>
      </c>
      <c r="I784" s="735">
        <v>1259.67351001674</v>
      </c>
      <c r="J784">
        <f t="shared" si="24"/>
        <v>10008.490159995194</v>
      </c>
      <c r="K784" s="735">
        <v>1944.1884</v>
      </c>
      <c r="L784">
        <f t="shared" si="24"/>
        <v>18604.851624656047</v>
      </c>
      <c r="M784" s="742">
        <v>815.97444849999999</v>
      </c>
      <c r="N784">
        <f t="shared" si="25"/>
        <v>5382.2828050973085</v>
      </c>
    </row>
    <row r="785" spans="1:14" ht="15.5" x14ac:dyDescent="0.35">
      <c r="A785">
        <v>240.39239797088501</v>
      </c>
      <c r="B785">
        <v>111.341521670218</v>
      </c>
      <c r="C785">
        <v>1862.32931585451</v>
      </c>
      <c r="D785" s="735">
        <v>13608.828733437171</v>
      </c>
      <c r="E785" s="735">
        <v>17.392759107056499</v>
      </c>
      <c r="F785" s="735">
        <v>25867.791198099992</v>
      </c>
      <c r="H785" s="741">
        <v>783</v>
      </c>
      <c r="I785" s="735">
        <v>2448.6772294656598</v>
      </c>
      <c r="J785">
        <f t="shared" si="24"/>
        <v>25867.791198099992</v>
      </c>
      <c r="K785" s="735">
        <v>14.731872020000001</v>
      </c>
      <c r="L785">
        <f t="shared" si="24"/>
        <v>17.392759107056499</v>
      </c>
      <c r="M785" s="742">
        <v>1561.976602</v>
      </c>
      <c r="N785">
        <f t="shared" si="25"/>
        <v>13608.828733437171</v>
      </c>
    </row>
    <row r="786" spans="1:14" ht="15.5" x14ac:dyDescent="0.35">
      <c r="A786">
        <v>1078.88265210538</v>
      </c>
      <c r="B786">
        <v>71.980544533363698</v>
      </c>
      <c r="C786">
        <v>805.34304864419903</v>
      </c>
      <c r="D786" s="735">
        <v>8358.1017828030035</v>
      </c>
      <c r="E786" s="735">
        <v>305.73606655636195</v>
      </c>
      <c r="F786" s="735">
        <v>76.443986505258806</v>
      </c>
      <c r="H786" s="741">
        <v>784</v>
      </c>
      <c r="I786" s="735">
        <v>41.527934321038202</v>
      </c>
      <c r="J786">
        <f t="shared" si="24"/>
        <v>76.443986505258806</v>
      </c>
      <c r="K786" s="735">
        <v>109.5828703</v>
      </c>
      <c r="L786">
        <f t="shared" si="24"/>
        <v>305.73606655636195</v>
      </c>
      <c r="M786" s="742">
        <v>1110.3895319999999</v>
      </c>
      <c r="N786">
        <f t="shared" si="25"/>
        <v>8358.1017828030035</v>
      </c>
    </row>
    <row r="787" spans="1:14" ht="15.5" x14ac:dyDescent="0.35">
      <c r="A787">
        <v>879.53290417928201</v>
      </c>
      <c r="B787">
        <v>54.6579064614834</v>
      </c>
      <c r="C787">
        <v>284.00483162378998</v>
      </c>
      <c r="D787" s="735">
        <v>54298.29986834788</v>
      </c>
      <c r="E787" s="735">
        <v>48532.542147572138</v>
      </c>
      <c r="F787" s="735">
        <v>5001.5767145591853</v>
      </c>
      <c r="H787" s="741">
        <v>785</v>
      </c>
      <c r="I787" s="735">
        <v>775.130550271998</v>
      </c>
      <c r="J787">
        <f t="shared" si="24"/>
        <v>5001.5767145591853</v>
      </c>
      <c r="K787" s="735">
        <v>3803.8477710000002</v>
      </c>
      <c r="L787">
        <f t="shared" si="24"/>
        <v>48532.542147572138</v>
      </c>
      <c r="M787" s="742">
        <v>4114.8154530000002</v>
      </c>
      <c r="N787">
        <f t="shared" si="25"/>
        <v>54298.29986834788</v>
      </c>
    </row>
    <row r="788" spans="1:14" ht="15.5" x14ac:dyDescent="0.35">
      <c r="A788">
        <v>75.195156333658502</v>
      </c>
      <c r="B788">
        <v>806.33460770685895</v>
      </c>
      <c r="C788">
        <v>18446.589540253</v>
      </c>
      <c r="D788" s="735">
        <v>1984.5458167010697</v>
      </c>
      <c r="E788" s="735">
        <v>93.453804457123312</v>
      </c>
      <c r="F788" s="735">
        <v>2358.4959501619942</v>
      </c>
      <c r="H788" s="741">
        <v>786</v>
      </c>
      <c r="I788" s="735">
        <v>457.97797700543703</v>
      </c>
      <c r="J788">
        <f t="shared" si="24"/>
        <v>2358.4959501619942</v>
      </c>
      <c r="K788" s="735">
        <v>47.79889867</v>
      </c>
      <c r="L788">
        <f t="shared" si="24"/>
        <v>93.453804457123312</v>
      </c>
      <c r="M788" s="742">
        <v>405.84742130000001</v>
      </c>
      <c r="N788">
        <f t="shared" si="25"/>
        <v>1984.5458167010697</v>
      </c>
    </row>
    <row r="789" spans="1:14" ht="15.5" x14ac:dyDescent="0.35">
      <c r="A789">
        <v>19.479077414314901</v>
      </c>
      <c r="B789">
        <v>133.688657105483</v>
      </c>
      <c r="C789">
        <v>7137.8938996980296</v>
      </c>
      <c r="D789" s="735">
        <v>600196.60645491234</v>
      </c>
      <c r="E789" s="735">
        <v>14624.013616829596</v>
      </c>
      <c r="F789" s="735">
        <v>1630.448912944315</v>
      </c>
      <c r="H789" s="741">
        <v>787</v>
      </c>
      <c r="I789" s="735">
        <v>353.68369321607503</v>
      </c>
      <c r="J789">
        <f t="shared" si="24"/>
        <v>1630.448912944315</v>
      </c>
      <c r="K789" s="735">
        <v>1642.6559380000001</v>
      </c>
      <c r="L789">
        <f t="shared" si="24"/>
        <v>14624.013616829596</v>
      </c>
      <c r="M789" s="742">
        <v>22121.036629999999</v>
      </c>
      <c r="N789">
        <f t="shared" si="25"/>
        <v>600196.60645491234</v>
      </c>
    </row>
    <row r="790" spans="1:14" ht="15.5" x14ac:dyDescent="0.35">
      <c r="A790">
        <v>51.697561478023403</v>
      </c>
      <c r="B790">
        <v>1051.7423729560801</v>
      </c>
      <c r="C790">
        <v>944.15726613410197</v>
      </c>
      <c r="D790" s="735">
        <v>57267.118632465048</v>
      </c>
      <c r="E790" s="735">
        <v>66233.570008283088</v>
      </c>
      <c r="F790" s="735">
        <v>6713.0377045312925</v>
      </c>
      <c r="H790" s="741">
        <v>788</v>
      </c>
      <c r="I790" s="735">
        <v>952.45257553343504</v>
      </c>
      <c r="J790">
        <f t="shared" si="24"/>
        <v>6713.0377045312925</v>
      </c>
      <c r="K790" s="735">
        <v>4728.8410350000004</v>
      </c>
      <c r="L790">
        <f t="shared" si="24"/>
        <v>66233.570008283088</v>
      </c>
      <c r="M790" s="742">
        <v>4271.0409229999996</v>
      </c>
      <c r="N790">
        <f t="shared" si="25"/>
        <v>57267.118632465048</v>
      </c>
    </row>
    <row r="791" spans="1:14" ht="15.5" x14ac:dyDescent="0.35">
      <c r="A791">
        <v>116.86944658663499</v>
      </c>
      <c r="B791">
        <v>682.72568594487302</v>
      </c>
      <c r="C791">
        <v>90239.557547458302</v>
      </c>
      <c r="D791" s="735">
        <v>208440.86795974491</v>
      </c>
      <c r="E791" s="735">
        <v>8599.0273852546343</v>
      </c>
      <c r="F791" s="735">
        <v>106.61643529694207</v>
      </c>
      <c r="H791" s="741">
        <v>789</v>
      </c>
      <c r="I791" s="735">
        <v>52.417573219071699</v>
      </c>
      <c r="J791">
        <f t="shared" si="24"/>
        <v>106.61643529694207</v>
      </c>
      <c r="K791" s="735">
        <v>1132.69904</v>
      </c>
      <c r="L791">
        <f t="shared" si="24"/>
        <v>8599.0273852546343</v>
      </c>
      <c r="M791" s="742">
        <v>10550.863660000001</v>
      </c>
      <c r="N791">
        <f t="shared" si="25"/>
        <v>208440.86795974491</v>
      </c>
    </row>
    <row r="792" spans="1:14" ht="15.5" x14ac:dyDescent="0.35">
      <c r="A792">
        <v>211.48928096341399</v>
      </c>
      <c r="B792">
        <v>133.83625477783201</v>
      </c>
      <c r="C792">
        <v>517.12786068246896</v>
      </c>
      <c r="D792" s="735">
        <v>147313.97207230687</v>
      </c>
      <c r="E792" s="735">
        <v>457.5509943495897</v>
      </c>
      <c r="F792" s="735">
        <v>1565.6153411725631</v>
      </c>
      <c r="H792" s="741">
        <v>790</v>
      </c>
      <c r="I792" s="735">
        <v>343.77916133544102</v>
      </c>
      <c r="J792">
        <f t="shared" si="24"/>
        <v>1565.6153411725631</v>
      </c>
      <c r="K792" s="735">
        <v>145.31406519999999</v>
      </c>
      <c r="L792">
        <f t="shared" si="24"/>
        <v>457.5509943495897</v>
      </c>
      <c r="M792" s="742">
        <v>8275.0524999999998</v>
      </c>
      <c r="N792">
        <f t="shared" si="25"/>
        <v>147313.97207230687</v>
      </c>
    </row>
    <row r="793" spans="1:14" ht="15.5" x14ac:dyDescent="0.35">
      <c r="A793">
        <v>231.54060832121999</v>
      </c>
      <c r="B793">
        <v>71.6804460028618</v>
      </c>
      <c r="C793">
        <v>167.41833577961</v>
      </c>
      <c r="D793" s="735">
        <v>361441.43312105333</v>
      </c>
      <c r="E793" s="735">
        <v>185737.45492118323</v>
      </c>
      <c r="F793" s="735">
        <v>10672.248907301549</v>
      </c>
      <c r="H793" s="741">
        <v>791</v>
      </c>
      <c r="I793" s="735">
        <v>1317.58657758711</v>
      </c>
      <c r="J793">
        <f t="shared" si="24"/>
        <v>10672.248907301549</v>
      </c>
      <c r="K793" s="735">
        <v>9732.6172229999993</v>
      </c>
      <c r="L793">
        <f t="shared" si="24"/>
        <v>185737.45492118323</v>
      </c>
      <c r="M793" s="742">
        <v>15510.527029999999</v>
      </c>
      <c r="N793">
        <f t="shared" si="25"/>
        <v>361441.43312105333</v>
      </c>
    </row>
    <row r="794" spans="1:14" ht="15.5" x14ac:dyDescent="0.35">
      <c r="A794">
        <v>403.36496498477601</v>
      </c>
      <c r="B794">
        <v>1355.2570602425301</v>
      </c>
      <c r="C794">
        <v>9580.6389191365397</v>
      </c>
      <c r="D794" s="735">
        <v>16489.094210371528</v>
      </c>
      <c r="E794" s="735">
        <v>52612.611180497493</v>
      </c>
      <c r="F794" s="735">
        <v>2771.56534666279</v>
      </c>
      <c r="H794" s="741">
        <v>792</v>
      </c>
      <c r="I794" s="735">
        <v>512.75226308485799</v>
      </c>
      <c r="J794">
        <f t="shared" si="24"/>
        <v>2771.56534666279</v>
      </c>
      <c r="K794" s="735">
        <v>4024.972334</v>
      </c>
      <c r="L794">
        <f t="shared" si="24"/>
        <v>52612.611180497493</v>
      </c>
      <c r="M794" s="742">
        <v>1786.6429069999999</v>
      </c>
      <c r="N794">
        <f t="shared" si="25"/>
        <v>16489.094210371528</v>
      </c>
    </row>
    <row r="795" spans="1:14" ht="15.5" x14ac:dyDescent="0.35">
      <c r="A795">
        <v>34.507548406856003</v>
      </c>
      <c r="B795">
        <v>390.927214916845</v>
      </c>
      <c r="C795">
        <v>1167.64494475488</v>
      </c>
      <c r="D795" s="735">
        <v>97459.929009823711</v>
      </c>
      <c r="E795" s="735">
        <v>2328.7294782938548</v>
      </c>
      <c r="F795" s="735">
        <v>59.140017159697933</v>
      </c>
      <c r="H795" s="741">
        <v>793</v>
      </c>
      <c r="I795" s="735">
        <v>34.6990042682948</v>
      </c>
      <c r="J795">
        <f t="shared" si="24"/>
        <v>59.140017159697933</v>
      </c>
      <c r="K795" s="735">
        <v>453.92419130000002</v>
      </c>
      <c r="L795">
        <f t="shared" si="24"/>
        <v>2328.7294782938548</v>
      </c>
      <c r="M795" s="742">
        <v>6196.9538730000004</v>
      </c>
      <c r="N795">
        <f t="shared" si="25"/>
        <v>97459.929009823711</v>
      </c>
    </row>
    <row r="796" spans="1:14" ht="15.5" x14ac:dyDescent="0.35">
      <c r="A796">
        <v>2393.4783894350198</v>
      </c>
      <c r="B796">
        <v>350.78845238901698</v>
      </c>
      <c r="C796">
        <v>4065.80424381281</v>
      </c>
      <c r="D796" s="735">
        <v>67898.315535625457</v>
      </c>
      <c r="E796" s="735">
        <v>52754.389078565589</v>
      </c>
      <c r="F796" s="735">
        <v>7.694872346595492</v>
      </c>
      <c r="H796" s="741">
        <v>794</v>
      </c>
      <c r="I796" s="735">
        <v>8.3241710098346609</v>
      </c>
      <c r="J796">
        <f t="shared" si="24"/>
        <v>7.694872346595492</v>
      </c>
      <c r="K796" s="735">
        <v>4032.561678</v>
      </c>
      <c r="L796">
        <f t="shared" si="24"/>
        <v>52754.389078565589</v>
      </c>
      <c r="M796" s="742">
        <v>4811.7305569999999</v>
      </c>
      <c r="N796">
        <f t="shared" si="25"/>
        <v>67898.315535625457</v>
      </c>
    </row>
    <row r="797" spans="1:14" ht="15.5" x14ac:dyDescent="0.35">
      <c r="A797">
        <v>1596.77976632896</v>
      </c>
      <c r="B797">
        <v>453.78410275321102</v>
      </c>
      <c r="C797">
        <v>71479.467552282294</v>
      </c>
      <c r="D797" s="735">
        <v>2105.8071175905893</v>
      </c>
      <c r="E797" s="735">
        <v>3610.7744456486685</v>
      </c>
      <c r="F797" s="735">
        <v>278.6756324542647</v>
      </c>
      <c r="H797" s="741">
        <v>795</v>
      </c>
      <c r="I797" s="735">
        <v>102.699728811588</v>
      </c>
      <c r="J797">
        <f t="shared" si="24"/>
        <v>278.6756324542647</v>
      </c>
      <c r="K797" s="735">
        <v>617.04985150000005</v>
      </c>
      <c r="L797">
        <f t="shared" si="24"/>
        <v>3610.7744456486685</v>
      </c>
      <c r="M797" s="742">
        <v>423.05127909999999</v>
      </c>
      <c r="N797">
        <f t="shared" si="25"/>
        <v>2105.8071175905893</v>
      </c>
    </row>
    <row r="798" spans="1:14" ht="15.5" x14ac:dyDescent="0.35">
      <c r="A798">
        <v>67.058415395215206</v>
      </c>
      <c r="B798">
        <v>2153.5143300173199</v>
      </c>
      <c r="C798">
        <v>3010.6405751887301</v>
      </c>
      <c r="D798" s="735">
        <v>2238234.7788441661</v>
      </c>
      <c r="E798" s="735">
        <v>19048.003420049907</v>
      </c>
      <c r="F798" s="735">
        <v>837.05005049399199</v>
      </c>
      <c r="H798" s="741">
        <v>796</v>
      </c>
      <c r="I798" s="735">
        <v>221.78184847813901</v>
      </c>
      <c r="J798">
        <f t="shared" si="24"/>
        <v>837.05005049399199</v>
      </c>
      <c r="K798" s="735">
        <v>1976.490004</v>
      </c>
      <c r="L798">
        <f t="shared" si="24"/>
        <v>19048.003420049907</v>
      </c>
      <c r="M798" s="742">
        <v>55581.971579999998</v>
      </c>
      <c r="N798">
        <f t="shared" si="25"/>
        <v>2238234.7788441661</v>
      </c>
    </row>
    <row r="799" spans="1:14" ht="15.5" x14ac:dyDescent="0.35">
      <c r="A799">
        <v>14.935169403635699</v>
      </c>
      <c r="B799">
        <v>631.32629832863699</v>
      </c>
      <c r="C799">
        <v>446.86272886955601</v>
      </c>
      <c r="D799" s="735">
        <v>153315.42303897152</v>
      </c>
      <c r="E799" s="735">
        <v>4956.5295409077198</v>
      </c>
      <c r="F799" s="735">
        <v>1722.9226160029789</v>
      </c>
      <c r="H799" s="741">
        <v>797</v>
      </c>
      <c r="I799" s="735">
        <v>367.60891941783098</v>
      </c>
      <c r="J799">
        <f t="shared" si="24"/>
        <v>1722.9226160029789</v>
      </c>
      <c r="K799" s="735">
        <v>770.23702160000005</v>
      </c>
      <c r="L799">
        <f t="shared" si="24"/>
        <v>4956.5295409077198</v>
      </c>
      <c r="M799" s="742">
        <v>8509.6185310000001</v>
      </c>
      <c r="N799">
        <f t="shared" si="25"/>
        <v>153315.42303897152</v>
      </c>
    </row>
    <row r="800" spans="1:14" ht="15.5" x14ac:dyDescent="0.35">
      <c r="A800">
        <v>3459.5313854414999</v>
      </c>
      <c r="B800">
        <v>164.48961514949499</v>
      </c>
      <c r="C800">
        <v>2191.2216256122701</v>
      </c>
      <c r="D800" s="735">
        <v>76789.331051167814</v>
      </c>
      <c r="E800" s="735">
        <v>50592.16777406734</v>
      </c>
      <c r="F800" s="735">
        <v>634.30403773379192</v>
      </c>
      <c r="H800" s="741">
        <v>798</v>
      </c>
      <c r="I800" s="735">
        <v>182.645187354233</v>
      </c>
      <c r="J800">
        <f t="shared" si="24"/>
        <v>634.30403773379192</v>
      </c>
      <c r="K800" s="735">
        <v>3916.140836</v>
      </c>
      <c r="L800">
        <f t="shared" si="24"/>
        <v>50592.16777406734</v>
      </c>
      <c r="M800" s="742">
        <v>5244.5788469999998</v>
      </c>
      <c r="N800">
        <f t="shared" si="25"/>
        <v>76789.331051167814</v>
      </c>
    </row>
    <row r="801" spans="1:14" ht="15.5" x14ac:dyDescent="0.35">
      <c r="A801">
        <v>11.3815404441109</v>
      </c>
      <c r="B801">
        <v>84.494007091132104</v>
      </c>
      <c r="C801">
        <v>69.708417149019795</v>
      </c>
      <c r="D801" s="735">
        <v>1319.0579788113771</v>
      </c>
      <c r="E801" s="735">
        <v>2264.7796093441848</v>
      </c>
      <c r="F801" s="735">
        <v>2156.5100324023583</v>
      </c>
      <c r="H801" s="741">
        <v>799</v>
      </c>
      <c r="I801" s="735">
        <v>430.15605251249599</v>
      </c>
      <c r="J801">
        <f t="shared" si="24"/>
        <v>2156.5100324023583</v>
      </c>
      <c r="K801" s="735">
        <v>445.16207939999998</v>
      </c>
      <c r="L801">
        <f t="shared" si="24"/>
        <v>2264.7796093441848</v>
      </c>
      <c r="M801" s="742">
        <v>304.91916350000002</v>
      </c>
      <c r="N801">
        <f t="shared" si="25"/>
        <v>1319.0579788113771</v>
      </c>
    </row>
    <row r="802" spans="1:14" ht="15.5" x14ac:dyDescent="0.35">
      <c r="A802">
        <v>406.86245982193702</v>
      </c>
      <c r="B802">
        <v>251.146042823106</v>
      </c>
      <c r="C802">
        <v>42283.889939215602</v>
      </c>
      <c r="D802" s="735">
        <v>55280.507941399388</v>
      </c>
      <c r="E802" s="735">
        <v>32051.648296783987</v>
      </c>
      <c r="F802" s="735">
        <v>2484.6998348550574</v>
      </c>
      <c r="H802" s="741">
        <v>800</v>
      </c>
      <c r="I802" s="735">
        <v>474.99796803322897</v>
      </c>
      <c r="J802">
        <f t="shared" si="24"/>
        <v>2484.6998348550574</v>
      </c>
      <c r="K802" s="735">
        <v>2845.085079</v>
      </c>
      <c r="L802">
        <f t="shared" si="24"/>
        <v>32051.648296783987</v>
      </c>
      <c r="M802" s="742">
        <v>4166.7785270000004</v>
      </c>
      <c r="N802">
        <f t="shared" si="25"/>
        <v>55280.507941399388</v>
      </c>
    </row>
    <row r="803" spans="1:14" ht="15.5" x14ac:dyDescent="0.35">
      <c r="A803">
        <v>163.89433470616501</v>
      </c>
      <c r="B803">
        <v>1714.2512182733101</v>
      </c>
      <c r="C803">
        <v>207.45393626322601</v>
      </c>
      <c r="D803" s="735">
        <v>51147.924168284131</v>
      </c>
      <c r="E803" s="735">
        <v>409.07144793881349</v>
      </c>
      <c r="F803" s="735">
        <v>55.660314203810366</v>
      </c>
      <c r="H803" s="741">
        <v>801</v>
      </c>
      <c r="I803" s="735">
        <v>33.256914776868399</v>
      </c>
      <c r="J803">
        <f t="shared" si="24"/>
        <v>55.660314203810366</v>
      </c>
      <c r="K803" s="735">
        <v>134.3567276</v>
      </c>
      <c r="L803">
        <f t="shared" si="24"/>
        <v>409.07144793881349</v>
      </c>
      <c r="M803" s="742">
        <v>3946.204694</v>
      </c>
      <c r="N803">
        <f t="shared" si="25"/>
        <v>51147.924168284131</v>
      </c>
    </row>
    <row r="804" spans="1:14" ht="15.5" x14ac:dyDescent="0.35">
      <c r="A804">
        <v>19967.0034256086</v>
      </c>
      <c r="B804">
        <v>193.16915972882001</v>
      </c>
      <c r="C804">
        <v>272.47353465402199</v>
      </c>
      <c r="D804" s="735">
        <v>71360.882165013361</v>
      </c>
      <c r="E804" s="735">
        <v>256.89654595741843</v>
      </c>
      <c r="F804" s="735">
        <v>306.51029700908231</v>
      </c>
      <c r="H804" s="741">
        <v>802</v>
      </c>
      <c r="I804" s="735">
        <v>109.777048051997</v>
      </c>
      <c r="J804">
        <f t="shared" si="24"/>
        <v>306.51029700908231</v>
      </c>
      <c r="K804" s="735">
        <v>97.013190050000006</v>
      </c>
      <c r="L804">
        <f t="shared" si="24"/>
        <v>256.89654595741843</v>
      </c>
      <c r="M804" s="742">
        <v>4982.211354</v>
      </c>
      <c r="N804">
        <f t="shared" si="25"/>
        <v>71360.882165013361</v>
      </c>
    </row>
    <row r="805" spans="1:14" ht="15.5" x14ac:dyDescent="0.35">
      <c r="A805">
        <v>818.15187483528098</v>
      </c>
      <c r="B805">
        <v>84.160690606676596</v>
      </c>
      <c r="C805">
        <v>11184.6782029842</v>
      </c>
      <c r="D805" s="735">
        <v>19317.870559243223</v>
      </c>
      <c r="E805" s="735">
        <v>149625.87882868352</v>
      </c>
      <c r="F805" s="735">
        <v>3584.460126187284</v>
      </c>
      <c r="H805" s="741">
        <v>803</v>
      </c>
      <c r="I805" s="735">
        <v>613.89857818394</v>
      </c>
      <c r="J805">
        <f t="shared" si="24"/>
        <v>3584.460126187284</v>
      </c>
      <c r="K805" s="735">
        <v>8365.7464920000002</v>
      </c>
      <c r="L805">
        <f t="shared" si="24"/>
        <v>149625.87882868352</v>
      </c>
      <c r="M805" s="742">
        <v>1996.0502770000001</v>
      </c>
      <c r="N805">
        <f t="shared" si="25"/>
        <v>19317.870559243223</v>
      </c>
    </row>
    <row r="806" spans="1:14" ht="15.5" x14ac:dyDescent="0.35">
      <c r="A806">
        <v>154.31582776527699</v>
      </c>
      <c r="B806">
        <v>37.049810695319202</v>
      </c>
      <c r="C806">
        <v>47030.563390599797</v>
      </c>
      <c r="D806" s="735">
        <v>17941.094178750078</v>
      </c>
      <c r="E806" s="735">
        <v>3075.1861000886297</v>
      </c>
      <c r="F806" s="735">
        <v>73735.384568171212</v>
      </c>
      <c r="H806" s="741">
        <v>804</v>
      </c>
      <c r="I806" s="735">
        <v>5097.6869843208597</v>
      </c>
      <c r="J806">
        <f t="shared" si="24"/>
        <v>73735.384568171212</v>
      </c>
      <c r="K806" s="735">
        <v>551.45487720000006</v>
      </c>
      <c r="L806">
        <f t="shared" si="24"/>
        <v>3075.1861000886297</v>
      </c>
      <c r="M806" s="742">
        <v>1895.371073</v>
      </c>
      <c r="N806">
        <f t="shared" si="25"/>
        <v>17941.094178750078</v>
      </c>
    </row>
    <row r="807" spans="1:14" ht="15.5" x14ac:dyDescent="0.35">
      <c r="A807">
        <v>1454.3856539050901</v>
      </c>
      <c r="B807">
        <v>460.60928033637202</v>
      </c>
      <c r="C807">
        <v>278.85201426338602</v>
      </c>
      <c r="D807" s="735">
        <v>3865.5566376508673</v>
      </c>
      <c r="E807" s="735">
        <v>49021.116195897157</v>
      </c>
      <c r="F807" s="735">
        <v>17.202519132977283</v>
      </c>
      <c r="H807" s="741">
        <v>805</v>
      </c>
      <c r="I807" s="735">
        <v>14.618891226112</v>
      </c>
      <c r="J807">
        <f t="shared" si="24"/>
        <v>17.202519132977283</v>
      </c>
      <c r="K807" s="735">
        <v>3830.6126370000002</v>
      </c>
      <c r="L807">
        <f t="shared" si="24"/>
        <v>49021.116195897157</v>
      </c>
      <c r="M807" s="742">
        <v>647.21478330000002</v>
      </c>
      <c r="N807">
        <f t="shared" si="25"/>
        <v>3865.5566376508673</v>
      </c>
    </row>
    <row r="808" spans="1:14" ht="15.5" x14ac:dyDescent="0.35">
      <c r="A808">
        <v>4740.33352698832</v>
      </c>
      <c r="B808">
        <v>199.46225575259999</v>
      </c>
      <c r="C808">
        <v>564.76910073799399</v>
      </c>
      <c r="D808" s="735">
        <v>884.37895423943064</v>
      </c>
      <c r="E808" s="735">
        <v>8332.590735923086</v>
      </c>
      <c r="F808" s="735">
        <v>688.43253006675809</v>
      </c>
      <c r="H808" s="741">
        <v>806</v>
      </c>
      <c r="I808" s="735">
        <v>193.42070793477399</v>
      </c>
      <c r="J808">
        <f t="shared" si="24"/>
        <v>688.43253006675809</v>
      </c>
      <c r="K808" s="735">
        <v>1108.0160109999999</v>
      </c>
      <c r="L808">
        <f t="shared" si="24"/>
        <v>8332.590735923086</v>
      </c>
      <c r="M808" s="742">
        <v>230.48723570000001</v>
      </c>
      <c r="N808">
        <f t="shared" si="25"/>
        <v>884.37895423943064</v>
      </c>
    </row>
    <row r="809" spans="1:14" ht="15.5" x14ac:dyDescent="0.35">
      <c r="A809">
        <v>187.54904723378499</v>
      </c>
      <c r="B809">
        <v>133.76382635187699</v>
      </c>
      <c r="C809">
        <v>1831.95904531516</v>
      </c>
      <c r="D809" s="735">
        <v>5838.7045174864588</v>
      </c>
      <c r="E809" s="735">
        <v>5554.0373855581574</v>
      </c>
      <c r="F809" s="735">
        <v>304.38494581601145</v>
      </c>
      <c r="H809" s="741">
        <v>807</v>
      </c>
      <c r="I809" s="735">
        <v>109.243654132492</v>
      </c>
      <c r="J809">
        <f t="shared" si="24"/>
        <v>304.38494581601145</v>
      </c>
      <c r="K809" s="735">
        <v>834.11543770000003</v>
      </c>
      <c r="L809">
        <f t="shared" si="24"/>
        <v>5554.0373855581574</v>
      </c>
      <c r="M809" s="742">
        <v>863.81660480000005</v>
      </c>
      <c r="N809">
        <f t="shared" si="25"/>
        <v>5838.7045174864588</v>
      </c>
    </row>
    <row r="810" spans="1:14" ht="15.5" x14ac:dyDescent="0.35">
      <c r="A810">
        <v>286.70414540530498</v>
      </c>
      <c r="B810">
        <v>499.10563822157297</v>
      </c>
      <c r="C810">
        <v>594.29105207175905</v>
      </c>
      <c r="D810" s="735">
        <v>638020.26889915217</v>
      </c>
      <c r="E810" s="735">
        <v>1023.3478246104314</v>
      </c>
      <c r="F810" s="735">
        <v>1105.836288309458</v>
      </c>
      <c r="H810" s="741">
        <v>808</v>
      </c>
      <c r="I810" s="735">
        <v>269.51540030153802</v>
      </c>
      <c r="J810">
        <f t="shared" si="24"/>
        <v>1105.836288309458</v>
      </c>
      <c r="K810" s="735">
        <v>255.2797051</v>
      </c>
      <c r="L810">
        <f t="shared" si="24"/>
        <v>1023.3478246104314</v>
      </c>
      <c r="M810" s="742">
        <v>23087.88407</v>
      </c>
      <c r="N810">
        <f t="shared" si="25"/>
        <v>638020.26889915217</v>
      </c>
    </row>
    <row r="811" spans="1:14" ht="15.5" x14ac:dyDescent="0.35">
      <c r="A811">
        <v>431.607766949964</v>
      </c>
      <c r="B811">
        <v>1647.5606525082201</v>
      </c>
      <c r="C811">
        <v>14118.451010593601</v>
      </c>
      <c r="D811" s="735">
        <v>306025.7740472185</v>
      </c>
      <c r="E811" s="735">
        <v>1089003.7704245949</v>
      </c>
      <c r="F811" s="735">
        <v>11532.652411289429</v>
      </c>
      <c r="H811" s="741">
        <v>809</v>
      </c>
      <c r="I811" s="735">
        <v>1391.07466779684</v>
      </c>
      <c r="J811">
        <f t="shared" si="24"/>
        <v>11532.652411289429</v>
      </c>
      <c r="K811" s="735">
        <v>33567.62141</v>
      </c>
      <c r="L811">
        <f t="shared" si="24"/>
        <v>1089003.7704245949</v>
      </c>
      <c r="M811" s="742">
        <v>13804.815399999999</v>
      </c>
      <c r="N811">
        <f t="shared" si="25"/>
        <v>306025.7740472185</v>
      </c>
    </row>
    <row r="812" spans="1:14" ht="15.5" x14ac:dyDescent="0.35">
      <c r="A812">
        <v>24125.377614558001</v>
      </c>
      <c r="B812">
        <v>423.86556950450898</v>
      </c>
      <c r="C812">
        <v>5385.4931106848599</v>
      </c>
      <c r="D812" s="735">
        <v>30769.803760617055</v>
      </c>
      <c r="E812" s="735">
        <v>4579.6838953469933</v>
      </c>
      <c r="F812" s="735">
        <v>3418.0444834942641</v>
      </c>
      <c r="H812" s="741">
        <v>810</v>
      </c>
      <c r="I812" s="735">
        <v>593.805748141555</v>
      </c>
      <c r="J812">
        <f t="shared" si="24"/>
        <v>3418.0444834942641</v>
      </c>
      <c r="K812" s="735">
        <v>728.76054480000005</v>
      </c>
      <c r="L812">
        <f t="shared" si="24"/>
        <v>4579.6838953469933</v>
      </c>
      <c r="M812" s="742">
        <v>2764.9501679999998</v>
      </c>
      <c r="N812">
        <f t="shared" si="25"/>
        <v>30769.803760617055</v>
      </c>
    </row>
    <row r="813" spans="1:14" ht="15.5" x14ac:dyDescent="0.35">
      <c r="A813">
        <v>13.2751325989124</v>
      </c>
      <c r="B813">
        <v>108.903356025131</v>
      </c>
      <c r="C813">
        <v>562.88740828181301</v>
      </c>
      <c r="D813" s="735">
        <v>10786.167509994975</v>
      </c>
      <c r="E813" s="735">
        <v>7336.8500774887898</v>
      </c>
      <c r="F813" s="735">
        <v>2691.7433791517678</v>
      </c>
      <c r="H813" s="741">
        <v>811</v>
      </c>
      <c r="I813" s="735">
        <v>502.36983884510602</v>
      </c>
      <c r="J813">
        <f t="shared" si="24"/>
        <v>2691.7433791517678</v>
      </c>
      <c r="K813" s="735">
        <v>1013.57701</v>
      </c>
      <c r="L813">
        <f t="shared" si="24"/>
        <v>7336.8500774887898</v>
      </c>
      <c r="M813" s="742">
        <v>1327.4158910000001</v>
      </c>
      <c r="N813">
        <f t="shared" si="25"/>
        <v>10786.167509994975</v>
      </c>
    </row>
    <row r="814" spans="1:14" ht="15.5" x14ac:dyDescent="0.35">
      <c r="A814">
        <v>28.042153498667801</v>
      </c>
      <c r="B814">
        <v>503.76613533759001</v>
      </c>
      <c r="C814">
        <v>21.653591285666</v>
      </c>
      <c r="D814" s="735">
        <v>72342.769644855594</v>
      </c>
      <c r="E814" s="735">
        <v>12320.056350823841</v>
      </c>
      <c r="F814" s="735">
        <v>2387.5626449962347</v>
      </c>
      <c r="H814" s="741">
        <v>812</v>
      </c>
      <c r="I814" s="735">
        <v>461.92167654646897</v>
      </c>
      <c r="J814">
        <f t="shared" si="24"/>
        <v>2387.5626449962347</v>
      </c>
      <c r="K814" s="735">
        <v>1456.8971240000001</v>
      </c>
      <c r="L814">
        <f t="shared" si="24"/>
        <v>12320.056350823841</v>
      </c>
      <c r="M814" s="742">
        <v>5030.0996889999997</v>
      </c>
      <c r="N814">
        <f t="shared" si="25"/>
        <v>72342.769644855594</v>
      </c>
    </row>
    <row r="815" spans="1:14" ht="15.5" x14ac:dyDescent="0.35">
      <c r="A815">
        <v>193.84564600947201</v>
      </c>
      <c r="B815">
        <v>54.805803383223001</v>
      </c>
      <c r="C815">
        <v>127.9506185855</v>
      </c>
      <c r="D815" s="735">
        <v>14121.317526491035</v>
      </c>
      <c r="E815" s="735">
        <v>1597.9773505199898</v>
      </c>
      <c r="F815" s="735">
        <v>46.495906261297328</v>
      </c>
      <c r="H815" s="741">
        <v>813</v>
      </c>
      <c r="I815" s="735">
        <v>29.321778042406802</v>
      </c>
      <c r="J815">
        <f t="shared" si="24"/>
        <v>46.495906261297328</v>
      </c>
      <c r="K815" s="735">
        <v>348.73812930000003</v>
      </c>
      <c r="L815">
        <f t="shared" si="24"/>
        <v>1597.9773505199898</v>
      </c>
      <c r="M815" s="742">
        <v>1602.9229720000001</v>
      </c>
      <c r="N815">
        <f t="shared" si="25"/>
        <v>14121.317526491035</v>
      </c>
    </row>
    <row r="816" spans="1:14" ht="15.5" x14ac:dyDescent="0.35">
      <c r="A816">
        <v>440.47523247822301</v>
      </c>
      <c r="B816">
        <v>311.905294347248</v>
      </c>
      <c r="C816">
        <v>16556.8107289738</v>
      </c>
      <c r="D816" s="735">
        <v>36533.639393536192</v>
      </c>
      <c r="E816" s="735">
        <v>3745.1411859747786</v>
      </c>
      <c r="F816" s="735">
        <v>114.49027563621586</v>
      </c>
      <c r="H816" s="741">
        <v>814</v>
      </c>
      <c r="I816" s="735">
        <v>55.098277328280702</v>
      </c>
      <c r="J816">
        <f t="shared" si="24"/>
        <v>114.49027563621586</v>
      </c>
      <c r="K816" s="735">
        <v>633.03502000000003</v>
      </c>
      <c r="L816">
        <f t="shared" si="24"/>
        <v>3745.1411859747786</v>
      </c>
      <c r="M816" s="742">
        <v>3118.0642250000001</v>
      </c>
      <c r="N816">
        <f t="shared" si="25"/>
        <v>36533.639393536192</v>
      </c>
    </row>
    <row r="817" spans="1:14" ht="15.5" x14ac:dyDescent="0.35">
      <c r="A817">
        <v>428.69177918835601</v>
      </c>
      <c r="B817">
        <v>3797.5823134464799</v>
      </c>
      <c r="C817">
        <v>68.509113603315996</v>
      </c>
      <c r="D817" s="735">
        <v>3029.3974956645011</v>
      </c>
      <c r="E817" s="735">
        <v>141.38228160463521</v>
      </c>
      <c r="F817" s="735">
        <v>537.43534951367269</v>
      </c>
      <c r="H817" s="741">
        <v>815</v>
      </c>
      <c r="I817" s="735">
        <v>162.64037237011399</v>
      </c>
      <c r="J817">
        <f t="shared" si="24"/>
        <v>537.43534951367269</v>
      </c>
      <c r="K817" s="735">
        <v>63.866996100000001</v>
      </c>
      <c r="L817">
        <f t="shared" si="24"/>
        <v>141.38228160463521</v>
      </c>
      <c r="M817" s="742">
        <v>545.6942573</v>
      </c>
      <c r="N817">
        <f t="shared" si="25"/>
        <v>3029.3974956645011</v>
      </c>
    </row>
    <row r="818" spans="1:14" ht="15.5" x14ac:dyDescent="0.35">
      <c r="A818">
        <v>42.361278737170402</v>
      </c>
      <c r="B818">
        <v>1632.45755976395</v>
      </c>
      <c r="C818">
        <v>3878.4204670253498</v>
      </c>
      <c r="D818" s="735">
        <v>42930.805413007787</v>
      </c>
      <c r="E818" s="735">
        <v>2798.0357864960383</v>
      </c>
      <c r="F818" s="735">
        <v>1151.1161653553888</v>
      </c>
      <c r="H818" s="741">
        <v>816</v>
      </c>
      <c r="I818" s="735">
        <v>277.19373286622601</v>
      </c>
      <c r="J818">
        <f t="shared" si="24"/>
        <v>1151.1161653553888</v>
      </c>
      <c r="K818" s="735">
        <v>516.17537900000002</v>
      </c>
      <c r="L818">
        <f t="shared" si="24"/>
        <v>2798.0357864960383</v>
      </c>
      <c r="M818" s="742">
        <v>3490.9073720000001</v>
      </c>
      <c r="N818">
        <f t="shared" si="25"/>
        <v>42930.805413007787</v>
      </c>
    </row>
    <row r="819" spans="1:14" ht="15.5" x14ac:dyDescent="0.35">
      <c r="A819">
        <v>7603.24370518058</v>
      </c>
      <c r="B819">
        <v>402.49242132349201</v>
      </c>
      <c r="C819">
        <v>15478.8158194645</v>
      </c>
      <c r="D819" s="735">
        <v>155597.25997250434</v>
      </c>
      <c r="E819" s="735">
        <v>9178.6981574050842</v>
      </c>
      <c r="F819" s="735">
        <v>3812.8239284421734</v>
      </c>
      <c r="H819" s="741">
        <v>817</v>
      </c>
      <c r="I819" s="735">
        <v>641.021690831451</v>
      </c>
      <c r="J819">
        <f t="shared" si="24"/>
        <v>3812.8239284421734</v>
      </c>
      <c r="K819" s="735">
        <v>1185.6233990000001</v>
      </c>
      <c r="L819">
        <f t="shared" si="24"/>
        <v>9178.6981574050842</v>
      </c>
      <c r="M819" s="742">
        <v>8598.07762</v>
      </c>
      <c r="N819">
        <f t="shared" si="25"/>
        <v>155597.25997250434</v>
      </c>
    </row>
    <row r="820" spans="1:14" ht="15.5" x14ac:dyDescent="0.35">
      <c r="A820">
        <v>263.75557681834198</v>
      </c>
      <c r="B820">
        <v>70.248193116932299</v>
      </c>
      <c r="C820">
        <v>2637.1082248112202</v>
      </c>
      <c r="D820" s="735">
        <v>291315.52864312317</v>
      </c>
      <c r="E820" s="735">
        <v>1027.9365888119419</v>
      </c>
      <c r="F820" s="735">
        <v>265.21027911173411</v>
      </c>
      <c r="H820" s="741">
        <v>818</v>
      </c>
      <c r="I820" s="735">
        <v>99.200359679367097</v>
      </c>
      <c r="J820">
        <f t="shared" si="24"/>
        <v>265.21027911173411</v>
      </c>
      <c r="K820" s="735">
        <v>256.08045179999999</v>
      </c>
      <c r="L820">
        <f t="shared" si="24"/>
        <v>1027.9365888119419</v>
      </c>
      <c r="M820" s="742">
        <v>13336.88925</v>
      </c>
      <c r="N820">
        <f t="shared" si="25"/>
        <v>291315.52864312317</v>
      </c>
    </row>
    <row r="821" spans="1:14" ht="15.5" x14ac:dyDescent="0.35">
      <c r="A821">
        <v>351.52474455613401</v>
      </c>
      <c r="B821">
        <v>1027.3023123303101</v>
      </c>
      <c r="C821">
        <v>835.39943236604699</v>
      </c>
      <c r="D821" s="735">
        <v>2020.3533744024821</v>
      </c>
      <c r="E821" s="735">
        <v>199102.94439406917</v>
      </c>
      <c r="F821" s="735">
        <v>854.86924092958657</v>
      </c>
      <c r="H821" s="741">
        <v>819</v>
      </c>
      <c r="I821" s="735">
        <v>225.07630853645</v>
      </c>
      <c r="J821">
        <f t="shared" si="24"/>
        <v>854.86924092958657</v>
      </c>
      <c r="K821" s="735">
        <v>10217.728950000001</v>
      </c>
      <c r="L821">
        <f t="shared" si="24"/>
        <v>199102.94439406917</v>
      </c>
      <c r="M821" s="742">
        <v>410.95960580000002</v>
      </c>
      <c r="N821">
        <f t="shared" si="25"/>
        <v>2020.3533744024821</v>
      </c>
    </row>
    <row r="822" spans="1:14" ht="15.5" x14ac:dyDescent="0.35">
      <c r="A822">
        <v>21.553908301160401</v>
      </c>
      <c r="B822">
        <v>325.00483882912101</v>
      </c>
      <c r="C822">
        <v>67355.050217920696</v>
      </c>
      <c r="D822" s="735">
        <v>56417.717828145032</v>
      </c>
      <c r="E822" s="735">
        <v>23969.64220901889</v>
      </c>
      <c r="F822" s="735">
        <v>1502.8575415738296</v>
      </c>
      <c r="H822" s="741">
        <v>820</v>
      </c>
      <c r="I822" s="735">
        <v>334.07384109936999</v>
      </c>
      <c r="J822">
        <f t="shared" si="24"/>
        <v>1502.8575415738296</v>
      </c>
      <c r="K822" s="735">
        <v>2321.4700549999998</v>
      </c>
      <c r="L822">
        <f t="shared" si="24"/>
        <v>23969.64220901889</v>
      </c>
      <c r="M822" s="742">
        <v>4226.5971909999998</v>
      </c>
      <c r="N822">
        <f t="shared" si="25"/>
        <v>56417.717828145032</v>
      </c>
    </row>
    <row r="823" spans="1:14" ht="15.5" x14ac:dyDescent="0.35">
      <c r="A823">
        <v>1412.65269079264</v>
      </c>
      <c r="B823">
        <v>2057.2345382246299</v>
      </c>
      <c r="C823">
        <v>183.26841942464199</v>
      </c>
      <c r="D823" s="735">
        <v>38662.138003396627</v>
      </c>
      <c r="E823" s="735">
        <v>3804.9910936838528</v>
      </c>
      <c r="F823" s="735">
        <v>327.18901079516439</v>
      </c>
      <c r="H823" s="741">
        <v>821</v>
      </c>
      <c r="I823" s="735">
        <v>114.91033641460901</v>
      </c>
      <c r="J823">
        <f t="shared" si="24"/>
        <v>327.18901079516439</v>
      </c>
      <c r="K823" s="735">
        <v>640.09959319999996</v>
      </c>
      <c r="L823">
        <f t="shared" si="24"/>
        <v>3804.9910936838528</v>
      </c>
      <c r="M823" s="742">
        <v>3244.1438760000001</v>
      </c>
      <c r="N823">
        <f t="shared" si="25"/>
        <v>38662.138003396627</v>
      </c>
    </row>
    <row r="824" spans="1:14" ht="15.5" x14ac:dyDescent="0.35">
      <c r="A824">
        <v>22982.508573148702</v>
      </c>
      <c r="B824">
        <v>3068.9614508659201</v>
      </c>
      <c r="C824">
        <v>5629.1786743972698</v>
      </c>
      <c r="D824" s="735">
        <v>18495.181505869808</v>
      </c>
      <c r="E824" s="735">
        <v>315.94325714421376</v>
      </c>
      <c r="F824" s="735">
        <v>20470.384562616924</v>
      </c>
      <c r="H824" s="741">
        <v>822</v>
      </c>
      <c r="I824" s="735">
        <v>2078.6826973541602</v>
      </c>
      <c r="J824">
        <f t="shared" si="24"/>
        <v>20470.384562616924</v>
      </c>
      <c r="K824" s="735">
        <v>112.1311726</v>
      </c>
      <c r="L824">
        <f t="shared" si="24"/>
        <v>315.94325714421376</v>
      </c>
      <c r="M824" s="742">
        <v>1936.1589959999999</v>
      </c>
      <c r="N824">
        <f t="shared" si="25"/>
        <v>18495.181505869808</v>
      </c>
    </row>
    <row r="825" spans="1:14" ht="15.5" x14ac:dyDescent="0.35">
      <c r="A825">
        <v>189.33780088711799</v>
      </c>
      <c r="B825">
        <v>2078.5908116135201</v>
      </c>
      <c r="C825">
        <v>3214.94375993724</v>
      </c>
      <c r="D825" s="735">
        <v>214733.86319298646</v>
      </c>
      <c r="E825" s="735">
        <v>2542.0402887834857</v>
      </c>
      <c r="F825" s="735">
        <v>21184.357611913394</v>
      </c>
      <c r="H825" s="741">
        <v>823</v>
      </c>
      <c r="I825" s="735">
        <v>2129.1718191056102</v>
      </c>
      <c r="J825">
        <f t="shared" si="24"/>
        <v>21184.357611913394</v>
      </c>
      <c r="K825" s="735">
        <v>482.64487680000002</v>
      </c>
      <c r="L825">
        <f t="shared" si="24"/>
        <v>2542.0402887834857</v>
      </c>
      <c r="M825" s="742">
        <v>10772.844129999999</v>
      </c>
      <c r="N825">
        <f t="shared" si="25"/>
        <v>214733.86319298646</v>
      </c>
    </row>
    <row r="826" spans="1:14" ht="15.5" x14ac:dyDescent="0.35">
      <c r="A826">
        <v>496.771754951741</v>
      </c>
      <c r="B826">
        <v>17.6438620958603</v>
      </c>
      <c r="C826">
        <v>1128.3281125841099</v>
      </c>
      <c r="D826" s="735">
        <v>355740.02947357716</v>
      </c>
      <c r="E826" s="735">
        <v>2013.896704614169</v>
      </c>
      <c r="F826" s="735">
        <v>11990.089086355601</v>
      </c>
      <c r="H826" s="741">
        <v>824</v>
      </c>
      <c r="I826" s="735">
        <v>1429.4721118276</v>
      </c>
      <c r="J826">
        <f t="shared" si="24"/>
        <v>11990.089086355601</v>
      </c>
      <c r="K826" s="735">
        <v>410.03981970000001</v>
      </c>
      <c r="L826">
        <f t="shared" si="24"/>
        <v>2013.896704614169</v>
      </c>
      <c r="M826" s="742">
        <v>15338.854069999999</v>
      </c>
      <c r="N826">
        <f t="shared" si="25"/>
        <v>355740.02947357716</v>
      </c>
    </row>
    <row r="827" spans="1:14" ht="15.5" x14ac:dyDescent="0.35">
      <c r="A827">
        <v>309.341696880249</v>
      </c>
      <c r="B827">
        <v>713.10134577007204</v>
      </c>
      <c r="C827">
        <v>47.2649070918456</v>
      </c>
      <c r="D827" s="735">
        <v>7057.9648937575321</v>
      </c>
      <c r="E827" s="735">
        <v>18441.266716619491</v>
      </c>
      <c r="F827" s="735">
        <v>5148.1760625896368</v>
      </c>
      <c r="H827" s="741">
        <v>825</v>
      </c>
      <c r="I827" s="735">
        <v>790.96519514970896</v>
      </c>
      <c r="J827">
        <f t="shared" si="24"/>
        <v>5148.1760625896368</v>
      </c>
      <c r="K827" s="735">
        <v>1932.2064359999999</v>
      </c>
      <c r="L827">
        <f t="shared" si="24"/>
        <v>18441.266716619491</v>
      </c>
      <c r="M827" s="742">
        <v>986.45129139999995</v>
      </c>
      <c r="N827">
        <f t="shared" si="25"/>
        <v>7057.9648937575321</v>
      </c>
    </row>
    <row r="828" spans="1:14" ht="15.5" x14ac:dyDescent="0.35">
      <c r="A828">
        <v>782.02554500734504</v>
      </c>
      <c r="B828">
        <v>89.368256280189598</v>
      </c>
      <c r="C828">
        <v>23869.0788713037</v>
      </c>
      <c r="D828" s="735">
        <v>2449.5022177465175</v>
      </c>
      <c r="E828" s="735">
        <v>26539.008012048704</v>
      </c>
      <c r="F828" s="735">
        <v>119.54764571946855</v>
      </c>
      <c r="H828" s="741">
        <v>826</v>
      </c>
      <c r="I828" s="735">
        <v>56.790895847129804</v>
      </c>
      <c r="J828">
        <f t="shared" si="24"/>
        <v>119.54764571946855</v>
      </c>
      <c r="K828" s="735">
        <v>2492.9827869999999</v>
      </c>
      <c r="L828">
        <f t="shared" si="24"/>
        <v>26539.008012048704</v>
      </c>
      <c r="M828" s="742">
        <v>470.27780869999998</v>
      </c>
      <c r="N828">
        <f t="shared" si="25"/>
        <v>2449.5022177465175</v>
      </c>
    </row>
    <row r="829" spans="1:14" ht="15.5" x14ac:dyDescent="0.35">
      <c r="A829">
        <v>173.512754628219</v>
      </c>
      <c r="B829">
        <v>164.88826838559899</v>
      </c>
      <c r="C829">
        <v>457.48639481561401</v>
      </c>
      <c r="D829" s="735">
        <v>20160.432045331148</v>
      </c>
      <c r="E829" s="735">
        <v>2741.8691890034752</v>
      </c>
      <c r="F829" s="735">
        <v>105.80239532160637</v>
      </c>
      <c r="H829" s="741">
        <v>827</v>
      </c>
      <c r="I829" s="735">
        <v>52.137097492558901</v>
      </c>
      <c r="J829">
        <f t="shared" si="24"/>
        <v>105.80239532160637</v>
      </c>
      <c r="K829" s="735">
        <v>508.90030589999998</v>
      </c>
      <c r="L829">
        <f t="shared" si="24"/>
        <v>2741.8691890034752</v>
      </c>
      <c r="M829" s="742">
        <v>2056.6002509999998</v>
      </c>
      <c r="N829">
        <f t="shared" si="25"/>
        <v>20160.432045331148</v>
      </c>
    </row>
    <row r="830" spans="1:14" ht="15.5" x14ac:dyDescent="0.35">
      <c r="A830">
        <v>376.33297970516003</v>
      </c>
      <c r="B830">
        <v>60.556852467343802</v>
      </c>
      <c r="C830">
        <v>6716.8851712590604</v>
      </c>
      <c r="D830" s="735">
        <v>14339.435919441412</v>
      </c>
      <c r="E830" s="735">
        <v>9311.3665532596988</v>
      </c>
      <c r="F830" s="735">
        <v>3450.4968374661962</v>
      </c>
      <c r="H830" s="741">
        <v>828</v>
      </c>
      <c r="I830" s="735">
        <v>597.74664000971097</v>
      </c>
      <c r="J830">
        <f t="shared" si="24"/>
        <v>3450.4968374661962</v>
      </c>
      <c r="K830" s="735">
        <v>1197.5934070000001</v>
      </c>
      <c r="L830">
        <f t="shared" si="24"/>
        <v>9311.3665532596988</v>
      </c>
      <c r="M830" s="742">
        <v>1620.2142490000001</v>
      </c>
      <c r="N830">
        <f t="shared" si="25"/>
        <v>14339.435919441412</v>
      </c>
    </row>
    <row r="831" spans="1:14" ht="15.5" x14ac:dyDescent="0.35">
      <c r="A831">
        <v>787.06694822059001</v>
      </c>
      <c r="B831">
        <v>128.72767102492901</v>
      </c>
      <c r="C831">
        <v>3260.7035745665798</v>
      </c>
      <c r="D831" s="735">
        <v>23077.879381235976</v>
      </c>
      <c r="E831" s="735">
        <v>45812.756819979244</v>
      </c>
      <c r="F831" s="735">
        <v>1.4571953440598242</v>
      </c>
      <c r="H831" s="741">
        <v>829</v>
      </c>
      <c r="I831" s="735">
        <v>2.5969431495165498</v>
      </c>
      <c r="J831">
        <f t="shared" si="24"/>
        <v>1.4571953440598242</v>
      </c>
      <c r="K831" s="735">
        <v>3653.343421</v>
      </c>
      <c r="L831">
        <f t="shared" si="24"/>
        <v>45812.756819979244</v>
      </c>
      <c r="M831" s="742">
        <v>2260.6697829999998</v>
      </c>
      <c r="N831">
        <f t="shared" si="25"/>
        <v>23077.879381235976</v>
      </c>
    </row>
    <row r="832" spans="1:14" ht="15.5" x14ac:dyDescent="0.35">
      <c r="A832">
        <v>3691.7978624549901</v>
      </c>
      <c r="B832">
        <v>1231.7082999716899</v>
      </c>
      <c r="C832">
        <v>5.3393168174873598</v>
      </c>
      <c r="D832" s="735">
        <v>928582.33340825606</v>
      </c>
      <c r="E832" s="735">
        <v>403563.31838017702</v>
      </c>
      <c r="F832" s="735">
        <v>2797.2856369958545</v>
      </c>
      <c r="H832" s="741">
        <v>830</v>
      </c>
      <c r="I832" s="735">
        <v>516.078504973431</v>
      </c>
      <c r="J832">
        <f t="shared" si="24"/>
        <v>2797.2856369958545</v>
      </c>
      <c r="K832" s="735">
        <v>16754.758760000001</v>
      </c>
      <c r="L832">
        <f t="shared" si="24"/>
        <v>403563.31838017702</v>
      </c>
      <c r="M832" s="742">
        <v>30024.396850000001</v>
      </c>
      <c r="N832">
        <f t="shared" si="25"/>
        <v>928582.33340825606</v>
      </c>
    </row>
    <row r="833" spans="1:14" ht="15.5" x14ac:dyDescent="0.35">
      <c r="A833">
        <v>128.721212011955</v>
      </c>
      <c r="B833">
        <v>33.621472097803696</v>
      </c>
      <c r="C833">
        <v>8945.7144362724994</v>
      </c>
      <c r="D833" s="735">
        <v>23421.909988542851</v>
      </c>
      <c r="E833" s="735">
        <v>36009.465584302226</v>
      </c>
      <c r="F833" s="735">
        <v>86.76898571960011</v>
      </c>
      <c r="H833" s="741">
        <v>831</v>
      </c>
      <c r="I833" s="735">
        <v>45.379025422949297</v>
      </c>
      <c r="J833">
        <f t="shared" si="24"/>
        <v>86.76898571960011</v>
      </c>
      <c r="K833" s="735">
        <v>3086.680464</v>
      </c>
      <c r="L833">
        <f t="shared" si="24"/>
        <v>36009.465584302226</v>
      </c>
      <c r="M833" s="742">
        <v>2284.2078270000002</v>
      </c>
      <c r="N833">
        <f t="shared" si="25"/>
        <v>23421.909988542851</v>
      </c>
    </row>
    <row r="834" spans="1:14" ht="15.5" x14ac:dyDescent="0.35">
      <c r="A834">
        <v>1822.7356455911099</v>
      </c>
      <c r="B834">
        <v>266.92568680022902</v>
      </c>
      <c r="C834">
        <v>6550.6869302648201</v>
      </c>
      <c r="D834" s="735">
        <v>57886.030938356715</v>
      </c>
      <c r="E834" s="735">
        <v>2651.7672335008019</v>
      </c>
      <c r="F834" s="735">
        <v>9.6114254884997372</v>
      </c>
      <c r="H834" s="741">
        <v>832</v>
      </c>
      <c r="I834" s="735">
        <v>9.7263851379050994</v>
      </c>
      <c r="J834">
        <f t="shared" si="24"/>
        <v>9.6114254884997372</v>
      </c>
      <c r="K834" s="735">
        <v>497.13550359999999</v>
      </c>
      <c r="L834">
        <f t="shared" si="24"/>
        <v>2651.7672335008019</v>
      </c>
      <c r="M834" s="742">
        <v>4303.3001700000004</v>
      </c>
      <c r="N834">
        <f t="shared" si="25"/>
        <v>57886.030938356715</v>
      </c>
    </row>
    <row r="835" spans="1:14" ht="15.5" x14ac:dyDescent="0.35">
      <c r="A835">
        <v>4306.1623979198903</v>
      </c>
      <c r="B835">
        <v>200.775595428554</v>
      </c>
      <c r="C835">
        <v>26664.307834029201</v>
      </c>
      <c r="D835" s="735">
        <v>18206.180985829793</v>
      </c>
      <c r="E835" s="735">
        <v>7153.2034070437212</v>
      </c>
      <c r="F835" s="735">
        <v>48.597932605550426</v>
      </c>
      <c r="H835" s="741">
        <v>833</v>
      </c>
      <c r="I835" s="735">
        <v>30.2435283157448</v>
      </c>
      <c r="J835">
        <f t="shared" si="24"/>
        <v>48.597932605550426</v>
      </c>
      <c r="K835" s="735">
        <v>995.75019999999995</v>
      </c>
      <c r="L835">
        <f t="shared" si="24"/>
        <v>7153.2034070437212</v>
      </c>
      <c r="M835" s="742">
        <v>1914.9313050000001</v>
      </c>
      <c r="N835">
        <f t="shared" si="25"/>
        <v>18206.180985829793</v>
      </c>
    </row>
    <row r="836" spans="1:14" ht="15.5" x14ac:dyDescent="0.35">
      <c r="A836">
        <v>634.79767427147101</v>
      </c>
      <c r="B836">
        <v>185.92104406318899</v>
      </c>
      <c r="C836">
        <v>29.145250304115201</v>
      </c>
      <c r="D836" s="735">
        <v>23101.663934061278</v>
      </c>
      <c r="E836" s="735">
        <v>46199.957065941802</v>
      </c>
      <c r="F836" s="735">
        <v>159.24772131291547</v>
      </c>
      <c r="H836" s="741">
        <v>834</v>
      </c>
      <c r="I836" s="735">
        <v>69.414669255625896</v>
      </c>
      <c r="J836">
        <f t="shared" ref="J836:L899" si="26">(10^(LOG(I836)-0.3))^(1/0.7)</f>
        <v>159.24772131291547</v>
      </c>
      <c r="K836" s="735">
        <v>3674.9302480000001</v>
      </c>
      <c r="L836">
        <f t="shared" si="26"/>
        <v>46199.957065941802</v>
      </c>
      <c r="M836" s="742">
        <v>2262.3004569999998</v>
      </c>
      <c r="N836">
        <f t="shared" ref="N836:N899" si="27">(10^(LOG(M836)-0.3))^(1/0.7)</f>
        <v>23101.663934061278</v>
      </c>
    </row>
    <row r="837" spans="1:14" ht="15.5" x14ac:dyDescent="0.35">
      <c r="A837">
        <v>3879.80992427306</v>
      </c>
      <c r="B837">
        <v>7.8625129066946604</v>
      </c>
      <c r="C837">
        <v>870.01290802134804</v>
      </c>
      <c r="D837" s="735">
        <v>28917.877881865217</v>
      </c>
      <c r="E837" s="735">
        <v>3191.0241639875121</v>
      </c>
      <c r="F837" s="735">
        <v>23866.519670808859</v>
      </c>
      <c r="H837" s="741">
        <v>835</v>
      </c>
      <c r="I837" s="735">
        <v>2314.4743116899599</v>
      </c>
      <c r="J837">
        <f t="shared" si="26"/>
        <v>23866.519670808859</v>
      </c>
      <c r="K837" s="735">
        <v>565.91481710000005</v>
      </c>
      <c r="L837">
        <f t="shared" si="26"/>
        <v>3191.0241639875121</v>
      </c>
      <c r="M837" s="742">
        <v>2647.3812800000001</v>
      </c>
      <c r="N837">
        <f t="shared" si="27"/>
        <v>28917.877881865217</v>
      </c>
    </row>
    <row r="838" spans="1:14" ht="15.5" x14ac:dyDescent="0.35">
      <c r="A838">
        <v>4375.3767115582996</v>
      </c>
      <c r="B838">
        <v>1800.4393387006701</v>
      </c>
      <c r="C838">
        <v>17090.166633182202</v>
      </c>
      <c r="D838" s="735">
        <v>1599.4017244554832</v>
      </c>
      <c r="E838" s="735">
        <v>132.05580019247918</v>
      </c>
      <c r="F838" s="735">
        <v>215.59981748320109</v>
      </c>
      <c r="H838" s="741">
        <v>836</v>
      </c>
      <c r="I838" s="735">
        <v>85.813155533386393</v>
      </c>
      <c r="J838">
        <f t="shared" si="26"/>
        <v>215.59981748320109</v>
      </c>
      <c r="K838" s="735">
        <v>60.887793610000003</v>
      </c>
      <c r="L838">
        <f t="shared" si="26"/>
        <v>132.05580019247918</v>
      </c>
      <c r="M838" s="742">
        <v>348.95569619999998</v>
      </c>
      <c r="N838">
        <f t="shared" si="27"/>
        <v>1599.4017244554832</v>
      </c>
    </row>
    <row r="839" spans="1:14" ht="15.5" x14ac:dyDescent="0.35">
      <c r="A839">
        <v>36.750451900072299</v>
      </c>
      <c r="B839">
        <v>396.67101174217999</v>
      </c>
      <c r="C839">
        <v>5940.5498745192499</v>
      </c>
      <c r="D839" s="735">
        <v>124901.33518106407</v>
      </c>
      <c r="E839" s="735">
        <v>13477.818077656602</v>
      </c>
      <c r="F839" s="735">
        <v>74.299058914754028</v>
      </c>
      <c r="H839" s="741">
        <v>837</v>
      </c>
      <c r="I839" s="735">
        <v>40.708801731818802</v>
      </c>
      <c r="J839">
        <f t="shared" si="26"/>
        <v>74.299058914754028</v>
      </c>
      <c r="K839" s="735">
        <v>1551.4354579999999</v>
      </c>
      <c r="L839">
        <f t="shared" si="26"/>
        <v>13477.818077656602</v>
      </c>
      <c r="M839" s="742">
        <v>7372.1974200000004</v>
      </c>
      <c r="N839">
        <f t="shared" si="27"/>
        <v>124901.33518106407</v>
      </c>
    </row>
    <row r="840" spans="1:14" ht="15.5" x14ac:dyDescent="0.35">
      <c r="A840">
        <v>11.7598796508634</v>
      </c>
      <c r="B840">
        <v>509.84013906510501</v>
      </c>
      <c r="C840">
        <v>14935.557946818</v>
      </c>
      <c r="D840" s="735">
        <v>31155.992196321466</v>
      </c>
      <c r="E840" s="735">
        <v>6443.4681861296012</v>
      </c>
      <c r="F840" s="735">
        <v>244.07508169000326</v>
      </c>
      <c r="H840" s="741">
        <v>838</v>
      </c>
      <c r="I840" s="735">
        <v>93.597965839268198</v>
      </c>
      <c r="J840">
        <f t="shared" si="26"/>
        <v>244.07508169000326</v>
      </c>
      <c r="K840" s="735">
        <v>925.51568229999998</v>
      </c>
      <c r="L840">
        <f t="shared" si="26"/>
        <v>6443.4681861296012</v>
      </c>
      <c r="M840" s="742">
        <v>2789.1964929999999</v>
      </c>
      <c r="N840">
        <f t="shared" si="27"/>
        <v>31155.992196321466</v>
      </c>
    </row>
    <row r="841" spans="1:14" ht="15.5" x14ac:dyDescent="0.35">
      <c r="A841">
        <v>617.75981682289205</v>
      </c>
      <c r="B841">
        <v>219.08363052520701</v>
      </c>
      <c r="C841">
        <v>249.61569257708899</v>
      </c>
      <c r="D841" s="735">
        <v>101251.56623129777</v>
      </c>
      <c r="E841" s="735">
        <v>3036.0321194103904</v>
      </c>
      <c r="F841" s="735">
        <v>24.342616083034343</v>
      </c>
      <c r="H841" s="741">
        <v>839</v>
      </c>
      <c r="I841" s="735">
        <v>18.6404792864125</v>
      </c>
      <c r="J841">
        <f t="shared" si="26"/>
        <v>24.342616083034343</v>
      </c>
      <c r="K841" s="735">
        <v>546.53056270000002</v>
      </c>
      <c r="L841">
        <f t="shared" si="26"/>
        <v>3036.0321194103904</v>
      </c>
      <c r="M841" s="742">
        <v>6364.7481710000002</v>
      </c>
      <c r="N841">
        <f t="shared" si="27"/>
        <v>101251.56623129777</v>
      </c>
    </row>
    <row r="842" spans="1:14" ht="15.5" x14ac:dyDescent="0.35">
      <c r="A842">
        <v>414.41697885950902</v>
      </c>
      <c r="B842">
        <v>151.446523194289</v>
      </c>
      <c r="C842">
        <v>11755.975111823</v>
      </c>
      <c r="D842" s="735">
        <v>36050.361879851269</v>
      </c>
      <c r="E842" s="735">
        <v>5366.3167290196643</v>
      </c>
      <c r="F842" s="735">
        <v>175.54985184884893</v>
      </c>
      <c r="H842" s="741">
        <v>840</v>
      </c>
      <c r="I842" s="735">
        <v>74.315657941791201</v>
      </c>
      <c r="J842">
        <f t="shared" si="26"/>
        <v>175.54985184884893</v>
      </c>
      <c r="K842" s="735">
        <v>814.27933129999997</v>
      </c>
      <c r="L842">
        <f t="shared" si="26"/>
        <v>5366.3167290196643</v>
      </c>
      <c r="M842" s="742">
        <v>3089.1339469999998</v>
      </c>
      <c r="N842">
        <f t="shared" si="27"/>
        <v>36050.361879851269</v>
      </c>
    </row>
    <row r="843" spans="1:14" ht="15.5" x14ac:dyDescent="0.35">
      <c r="A843">
        <v>1409.95459507689</v>
      </c>
      <c r="B843">
        <v>1715.3099655036799</v>
      </c>
      <c r="C843">
        <v>482.48856293183502</v>
      </c>
      <c r="D843" s="735">
        <v>231612.77729906791</v>
      </c>
      <c r="E843" s="735">
        <v>4154.7710863874308</v>
      </c>
      <c r="F843" s="735">
        <v>129.56939875981027</v>
      </c>
      <c r="H843" s="741">
        <v>841</v>
      </c>
      <c r="I843" s="735">
        <v>60.083014000340199</v>
      </c>
      <c r="J843">
        <f t="shared" si="26"/>
        <v>129.56939875981027</v>
      </c>
      <c r="K843" s="735">
        <v>680.74266490000002</v>
      </c>
      <c r="L843">
        <f t="shared" si="26"/>
        <v>4154.7710863874308</v>
      </c>
      <c r="M843" s="742">
        <v>11358.83419</v>
      </c>
      <c r="N843">
        <f t="shared" si="27"/>
        <v>231612.77729906791</v>
      </c>
    </row>
    <row r="844" spans="1:14" ht="15.5" x14ac:dyDescent="0.35">
      <c r="A844">
        <v>79.644758758176593</v>
      </c>
      <c r="B844">
        <v>648.95671485728701</v>
      </c>
      <c r="C844">
        <v>549.66055167999605</v>
      </c>
      <c r="D844" s="735">
        <v>57745.432182873163</v>
      </c>
      <c r="E844" s="735">
        <v>711.6829149058791</v>
      </c>
      <c r="F844" s="735">
        <v>1617.8305232167684</v>
      </c>
      <c r="H844" s="741">
        <v>842</v>
      </c>
      <c r="I844" s="735">
        <v>351.76539825219999</v>
      </c>
      <c r="J844">
        <f t="shared" si="26"/>
        <v>1617.8305232167684</v>
      </c>
      <c r="K844" s="735">
        <v>197.9705447</v>
      </c>
      <c r="L844">
        <f t="shared" si="26"/>
        <v>711.6829149058791</v>
      </c>
      <c r="M844" s="742">
        <v>4295.9809340000002</v>
      </c>
      <c r="N844">
        <f t="shared" si="27"/>
        <v>57745.432182873163</v>
      </c>
    </row>
    <row r="845" spans="1:14" ht="15.5" x14ac:dyDescent="0.35">
      <c r="A845">
        <v>1219.4797653539699</v>
      </c>
      <c r="B845">
        <v>81.631132947343801</v>
      </c>
      <c r="C845">
        <v>42.518445449944601</v>
      </c>
      <c r="D845" s="735">
        <v>28522.54928655683</v>
      </c>
      <c r="E845" s="735">
        <v>25321.427741211322</v>
      </c>
      <c r="F845" s="735">
        <v>1419.6101472472478</v>
      </c>
      <c r="H845" s="741">
        <v>843</v>
      </c>
      <c r="I845" s="735">
        <v>321.009855770819</v>
      </c>
      <c r="J845">
        <f t="shared" si="26"/>
        <v>1419.6101472472478</v>
      </c>
      <c r="K845" s="735">
        <v>2412.3578560000001</v>
      </c>
      <c r="L845">
        <f t="shared" si="26"/>
        <v>25321.427741211322</v>
      </c>
      <c r="M845" s="742">
        <v>2621.9948690000001</v>
      </c>
      <c r="N845">
        <f t="shared" si="27"/>
        <v>28522.54928655683</v>
      </c>
    </row>
    <row r="846" spans="1:14" ht="15.5" x14ac:dyDescent="0.35">
      <c r="A846">
        <v>753.49188220265205</v>
      </c>
      <c r="B846">
        <v>656.53405124295</v>
      </c>
      <c r="C846">
        <v>2030.99963833476</v>
      </c>
      <c r="D846" s="735">
        <v>88262.182841974398</v>
      </c>
      <c r="E846" s="735">
        <v>45544.508138198682</v>
      </c>
      <c r="F846" s="735">
        <v>1271.9975446219801</v>
      </c>
      <c r="H846" s="741">
        <v>844</v>
      </c>
      <c r="I846" s="735">
        <v>297.26268149829099</v>
      </c>
      <c r="J846">
        <f t="shared" si="26"/>
        <v>1271.9975446219801</v>
      </c>
      <c r="K846" s="735">
        <v>3638.3561709999999</v>
      </c>
      <c r="L846">
        <f t="shared" si="26"/>
        <v>45544.508138198682</v>
      </c>
      <c r="M846" s="742">
        <v>5781.5230940000001</v>
      </c>
      <c r="N846">
        <f t="shared" si="27"/>
        <v>88262.182841974398</v>
      </c>
    </row>
    <row r="847" spans="1:14" ht="15.5" x14ac:dyDescent="0.35">
      <c r="A847">
        <v>3032.371082827</v>
      </c>
      <c r="B847">
        <v>227.161390026731</v>
      </c>
      <c r="C847">
        <v>6462.3286646062197</v>
      </c>
      <c r="D847" s="735">
        <v>37850.365544970089</v>
      </c>
      <c r="E847" s="735">
        <v>196.83659333010593</v>
      </c>
      <c r="F847" s="735">
        <v>1091.9577917564698</v>
      </c>
      <c r="H847" s="741">
        <v>845</v>
      </c>
      <c r="I847" s="735">
        <v>267.143182904806</v>
      </c>
      <c r="J847">
        <f t="shared" si="26"/>
        <v>1091.9577917564698</v>
      </c>
      <c r="K847" s="735">
        <v>80.514497730000002</v>
      </c>
      <c r="L847">
        <f t="shared" si="26"/>
        <v>196.83659333010593</v>
      </c>
      <c r="M847" s="742">
        <v>3196.3111859999999</v>
      </c>
      <c r="N847">
        <f t="shared" si="27"/>
        <v>37850.365544970089</v>
      </c>
    </row>
    <row r="848" spans="1:14" ht="15.5" x14ac:dyDescent="0.35">
      <c r="A848">
        <v>350.05514068199199</v>
      </c>
      <c r="B848">
        <v>64.654707829888906</v>
      </c>
      <c r="C848">
        <v>33120.469172548001</v>
      </c>
      <c r="D848" s="735">
        <v>5271.6521228009606</v>
      </c>
      <c r="E848" s="735">
        <v>4438.6826255510887</v>
      </c>
      <c r="F848" s="735">
        <v>5636.1306949991986</v>
      </c>
      <c r="H848" s="741">
        <v>846</v>
      </c>
      <c r="I848" s="735">
        <v>842.72667067001203</v>
      </c>
      <c r="J848">
        <f t="shared" si="26"/>
        <v>5636.1306949991986</v>
      </c>
      <c r="K848" s="735">
        <v>712.98085000000003</v>
      </c>
      <c r="L848">
        <f t="shared" si="26"/>
        <v>4438.6826255510887</v>
      </c>
      <c r="M848" s="742">
        <v>804.19750309999995</v>
      </c>
      <c r="N848">
        <f t="shared" si="27"/>
        <v>5271.6521228009606</v>
      </c>
    </row>
    <row r="849" spans="1:14" ht="15.5" x14ac:dyDescent="0.35">
      <c r="A849">
        <v>599.48227581137701</v>
      </c>
      <c r="B849">
        <v>92.900076236813305</v>
      </c>
      <c r="C849">
        <v>286.72484936689602</v>
      </c>
      <c r="D849" s="735">
        <v>42051.078073479861</v>
      </c>
      <c r="E849" s="735">
        <v>854.68341239451036</v>
      </c>
      <c r="F849" s="735">
        <v>340.27315698324111</v>
      </c>
      <c r="H849" s="741">
        <v>847</v>
      </c>
      <c r="I849" s="735">
        <v>118.10801846592101</v>
      </c>
      <c r="J849">
        <f t="shared" si="26"/>
        <v>340.27315698324111</v>
      </c>
      <c r="K849" s="735">
        <v>225.04205899999999</v>
      </c>
      <c r="L849">
        <f t="shared" si="26"/>
        <v>854.68341239451036</v>
      </c>
      <c r="M849" s="742">
        <v>3440.6777109999998</v>
      </c>
      <c r="N849">
        <f t="shared" si="27"/>
        <v>42051.078073479861</v>
      </c>
    </row>
    <row r="850" spans="1:14" ht="15.5" x14ac:dyDescent="0.35">
      <c r="A850">
        <v>529.00344481571699</v>
      </c>
      <c r="B850">
        <v>190.47643880749499</v>
      </c>
      <c r="C850">
        <v>34326.276715453998</v>
      </c>
      <c r="D850" s="735">
        <v>74754.49131339087</v>
      </c>
      <c r="E850" s="735">
        <v>5196.2642030383422</v>
      </c>
      <c r="F850" s="735">
        <v>6085.3655362277595</v>
      </c>
      <c r="H850" s="741">
        <v>848</v>
      </c>
      <c r="I850" s="735">
        <v>889.20248844984098</v>
      </c>
      <c r="J850">
        <f t="shared" si="26"/>
        <v>6085.3655362277595</v>
      </c>
      <c r="K850" s="735">
        <v>796.12975759999995</v>
      </c>
      <c r="L850">
        <f t="shared" si="26"/>
        <v>5196.2642030383422</v>
      </c>
      <c r="M850" s="742">
        <v>5146.9044210000002</v>
      </c>
      <c r="N850">
        <f t="shared" si="27"/>
        <v>74754.49131339087</v>
      </c>
    </row>
    <row r="851" spans="1:14" ht="15.5" x14ac:dyDescent="0.35">
      <c r="A851">
        <v>1910.3852848016199</v>
      </c>
      <c r="B851">
        <v>537.35190811505697</v>
      </c>
      <c r="C851">
        <v>39.5891648127173</v>
      </c>
      <c r="D851" s="735">
        <v>25395.958153192365</v>
      </c>
      <c r="E851" s="735">
        <v>77865.464073597526</v>
      </c>
      <c r="F851" s="735">
        <v>398.97227830718555</v>
      </c>
      <c r="H851" s="741">
        <v>849</v>
      </c>
      <c r="I851" s="735">
        <v>132.026133424932</v>
      </c>
      <c r="J851">
        <f t="shared" si="26"/>
        <v>398.97227830718555</v>
      </c>
      <c r="K851" s="735">
        <v>5295.9199680000002</v>
      </c>
      <c r="L851">
        <f t="shared" si="26"/>
        <v>77865.464073597526</v>
      </c>
      <c r="M851" s="742">
        <v>2417.3259929999999</v>
      </c>
      <c r="N851">
        <f t="shared" si="27"/>
        <v>25395.958153192365</v>
      </c>
    </row>
    <row r="852" spans="1:14" ht="15.5" x14ac:dyDescent="0.35">
      <c r="A852">
        <v>3931.8120348726702</v>
      </c>
      <c r="B852">
        <v>65.253911107758398</v>
      </c>
      <c r="C852">
        <v>2343.7802071153201</v>
      </c>
      <c r="D852" s="735">
        <v>2078.4832687151925</v>
      </c>
      <c r="E852" s="735">
        <v>81905.851039939764</v>
      </c>
      <c r="F852" s="735">
        <v>9847.3801284920282</v>
      </c>
      <c r="H852" s="741">
        <v>850</v>
      </c>
      <c r="I852" s="735">
        <v>1245.4448238105799</v>
      </c>
      <c r="J852">
        <f t="shared" si="26"/>
        <v>9847.3801284920282</v>
      </c>
      <c r="K852" s="735">
        <v>5486.8166650000003</v>
      </c>
      <c r="L852">
        <f t="shared" si="26"/>
        <v>81905.851039939764</v>
      </c>
      <c r="M852" s="742">
        <v>419.20125389999998</v>
      </c>
      <c r="N852">
        <f t="shared" si="27"/>
        <v>2078.4832687151925</v>
      </c>
    </row>
    <row r="853" spans="1:14" ht="15.5" x14ac:dyDescent="0.35">
      <c r="A853">
        <v>290.49872248912999</v>
      </c>
      <c r="B853">
        <v>106.798789930173</v>
      </c>
      <c r="C853">
        <v>2767.6875111825002</v>
      </c>
      <c r="D853" s="735">
        <v>2920.0284143482127</v>
      </c>
      <c r="E853" s="735">
        <v>73015.09067729715</v>
      </c>
      <c r="F853" s="735">
        <v>68.528803653843752</v>
      </c>
      <c r="H853" s="741">
        <v>851</v>
      </c>
      <c r="I853" s="735">
        <v>38.469027293055802</v>
      </c>
      <c r="J853">
        <f t="shared" si="26"/>
        <v>68.528803653843752</v>
      </c>
      <c r="K853" s="735">
        <v>5062.7774870000003</v>
      </c>
      <c r="L853">
        <f t="shared" si="26"/>
        <v>73015.09067729715</v>
      </c>
      <c r="M853" s="742">
        <v>531.8277008</v>
      </c>
      <c r="N853">
        <f t="shared" si="27"/>
        <v>2920.0284143482127</v>
      </c>
    </row>
    <row r="854" spans="1:14" ht="15.5" x14ac:dyDescent="0.35">
      <c r="A854">
        <v>1543.9841090546099</v>
      </c>
      <c r="B854">
        <v>155.32793814247</v>
      </c>
      <c r="C854">
        <v>6739.9801773866402</v>
      </c>
      <c r="D854" s="735">
        <v>23741.345547542431</v>
      </c>
      <c r="E854" s="735">
        <v>8644.8136214775532</v>
      </c>
      <c r="F854" s="735">
        <v>1073.3493611227691</v>
      </c>
      <c r="H854" s="741">
        <v>852</v>
      </c>
      <c r="I854" s="735">
        <v>263.94824061175302</v>
      </c>
      <c r="J854">
        <f t="shared" si="26"/>
        <v>1073.3493611227691</v>
      </c>
      <c r="K854" s="735">
        <v>1136.917481</v>
      </c>
      <c r="L854">
        <f t="shared" si="26"/>
        <v>8644.8136214775532</v>
      </c>
      <c r="M854" s="742">
        <v>2305.9704109999998</v>
      </c>
      <c r="N854">
        <f t="shared" si="27"/>
        <v>23741.345547542431</v>
      </c>
    </row>
    <row r="855" spans="1:14" ht="15.5" x14ac:dyDescent="0.35">
      <c r="A855">
        <v>957.91602016884201</v>
      </c>
      <c r="B855">
        <v>1573.9138876429599</v>
      </c>
      <c r="C855">
        <v>21060.197298171101</v>
      </c>
      <c r="D855" s="735">
        <v>225902.0959410482</v>
      </c>
      <c r="E855" s="735">
        <v>2105.7501747677111</v>
      </c>
      <c r="F855" s="735">
        <v>28446.132348781772</v>
      </c>
      <c r="H855" s="741">
        <v>853</v>
      </c>
      <c r="I855" s="735">
        <v>2617.07553999521</v>
      </c>
      <c r="J855">
        <f t="shared" si="26"/>
        <v>28446.132348781772</v>
      </c>
      <c r="K855" s="735">
        <v>423.04327130000001</v>
      </c>
      <c r="L855">
        <f t="shared" si="26"/>
        <v>2105.7501747677111</v>
      </c>
      <c r="M855" s="742">
        <v>11162.055619999999</v>
      </c>
      <c r="N855">
        <f t="shared" si="27"/>
        <v>225902.0959410482</v>
      </c>
    </row>
    <row r="856" spans="1:14" ht="15.5" x14ac:dyDescent="0.35">
      <c r="A856">
        <v>1573.0762414973799</v>
      </c>
      <c r="B856">
        <v>451.83583991741</v>
      </c>
      <c r="C856">
        <v>795.412861433133</v>
      </c>
      <c r="D856" s="735">
        <v>14940.837975323509</v>
      </c>
      <c r="E856" s="735">
        <v>100964.61667001183</v>
      </c>
      <c r="F856" s="735">
        <v>18676.500190550483</v>
      </c>
      <c r="H856" s="741">
        <v>854</v>
      </c>
      <c r="I856" s="735">
        <v>1949.42641996717</v>
      </c>
      <c r="J856">
        <f t="shared" si="26"/>
        <v>18676.500190550483</v>
      </c>
      <c r="K856" s="735">
        <v>6352.1162940000004</v>
      </c>
      <c r="L856">
        <f t="shared" si="26"/>
        <v>100964.61667001183</v>
      </c>
      <c r="M856" s="742">
        <v>1667.487048</v>
      </c>
      <c r="N856">
        <f t="shared" si="27"/>
        <v>14940.837975323509</v>
      </c>
    </row>
    <row r="857" spans="1:14" ht="15.5" x14ac:dyDescent="0.35">
      <c r="A857">
        <v>230.25130660247601</v>
      </c>
      <c r="B857">
        <v>605.13104221377898</v>
      </c>
      <c r="C857">
        <v>6470.1323982877402</v>
      </c>
      <c r="D857" s="735">
        <v>44992.168677218535</v>
      </c>
      <c r="E857" s="735">
        <v>4184.4163293742431</v>
      </c>
      <c r="F857" s="735">
        <v>3392.2866185770049</v>
      </c>
      <c r="H857" s="741">
        <v>855</v>
      </c>
      <c r="I857" s="735">
        <v>590.66981470486098</v>
      </c>
      <c r="J857">
        <f t="shared" si="26"/>
        <v>3392.2866185770049</v>
      </c>
      <c r="K857" s="735">
        <v>684.13911540000004</v>
      </c>
      <c r="L857">
        <f t="shared" si="26"/>
        <v>4184.4163293742431</v>
      </c>
      <c r="M857" s="742">
        <v>3607.412859</v>
      </c>
      <c r="N857">
        <f t="shared" si="27"/>
        <v>44992.168677218535</v>
      </c>
    </row>
    <row r="858" spans="1:14" ht="15.5" x14ac:dyDescent="0.35">
      <c r="A858">
        <v>204.70182546147501</v>
      </c>
      <c r="B858">
        <v>898.73896778491599</v>
      </c>
      <c r="C858">
        <v>14487.8565759224</v>
      </c>
      <c r="D858" s="735">
        <v>2037.9899771913945</v>
      </c>
      <c r="E858" s="735">
        <v>118370.20301557923</v>
      </c>
      <c r="F858" s="735">
        <v>199.21819632280878</v>
      </c>
      <c r="H858" s="741">
        <v>856</v>
      </c>
      <c r="I858" s="735">
        <v>81.195190042611003</v>
      </c>
      <c r="J858">
        <f t="shared" si="26"/>
        <v>199.21819632280878</v>
      </c>
      <c r="K858" s="735">
        <v>7100.1851640000004</v>
      </c>
      <c r="L858">
        <f t="shared" si="26"/>
        <v>118370.20301557923</v>
      </c>
      <c r="M858" s="742">
        <v>413.46755000000002</v>
      </c>
      <c r="N858">
        <f t="shared" si="27"/>
        <v>2037.9899771913945</v>
      </c>
    </row>
    <row r="859" spans="1:14" ht="15.5" x14ac:dyDescent="0.35">
      <c r="A859">
        <v>69.549304188238196</v>
      </c>
      <c r="B859">
        <v>936.29438122183001</v>
      </c>
      <c r="C859">
        <v>84947.521046890994</v>
      </c>
      <c r="D859" s="735">
        <v>478.91139806067582</v>
      </c>
      <c r="E859" s="735">
        <v>1609.9684702813554</v>
      </c>
      <c r="F859" s="735">
        <v>19802.591866385741</v>
      </c>
      <c r="H859" s="741">
        <v>857</v>
      </c>
      <c r="I859" s="735">
        <v>2030.9789663391</v>
      </c>
      <c r="J859">
        <f t="shared" si="26"/>
        <v>19802.591866385741</v>
      </c>
      <c r="K859" s="735">
        <v>350.56791010000001</v>
      </c>
      <c r="L859">
        <f t="shared" si="26"/>
        <v>1609.9684702813554</v>
      </c>
      <c r="M859" s="742">
        <v>150.03017689999999</v>
      </c>
      <c r="N859">
        <f t="shared" si="27"/>
        <v>478.91139806067582</v>
      </c>
    </row>
    <row r="860" spans="1:14" ht="15.5" x14ac:dyDescent="0.35">
      <c r="A860">
        <v>282.75923716278299</v>
      </c>
      <c r="B860">
        <v>51.430517636316203</v>
      </c>
      <c r="C860">
        <v>209.32502111428801</v>
      </c>
      <c r="D860" s="735">
        <v>3116.5696111811253</v>
      </c>
      <c r="E860" s="735">
        <v>512.32105367444558</v>
      </c>
      <c r="F860" s="735">
        <v>9.6655146028902603</v>
      </c>
      <c r="H860" s="741">
        <v>858</v>
      </c>
      <c r="I860" s="735">
        <v>9.7646681148981607</v>
      </c>
      <c r="J860">
        <f t="shared" si="26"/>
        <v>9.6655146028902603</v>
      </c>
      <c r="K860" s="735">
        <v>157.28218810000001</v>
      </c>
      <c r="L860">
        <f t="shared" si="26"/>
        <v>512.32105367444558</v>
      </c>
      <c r="M860" s="742">
        <v>556.63919350000003</v>
      </c>
      <c r="N860">
        <f t="shared" si="27"/>
        <v>3116.5696111811253</v>
      </c>
    </row>
    <row r="861" spans="1:14" ht="15.5" x14ac:dyDescent="0.35">
      <c r="A861">
        <v>967.12225429909199</v>
      </c>
      <c r="B861">
        <v>93.483698370430503</v>
      </c>
      <c r="C861">
        <v>12573.7259975422</v>
      </c>
      <c r="D861" s="735">
        <v>30426.56856117913</v>
      </c>
      <c r="E861" s="735">
        <v>3089.9477849737741</v>
      </c>
      <c r="F861" s="735">
        <v>49.697764966029375</v>
      </c>
      <c r="H861" s="741">
        <v>859</v>
      </c>
      <c r="I861" s="735">
        <v>30.721031986030098</v>
      </c>
      <c r="J861">
        <f t="shared" si="26"/>
        <v>49.697764966029375</v>
      </c>
      <c r="K861" s="735">
        <v>553.3065335</v>
      </c>
      <c r="L861">
        <f t="shared" si="26"/>
        <v>3089.9477849737741</v>
      </c>
      <c r="M861" s="742">
        <v>2743.3238769999998</v>
      </c>
      <c r="N861">
        <f t="shared" si="27"/>
        <v>30426.56856117913</v>
      </c>
    </row>
    <row r="862" spans="1:14" ht="15.5" x14ac:dyDescent="0.35">
      <c r="A862">
        <v>30.720609709612798</v>
      </c>
      <c r="B862">
        <v>431.47536617788302</v>
      </c>
      <c r="C862">
        <v>362.701188481874</v>
      </c>
      <c r="D862" s="735">
        <v>47724.713204316329</v>
      </c>
      <c r="E862" s="735">
        <v>10677.714170888628</v>
      </c>
      <c r="F862" s="735">
        <v>453.12937004572501</v>
      </c>
      <c r="H862" s="741">
        <v>860</v>
      </c>
      <c r="I862" s="735">
        <v>144.32964673538501</v>
      </c>
      <c r="J862">
        <f t="shared" si="26"/>
        <v>453.12937004572501</v>
      </c>
      <c r="K862" s="735">
        <v>1318.058857</v>
      </c>
      <c r="L862">
        <f t="shared" si="26"/>
        <v>10677.714170888628</v>
      </c>
      <c r="M862" s="742">
        <v>3759.415512</v>
      </c>
      <c r="N862">
        <f t="shared" si="27"/>
        <v>47724.713204316329</v>
      </c>
    </row>
    <row r="863" spans="1:14" ht="15.5" x14ac:dyDescent="0.35">
      <c r="A863">
        <v>206.10576845552799</v>
      </c>
      <c r="B863">
        <v>1805.6267292346699</v>
      </c>
      <c r="C863">
        <v>5719.3755854808096</v>
      </c>
      <c r="D863" s="735">
        <v>13981.139574732388</v>
      </c>
      <c r="E863" s="735">
        <v>48394.98422313232</v>
      </c>
      <c r="F863" s="735">
        <v>443.91201240685672</v>
      </c>
      <c r="H863" s="741">
        <v>861</v>
      </c>
      <c r="I863" s="735">
        <v>142.26819716776001</v>
      </c>
      <c r="J863">
        <f t="shared" si="26"/>
        <v>443.91201240685672</v>
      </c>
      <c r="K863" s="735">
        <v>3796.2975689999998</v>
      </c>
      <c r="L863">
        <f t="shared" si="26"/>
        <v>48394.98422313232</v>
      </c>
      <c r="M863" s="742">
        <v>1591.7681110000001</v>
      </c>
      <c r="N863">
        <f t="shared" si="27"/>
        <v>13981.139574732388</v>
      </c>
    </row>
    <row r="864" spans="1:14" ht="15.5" x14ac:dyDescent="0.35">
      <c r="A864">
        <v>472.618118164039</v>
      </c>
      <c r="B864">
        <v>389.63222578768699</v>
      </c>
      <c r="C864">
        <v>626.61726367102597</v>
      </c>
      <c r="D864" s="735">
        <v>43204.339355081698</v>
      </c>
      <c r="E864" s="735">
        <v>89.274345910326261</v>
      </c>
      <c r="F864" s="735">
        <v>15300.677844008153</v>
      </c>
      <c r="H864" s="741">
        <v>862</v>
      </c>
      <c r="I864" s="735">
        <v>1695.49873394161</v>
      </c>
      <c r="J864">
        <f t="shared" si="26"/>
        <v>15300.677844008153</v>
      </c>
      <c r="K864" s="735">
        <v>46.29229093</v>
      </c>
      <c r="L864">
        <f t="shared" si="26"/>
        <v>89.274345910326261</v>
      </c>
      <c r="M864" s="742">
        <v>3506.462172</v>
      </c>
      <c r="N864">
        <f t="shared" si="27"/>
        <v>43204.339355081698</v>
      </c>
    </row>
    <row r="865" spans="1:14" ht="15.5" x14ac:dyDescent="0.35">
      <c r="A865">
        <v>834.72366043435102</v>
      </c>
      <c r="B865">
        <v>44.433525947863899</v>
      </c>
      <c r="C865">
        <v>6904.8074236484099</v>
      </c>
      <c r="D865" s="735">
        <v>236172.74543328147</v>
      </c>
      <c r="E865" s="735">
        <v>13032.858343642049</v>
      </c>
      <c r="F865" s="735">
        <v>4816.3199123966788</v>
      </c>
      <c r="H865" s="741">
        <v>863</v>
      </c>
      <c r="I865" s="735">
        <v>754.919647279473</v>
      </c>
      <c r="J865">
        <f t="shared" si="26"/>
        <v>4816.3199123966788</v>
      </c>
      <c r="K865" s="735">
        <v>1515.4017080000001</v>
      </c>
      <c r="L865">
        <f t="shared" si="26"/>
        <v>13032.858343642049</v>
      </c>
      <c r="M865" s="742">
        <v>11514.917869999999</v>
      </c>
      <c r="N865">
        <f t="shared" si="27"/>
        <v>236172.74543328147</v>
      </c>
    </row>
    <row r="866" spans="1:14" ht="15.5" x14ac:dyDescent="0.35">
      <c r="A866">
        <v>5964.61962762438</v>
      </c>
      <c r="B866">
        <v>1889.8522600461499</v>
      </c>
      <c r="C866">
        <v>45701.392432711902</v>
      </c>
      <c r="D866" s="735">
        <v>39799.583079744698</v>
      </c>
      <c r="E866" s="735">
        <v>13672.769968767916</v>
      </c>
      <c r="F866" s="735">
        <v>1106.8246173993643</v>
      </c>
      <c r="H866" s="741">
        <v>864</v>
      </c>
      <c r="I866" s="735">
        <v>269.683991215047</v>
      </c>
      <c r="J866">
        <f t="shared" si="26"/>
        <v>1106.8246173993643</v>
      </c>
      <c r="K866" s="735">
        <v>1567.1102639999999</v>
      </c>
      <c r="L866">
        <f t="shared" si="26"/>
        <v>13672.769968767916</v>
      </c>
      <c r="M866" s="742">
        <v>3310.6629290000001</v>
      </c>
      <c r="N866">
        <f t="shared" si="27"/>
        <v>39799.583079744698</v>
      </c>
    </row>
    <row r="867" spans="1:14" ht="15.5" x14ac:dyDescent="0.35">
      <c r="A867">
        <v>884.37697925596694</v>
      </c>
      <c r="B867">
        <v>907.91309843780903</v>
      </c>
      <c r="C867">
        <v>15261.8570973438</v>
      </c>
      <c r="D867" s="735">
        <v>104713.80807588852</v>
      </c>
      <c r="E867" s="735">
        <v>47443.852113125664</v>
      </c>
      <c r="F867" s="735">
        <v>32950.621550288917</v>
      </c>
      <c r="H867" s="741">
        <v>865</v>
      </c>
      <c r="I867" s="735">
        <v>2900.7114403087098</v>
      </c>
      <c r="J867">
        <f t="shared" si="26"/>
        <v>32950.621550288917</v>
      </c>
      <c r="K867" s="735">
        <v>3743.9148300000002</v>
      </c>
      <c r="L867">
        <f t="shared" si="26"/>
        <v>47443.852113125664</v>
      </c>
      <c r="M867" s="742">
        <v>6516.3254660000002</v>
      </c>
      <c r="N867">
        <f t="shared" si="27"/>
        <v>104713.80807588852</v>
      </c>
    </row>
    <row r="868" spans="1:14" ht="15.5" x14ac:dyDescent="0.35">
      <c r="A868">
        <v>250.451208246406</v>
      </c>
      <c r="B868">
        <v>941.58698481592398</v>
      </c>
      <c r="C868">
        <v>3346.5066529195601</v>
      </c>
      <c r="D868" s="735">
        <v>24757.734681207199</v>
      </c>
      <c r="E868" s="735">
        <v>97286.203659482911</v>
      </c>
      <c r="F868" s="735">
        <v>16819.085984784237</v>
      </c>
      <c r="H868" s="741">
        <v>866</v>
      </c>
      <c r="I868" s="735">
        <v>1811.5973368924699</v>
      </c>
      <c r="J868">
        <f t="shared" si="26"/>
        <v>16819.085984784237</v>
      </c>
      <c r="K868" s="735">
        <v>6189.2194200000004</v>
      </c>
      <c r="L868">
        <f t="shared" si="26"/>
        <v>97286.203659482911</v>
      </c>
      <c r="M868" s="742">
        <v>2374.6392019999998</v>
      </c>
      <c r="N868">
        <f t="shared" si="27"/>
        <v>24757.734681207199</v>
      </c>
    </row>
    <row r="869" spans="1:14" ht="15.5" x14ac:dyDescent="0.35">
      <c r="A869">
        <v>2810.7806311385498</v>
      </c>
      <c r="B869">
        <v>318.02915873440202</v>
      </c>
      <c r="C869">
        <v>1034.8464983455101</v>
      </c>
      <c r="D869" s="735">
        <v>8063.8604200868567</v>
      </c>
      <c r="E869" s="735">
        <v>5069.9592677460532</v>
      </c>
      <c r="F869" s="735">
        <v>3.1828124886688576</v>
      </c>
      <c r="H869" s="741">
        <v>867</v>
      </c>
      <c r="I869" s="735">
        <v>4.4871205508127199</v>
      </c>
      <c r="J869">
        <f t="shared" si="26"/>
        <v>3.1828124886688576</v>
      </c>
      <c r="K869" s="735">
        <v>782.53384329999994</v>
      </c>
      <c r="L869">
        <f t="shared" si="26"/>
        <v>5069.9592677460532</v>
      </c>
      <c r="M869" s="742">
        <v>1082.8794230000001</v>
      </c>
      <c r="N869">
        <f t="shared" si="27"/>
        <v>8063.8604200868567</v>
      </c>
    </row>
    <row r="870" spans="1:14" ht="15.5" x14ac:dyDescent="0.35">
      <c r="A870">
        <v>2739.73131053414</v>
      </c>
      <c r="B870">
        <v>132.527812980622</v>
      </c>
      <c r="C870">
        <v>976.15165787070396</v>
      </c>
      <c r="D870" s="735">
        <v>18930.564954565714</v>
      </c>
      <c r="E870" s="735">
        <v>873711.43254690268</v>
      </c>
      <c r="F870" s="735">
        <v>4159.6596795605765</v>
      </c>
      <c r="H870" s="741">
        <v>868</v>
      </c>
      <c r="I870" s="735">
        <v>681.30324953366903</v>
      </c>
      <c r="J870">
        <f t="shared" si="26"/>
        <v>4159.6596795605765</v>
      </c>
      <c r="K870" s="735">
        <v>28771.175950000001</v>
      </c>
      <c r="L870">
        <f t="shared" si="26"/>
        <v>873711.43254690268</v>
      </c>
      <c r="M870" s="742">
        <v>1967.9520050000001</v>
      </c>
      <c r="N870">
        <f t="shared" si="27"/>
        <v>18930.564954565714</v>
      </c>
    </row>
    <row r="871" spans="1:14" ht="15.5" x14ac:dyDescent="0.35">
      <c r="A871">
        <v>298.36817230309998</v>
      </c>
      <c r="B871">
        <v>53.951996723455501</v>
      </c>
      <c r="C871">
        <v>4796.5843400599997</v>
      </c>
      <c r="D871" s="735">
        <v>10926.245678329356</v>
      </c>
      <c r="E871" s="735">
        <v>2606.5145462414448</v>
      </c>
      <c r="F871" s="735">
        <v>38154.38096426527</v>
      </c>
      <c r="H871" s="741">
        <v>869</v>
      </c>
      <c r="I871" s="735">
        <v>3214.2606253089898</v>
      </c>
      <c r="J871">
        <f t="shared" si="26"/>
        <v>38154.38096426527</v>
      </c>
      <c r="K871" s="735">
        <v>491.18161989999999</v>
      </c>
      <c r="L871">
        <f t="shared" si="26"/>
        <v>2606.5145462414448</v>
      </c>
      <c r="M871" s="742">
        <v>1339.4597659999999</v>
      </c>
      <c r="N871">
        <f t="shared" si="27"/>
        <v>10926.245678329356</v>
      </c>
    </row>
    <row r="872" spans="1:14" ht="15.5" x14ac:dyDescent="0.35">
      <c r="A872">
        <v>923.57889686435999</v>
      </c>
      <c r="B872">
        <v>177.256663194971</v>
      </c>
      <c r="C872">
        <v>77234.331931324195</v>
      </c>
      <c r="D872" s="735">
        <v>38251.451602066809</v>
      </c>
      <c r="E872" s="735">
        <v>3572.6232831515572</v>
      </c>
      <c r="F872" s="735">
        <v>84.847049605323747</v>
      </c>
      <c r="H872" s="741">
        <v>870</v>
      </c>
      <c r="I872" s="735">
        <v>44.6730620532337</v>
      </c>
      <c r="J872">
        <f t="shared" si="26"/>
        <v>84.847049605323747</v>
      </c>
      <c r="K872" s="735">
        <v>612.47879450000005</v>
      </c>
      <c r="L872">
        <f t="shared" si="26"/>
        <v>3572.6232831515572</v>
      </c>
      <c r="M872" s="742">
        <v>3219.9827460000001</v>
      </c>
      <c r="N872">
        <f t="shared" si="27"/>
        <v>38251.451602066809</v>
      </c>
    </row>
    <row r="873" spans="1:14" ht="15.5" x14ac:dyDescent="0.35">
      <c r="A873">
        <v>29308.633518642098</v>
      </c>
      <c r="B873">
        <v>734.43374445418601</v>
      </c>
      <c r="C873">
        <v>909.77613160329997</v>
      </c>
      <c r="D873" s="735">
        <v>3434.3231534889765</v>
      </c>
      <c r="E873" s="735">
        <v>107614.37245501782</v>
      </c>
      <c r="F873" s="735">
        <v>245.00419067261743</v>
      </c>
      <c r="H873" s="741">
        <v>871</v>
      </c>
      <c r="I873" s="735">
        <v>93.847230104576397</v>
      </c>
      <c r="J873">
        <f t="shared" si="26"/>
        <v>245.00419067261743</v>
      </c>
      <c r="K873" s="735">
        <v>6642.1578790000003</v>
      </c>
      <c r="L873">
        <f t="shared" si="26"/>
        <v>107614.37245501782</v>
      </c>
      <c r="M873" s="742">
        <v>595.78396510000005</v>
      </c>
      <c r="N873">
        <f t="shared" si="27"/>
        <v>3434.3231534889765</v>
      </c>
    </row>
    <row r="874" spans="1:14" ht="15.5" x14ac:dyDescent="0.35">
      <c r="A874">
        <v>329.26008326856697</v>
      </c>
      <c r="B874">
        <v>2749.0766821510001</v>
      </c>
      <c r="C874">
        <v>3183.8348093937202</v>
      </c>
      <c r="D874" s="735">
        <v>128049.36951796584</v>
      </c>
      <c r="E874" s="735">
        <v>16503.019524571755</v>
      </c>
      <c r="F874" s="735">
        <v>11013.437044296898</v>
      </c>
      <c r="H874" s="741">
        <v>872</v>
      </c>
      <c r="I874" s="735">
        <v>1346.9330564802899</v>
      </c>
      <c r="J874">
        <f t="shared" si="26"/>
        <v>11013.437044296898</v>
      </c>
      <c r="K874" s="735">
        <v>1787.6989679999999</v>
      </c>
      <c r="L874">
        <f t="shared" si="26"/>
        <v>16503.019524571755</v>
      </c>
      <c r="M874" s="742">
        <v>7501.7780549999998</v>
      </c>
      <c r="N874">
        <f t="shared" si="27"/>
        <v>128049.36951796584</v>
      </c>
    </row>
    <row r="875" spans="1:14" ht="15.5" x14ac:dyDescent="0.35">
      <c r="A875">
        <v>439.012889919862</v>
      </c>
      <c r="B875">
        <v>487.71110362379898</v>
      </c>
      <c r="C875">
        <v>2027.8704362270701</v>
      </c>
      <c r="D875" s="735">
        <v>2196.4491098043895</v>
      </c>
      <c r="E875" s="735">
        <v>9735.1017086342963</v>
      </c>
      <c r="F875" s="735">
        <v>201.9962255136688</v>
      </c>
      <c r="H875" s="741">
        <v>873</v>
      </c>
      <c r="I875" s="735">
        <v>81.986109457376699</v>
      </c>
      <c r="J875">
        <f t="shared" si="26"/>
        <v>201.9962255136688</v>
      </c>
      <c r="K875" s="735">
        <v>1235.48747</v>
      </c>
      <c r="L875">
        <f t="shared" si="26"/>
        <v>9735.1017086342963</v>
      </c>
      <c r="M875" s="742">
        <v>435.71729800000003</v>
      </c>
      <c r="N875">
        <f t="shared" si="27"/>
        <v>2196.4491098043895</v>
      </c>
    </row>
    <row r="876" spans="1:14" ht="15.5" x14ac:dyDescent="0.35">
      <c r="A876">
        <v>13.881459965646901</v>
      </c>
      <c r="B876">
        <v>126.531632389601</v>
      </c>
      <c r="C876">
        <v>7158.0688532365602</v>
      </c>
      <c r="D876" s="735">
        <v>209783.15688149838</v>
      </c>
      <c r="E876" s="735">
        <v>3121813.9142562435</v>
      </c>
      <c r="F876" s="735">
        <v>719.69563277388409</v>
      </c>
      <c r="H876" s="741">
        <v>874</v>
      </c>
      <c r="I876" s="735">
        <v>199.528164371625</v>
      </c>
      <c r="J876">
        <f t="shared" si="26"/>
        <v>719.69563277388409</v>
      </c>
      <c r="K876" s="735">
        <v>70159.245250000007</v>
      </c>
      <c r="L876">
        <f t="shared" si="26"/>
        <v>3121813.9142562435</v>
      </c>
      <c r="M876" s="742">
        <v>10598.378650000001</v>
      </c>
      <c r="N876">
        <f t="shared" si="27"/>
        <v>209783.15688149838</v>
      </c>
    </row>
    <row r="877" spans="1:14" ht="15.5" x14ac:dyDescent="0.35">
      <c r="A877">
        <v>19693.968669673501</v>
      </c>
      <c r="B877">
        <v>144.898496751594</v>
      </c>
      <c r="C877">
        <v>91653.544696911995</v>
      </c>
      <c r="D877" s="735">
        <v>48284.391588625636</v>
      </c>
      <c r="E877" s="735">
        <v>109071.0596031881</v>
      </c>
      <c r="F877" s="735">
        <v>3915.6175346664768</v>
      </c>
      <c r="H877" s="741">
        <v>875</v>
      </c>
      <c r="I877" s="735">
        <v>653.070678468457</v>
      </c>
      <c r="J877">
        <f t="shared" si="26"/>
        <v>3915.6175346664768</v>
      </c>
      <c r="K877" s="735">
        <v>6704.9674299999997</v>
      </c>
      <c r="L877">
        <f t="shared" si="26"/>
        <v>109071.0596031881</v>
      </c>
      <c r="M877" s="742">
        <v>3790.222753</v>
      </c>
      <c r="N877">
        <f t="shared" si="27"/>
        <v>48284.391588625636</v>
      </c>
    </row>
    <row r="878" spans="1:14" ht="15.5" x14ac:dyDescent="0.35">
      <c r="A878">
        <v>407.072880645184</v>
      </c>
      <c r="B878">
        <v>858.829294899351</v>
      </c>
      <c r="C878">
        <v>20627.4512457743</v>
      </c>
      <c r="D878" s="735">
        <v>46775.470048912161</v>
      </c>
      <c r="E878" s="735">
        <v>8053.4061190160455</v>
      </c>
      <c r="F878" s="735">
        <v>1395.2187970421619</v>
      </c>
      <c r="H878" s="741">
        <v>876</v>
      </c>
      <c r="I878" s="735">
        <v>317.13897853715503</v>
      </c>
      <c r="J878">
        <f t="shared" si="26"/>
        <v>1395.2187970421619</v>
      </c>
      <c r="K878" s="735">
        <v>1081.8965109999999</v>
      </c>
      <c r="L878">
        <f t="shared" si="26"/>
        <v>8053.4061190160455</v>
      </c>
      <c r="M878" s="742">
        <v>3706.9157220000002</v>
      </c>
      <c r="N878">
        <f t="shared" si="27"/>
        <v>46775.470048912161</v>
      </c>
    </row>
    <row r="879" spans="1:14" ht="15.5" x14ac:dyDescent="0.35">
      <c r="A879">
        <v>10112.715934501601</v>
      </c>
      <c r="B879">
        <v>279.62383739489798</v>
      </c>
      <c r="C879">
        <v>837.82705961256397</v>
      </c>
      <c r="D879" s="735">
        <v>36909.789629380757</v>
      </c>
      <c r="E879" s="735">
        <v>184849.87743400963</v>
      </c>
      <c r="F879" s="735">
        <v>14984.175740213492</v>
      </c>
      <c r="H879" s="741">
        <v>877</v>
      </c>
      <c r="I879" s="735">
        <v>1670.87130471772</v>
      </c>
      <c r="J879">
        <f t="shared" si="26"/>
        <v>14984.175740213492</v>
      </c>
      <c r="K879" s="735">
        <v>9700.0375810000005</v>
      </c>
      <c r="L879">
        <f t="shared" si="26"/>
        <v>184849.87743400963</v>
      </c>
      <c r="M879" s="742">
        <v>3140.5021780000002</v>
      </c>
      <c r="N879">
        <f t="shared" si="27"/>
        <v>36909.789629380757</v>
      </c>
    </row>
    <row r="880" spans="1:14" ht="15.5" x14ac:dyDescent="0.35">
      <c r="A880">
        <v>502.87871474244901</v>
      </c>
      <c r="B880">
        <v>178.907152382535</v>
      </c>
      <c r="C880">
        <v>94871.631913342804</v>
      </c>
      <c r="D880" s="735">
        <v>86293.673720415056</v>
      </c>
      <c r="E880" s="735">
        <v>6904.0872115374132</v>
      </c>
      <c r="F880" s="735">
        <v>1659.2241419353475</v>
      </c>
      <c r="H880" s="741">
        <v>878</v>
      </c>
      <c r="I880" s="735">
        <v>358.04164243951101</v>
      </c>
      <c r="J880">
        <f t="shared" si="26"/>
        <v>1659.2241419353475</v>
      </c>
      <c r="K880" s="735">
        <v>971.3469662</v>
      </c>
      <c r="L880">
        <f t="shared" si="26"/>
        <v>6904.0872115374132</v>
      </c>
      <c r="M880" s="742">
        <v>5690.9565629999997</v>
      </c>
      <c r="N880">
        <f t="shared" si="27"/>
        <v>86293.673720415056</v>
      </c>
    </row>
    <row r="881" spans="1:14" ht="15.5" x14ac:dyDescent="0.35">
      <c r="A881">
        <v>211.81538994120299</v>
      </c>
      <c r="B881">
        <v>370.24394725524502</v>
      </c>
      <c r="C881">
        <v>46500.651184845803</v>
      </c>
      <c r="D881" s="735">
        <v>43401.462775157088</v>
      </c>
      <c r="E881" s="735">
        <v>77328.104934202143</v>
      </c>
      <c r="F881" s="735">
        <v>56.576629668592375</v>
      </c>
      <c r="H881" s="741">
        <v>879</v>
      </c>
      <c r="I881" s="735">
        <v>33.639222601533397</v>
      </c>
      <c r="J881">
        <f t="shared" si="26"/>
        <v>56.576629668592375</v>
      </c>
      <c r="K881" s="735">
        <v>5270.3099490000004</v>
      </c>
      <c r="L881">
        <f t="shared" si="26"/>
        <v>77328.104934202143</v>
      </c>
      <c r="M881" s="742">
        <v>3517.6534919999999</v>
      </c>
      <c r="N881">
        <f t="shared" si="27"/>
        <v>43401.462775157088</v>
      </c>
    </row>
    <row r="882" spans="1:14" ht="15.5" x14ac:dyDescent="0.35">
      <c r="A882">
        <v>14203.5832790809</v>
      </c>
      <c r="B882">
        <v>529.70722562122</v>
      </c>
      <c r="C882">
        <v>2540.5801500943298</v>
      </c>
      <c r="D882" s="735">
        <v>2019.4427619036326</v>
      </c>
      <c r="E882" s="735">
        <v>4519.790402336519</v>
      </c>
      <c r="F882" s="735">
        <v>6047.2127562201958</v>
      </c>
      <c r="H882" s="741">
        <v>880</v>
      </c>
      <c r="I882" s="735">
        <v>885.296350512245</v>
      </c>
      <c r="J882">
        <f t="shared" si="26"/>
        <v>6047.2127562201958</v>
      </c>
      <c r="K882" s="735">
        <v>722.075828</v>
      </c>
      <c r="L882">
        <f t="shared" si="26"/>
        <v>4519.790402336519</v>
      </c>
      <c r="M882" s="742">
        <v>410.82993779999998</v>
      </c>
      <c r="N882">
        <f t="shared" si="27"/>
        <v>2019.4427619036326</v>
      </c>
    </row>
    <row r="883" spans="1:14" ht="15.5" x14ac:dyDescent="0.35">
      <c r="A883">
        <v>39.334214700027701</v>
      </c>
      <c r="B883">
        <v>140.47685097391101</v>
      </c>
      <c r="C883">
        <v>1284.2891147871201</v>
      </c>
      <c r="D883" s="735">
        <v>27997.782871461088</v>
      </c>
      <c r="E883" s="735">
        <v>105.51550509282394</v>
      </c>
      <c r="F883" s="735">
        <v>327.873953064852</v>
      </c>
      <c r="H883" s="741">
        <v>881</v>
      </c>
      <c r="I883" s="735">
        <v>115.078672073947</v>
      </c>
      <c r="J883">
        <f t="shared" si="26"/>
        <v>327.873953064852</v>
      </c>
      <c r="K883" s="735">
        <v>52.038095949999999</v>
      </c>
      <c r="L883">
        <f t="shared" si="26"/>
        <v>105.51550509282394</v>
      </c>
      <c r="M883" s="742">
        <v>2588.1327529999999</v>
      </c>
      <c r="N883">
        <f t="shared" si="27"/>
        <v>27997.782871461088</v>
      </c>
    </row>
    <row r="884" spans="1:14" ht="15.5" x14ac:dyDescent="0.35">
      <c r="A884">
        <v>47.053506918943597</v>
      </c>
      <c r="B884">
        <v>243.31228336553701</v>
      </c>
      <c r="C884">
        <v>165.96677070120401</v>
      </c>
      <c r="D884" s="735">
        <v>18309.929070830633</v>
      </c>
      <c r="E884" s="735">
        <v>23783.907207020959</v>
      </c>
      <c r="F884" s="735">
        <v>65.296271715875989</v>
      </c>
      <c r="H884" s="741">
        <v>882</v>
      </c>
      <c r="I884" s="735">
        <v>37.189630999884997</v>
      </c>
      <c r="J884">
        <f t="shared" si="26"/>
        <v>65.296271715875989</v>
      </c>
      <c r="K884" s="735">
        <v>2308.8634099999999</v>
      </c>
      <c r="L884">
        <f t="shared" si="26"/>
        <v>23783.907207020959</v>
      </c>
      <c r="M884" s="742">
        <v>1922.563369</v>
      </c>
      <c r="N884">
        <f t="shared" si="27"/>
        <v>18309.929070830633</v>
      </c>
    </row>
    <row r="885" spans="1:14" ht="15.5" x14ac:dyDescent="0.35">
      <c r="A885">
        <v>1101.4922019739599</v>
      </c>
      <c r="B885">
        <v>385.18574755997201</v>
      </c>
      <c r="C885">
        <v>1137.9904767846499</v>
      </c>
      <c r="D885" s="735">
        <v>110557.88164447254</v>
      </c>
      <c r="E885" s="735">
        <v>2266.8633706490173</v>
      </c>
      <c r="F885" s="735">
        <v>230.21690171229054</v>
      </c>
      <c r="H885" s="741">
        <v>883</v>
      </c>
      <c r="I885" s="735">
        <v>89.845440721077196</v>
      </c>
      <c r="J885">
        <f t="shared" si="26"/>
        <v>230.21690171229054</v>
      </c>
      <c r="K885" s="735">
        <v>445.44874679999998</v>
      </c>
      <c r="L885">
        <f t="shared" si="26"/>
        <v>2266.8633706490173</v>
      </c>
      <c r="M885" s="742">
        <v>6768.8173640000005</v>
      </c>
      <c r="N885">
        <f t="shared" si="27"/>
        <v>110557.88164447254</v>
      </c>
    </row>
    <row r="886" spans="1:14" ht="15.5" x14ac:dyDescent="0.35">
      <c r="A886">
        <v>301.09605475819302</v>
      </c>
      <c r="B886">
        <v>57.302099675903897</v>
      </c>
      <c r="C886">
        <v>166.17801207828001</v>
      </c>
      <c r="D886" s="735">
        <v>180013.60509085932</v>
      </c>
      <c r="E886" s="735">
        <v>1340.5668525758476</v>
      </c>
      <c r="F886" s="735">
        <v>205.19873271390202</v>
      </c>
      <c r="H886" s="741">
        <v>884</v>
      </c>
      <c r="I886" s="735">
        <v>82.893842578381594</v>
      </c>
      <c r="J886">
        <f t="shared" si="26"/>
        <v>205.19873271390202</v>
      </c>
      <c r="K886" s="735">
        <v>308.3911693</v>
      </c>
      <c r="L886">
        <f t="shared" si="26"/>
        <v>1340.5668525758476</v>
      </c>
      <c r="M886" s="742">
        <v>9521.6832630000008</v>
      </c>
      <c r="N886">
        <f t="shared" si="27"/>
        <v>180013.60509085932</v>
      </c>
    </row>
    <row r="887" spans="1:14" ht="15.5" x14ac:dyDescent="0.35">
      <c r="A887">
        <v>211.36102871705401</v>
      </c>
      <c r="B887">
        <v>774.32492150537405</v>
      </c>
      <c r="C887">
        <v>252.07943403498899</v>
      </c>
      <c r="D887" s="735">
        <v>686633.60718483024</v>
      </c>
      <c r="E887" s="735">
        <v>322756.59651153302</v>
      </c>
      <c r="F887" s="735">
        <v>1368.7067560373935</v>
      </c>
      <c r="H887" s="741">
        <v>885</v>
      </c>
      <c r="I887" s="735">
        <v>312.90844739257398</v>
      </c>
      <c r="J887">
        <f t="shared" si="26"/>
        <v>1368.7067560373935</v>
      </c>
      <c r="K887" s="735">
        <v>14328.89133</v>
      </c>
      <c r="L887">
        <f t="shared" si="26"/>
        <v>322756.59651153302</v>
      </c>
      <c r="M887" s="742">
        <v>24305.66676</v>
      </c>
      <c r="N887">
        <f t="shared" si="27"/>
        <v>686633.60718483024</v>
      </c>
    </row>
    <row r="888" spans="1:14" ht="15.5" x14ac:dyDescent="0.35">
      <c r="A888">
        <v>2149.03888751154</v>
      </c>
      <c r="B888">
        <v>1300.4054266154501</v>
      </c>
      <c r="C888">
        <v>185.974742411428</v>
      </c>
      <c r="D888" s="735">
        <v>25125.236573817379</v>
      </c>
      <c r="E888" s="735">
        <v>29843.857775968063</v>
      </c>
      <c r="F888" s="735">
        <v>100.03710561633532</v>
      </c>
      <c r="H888" s="741">
        <v>886</v>
      </c>
      <c r="I888" s="735">
        <v>50.131740441135499</v>
      </c>
      <c r="J888">
        <f t="shared" si="26"/>
        <v>100.03710561633532</v>
      </c>
      <c r="K888" s="735">
        <v>2706.4404340000001</v>
      </c>
      <c r="L888">
        <f t="shared" si="26"/>
        <v>29843.857775968063</v>
      </c>
      <c r="M888" s="742">
        <v>2399.2588850000002</v>
      </c>
      <c r="N888">
        <f t="shared" si="27"/>
        <v>25125.236573817379</v>
      </c>
    </row>
    <row r="889" spans="1:14" ht="15.5" x14ac:dyDescent="0.35">
      <c r="A889">
        <v>11589.861891199</v>
      </c>
      <c r="B889">
        <v>519.56451995826001</v>
      </c>
      <c r="C889">
        <v>68138.493957654195</v>
      </c>
      <c r="D889" s="735">
        <v>129176.92917418068</v>
      </c>
      <c r="E889" s="735">
        <v>64907.438472143796</v>
      </c>
      <c r="F889" s="735">
        <v>71.446780270670189</v>
      </c>
      <c r="H889" s="741">
        <v>887</v>
      </c>
      <c r="I889" s="735">
        <v>39.608451466724198</v>
      </c>
      <c r="J889">
        <f t="shared" si="26"/>
        <v>71.446780270670189</v>
      </c>
      <c r="K889" s="735">
        <v>4662.3634899999997</v>
      </c>
      <c r="L889">
        <f t="shared" si="26"/>
        <v>64907.438472143796</v>
      </c>
      <c r="M889" s="742">
        <v>7547.9579030000004</v>
      </c>
      <c r="N889">
        <f t="shared" si="27"/>
        <v>129176.92917418068</v>
      </c>
    </row>
    <row r="890" spans="1:14" ht="15.5" x14ac:dyDescent="0.35">
      <c r="A890">
        <v>50.578724493256502</v>
      </c>
      <c r="B890">
        <v>332.25496271896498</v>
      </c>
      <c r="C890">
        <v>1616.6056670022399</v>
      </c>
      <c r="D890" s="735">
        <v>66534.259423292009</v>
      </c>
      <c r="E890" s="735">
        <v>9672.0860927335489</v>
      </c>
      <c r="F890" s="735">
        <v>1921.5458295008846</v>
      </c>
      <c r="H890" s="741">
        <v>888</v>
      </c>
      <c r="I890" s="735">
        <v>396.78525317051401</v>
      </c>
      <c r="J890">
        <f t="shared" si="26"/>
        <v>1921.5458295008846</v>
      </c>
      <c r="K890" s="735">
        <v>1229.883875</v>
      </c>
      <c r="L890">
        <f t="shared" si="26"/>
        <v>9672.0860927335489</v>
      </c>
      <c r="M890" s="742">
        <v>4743.8585290000001</v>
      </c>
      <c r="N890">
        <f t="shared" si="27"/>
        <v>66534.259423292009</v>
      </c>
    </row>
    <row r="891" spans="1:14" ht="15.5" x14ac:dyDescent="0.35">
      <c r="A891">
        <v>967.30401784534297</v>
      </c>
      <c r="B891">
        <v>918.94056656334101</v>
      </c>
      <c r="C891">
        <v>43913.7182335506</v>
      </c>
      <c r="D891" s="735">
        <v>124231.3000226228</v>
      </c>
      <c r="E891" s="735">
        <v>61081.887092904755</v>
      </c>
      <c r="F891" s="735">
        <v>1119.548071793015</v>
      </c>
      <c r="H891" s="741">
        <v>889</v>
      </c>
      <c r="I891" s="735">
        <v>271.85036623048398</v>
      </c>
      <c r="J891">
        <f t="shared" si="26"/>
        <v>1119.548071793015</v>
      </c>
      <c r="K891" s="735">
        <v>4468.2628409999998</v>
      </c>
      <c r="L891">
        <f t="shared" si="26"/>
        <v>61081.887092904755</v>
      </c>
      <c r="M891" s="742">
        <v>7344.4913040000001</v>
      </c>
      <c r="N891">
        <f t="shared" si="27"/>
        <v>124231.3000226228</v>
      </c>
    </row>
    <row r="892" spans="1:14" ht="15.5" x14ac:dyDescent="0.35">
      <c r="A892">
        <v>2628.8023656806299</v>
      </c>
      <c r="B892">
        <v>2537.3966336601102</v>
      </c>
      <c r="C892">
        <v>424.99793602471601</v>
      </c>
      <c r="D892" s="735">
        <v>18795.884007106546</v>
      </c>
      <c r="E892" s="735">
        <v>1414.7976356524439</v>
      </c>
      <c r="F892" s="735">
        <v>12113.722558256226</v>
      </c>
      <c r="H892" s="741">
        <v>890</v>
      </c>
      <c r="I892" s="735">
        <v>1439.7740307897</v>
      </c>
      <c r="J892">
        <f t="shared" si="26"/>
        <v>12113.722558256226</v>
      </c>
      <c r="K892" s="735">
        <v>320.24770619999998</v>
      </c>
      <c r="L892">
        <f t="shared" si="26"/>
        <v>1414.7976356524439</v>
      </c>
      <c r="M892" s="742">
        <v>1958.140858</v>
      </c>
      <c r="N892">
        <f t="shared" si="27"/>
        <v>18795.884007106546</v>
      </c>
    </row>
    <row r="893" spans="1:14" ht="15.5" x14ac:dyDescent="0.35">
      <c r="A893">
        <v>594.838647532599</v>
      </c>
      <c r="B893">
        <v>735.57685113658295</v>
      </c>
      <c r="C893">
        <v>16554.947042826101</v>
      </c>
      <c r="D893" s="735">
        <v>4552.7060690052967</v>
      </c>
      <c r="E893" s="735">
        <v>78570.596323318925</v>
      </c>
      <c r="F893" s="735">
        <v>605.75677729524739</v>
      </c>
      <c r="H893" s="741">
        <v>891</v>
      </c>
      <c r="I893" s="735">
        <v>176.85152017029</v>
      </c>
      <c r="J893">
        <f t="shared" si="26"/>
        <v>605.75677729524739</v>
      </c>
      <c r="K893" s="735">
        <v>5329.4456120000004</v>
      </c>
      <c r="L893">
        <f t="shared" si="26"/>
        <v>78570.596323318925</v>
      </c>
      <c r="M893" s="742">
        <v>725.75281440000003</v>
      </c>
      <c r="N893">
        <f t="shared" si="27"/>
        <v>4552.7060690052967</v>
      </c>
    </row>
    <row r="894" spans="1:14" ht="15.5" x14ac:dyDescent="0.35">
      <c r="A894">
        <v>11.979397115307099</v>
      </c>
      <c r="B894">
        <v>179.42321020396099</v>
      </c>
      <c r="C894">
        <v>1774.91958077811</v>
      </c>
      <c r="D894" s="735">
        <v>16682.849790076671</v>
      </c>
      <c r="E894" s="735">
        <v>50044.623369548171</v>
      </c>
      <c r="F894" s="735">
        <v>225.84728735621491</v>
      </c>
      <c r="H894" s="741">
        <v>892</v>
      </c>
      <c r="I894" s="735">
        <v>88.6483007042644</v>
      </c>
      <c r="J894">
        <f t="shared" si="26"/>
        <v>225.84728735621491</v>
      </c>
      <c r="K894" s="735">
        <v>3886.4241630000001</v>
      </c>
      <c r="L894">
        <f t="shared" si="26"/>
        <v>50044.623369548171</v>
      </c>
      <c r="M894" s="742">
        <v>1801.3129349999999</v>
      </c>
      <c r="N894">
        <f t="shared" si="27"/>
        <v>16682.849790076671</v>
      </c>
    </row>
    <row r="895" spans="1:14" ht="15.5" x14ac:dyDescent="0.35">
      <c r="A895">
        <v>642.49402998442201</v>
      </c>
      <c r="B895">
        <v>1170.0788403322399</v>
      </c>
      <c r="C895">
        <v>1975.35167302331</v>
      </c>
      <c r="D895" s="735">
        <v>5703.6905156723533</v>
      </c>
      <c r="E895" s="735">
        <v>604463.27323160251</v>
      </c>
      <c r="F895" s="735">
        <v>41329.194184980341</v>
      </c>
      <c r="H895" s="741">
        <v>893</v>
      </c>
      <c r="I895" s="735">
        <v>3399.2245635601098</v>
      </c>
      <c r="J895">
        <f t="shared" si="26"/>
        <v>41329.194184980341</v>
      </c>
      <c r="K895" s="735">
        <v>22230.997149999999</v>
      </c>
      <c r="L895">
        <f t="shared" si="26"/>
        <v>604463.27323160251</v>
      </c>
      <c r="M895" s="742">
        <v>849.78520719999995</v>
      </c>
      <c r="N895">
        <f t="shared" si="27"/>
        <v>5703.6905156723533</v>
      </c>
    </row>
    <row r="896" spans="1:14" ht="15.5" x14ac:dyDescent="0.35">
      <c r="A896">
        <v>749.43201997345795</v>
      </c>
      <c r="B896">
        <v>599.75249992989995</v>
      </c>
      <c r="C896">
        <v>11603.562467654199</v>
      </c>
      <c r="D896" s="735">
        <v>14612.26517015567</v>
      </c>
      <c r="E896" s="735">
        <v>425.27544239609665</v>
      </c>
      <c r="F896" s="735">
        <v>898.24498655909349</v>
      </c>
      <c r="H896" s="741">
        <v>894</v>
      </c>
      <c r="I896" s="735">
        <v>233.01096653760399</v>
      </c>
      <c r="J896">
        <f t="shared" si="26"/>
        <v>898.24498655909349</v>
      </c>
      <c r="K896" s="735">
        <v>138.06042740000001</v>
      </c>
      <c r="L896">
        <f t="shared" si="26"/>
        <v>425.27544239609665</v>
      </c>
      <c r="M896" s="742">
        <v>1641.732068</v>
      </c>
      <c r="N896">
        <f t="shared" si="27"/>
        <v>14612.26517015567</v>
      </c>
    </row>
    <row r="897" spans="1:14" ht="15.5" x14ac:dyDescent="0.35">
      <c r="A897">
        <v>266.74615300191698</v>
      </c>
      <c r="B897">
        <v>379.14754202680501</v>
      </c>
      <c r="C897">
        <v>13815.9573752867</v>
      </c>
      <c r="D897" s="735">
        <v>58743.79363997902</v>
      </c>
      <c r="E897" s="735">
        <v>22031.655183479772</v>
      </c>
      <c r="F897" s="735">
        <v>4207.3871117748749</v>
      </c>
      <c r="H897" s="741">
        <v>895</v>
      </c>
      <c r="I897" s="735">
        <v>686.76591201012002</v>
      </c>
      <c r="J897">
        <f t="shared" si="26"/>
        <v>4207.3871117748749</v>
      </c>
      <c r="K897" s="735">
        <v>2188.4316549999999</v>
      </c>
      <c r="L897">
        <f t="shared" si="26"/>
        <v>22031.655183479772</v>
      </c>
      <c r="M897" s="742">
        <v>4347.8383880000001</v>
      </c>
      <c r="N897">
        <f t="shared" si="27"/>
        <v>58743.79363997902</v>
      </c>
    </row>
    <row r="898" spans="1:14" ht="15.5" x14ac:dyDescent="0.35">
      <c r="A898">
        <v>215.43188315200001</v>
      </c>
      <c r="B898">
        <v>493.17873233983499</v>
      </c>
      <c r="C898">
        <v>5343.9894037847898</v>
      </c>
      <c r="D898" s="735">
        <v>688860.36355800391</v>
      </c>
      <c r="E898" s="735">
        <v>21417.251838507265</v>
      </c>
      <c r="F898" s="735">
        <v>1293.8353727676417</v>
      </c>
      <c r="H898" s="741">
        <v>896</v>
      </c>
      <c r="I898" s="735">
        <v>300.825962036406</v>
      </c>
      <c r="J898">
        <f t="shared" si="26"/>
        <v>1293.8353727676417</v>
      </c>
      <c r="K898" s="735">
        <v>2145.530143</v>
      </c>
      <c r="L898">
        <f t="shared" si="26"/>
        <v>21417.251838507265</v>
      </c>
      <c r="M898" s="742">
        <v>24360.816340000001</v>
      </c>
      <c r="N898">
        <f t="shared" si="27"/>
        <v>688860.36355800391</v>
      </c>
    </row>
    <row r="899" spans="1:14" ht="15.5" x14ac:dyDescent="0.35">
      <c r="A899">
        <v>200.83122166536199</v>
      </c>
      <c r="B899">
        <v>308.48812695330298</v>
      </c>
      <c r="C899">
        <v>8751.6047598263103</v>
      </c>
      <c r="D899" s="735">
        <v>54475.562222832203</v>
      </c>
      <c r="E899" s="735">
        <v>685.49320775764068</v>
      </c>
      <c r="F899" s="735">
        <v>1557.8478910965359</v>
      </c>
      <c r="H899" s="741">
        <v>897</v>
      </c>
      <c r="I899" s="735">
        <v>342.58436257199298</v>
      </c>
      <c r="J899">
        <f t="shared" si="26"/>
        <v>1557.8478910965359</v>
      </c>
      <c r="K899" s="735">
        <v>192.84225850000001</v>
      </c>
      <c r="L899">
        <f t="shared" si="26"/>
        <v>685.49320775764068</v>
      </c>
      <c r="M899" s="742">
        <v>4124.2141199999996</v>
      </c>
      <c r="N899">
        <f t="shared" si="27"/>
        <v>54475.562222832203</v>
      </c>
    </row>
    <row r="900" spans="1:14" ht="15.5" x14ac:dyDescent="0.35">
      <c r="A900">
        <v>1741.0211762895001</v>
      </c>
      <c r="B900">
        <v>326.47016257544198</v>
      </c>
      <c r="C900">
        <v>3039.0266176109699</v>
      </c>
      <c r="D900" s="735">
        <v>39201.316690716085</v>
      </c>
      <c r="E900" s="735">
        <v>14862.024722423987</v>
      </c>
      <c r="F900" s="735">
        <v>9528.0237076543035</v>
      </c>
      <c r="H900" s="741">
        <v>898</v>
      </c>
      <c r="I900" s="735">
        <v>1217.0319519990901</v>
      </c>
      <c r="J900">
        <f t="shared" ref="J900:L963" si="28">(10^(LOG(I900)-0.3))^(1/0.7)</f>
        <v>9528.0237076543035</v>
      </c>
      <c r="K900" s="735">
        <v>1661.3249430000001</v>
      </c>
      <c r="L900">
        <f t="shared" si="28"/>
        <v>14862.024722423987</v>
      </c>
      <c r="M900" s="742">
        <v>3275.7478000000001</v>
      </c>
      <c r="N900">
        <f t="shared" ref="N900:N963" si="29">(10^(LOG(M900)-0.3))^(1/0.7)</f>
        <v>39201.316690716085</v>
      </c>
    </row>
    <row r="901" spans="1:14" ht="15.5" x14ac:dyDescent="0.35">
      <c r="A901">
        <v>375.06933508353302</v>
      </c>
      <c r="B901">
        <v>175.94145075612801</v>
      </c>
      <c r="C901">
        <v>833.93560941973999</v>
      </c>
      <c r="D901" s="735">
        <v>5254.5165514094315</v>
      </c>
      <c r="E901" s="735">
        <v>10255.54551480193</v>
      </c>
      <c r="F901" s="735">
        <v>7497.5729608525626</v>
      </c>
      <c r="H901" s="741">
        <v>899</v>
      </c>
      <c r="I901" s="735">
        <v>1029.0689879310601</v>
      </c>
      <c r="J901">
        <f t="shared" si="28"/>
        <v>7497.5729608525626</v>
      </c>
      <c r="K901" s="735">
        <v>1281.359923</v>
      </c>
      <c r="L901">
        <f t="shared" si="28"/>
        <v>10255.54551480193</v>
      </c>
      <c r="M901" s="742">
        <v>802.36677180000004</v>
      </c>
      <c r="N901">
        <f t="shared" si="29"/>
        <v>5254.5165514094315</v>
      </c>
    </row>
    <row r="902" spans="1:14" ht="15.5" x14ac:dyDescent="0.35">
      <c r="A902">
        <v>2308.67837455477</v>
      </c>
      <c r="B902">
        <v>621.90536941642597</v>
      </c>
      <c r="C902">
        <v>10152.729198352599</v>
      </c>
      <c r="D902" s="735">
        <v>1493.8446002156682</v>
      </c>
      <c r="E902" s="735">
        <v>16826.075453855636</v>
      </c>
      <c r="F902" s="735">
        <v>4849.0112547159306</v>
      </c>
      <c r="H902" s="741">
        <v>900</v>
      </c>
      <c r="I902" s="735">
        <v>758.50288064319602</v>
      </c>
      <c r="J902">
        <f t="shared" si="28"/>
        <v>4849.0112547159306</v>
      </c>
      <c r="K902" s="735">
        <v>1812.1242930000001</v>
      </c>
      <c r="L902">
        <f t="shared" si="28"/>
        <v>16826.075453855636</v>
      </c>
      <c r="M902" s="742">
        <v>332.67012019999999</v>
      </c>
      <c r="N902">
        <f t="shared" si="29"/>
        <v>1493.8446002156682</v>
      </c>
    </row>
    <row r="903" spans="1:14" ht="15.5" x14ac:dyDescent="0.35">
      <c r="A903">
        <v>825.51422878969095</v>
      </c>
      <c r="B903">
        <v>67.333338878941902</v>
      </c>
      <c r="C903">
        <v>145.855819650363</v>
      </c>
      <c r="D903" s="735">
        <v>3890.8512878648544</v>
      </c>
      <c r="E903" s="735">
        <v>11083.220008347658</v>
      </c>
      <c r="F903" s="735">
        <v>5663.6685296542628</v>
      </c>
      <c r="H903" s="741">
        <v>901</v>
      </c>
      <c r="I903" s="735">
        <v>845.60682511050595</v>
      </c>
      <c r="J903">
        <f t="shared" si="28"/>
        <v>5663.6685296542628</v>
      </c>
      <c r="K903" s="735">
        <v>1352.901468</v>
      </c>
      <c r="L903">
        <f t="shared" si="28"/>
        <v>11083.220008347658</v>
      </c>
      <c r="M903" s="742">
        <v>650.17646119999995</v>
      </c>
      <c r="N903">
        <f t="shared" si="29"/>
        <v>3890.8512878648544</v>
      </c>
    </row>
    <row r="904" spans="1:14" ht="15.5" x14ac:dyDescent="0.35">
      <c r="A904">
        <v>420.33028579125801</v>
      </c>
      <c r="B904">
        <v>48.399925837625702</v>
      </c>
      <c r="C904">
        <v>439.36776830048802</v>
      </c>
      <c r="D904" s="735">
        <v>48960.163811569109</v>
      </c>
      <c r="E904" s="735">
        <v>673.9259353548731</v>
      </c>
      <c r="F904" s="735">
        <v>449.16355834586523</v>
      </c>
      <c r="H904" s="741">
        <v>902</v>
      </c>
      <c r="I904" s="735">
        <v>143.44425511443399</v>
      </c>
      <c r="J904">
        <f t="shared" si="28"/>
        <v>449.16355834586523</v>
      </c>
      <c r="K904" s="735">
        <v>190.5585849</v>
      </c>
      <c r="L904">
        <f t="shared" si="28"/>
        <v>673.9259353548731</v>
      </c>
      <c r="M904" s="742">
        <v>3827.2779519999999</v>
      </c>
      <c r="N904">
        <f t="shared" si="29"/>
        <v>48960.163811569109</v>
      </c>
    </row>
    <row r="905" spans="1:14" ht="15.5" x14ac:dyDescent="0.35">
      <c r="A905">
        <v>8952.6607999652806</v>
      </c>
      <c r="B905">
        <v>110.65852450613799</v>
      </c>
      <c r="C905">
        <v>3371.5246627988499</v>
      </c>
      <c r="D905" s="735">
        <v>46826.812214967584</v>
      </c>
      <c r="E905" s="735">
        <v>386474.36255802616</v>
      </c>
      <c r="F905" s="735">
        <v>2155.1521348664883</v>
      </c>
      <c r="H905" s="741">
        <v>903</v>
      </c>
      <c r="I905" s="735">
        <v>429.966434048525</v>
      </c>
      <c r="J905">
        <f t="shared" si="28"/>
        <v>2155.1521348664883</v>
      </c>
      <c r="K905" s="735">
        <v>16254.90676</v>
      </c>
      <c r="L905">
        <f t="shared" si="28"/>
        <v>386474.36255802616</v>
      </c>
      <c r="M905" s="742">
        <v>3709.7634290000001</v>
      </c>
      <c r="N905">
        <f t="shared" si="29"/>
        <v>46826.812214967584</v>
      </c>
    </row>
    <row r="906" spans="1:14" ht="15.5" x14ac:dyDescent="0.35">
      <c r="A906">
        <v>146.19224919429601</v>
      </c>
      <c r="B906">
        <v>255.778074735308</v>
      </c>
      <c r="C906">
        <v>90577.465271569105</v>
      </c>
      <c r="D906" s="735">
        <v>229647.32264790862</v>
      </c>
      <c r="E906" s="735">
        <v>46028.530639730052</v>
      </c>
      <c r="F906" s="735">
        <v>10982.926044702195</v>
      </c>
      <c r="H906" s="741">
        <v>904</v>
      </c>
      <c r="I906" s="735">
        <v>1344.3199430309401</v>
      </c>
      <c r="J906">
        <f t="shared" si="28"/>
        <v>10982.926044702195</v>
      </c>
      <c r="K906" s="735">
        <v>3665.3797639999998</v>
      </c>
      <c r="L906">
        <f t="shared" si="28"/>
        <v>46028.530639730052</v>
      </c>
      <c r="M906" s="742">
        <v>11291.27463</v>
      </c>
      <c r="N906">
        <f t="shared" si="29"/>
        <v>229647.32264790862</v>
      </c>
    </row>
    <row r="907" spans="1:14" ht="15.5" x14ac:dyDescent="0.35">
      <c r="A907">
        <v>3444.8569106734099</v>
      </c>
      <c r="B907">
        <v>296.16022238128602</v>
      </c>
      <c r="C907">
        <v>16296.9409948393</v>
      </c>
      <c r="D907" s="735">
        <v>78903.406178335557</v>
      </c>
      <c r="E907" s="735">
        <v>52209.021793571148</v>
      </c>
      <c r="F907" s="735">
        <v>7346.4712916935341</v>
      </c>
      <c r="H907" s="741">
        <v>905</v>
      </c>
      <c r="I907" s="735">
        <v>1014.50723850482</v>
      </c>
      <c r="J907">
        <f t="shared" si="28"/>
        <v>7346.4712916935341</v>
      </c>
      <c r="K907" s="735">
        <v>4003.334593</v>
      </c>
      <c r="L907">
        <f t="shared" si="28"/>
        <v>52209.021793571148</v>
      </c>
      <c r="M907" s="742">
        <v>5345.2377409999999</v>
      </c>
      <c r="N907">
        <f t="shared" si="29"/>
        <v>78903.406178335557</v>
      </c>
    </row>
    <row r="908" spans="1:14" ht="15.5" x14ac:dyDescent="0.35">
      <c r="A908">
        <v>182.518323324791</v>
      </c>
      <c r="B908">
        <v>51.871673513178102</v>
      </c>
      <c r="C908">
        <v>12873.0843995252</v>
      </c>
      <c r="D908" s="735">
        <v>645.19931339145</v>
      </c>
      <c r="E908" s="735">
        <v>10298.857419080272</v>
      </c>
      <c r="F908" s="735">
        <v>2221.5753270803853</v>
      </c>
      <c r="H908" s="741">
        <v>906</v>
      </c>
      <c r="I908" s="735">
        <v>439.20040349678101</v>
      </c>
      <c r="J908">
        <f t="shared" si="28"/>
        <v>2221.5753270803853</v>
      </c>
      <c r="K908" s="735">
        <v>1285.145595</v>
      </c>
      <c r="L908">
        <f t="shared" si="28"/>
        <v>10298.857419080272</v>
      </c>
      <c r="M908" s="742">
        <v>184.83564509999999</v>
      </c>
      <c r="N908">
        <f t="shared" si="29"/>
        <v>645.19931339145</v>
      </c>
    </row>
    <row r="909" spans="1:14" ht="15.5" x14ac:dyDescent="0.35">
      <c r="A909">
        <v>417.23804812476999</v>
      </c>
      <c r="B909">
        <v>71.319739503911407</v>
      </c>
      <c r="C909">
        <v>33570.175894036103</v>
      </c>
      <c r="D909" s="735">
        <v>1347142.3619871049</v>
      </c>
      <c r="E909" s="735">
        <v>9600.1011518310625</v>
      </c>
      <c r="F909" s="735">
        <v>4789.8579700625332</v>
      </c>
      <c r="H909" s="741">
        <v>907</v>
      </c>
      <c r="I909" s="735">
        <v>752.01386022721601</v>
      </c>
      <c r="J909">
        <f t="shared" si="28"/>
        <v>4789.8579700625332</v>
      </c>
      <c r="K909" s="735">
        <v>1223.469272</v>
      </c>
      <c r="L909">
        <f t="shared" si="28"/>
        <v>9600.1011518310625</v>
      </c>
      <c r="M909" s="742">
        <v>38957.353410000003</v>
      </c>
      <c r="N909">
        <f t="shared" si="29"/>
        <v>1347142.3619871049</v>
      </c>
    </row>
    <row r="910" spans="1:14" ht="15.5" x14ac:dyDescent="0.35">
      <c r="A910">
        <v>233.36842694708599</v>
      </c>
      <c r="B910">
        <v>256.573747838923</v>
      </c>
      <c r="C910">
        <v>20459.492785639599</v>
      </c>
      <c r="D910" s="735">
        <v>4158.6589334793343</v>
      </c>
      <c r="E910" s="735">
        <v>39716.977679326512</v>
      </c>
      <c r="F910" s="735">
        <v>53.871340834907372</v>
      </c>
      <c r="H910" s="741">
        <v>908</v>
      </c>
      <c r="I910" s="735">
        <v>32.505020895764602</v>
      </c>
      <c r="J910">
        <f t="shared" si="28"/>
        <v>53.871340834907372</v>
      </c>
      <c r="K910" s="735">
        <v>3305.8514540000001</v>
      </c>
      <c r="L910">
        <f t="shared" si="28"/>
        <v>39716.977679326512</v>
      </c>
      <c r="M910" s="742">
        <v>681.18850810000004</v>
      </c>
      <c r="N910">
        <f t="shared" si="29"/>
        <v>4158.6589334793343</v>
      </c>
    </row>
    <row r="911" spans="1:14" ht="15.5" x14ac:dyDescent="0.35">
      <c r="A911">
        <v>224.1553139342</v>
      </c>
      <c r="B911">
        <v>131.22510209495599</v>
      </c>
      <c r="C911">
        <v>36422.491624415001</v>
      </c>
      <c r="D911" s="735">
        <v>7117.0677634237272</v>
      </c>
      <c r="E911" s="735">
        <v>1428.2205333552961</v>
      </c>
      <c r="F911" s="735">
        <v>256.64893300642035</v>
      </c>
      <c r="H911" s="741">
        <v>909</v>
      </c>
      <c r="I911" s="735">
        <v>96.947725418402598</v>
      </c>
      <c r="J911">
        <f t="shared" si="28"/>
        <v>256.64893300642035</v>
      </c>
      <c r="K911" s="735">
        <v>322.37153769999998</v>
      </c>
      <c r="L911">
        <f t="shared" si="28"/>
        <v>1428.2205333552961</v>
      </c>
      <c r="M911" s="742">
        <v>992.22638300000006</v>
      </c>
      <c r="N911">
        <f t="shared" si="29"/>
        <v>7117.0677634237272</v>
      </c>
    </row>
    <row r="912" spans="1:14" ht="15.5" x14ac:dyDescent="0.35">
      <c r="A912">
        <v>43.937389379675999</v>
      </c>
      <c r="B912">
        <v>69.844630368201194</v>
      </c>
      <c r="C912">
        <v>6191.0316063500704</v>
      </c>
      <c r="D912" s="735">
        <v>23738.547062143873</v>
      </c>
      <c r="E912" s="735">
        <v>491.93531395937447</v>
      </c>
      <c r="F912" s="735">
        <v>217.4882178839928</v>
      </c>
      <c r="H912" s="741">
        <v>910</v>
      </c>
      <c r="I912" s="735">
        <v>86.338602396383493</v>
      </c>
      <c r="J912">
        <f t="shared" si="28"/>
        <v>217.4882178839928</v>
      </c>
      <c r="K912" s="735">
        <v>152.87469369999999</v>
      </c>
      <c r="L912">
        <f t="shared" si="28"/>
        <v>491.93531395937447</v>
      </c>
      <c r="M912" s="742">
        <v>2305.7801380000001</v>
      </c>
      <c r="N912">
        <f t="shared" si="29"/>
        <v>23738.547062143873</v>
      </c>
    </row>
    <row r="913" spans="1:14" ht="15.5" x14ac:dyDescent="0.35">
      <c r="A913">
        <v>524.08748105436996</v>
      </c>
      <c r="B913">
        <v>764.42934907630797</v>
      </c>
      <c r="C913">
        <v>145.250543300488</v>
      </c>
      <c r="D913" s="735">
        <v>8599.1186150529356</v>
      </c>
      <c r="E913" s="735">
        <v>18394.020343697986</v>
      </c>
      <c r="F913" s="735">
        <v>615.39154861095403</v>
      </c>
      <c r="H913" s="741">
        <v>911</v>
      </c>
      <c r="I913" s="735">
        <v>178.81587383545201</v>
      </c>
      <c r="J913">
        <f t="shared" si="28"/>
        <v>615.39154861095403</v>
      </c>
      <c r="K913" s="735">
        <v>1928.7398949999999</v>
      </c>
      <c r="L913">
        <f t="shared" si="28"/>
        <v>18394.020343697986</v>
      </c>
      <c r="M913" s="742">
        <v>1132.7074520000001</v>
      </c>
      <c r="N913">
        <f t="shared" si="29"/>
        <v>8599.1186150529356</v>
      </c>
    </row>
    <row r="914" spans="1:14" ht="15.5" x14ac:dyDescent="0.35">
      <c r="A914">
        <v>202.56323267601701</v>
      </c>
      <c r="B914">
        <v>177.225997215457</v>
      </c>
      <c r="C914">
        <v>7219.5937807179898</v>
      </c>
      <c r="D914" s="735">
        <v>41324.294002964052</v>
      </c>
      <c r="E914" s="735">
        <v>97535.819614609922</v>
      </c>
      <c r="F914" s="735">
        <v>197.98421367839126</v>
      </c>
      <c r="H914" s="741">
        <v>912</v>
      </c>
      <c r="I914" s="735">
        <v>80.842808785774906</v>
      </c>
      <c r="J914">
        <f t="shared" si="28"/>
        <v>197.98421367839126</v>
      </c>
      <c r="K914" s="735">
        <v>6200.3313120000003</v>
      </c>
      <c r="L914">
        <f t="shared" si="28"/>
        <v>97535.819614609922</v>
      </c>
      <c r="M914" s="742">
        <v>3398.9424389999999</v>
      </c>
      <c r="N914">
        <f t="shared" si="29"/>
        <v>41324.294002964052</v>
      </c>
    </row>
    <row r="915" spans="1:14" ht="15.5" x14ac:dyDescent="0.35">
      <c r="A915">
        <v>394.91039501960199</v>
      </c>
      <c r="B915">
        <v>309.97463215127999</v>
      </c>
      <c r="C915">
        <v>25487.2284778711</v>
      </c>
      <c r="D915" s="735">
        <v>4639.6746107043818</v>
      </c>
      <c r="E915" s="735">
        <v>25191.555031739921</v>
      </c>
      <c r="F915" s="735">
        <v>3501.5133472806369</v>
      </c>
      <c r="H915" s="741">
        <v>913</v>
      </c>
      <c r="I915" s="735">
        <v>603.91949653700101</v>
      </c>
      <c r="J915">
        <f t="shared" si="28"/>
        <v>3501.5133472806369</v>
      </c>
      <c r="K915" s="735">
        <v>2403.690149</v>
      </c>
      <c r="L915">
        <f t="shared" si="28"/>
        <v>25191.555031739921</v>
      </c>
      <c r="M915" s="742">
        <v>735.42987259999995</v>
      </c>
      <c r="N915">
        <f t="shared" si="29"/>
        <v>4639.6746107043818</v>
      </c>
    </row>
    <row r="916" spans="1:14" ht="15.5" x14ac:dyDescent="0.35">
      <c r="A916">
        <v>413.431946182221</v>
      </c>
      <c r="B916">
        <v>91.2498495442983</v>
      </c>
      <c r="C916">
        <v>81001.4783048065</v>
      </c>
      <c r="D916" s="735">
        <v>15320.423557013841</v>
      </c>
      <c r="E916" s="735">
        <v>24686.930144789436</v>
      </c>
      <c r="F916" s="735">
        <v>281.64633534431709</v>
      </c>
      <c r="H916" s="741">
        <v>914</v>
      </c>
      <c r="I916" s="735">
        <v>103.46485973739701</v>
      </c>
      <c r="J916">
        <f t="shared" si="28"/>
        <v>281.64633534431709</v>
      </c>
      <c r="K916" s="735">
        <v>2369.8833060000002</v>
      </c>
      <c r="L916">
        <f t="shared" si="28"/>
        <v>24686.930144789436</v>
      </c>
      <c r="M916" s="742">
        <v>1697.0300810000001</v>
      </c>
      <c r="N916">
        <f t="shared" si="29"/>
        <v>15320.423557013841</v>
      </c>
    </row>
    <row r="917" spans="1:14" ht="15.5" x14ac:dyDescent="0.35">
      <c r="A917">
        <v>57.026542080308502</v>
      </c>
      <c r="B917">
        <v>95.268823771833397</v>
      </c>
      <c r="C917">
        <v>2029.1745777471399</v>
      </c>
      <c r="D917" s="735">
        <v>254851.36404707</v>
      </c>
      <c r="E917" s="735">
        <v>122027.77020603504</v>
      </c>
      <c r="F917" s="735">
        <v>54.682006574977301</v>
      </c>
      <c r="H917" s="741">
        <v>915</v>
      </c>
      <c r="I917" s="735">
        <v>32.846652048615901</v>
      </c>
      <c r="J917">
        <f t="shared" si="28"/>
        <v>54.682006574977301</v>
      </c>
      <c r="K917" s="735">
        <v>7253.0567060000003</v>
      </c>
      <c r="L917">
        <f t="shared" si="28"/>
        <v>122027.77020603504</v>
      </c>
      <c r="M917" s="742">
        <v>12145.09381</v>
      </c>
      <c r="N917">
        <f t="shared" si="29"/>
        <v>254851.36404707</v>
      </c>
    </row>
    <row r="918" spans="1:14" ht="15.5" x14ac:dyDescent="0.35">
      <c r="A918">
        <v>2546.1297125127398</v>
      </c>
      <c r="B918">
        <v>729.00979103554005</v>
      </c>
      <c r="C918">
        <v>691.31933527395302</v>
      </c>
      <c r="D918" s="735">
        <v>32273.554632451309</v>
      </c>
      <c r="E918" s="735">
        <v>15055.338239009458</v>
      </c>
      <c r="F918" s="735">
        <v>2447.8202529823361</v>
      </c>
      <c r="H918" s="741">
        <v>916</v>
      </c>
      <c r="I918" s="735">
        <v>470.05174214043001</v>
      </c>
      <c r="J918">
        <f t="shared" si="28"/>
        <v>2447.8202529823361</v>
      </c>
      <c r="K918" s="735">
        <v>1676.4220399999999</v>
      </c>
      <c r="L918">
        <f t="shared" si="28"/>
        <v>15055.338239009458</v>
      </c>
      <c r="M918" s="742">
        <v>2858.8591630000001</v>
      </c>
      <c r="N918">
        <f t="shared" si="29"/>
        <v>32273.554632451309</v>
      </c>
    </row>
    <row r="919" spans="1:14" ht="15.5" x14ac:dyDescent="0.35">
      <c r="A919">
        <v>58.093137167699297</v>
      </c>
      <c r="B919">
        <v>180.83446631324</v>
      </c>
      <c r="C919">
        <v>1193.3749926939199</v>
      </c>
      <c r="D919" s="735">
        <v>21021.418643065615</v>
      </c>
      <c r="E919" s="735">
        <v>8168.0431893849609</v>
      </c>
      <c r="F919" s="735">
        <v>15206.035813751692</v>
      </c>
      <c r="H919" s="741">
        <v>917</v>
      </c>
      <c r="I919" s="735">
        <v>1688.1506733149799</v>
      </c>
      <c r="J919">
        <f t="shared" si="28"/>
        <v>15206.035813751692</v>
      </c>
      <c r="K919" s="735">
        <v>1092.653894</v>
      </c>
      <c r="L919">
        <f t="shared" si="28"/>
        <v>8168.0431893849609</v>
      </c>
      <c r="M919" s="742">
        <v>2117.6950179999999</v>
      </c>
      <c r="N919">
        <f t="shared" si="29"/>
        <v>21021.418643065615</v>
      </c>
    </row>
    <row r="920" spans="1:14" ht="15.5" x14ac:dyDescent="0.35">
      <c r="A920">
        <v>11822.1415687757</v>
      </c>
      <c r="B920">
        <v>1128.00069385851</v>
      </c>
      <c r="C920">
        <v>13350.1335734572</v>
      </c>
      <c r="D920" s="735">
        <v>459022.96353652846</v>
      </c>
      <c r="E920" s="735">
        <v>6.6984633003379184</v>
      </c>
      <c r="F920" s="735">
        <v>463.90167181586742</v>
      </c>
      <c r="H920" s="741">
        <v>918</v>
      </c>
      <c r="I920" s="735">
        <v>146.72298582574999</v>
      </c>
      <c r="J920">
        <f t="shared" si="28"/>
        <v>463.90167181586742</v>
      </c>
      <c r="K920" s="735">
        <v>7.5540982249999997</v>
      </c>
      <c r="L920">
        <f t="shared" si="28"/>
        <v>6.6984633003379184</v>
      </c>
      <c r="M920" s="742">
        <v>18335.134020000001</v>
      </c>
      <c r="N920">
        <f t="shared" si="29"/>
        <v>459022.96353652846</v>
      </c>
    </row>
    <row r="921" spans="1:14" ht="15.5" x14ac:dyDescent="0.35">
      <c r="A921">
        <v>450.78004932937398</v>
      </c>
      <c r="B921">
        <v>222.86612130449501</v>
      </c>
      <c r="C921">
        <v>1239.57665839069</v>
      </c>
      <c r="D921" s="735">
        <v>53791.729036586396</v>
      </c>
      <c r="E921" s="735">
        <v>2448.8157427250167</v>
      </c>
      <c r="F921" s="735">
        <v>19356.671442393472</v>
      </c>
      <c r="H921" s="741">
        <v>919</v>
      </c>
      <c r="I921" s="735">
        <v>1998.8558470973501</v>
      </c>
      <c r="J921">
        <f t="shared" si="28"/>
        <v>19356.671442393472</v>
      </c>
      <c r="K921" s="735">
        <v>470.18554779999999</v>
      </c>
      <c r="L921">
        <f t="shared" si="28"/>
        <v>2448.8157427250167</v>
      </c>
      <c r="M921" s="742">
        <v>4087.9055490000001</v>
      </c>
      <c r="N921">
        <f t="shared" si="29"/>
        <v>53791.729036586396</v>
      </c>
    </row>
    <row r="922" spans="1:14" ht="15.5" x14ac:dyDescent="0.35">
      <c r="A922">
        <v>134.54645121247501</v>
      </c>
      <c r="B922">
        <v>647.72945735545204</v>
      </c>
      <c r="C922">
        <v>575.13315488305102</v>
      </c>
      <c r="D922" s="735">
        <v>25987.309767574159</v>
      </c>
      <c r="E922" s="735">
        <v>624.41367031227389</v>
      </c>
      <c r="F922" s="735">
        <v>15004.064031844413</v>
      </c>
      <c r="H922" s="741">
        <v>920</v>
      </c>
      <c r="I922" s="735">
        <v>1672.42340307173</v>
      </c>
      <c r="J922">
        <f t="shared" si="28"/>
        <v>15004.064031844413</v>
      </c>
      <c r="K922" s="735">
        <v>180.6469701</v>
      </c>
      <c r="L922">
        <f t="shared" si="28"/>
        <v>624.41367031227389</v>
      </c>
      <c r="M922" s="742">
        <v>2456.5913949999999</v>
      </c>
      <c r="N922">
        <f t="shared" si="29"/>
        <v>25987.309767574159</v>
      </c>
    </row>
    <row r="923" spans="1:14" ht="15.5" x14ac:dyDescent="0.35">
      <c r="A923">
        <v>191.85721773936001</v>
      </c>
      <c r="B923">
        <v>2313.2676859661601</v>
      </c>
      <c r="C923">
        <v>7196.1300596883002</v>
      </c>
      <c r="D923" s="735">
        <v>134110.83582673094</v>
      </c>
      <c r="E923" s="735">
        <v>2070.4052325395269</v>
      </c>
      <c r="F923" s="735">
        <v>1465.3948173918527</v>
      </c>
      <c r="H923" s="741">
        <v>921</v>
      </c>
      <c r="I923" s="735">
        <v>328.22242955739102</v>
      </c>
      <c r="J923">
        <f t="shared" si="28"/>
        <v>1465.3948173918527</v>
      </c>
      <c r="K923" s="735">
        <v>418.0601284</v>
      </c>
      <c r="L923">
        <f t="shared" si="28"/>
        <v>2070.4052325395269</v>
      </c>
      <c r="M923" s="742">
        <v>7748.6261599999998</v>
      </c>
      <c r="N923">
        <f t="shared" si="29"/>
        <v>134110.83582673094</v>
      </c>
    </row>
    <row r="924" spans="1:14" ht="15.5" x14ac:dyDescent="0.35">
      <c r="A924">
        <v>232.10558772745401</v>
      </c>
      <c r="B924">
        <v>108.17269684086401</v>
      </c>
      <c r="C924">
        <v>30706.885196714298</v>
      </c>
      <c r="D924" s="735">
        <v>18292.74566322039</v>
      </c>
      <c r="E924" s="735">
        <v>96.345092734778135</v>
      </c>
      <c r="F924" s="735">
        <v>1800.7367772517134</v>
      </c>
      <c r="H924" s="741">
        <v>922</v>
      </c>
      <c r="I924" s="735">
        <v>379.15358273146597</v>
      </c>
      <c r="J924">
        <f t="shared" si="28"/>
        <v>1800.7367772517134</v>
      </c>
      <c r="K924" s="735">
        <v>48.829324839999998</v>
      </c>
      <c r="L924">
        <f t="shared" si="28"/>
        <v>96.345092734778135</v>
      </c>
      <c r="M924" s="742">
        <v>1921.300197</v>
      </c>
      <c r="N924">
        <f t="shared" si="29"/>
        <v>18292.74566322039</v>
      </c>
    </row>
    <row r="925" spans="1:14" ht="15.5" x14ac:dyDescent="0.35">
      <c r="A925">
        <v>341.99900442118098</v>
      </c>
      <c r="B925">
        <v>137.613369990618</v>
      </c>
      <c r="C925">
        <v>24.137384187235899</v>
      </c>
      <c r="D925" s="735">
        <v>178179.53195754817</v>
      </c>
      <c r="E925" s="735">
        <v>59227.532079818535</v>
      </c>
      <c r="F925" s="735">
        <v>222.15383184094654</v>
      </c>
      <c r="H925" s="741">
        <v>923</v>
      </c>
      <c r="I925" s="735">
        <v>87.630979491268505</v>
      </c>
      <c r="J925">
        <f t="shared" si="28"/>
        <v>222.15383184094654</v>
      </c>
      <c r="K925" s="735">
        <v>4372.8697899999997</v>
      </c>
      <c r="L925">
        <f t="shared" si="28"/>
        <v>59227.532079818535</v>
      </c>
      <c r="M925" s="742">
        <v>9453.6706830000003</v>
      </c>
      <c r="N925">
        <f t="shared" si="29"/>
        <v>178179.53195754817</v>
      </c>
    </row>
    <row r="926" spans="1:14" ht="15.5" x14ac:dyDescent="0.35">
      <c r="A926">
        <v>808.35977373138905</v>
      </c>
      <c r="B926">
        <v>102.831518676106</v>
      </c>
      <c r="C926">
        <v>23.171922082463102</v>
      </c>
      <c r="D926" s="735">
        <v>32658.426714670957</v>
      </c>
      <c r="E926" s="735">
        <v>3171.4705339550383</v>
      </c>
      <c r="F926" s="735">
        <v>333.56162756780742</v>
      </c>
      <c r="H926" s="741">
        <v>924</v>
      </c>
      <c r="I926" s="735">
        <v>116.472462877165</v>
      </c>
      <c r="J926">
        <f t="shared" si="28"/>
        <v>333.56162756780742</v>
      </c>
      <c r="K926" s="735">
        <v>563.48515169999996</v>
      </c>
      <c r="L926">
        <f t="shared" si="28"/>
        <v>3171.4705339550383</v>
      </c>
      <c r="M926" s="742">
        <v>2882.6816359999998</v>
      </c>
      <c r="N926">
        <f t="shared" si="29"/>
        <v>32658.426714670957</v>
      </c>
    </row>
    <row r="927" spans="1:14" ht="15.5" x14ac:dyDescent="0.35">
      <c r="A927">
        <v>38.090148323487597</v>
      </c>
      <c r="B927">
        <v>139.96486303188701</v>
      </c>
      <c r="C927">
        <v>14929.1625534494</v>
      </c>
      <c r="D927" s="735">
        <v>17754.318729378541</v>
      </c>
      <c r="E927" s="735">
        <v>48588.690781366982</v>
      </c>
      <c r="F927" s="735">
        <v>293.71026435151259</v>
      </c>
      <c r="H927" s="741">
        <v>925</v>
      </c>
      <c r="I927" s="735">
        <v>106.54753015323899</v>
      </c>
      <c r="J927">
        <f t="shared" si="28"/>
        <v>293.71026435151259</v>
      </c>
      <c r="K927" s="735">
        <v>3806.92778</v>
      </c>
      <c r="L927">
        <f t="shared" si="28"/>
        <v>48588.690781366982</v>
      </c>
      <c r="M927" s="742">
        <v>1881.5371970000001</v>
      </c>
      <c r="N927">
        <f t="shared" si="29"/>
        <v>17754.318729378541</v>
      </c>
    </row>
    <row r="928" spans="1:14" ht="15.5" x14ac:dyDescent="0.35">
      <c r="A928">
        <v>178.29530770634901</v>
      </c>
      <c r="B928">
        <v>50.871967687747699</v>
      </c>
      <c r="C928">
        <v>77.717223240667806</v>
      </c>
      <c r="D928" s="735">
        <v>87156.112910827142</v>
      </c>
      <c r="E928" s="735">
        <v>205009.64375105247</v>
      </c>
      <c r="F928" s="735">
        <v>363.81514114744147</v>
      </c>
      <c r="H928" s="741">
        <v>926</v>
      </c>
      <c r="I928" s="735">
        <v>123.77032707473199</v>
      </c>
      <c r="J928">
        <f t="shared" si="28"/>
        <v>363.81514114744147</v>
      </c>
      <c r="K928" s="735">
        <v>10428.984060000001</v>
      </c>
      <c r="L928">
        <f t="shared" si="28"/>
        <v>205009.64375105247</v>
      </c>
      <c r="M928" s="742">
        <v>5730.7108609999996</v>
      </c>
      <c r="N928">
        <f t="shared" si="29"/>
        <v>87156.112910827142</v>
      </c>
    </row>
    <row r="929" spans="1:14" ht="15.5" x14ac:dyDescent="0.35">
      <c r="A929">
        <v>390.20072779451101</v>
      </c>
      <c r="B929">
        <v>66.593684999360804</v>
      </c>
      <c r="C929">
        <v>1334.92210880323</v>
      </c>
      <c r="D929" s="735">
        <v>16953.131757912026</v>
      </c>
      <c r="E929" s="735">
        <v>4294.8907949625291</v>
      </c>
      <c r="F929" s="735">
        <v>265.00982745483088</v>
      </c>
      <c r="H929" s="741">
        <v>927</v>
      </c>
      <c r="I929" s="735">
        <v>99.147869285039604</v>
      </c>
      <c r="J929">
        <f t="shared" si="28"/>
        <v>265.00982745483088</v>
      </c>
      <c r="K929" s="735">
        <v>696.73317169999996</v>
      </c>
      <c r="L929">
        <f t="shared" si="28"/>
        <v>4294.8907949625291</v>
      </c>
      <c r="M929" s="742">
        <v>1821.6920210000001</v>
      </c>
      <c r="N929">
        <f t="shared" si="29"/>
        <v>16953.131757912026</v>
      </c>
    </row>
    <row r="930" spans="1:14" ht="15.5" x14ac:dyDescent="0.35">
      <c r="A930">
        <v>23.5752870695887</v>
      </c>
      <c r="B930">
        <v>451.33185884656098</v>
      </c>
      <c r="C930">
        <v>5801.34959768312</v>
      </c>
      <c r="D930" s="735">
        <v>15973.84627767169</v>
      </c>
      <c r="E930" s="735">
        <v>702.86435331662676</v>
      </c>
      <c r="F930" s="735">
        <v>469.849744275207</v>
      </c>
      <c r="H930" s="741">
        <v>928</v>
      </c>
      <c r="I930" s="735">
        <v>148.037348001471</v>
      </c>
      <c r="J930">
        <f t="shared" si="28"/>
        <v>469.849744275207</v>
      </c>
      <c r="K930" s="735">
        <v>196.2501795</v>
      </c>
      <c r="L930">
        <f t="shared" si="28"/>
        <v>702.86435331662676</v>
      </c>
      <c r="M930" s="742">
        <v>1747.3771429999999</v>
      </c>
      <c r="N930">
        <f t="shared" si="29"/>
        <v>15973.84627767169</v>
      </c>
    </row>
    <row r="931" spans="1:14" ht="15.5" x14ac:dyDescent="0.35">
      <c r="A931">
        <v>30.691425715110501</v>
      </c>
      <c r="B931">
        <v>103.930866485715</v>
      </c>
      <c r="C931">
        <v>118.999421308968</v>
      </c>
      <c r="D931" s="735">
        <v>32743.95316628975</v>
      </c>
      <c r="E931" s="735">
        <v>6544.5283725210247</v>
      </c>
      <c r="F931" s="735">
        <v>37.107257486136085</v>
      </c>
      <c r="H931" s="741">
        <v>929</v>
      </c>
      <c r="I931" s="735">
        <v>25.039243320277901</v>
      </c>
      <c r="J931">
        <f t="shared" si="28"/>
        <v>37.107257486136085</v>
      </c>
      <c r="K931" s="735">
        <v>935.65307319999999</v>
      </c>
      <c r="L931">
        <f t="shared" si="28"/>
        <v>6544.5283725210247</v>
      </c>
      <c r="M931" s="742">
        <v>2887.9640140000001</v>
      </c>
      <c r="N931">
        <f t="shared" si="29"/>
        <v>32743.95316628975</v>
      </c>
    </row>
    <row r="932" spans="1:14" ht="15.5" x14ac:dyDescent="0.35">
      <c r="A932">
        <v>832.58441488746405</v>
      </c>
      <c r="B932">
        <v>31.050217548056199</v>
      </c>
      <c r="C932">
        <v>3190.65436588072</v>
      </c>
      <c r="D932" s="735">
        <v>14049.220902461513</v>
      </c>
      <c r="E932" s="735">
        <v>3295430.427589376</v>
      </c>
      <c r="F932" s="735">
        <v>15.081039812426264</v>
      </c>
      <c r="H932" s="741">
        <v>930</v>
      </c>
      <c r="I932" s="735">
        <v>13.332202471283701</v>
      </c>
      <c r="J932">
        <f t="shared" si="28"/>
        <v>15.081039812426264</v>
      </c>
      <c r="K932" s="735">
        <v>72868.277430000002</v>
      </c>
      <c r="L932">
        <f t="shared" si="28"/>
        <v>3295430.427589376</v>
      </c>
      <c r="M932" s="742">
        <v>1597.18995</v>
      </c>
      <c r="N932">
        <f t="shared" si="29"/>
        <v>14049.220902461513</v>
      </c>
    </row>
    <row r="933" spans="1:14" ht="15.5" x14ac:dyDescent="0.35">
      <c r="A933">
        <v>151.986377297812</v>
      </c>
      <c r="B933">
        <v>52.341284219528099</v>
      </c>
      <c r="C933">
        <v>208.92662051029001</v>
      </c>
      <c r="D933" s="735">
        <v>5011.4377056822668</v>
      </c>
      <c r="E933" s="735">
        <v>506.6118475259081</v>
      </c>
      <c r="F933" s="735">
        <v>5693.2912915393163</v>
      </c>
      <c r="H933" s="741">
        <v>931</v>
      </c>
      <c r="I933" s="735">
        <v>848.70035382529102</v>
      </c>
      <c r="J933">
        <f t="shared" si="28"/>
        <v>5693.2912915393163</v>
      </c>
      <c r="K933" s="735">
        <v>156.05322179999999</v>
      </c>
      <c r="L933">
        <f t="shared" si="28"/>
        <v>506.6118475259081</v>
      </c>
      <c r="M933" s="742">
        <v>776.19999459999997</v>
      </c>
      <c r="N933">
        <f t="shared" si="29"/>
        <v>5011.4377056822668</v>
      </c>
    </row>
    <row r="934" spans="1:14" ht="15.5" x14ac:dyDescent="0.35">
      <c r="A934">
        <v>5647.4866880056798</v>
      </c>
      <c r="B934">
        <v>86.204100898608701</v>
      </c>
      <c r="C934">
        <v>279.10009990950499</v>
      </c>
      <c r="D934" s="735">
        <v>35093.04797526983</v>
      </c>
      <c r="E934" s="735">
        <v>214.17522585521488</v>
      </c>
      <c r="F934" s="735">
        <v>997.7985249231042</v>
      </c>
      <c r="H934" s="741">
        <v>932</v>
      </c>
      <c r="I934" s="735">
        <v>250.80142532730699</v>
      </c>
      <c r="J934">
        <f t="shared" si="28"/>
        <v>997.7985249231042</v>
      </c>
      <c r="K934" s="735">
        <v>85.415849300000005</v>
      </c>
      <c r="L934">
        <f t="shared" si="28"/>
        <v>214.17522585521488</v>
      </c>
      <c r="M934" s="742">
        <v>3031.4803889999998</v>
      </c>
      <c r="N934">
        <f t="shared" si="29"/>
        <v>35093.04797526983</v>
      </c>
    </row>
    <row r="935" spans="1:14" ht="15.5" x14ac:dyDescent="0.35">
      <c r="A935">
        <v>177.979512641805</v>
      </c>
      <c r="B935">
        <v>1948.84088495932</v>
      </c>
      <c r="C935">
        <v>59844.551298357597</v>
      </c>
      <c r="D935" s="735">
        <v>33594.248134261077</v>
      </c>
      <c r="E935" s="735">
        <v>123.46699754064305</v>
      </c>
      <c r="F935" s="735">
        <v>331.53945338904845</v>
      </c>
      <c r="H935" s="741">
        <v>933</v>
      </c>
      <c r="I935" s="735">
        <v>115.977742767555</v>
      </c>
      <c r="J935">
        <f t="shared" si="28"/>
        <v>331.53945338904845</v>
      </c>
      <c r="K935" s="735">
        <v>58.087892629999999</v>
      </c>
      <c r="L935">
        <f t="shared" si="28"/>
        <v>123.46699754064305</v>
      </c>
      <c r="M935" s="742">
        <v>2940.2580520000001</v>
      </c>
      <c r="N935">
        <f t="shared" si="29"/>
        <v>33594.248134261077</v>
      </c>
    </row>
    <row r="936" spans="1:14" ht="15.5" x14ac:dyDescent="0.35">
      <c r="A936">
        <v>61.633443279561497</v>
      </c>
      <c r="B936">
        <v>304.752337331121</v>
      </c>
      <c r="C936">
        <v>3595.3858461373902</v>
      </c>
      <c r="D936" s="735">
        <v>2377548.4019717779</v>
      </c>
      <c r="E936" s="735">
        <v>19263.120576998026</v>
      </c>
      <c r="F936" s="735">
        <v>10748.794736246724</v>
      </c>
      <c r="H936" s="741">
        <v>934</v>
      </c>
      <c r="I936" s="735">
        <v>1324.1946796474399</v>
      </c>
      <c r="J936">
        <f t="shared" si="28"/>
        <v>10748.794736246724</v>
      </c>
      <c r="K936" s="735">
        <v>1992.0886</v>
      </c>
      <c r="L936">
        <f t="shared" si="28"/>
        <v>19263.120576998026</v>
      </c>
      <c r="M936" s="742">
        <v>57981.648249999998</v>
      </c>
      <c r="N936">
        <f t="shared" si="29"/>
        <v>2377548.4019717779</v>
      </c>
    </row>
    <row r="937" spans="1:14" ht="15.5" x14ac:dyDescent="0.35">
      <c r="A937">
        <v>11599.870637739999</v>
      </c>
      <c r="B937">
        <v>523.32014437944804</v>
      </c>
      <c r="C937">
        <v>22.080648813074198</v>
      </c>
      <c r="D937" s="735">
        <v>160725.71251506082</v>
      </c>
      <c r="E937" s="735">
        <v>5493.3452149186915</v>
      </c>
      <c r="F937" s="735">
        <v>29037.985429439523</v>
      </c>
      <c r="H937" s="741">
        <v>935</v>
      </c>
      <c r="I937" s="735">
        <v>2655.0734388723999</v>
      </c>
      <c r="J937">
        <f t="shared" si="28"/>
        <v>29037.985429439523</v>
      </c>
      <c r="K937" s="735">
        <v>827.72452710000005</v>
      </c>
      <c r="L937">
        <f t="shared" si="28"/>
        <v>5493.3452149186915</v>
      </c>
      <c r="M937" s="742">
        <v>8795.4841799999995</v>
      </c>
      <c r="N937">
        <f t="shared" si="29"/>
        <v>160725.71251506082</v>
      </c>
    </row>
    <row r="938" spans="1:14" ht="15.5" x14ac:dyDescent="0.35">
      <c r="A938">
        <v>1762.8136759571</v>
      </c>
      <c r="B938">
        <v>95.610918396036297</v>
      </c>
      <c r="C938">
        <v>42100.175189797301</v>
      </c>
      <c r="D938" s="735">
        <v>96799.839344503533</v>
      </c>
      <c r="E938" s="735">
        <v>19869.091656456432</v>
      </c>
      <c r="F938" s="735">
        <v>35.687738408616646</v>
      </c>
      <c r="H938" s="741">
        <v>936</v>
      </c>
      <c r="I938" s="735">
        <v>24.364826256109598</v>
      </c>
      <c r="J938">
        <f t="shared" si="28"/>
        <v>35.687738408616646</v>
      </c>
      <c r="K938" s="735">
        <v>2035.750777</v>
      </c>
      <c r="L938">
        <f t="shared" si="28"/>
        <v>19869.091656456432</v>
      </c>
      <c r="M938" s="742">
        <v>6167.5438450000001</v>
      </c>
      <c r="N938">
        <f t="shared" si="29"/>
        <v>96799.839344503533</v>
      </c>
    </row>
    <row r="939" spans="1:14" ht="15.5" x14ac:dyDescent="0.35">
      <c r="A939">
        <v>337.52486932322</v>
      </c>
      <c r="B939">
        <v>90.687484178183198</v>
      </c>
      <c r="C939">
        <v>348.78289223554299</v>
      </c>
      <c r="D939" s="735">
        <v>21343.01042161242</v>
      </c>
      <c r="E939" s="735">
        <v>24760.616493080983</v>
      </c>
      <c r="F939" s="735">
        <v>801.25401733210981</v>
      </c>
      <c r="H939" s="741">
        <v>937</v>
      </c>
      <c r="I939" s="735">
        <v>215.09937772990699</v>
      </c>
      <c r="J939">
        <f t="shared" si="28"/>
        <v>801.25401733210981</v>
      </c>
      <c r="K939" s="735">
        <v>2374.8326849999999</v>
      </c>
      <c r="L939">
        <f t="shared" si="28"/>
        <v>24760.616493080983</v>
      </c>
      <c r="M939" s="742">
        <v>2140.3213000000001</v>
      </c>
      <c r="N939">
        <f t="shared" si="29"/>
        <v>21343.01042161242</v>
      </c>
    </row>
    <row r="940" spans="1:14" ht="15.5" x14ac:dyDescent="0.35">
      <c r="A940">
        <v>88.920896104710494</v>
      </c>
      <c r="B940">
        <v>109.539509571526</v>
      </c>
      <c r="C940">
        <v>26181.223311395301</v>
      </c>
      <c r="D940" s="735">
        <v>73727.487496339498</v>
      </c>
      <c r="E940" s="735">
        <v>156.72878826809227</v>
      </c>
      <c r="F940" s="735">
        <v>258.79948561118186</v>
      </c>
      <c r="H940" s="741">
        <v>938</v>
      </c>
      <c r="I940" s="735">
        <v>97.515664868955298</v>
      </c>
      <c r="J940">
        <f t="shared" si="28"/>
        <v>258.79948561118186</v>
      </c>
      <c r="K940" s="735">
        <v>68.644246649999999</v>
      </c>
      <c r="L940">
        <f t="shared" si="28"/>
        <v>156.72878826809227</v>
      </c>
      <c r="M940" s="742">
        <v>5097.3048040000003</v>
      </c>
      <c r="N940">
        <f t="shared" si="29"/>
        <v>73727.487496339498</v>
      </c>
    </row>
    <row r="941" spans="1:14" ht="15.5" x14ac:dyDescent="0.35">
      <c r="A941">
        <v>1749.6618436522699</v>
      </c>
      <c r="B941">
        <v>106.007413914445</v>
      </c>
      <c r="C941">
        <v>1942.8053283914801</v>
      </c>
      <c r="D941" s="735">
        <v>10757.967550741099</v>
      </c>
      <c r="E941" s="735">
        <v>335.72534638037968</v>
      </c>
      <c r="F941" s="735">
        <v>3101.7577038041154</v>
      </c>
      <c r="H941" s="741">
        <v>939</v>
      </c>
      <c r="I941" s="735">
        <v>554.78601986452304</v>
      </c>
      <c r="J941">
        <f t="shared" si="28"/>
        <v>3101.7577038041154</v>
      </c>
      <c r="K941" s="735">
        <v>117.0008162</v>
      </c>
      <c r="L941">
        <f t="shared" si="28"/>
        <v>335.72534638037968</v>
      </c>
      <c r="M941" s="742">
        <v>1324.985608</v>
      </c>
      <c r="N941">
        <f t="shared" si="29"/>
        <v>10757.967550741099</v>
      </c>
    </row>
    <row r="942" spans="1:14" ht="15.5" x14ac:dyDescent="0.35">
      <c r="A942">
        <v>5431.3132918274496</v>
      </c>
      <c r="B942">
        <v>162.319997862072</v>
      </c>
      <c r="C942">
        <v>2200.1429130719398</v>
      </c>
      <c r="D942" s="735">
        <v>33603.652754629089</v>
      </c>
      <c r="E942" s="735">
        <v>167.82741691178381</v>
      </c>
      <c r="F942" s="735">
        <v>424.8847613339849</v>
      </c>
      <c r="H942" s="741">
        <v>940</v>
      </c>
      <c r="I942" s="735">
        <v>137.97163430934401</v>
      </c>
      <c r="J942">
        <f t="shared" si="28"/>
        <v>424.8847613339849</v>
      </c>
      <c r="K942" s="735">
        <v>72.011861440000004</v>
      </c>
      <c r="L942">
        <f t="shared" si="28"/>
        <v>167.82741691178381</v>
      </c>
      <c r="M942" s="742">
        <v>2940.83421</v>
      </c>
      <c r="N942">
        <f t="shared" si="29"/>
        <v>33603.652754629089</v>
      </c>
    </row>
    <row r="943" spans="1:14" ht="15.5" x14ac:dyDescent="0.35">
      <c r="A943">
        <v>1307.53930261455</v>
      </c>
      <c r="B943">
        <v>14.504991271556399</v>
      </c>
      <c r="C943">
        <v>14681.5161961865</v>
      </c>
      <c r="D943" s="735">
        <v>8246.4166222072217</v>
      </c>
      <c r="E943" s="735">
        <v>36141094.408340827</v>
      </c>
      <c r="F943" s="735">
        <v>17513.255086283571</v>
      </c>
      <c r="H943" s="741">
        <v>941</v>
      </c>
      <c r="I943" s="735">
        <v>1863.61763467694</v>
      </c>
      <c r="J943">
        <f t="shared" si="28"/>
        <v>17513.255086283571</v>
      </c>
      <c r="K943" s="735">
        <v>389583.81819999998</v>
      </c>
      <c r="L943">
        <f t="shared" si="28"/>
        <v>36141094.408340827</v>
      </c>
      <c r="M943" s="742">
        <v>1099.9822839999999</v>
      </c>
      <c r="N943">
        <f t="shared" si="29"/>
        <v>8246.4166222072217</v>
      </c>
    </row>
    <row r="944" spans="1:14" ht="15.5" x14ac:dyDescent="0.35">
      <c r="A944">
        <v>527.32943066371899</v>
      </c>
      <c r="B944">
        <v>400.07061794127702</v>
      </c>
      <c r="C944">
        <v>62450.460921636703</v>
      </c>
      <c r="D944" s="735">
        <v>22320.476447896101</v>
      </c>
      <c r="E944" s="735">
        <v>114341.43185873228</v>
      </c>
      <c r="F944" s="735">
        <v>4602.6848688569125</v>
      </c>
      <c r="H944" s="741">
        <v>942</v>
      </c>
      <c r="I944" s="735">
        <v>731.32070425031804</v>
      </c>
      <c r="J944">
        <f t="shared" si="28"/>
        <v>4602.6848688569125</v>
      </c>
      <c r="K944" s="735">
        <v>6930.1484630000004</v>
      </c>
      <c r="L944">
        <f t="shared" si="28"/>
        <v>114341.43185873228</v>
      </c>
      <c r="M944" s="742">
        <v>2208.4746700000001</v>
      </c>
      <c r="N944">
        <f t="shared" si="29"/>
        <v>22320.476447896101</v>
      </c>
    </row>
    <row r="945" spans="1:14" ht="15.5" x14ac:dyDescent="0.35">
      <c r="A945">
        <v>102.019395775655</v>
      </c>
      <c r="B945">
        <v>112.23957078774301</v>
      </c>
      <c r="C945">
        <v>2775.65233553395</v>
      </c>
      <c r="D945" s="735">
        <v>72968.603778834542</v>
      </c>
      <c r="E945" s="735">
        <v>689808.73136009404</v>
      </c>
      <c r="F945" s="735">
        <v>87.250559028331182</v>
      </c>
      <c r="H945" s="741">
        <v>943</v>
      </c>
      <c r="I945" s="735">
        <v>45.555178508384898</v>
      </c>
      <c r="J945">
        <f t="shared" si="28"/>
        <v>87.250559028331182</v>
      </c>
      <c r="K945" s="735">
        <v>24384.288110000001</v>
      </c>
      <c r="L945">
        <f t="shared" si="28"/>
        <v>689808.73136009404</v>
      </c>
      <c r="M945" s="742">
        <v>5060.5209299999997</v>
      </c>
      <c r="N945">
        <f t="shared" si="29"/>
        <v>72968.603778834542</v>
      </c>
    </row>
    <row r="946" spans="1:14" ht="15.5" x14ac:dyDescent="0.35">
      <c r="A946">
        <v>137.55164241960799</v>
      </c>
      <c r="B946">
        <v>329.77682852932497</v>
      </c>
      <c r="C946">
        <v>1874.7891893257899</v>
      </c>
      <c r="D946" s="735">
        <v>81171.382712155726</v>
      </c>
      <c r="E946" s="735">
        <v>555.88209916407175</v>
      </c>
      <c r="F946" s="735">
        <v>24888.72299239998</v>
      </c>
      <c r="H946" s="741">
        <v>944</v>
      </c>
      <c r="I946" s="735">
        <v>2383.4268630663801</v>
      </c>
      <c r="J946">
        <f t="shared" si="28"/>
        <v>24888.72299239998</v>
      </c>
      <c r="K946" s="735">
        <v>166.52823620000001</v>
      </c>
      <c r="L946">
        <f t="shared" si="28"/>
        <v>555.88209916407175</v>
      </c>
      <c r="M946" s="742">
        <v>5452.3290880000004</v>
      </c>
      <c r="N946">
        <f t="shared" si="29"/>
        <v>81171.382712155726</v>
      </c>
    </row>
    <row r="947" spans="1:14" ht="15.5" x14ac:dyDescent="0.35">
      <c r="A947">
        <v>491.76214151848302</v>
      </c>
      <c r="B947">
        <v>649.730068778749</v>
      </c>
      <c r="C947">
        <v>287.50940939279502</v>
      </c>
      <c r="D947" s="735">
        <v>2137.1753675127056</v>
      </c>
      <c r="E947" s="735">
        <v>36691.537460131309</v>
      </c>
      <c r="F947" s="735">
        <v>828.32334591488916</v>
      </c>
      <c r="H947" s="741">
        <v>945</v>
      </c>
      <c r="I947" s="735">
        <v>220.160767904946</v>
      </c>
      <c r="J947">
        <f t="shared" si="28"/>
        <v>828.32334591488916</v>
      </c>
      <c r="K947" s="735">
        <v>3127.491493</v>
      </c>
      <c r="L947">
        <f t="shared" si="28"/>
        <v>36691.537460131309</v>
      </c>
      <c r="M947" s="742">
        <v>427.45274660000001</v>
      </c>
      <c r="N947">
        <f t="shared" si="29"/>
        <v>2137.1753675127056</v>
      </c>
    </row>
    <row r="948" spans="1:14" ht="15.5" x14ac:dyDescent="0.35">
      <c r="A948">
        <v>618.86614167251696</v>
      </c>
      <c r="B948">
        <v>23.284842734900899</v>
      </c>
      <c r="C948">
        <v>48775.286021341999</v>
      </c>
      <c r="D948" s="735">
        <v>3023.5004864178632</v>
      </c>
      <c r="E948" s="735">
        <v>200389.94841039446</v>
      </c>
      <c r="F948" s="735">
        <v>25633.720478228992</v>
      </c>
      <c r="H948" s="741">
        <v>946</v>
      </c>
      <c r="I948" s="735">
        <v>2433.1458968838301</v>
      </c>
      <c r="J948">
        <f t="shared" si="28"/>
        <v>25633.720478228992</v>
      </c>
      <c r="K948" s="735">
        <v>10263.917520000001</v>
      </c>
      <c r="L948">
        <f t="shared" si="28"/>
        <v>200389.94841039446</v>
      </c>
      <c r="M948" s="742">
        <v>544.95046809999997</v>
      </c>
      <c r="N948">
        <f t="shared" si="29"/>
        <v>3023.5004864178632</v>
      </c>
    </row>
    <row r="949" spans="1:14" ht="15.5" x14ac:dyDescent="0.35">
      <c r="A949">
        <v>3420.9768917820702</v>
      </c>
      <c r="B949">
        <v>49.530995984645003</v>
      </c>
      <c r="C949">
        <v>22678.503394188399</v>
      </c>
      <c r="D949" s="735">
        <v>363313.29666401976</v>
      </c>
      <c r="E949" s="735">
        <v>2691.9123072321854</v>
      </c>
      <c r="F949" s="735">
        <v>2072.9891300190848</v>
      </c>
      <c r="H949" s="741">
        <v>947</v>
      </c>
      <c r="I949" s="735">
        <v>418.42528188237702</v>
      </c>
      <c r="J949">
        <f t="shared" si="28"/>
        <v>2072.9891300190848</v>
      </c>
      <c r="K949" s="735">
        <v>502.391908</v>
      </c>
      <c r="L949">
        <f t="shared" si="28"/>
        <v>2691.9123072321854</v>
      </c>
      <c r="M949" s="742">
        <v>15566.712509999999</v>
      </c>
      <c r="N949">
        <f t="shared" si="29"/>
        <v>363313.29666401976</v>
      </c>
    </row>
    <row r="950" spans="1:14" ht="15.5" x14ac:dyDescent="0.35">
      <c r="A950">
        <v>59.074989843972901</v>
      </c>
      <c r="B950">
        <v>1972.0805320361601</v>
      </c>
      <c r="C950">
        <v>43.213728604862098</v>
      </c>
      <c r="D950" s="735">
        <v>170079.84255423874</v>
      </c>
      <c r="E950" s="735">
        <v>110062.01457099043</v>
      </c>
      <c r="F950" s="735">
        <v>3675.2758929298247</v>
      </c>
      <c r="H950" s="741">
        <v>948</v>
      </c>
      <c r="I950" s="735">
        <v>624.74524904282703</v>
      </c>
      <c r="J950">
        <f t="shared" si="28"/>
        <v>3675.2758929298247</v>
      </c>
      <c r="K950" s="735">
        <v>6747.5516950000001</v>
      </c>
      <c r="L950">
        <f t="shared" si="28"/>
        <v>110062.01457099043</v>
      </c>
      <c r="M950" s="742">
        <v>9150.7563439999994</v>
      </c>
      <c r="N950">
        <f t="shared" si="29"/>
        <v>170079.84255423874</v>
      </c>
    </row>
    <row r="951" spans="1:14" ht="15.5" x14ac:dyDescent="0.35">
      <c r="A951">
        <v>13560.228177511301</v>
      </c>
      <c r="B951">
        <v>275.24178998961497</v>
      </c>
      <c r="C951">
        <v>8407.6417233362299</v>
      </c>
      <c r="D951" s="735">
        <v>2851.2083976134932</v>
      </c>
      <c r="E951" s="735">
        <v>194280.66458504595</v>
      </c>
      <c r="F951" s="735">
        <v>336.51054632674226</v>
      </c>
      <c r="H951" s="741">
        <v>949</v>
      </c>
      <c r="I951" s="735">
        <v>117.192299467338</v>
      </c>
      <c r="J951">
        <f t="shared" si="28"/>
        <v>336.51054632674226</v>
      </c>
      <c r="K951" s="735">
        <v>10043.861290000001</v>
      </c>
      <c r="L951">
        <f t="shared" si="28"/>
        <v>194280.66458504595</v>
      </c>
      <c r="M951" s="742">
        <v>523.02238050000005</v>
      </c>
      <c r="N951">
        <f t="shared" si="29"/>
        <v>2851.2083976134932</v>
      </c>
    </row>
    <row r="952" spans="1:14" ht="15.5" x14ac:dyDescent="0.35">
      <c r="A952">
        <v>1909.5048240507199</v>
      </c>
      <c r="B952">
        <v>469.71037211069199</v>
      </c>
      <c r="C952">
        <v>56642.093131788701</v>
      </c>
      <c r="D952" s="735">
        <v>6277.9428378292632</v>
      </c>
      <c r="E952" s="735">
        <v>33.375287449925708</v>
      </c>
      <c r="F952" s="735">
        <v>14.797881611955782</v>
      </c>
      <c r="H952" s="741">
        <v>950</v>
      </c>
      <c r="I952" s="735">
        <v>13.1564792148442</v>
      </c>
      <c r="J952">
        <f t="shared" si="28"/>
        <v>14.797881611955782</v>
      </c>
      <c r="K952" s="735">
        <v>23.248637739999999</v>
      </c>
      <c r="L952">
        <f t="shared" si="28"/>
        <v>33.375287449925708</v>
      </c>
      <c r="M952" s="742">
        <v>908.80801789999998</v>
      </c>
      <c r="N952">
        <f t="shared" si="29"/>
        <v>6277.9428378292632</v>
      </c>
    </row>
    <row r="953" spans="1:14" ht="15.5" x14ac:dyDescent="0.35">
      <c r="A953">
        <v>7236.2284147929004</v>
      </c>
      <c r="B953">
        <v>1241.44575497395</v>
      </c>
      <c r="C953">
        <v>1107.7746920808599</v>
      </c>
      <c r="D953" s="735">
        <v>10400.234934512322</v>
      </c>
      <c r="E953" s="735">
        <v>822287.37809972558</v>
      </c>
      <c r="F953" s="735">
        <v>436.78369051754413</v>
      </c>
      <c r="H953" s="741">
        <v>951</v>
      </c>
      <c r="I953" s="735">
        <v>140.665142151076</v>
      </c>
      <c r="J953">
        <f t="shared" si="28"/>
        <v>436.78369051754413</v>
      </c>
      <c r="K953" s="735">
        <v>27575.064490000001</v>
      </c>
      <c r="L953">
        <f t="shared" si="28"/>
        <v>822287.37809972558</v>
      </c>
      <c r="M953" s="742">
        <v>1293.987869</v>
      </c>
      <c r="N953">
        <f t="shared" si="29"/>
        <v>10400.234934512322</v>
      </c>
    </row>
    <row r="954" spans="1:14" ht="15.5" x14ac:dyDescent="0.35">
      <c r="A954">
        <v>93.089943891407401</v>
      </c>
      <c r="B954">
        <v>225.796389413094</v>
      </c>
      <c r="C954">
        <v>10942.604103506999</v>
      </c>
      <c r="D954" s="735">
        <v>58421.907273816323</v>
      </c>
      <c r="E954" s="735">
        <v>2261.868506739761</v>
      </c>
      <c r="F954" s="735">
        <v>6360.2939631790487</v>
      </c>
      <c r="H954" s="741">
        <v>952</v>
      </c>
      <c r="I954" s="735">
        <v>917.136614533738</v>
      </c>
      <c r="J954">
        <f t="shared" si="28"/>
        <v>6360.2939631790487</v>
      </c>
      <c r="K954" s="735">
        <v>444.76146039999998</v>
      </c>
      <c r="L954">
        <f t="shared" si="28"/>
        <v>2261.868506739761</v>
      </c>
      <c r="M954" s="742">
        <v>4331.1478749999997</v>
      </c>
      <c r="N954">
        <f t="shared" si="29"/>
        <v>58421.907273816323</v>
      </c>
    </row>
    <row r="955" spans="1:14" ht="15.5" x14ac:dyDescent="0.35">
      <c r="A955">
        <v>128.10589765441</v>
      </c>
      <c r="B955">
        <v>135.850457408502</v>
      </c>
      <c r="C955">
        <v>1429.22003611728</v>
      </c>
      <c r="D955" s="735">
        <v>226451.52372624321</v>
      </c>
      <c r="E955" s="735">
        <v>334.80745402904313</v>
      </c>
      <c r="F955" s="735">
        <v>14.858192027248851</v>
      </c>
      <c r="H955" s="741">
        <v>953</v>
      </c>
      <c r="I955" s="735">
        <v>13.193990796733701</v>
      </c>
      <c r="J955">
        <f t="shared" si="28"/>
        <v>14.858192027248851</v>
      </c>
      <c r="K955" s="735">
        <v>116.77680340000001</v>
      </c>
      <c r="L955">
        <f t="shared" si="28"/>
        <v>334.80745402904313</v>
      </c>
      <c r="M955" s="742">
        <v>11181.05215</v>
      </c>
      <c r="N955">
        <f t="shared" si="29"/>
        <v>226451.52372624321</v>
      </c>
    </row>
    <row r="956" spans="1:14" ht="15.5" x14ac:dyDescent="0.35">
      <c r="A956">
        <v>967.29901471634105</v>
      </c>
      <c r="B956">
        <v>3467.1759597028399</v>
      </c>
      <c r="C956">
        <v>19165.824808094902</v>
      </c>
      <c r="D956" s="735">
        <v>5859.7774164273524</v>
      </c>
      <c r="E956" s="735">
        <v>328266.03106081788</v>
      </c>
      <c r="F956" s="735">
        <v>6701.5018996805102</v>
      </c>
      <c r="H956" s="741">
        <v>954</v>
      </c>
      <c r="I956" s="735">
        <v>951.30658183765104</v>
      </c>
      <c r="J956">
        <f t="shared" si="28"/>
        <v>6701.5018996805102</v>
      </c>
      <c r="K956" s="735">
        <v>14499.67143</v>
      </c>
      <c r="L956">
        <f t="shared" si="28"/>
        <v>328266.03106081788</v>
      </c>
      <c r="M956" s="742">
        <v>865.99779009999997</v>
      </c>
      <c r="N956">
        <f t="shared" si="29"/>
        <v>5859.7774164273524</v>
      </c>
    </row>
    <row r="957" spans="1:14" ht="15.5" x14ac:dyDescent="0.35">
      <c r="A957">
        <v>362.81540604783697</v>
      </c>
      <c r="B957">
        <v>630.70878625460205</v>
      </c>
      <c r="C957">
        <v>74.801054240292103</v>
      </c>
      <c r="D957" s="735">
        <v>37791.808376657871</v>
      </c>
      <c r="E957" s="735">
        <v>7313469.7459207121</v>
      </c>
      <c r="F957" s="735">
        <v>48921.495071762307</v>
      </c>
      <c r="H957" s="741">
        <v>955</v>
      </c>
      <c r="I957" s="735">
        <v>3825.1617522162501</v>
      </c>
      <c r="J957">
        <f t="shared" si="28"/>
        <v>48921.495071762307</v>
      </c>
      <c r="K957" s="735">
        <v>127317.00930000001</v>
      </c>
      <c r="L957">
        <f t="shared" si="28"/>
        <v>7313469.7459207121</v>
      </c>
      <c r="M957" s="742">
        <v>3192.8489399999999</v>
      </c>
      <c r="N957">
        <f t="shared" si="29"/>
        <v>37791.808376657871</v>
      </c>
    </row>
    <row r="958" spans="1:14" ht="15.5" x14ac:dyDescent="0.35">
      <c r="A958">
        <v>358.48322902580401</v>
      </c>
      <c r="B958">
        <v>3546.8071702551802</v>
      </c>
      <c r="C958">
        <v>5334.8969246522302</v>
      </c>
      <c r="D958" s="735">
        <v>110130.97856637579</v>
      </c>
      <c r="E958" s="735">
        <v>564560.46383023297</v>
      </c>
      <c r="F958" s="735">
        <v>1365.3666316235813</v>
      </c>
      <c r="H958" s="741">
        <v>956</v>
      </c>
      <c r="I958" s="735">
        <v>312.37372708949698</v>
      </c>
      <c r="J958">
        <f t="shared" si="28"/>
        <v>1365.3666316235813</v>
      </c>
      <c r="K958" s="735">
        <v>21193.238369999999</v>
      </c>
      <c r="L958">
        <f t="shared" si="28"/>
        <v>564560.46383023297</v>
      </c>
      <c r="M958" s="742">
        <v>6750.5109910000001</v>
      </c>
      <c r="N958">
        <f t="shared" si="29"/>
        <v>110130.97856637579</v>
      </c>
    </row>
    <row r="959" spans="1:14" ht="15.5" x14ac:dyDescent="0.35">
      <c r="A959">
        <v>1923.1281300462499</v>
      </c>
      <c r="B959">
        <v>1854.0280820717801</v>
      </c>
      <c r="C959">
        <v>5160.3644534076602</v>
      </c>
      <c r="D959" s="735">
        <v>26050.373537510521</v>
      </c>
      <c r="E959" s="735">
        <v>10465.726821168631</v>
      </c>
      <c r="F959" s="735">
        <v>144.69342424821838</v>
      </c>
      <c r="H959" s="741">
        <v>957</v>
      </c>
      <c r="I959" s="735">
        <v>64.910380688667203</v>
      </c>
      <c r="J959">
        <f t="shared" si="28"/>
        <v>144.69342424821838</v>
      </c>
      <c r="K959" s="735">
        <v>1299.6864049999999</v>
      </c>
      <c r="L959">
        <f t="shared" si="28"/>
        <v>10465.726821168631</v>
      </c>
      <c r="M959" s="742">
        <v>2460.7628890000001</v>
      </c>
      <c r="N959">
        <f t="shared" si="29"/>
        <v>26050.373537510521</v>
      </c>
    </row>
    <row r="960" spans="1:14" ht="15.5" x14ac:dyDescent="0.35">
      <c r="A960">
        <v>2318.8086634002998</v>
      </c>
      <c r="B960">
        <v>19.7621411626717</v>
      </c>
      <c r="C960">
        <v>1249.5463344356899</v>
      </c>
      <c r="D960" s="735">
        <v>209915.72149991407</v>
      </c>
      <c r="E960" s="735">
        <v>30085.366208696094</v>
      </c>
      <c r="F960" s="735">
        <v>96.513158947133064</v>
      </c>
      <c r="H960" s="741">
        <v>958</v>
      </c>
      <c r="I960" s="735">
        <v>48.888934412218099</v>
      </c>
      <c r="J960">
        <f t="shared" si="28"/>
        <v>96.513158947133064</v>
      </c>
      <c r="K960" s="735">
        <v>2721.7530080000001</v>
      </c>
      <c r="L960">
        <f t="shared" si="28"/>
        <v>30085.366208696094</v>
      </c>
      <c r="M960" s="742">
        <v>10603.066279999999</v>
      </c>
      <c r="N960">
        <f t="shared" si="29"/>
        <v>209915.72149991407</v>
      </c>
    </row>
    <row r="961" spans="1:14" ht="15.5" x14ac:dyDescent="0.35">
      <c r="A961">
        <v>85.789185448755305</v>
      </c>
      <c r="B961">
        <v>1129.17799626383</v>
      </c>
      <c r="C961">
        <v>61.926490629798302</v>
      </c>
      <c r="D961" s="735">
        <v>38669.589322475469</v>
      </c>
      <c r="E961" s="735">
        <v>752041.49510863319</v>
      </c>
      <c r="F961" s="735">
        <v>14508.769886678094</v>
      </c>
      <c r="H961" s="741">
        <v>959</v>
      </c>
      <c r="I961" s="735">
        <v>1633.5837886141401</v>
      </c>
      <c r="J961">
        <f t="shared" si="28"/>
        <v>14508.769886678094</v>
      </c>
      <c r="K961" s="735">
        <v>25904.14503</v>
      </c>
      <c r="L961">
        <f t="shared" si="28"/>
        <v>752041.49510863319</v>
      </c>
      <c r="M961" s="742">
        <v>3244.5815320000002</v>
      </c>
      <c r="N961">
        <f t="shared" si="29"/>
        <v>38669.589322475469</v>
      </c>
    </row>
    <row r="962" spans="1:14" ht="15.5" x14ac:dyDescent="0.35">
      <c r="A962">
        <v>368.47309334696899</v>
      </c>
      <c r="B962">
        <v>391.49111758877302</v>
      </c>
      <c r="C962">
        <v>12592.9789391636</v>
      </c>
      <c r="D962" s="735">
        <v>47722.846983161813</v>
      </c>
      <c r="E962" s="735">
        <v>396943.05101757089</v>
      </c>
      <c r="F962" s="735">
        <v>1702.6744898617244</v>
      </c>
      <c r="H962" s="741">
        <v>960</v>
      </c>
      <c r="I962" s="735">
        <v>364.57941229589301</v>
      </c>
      <c r="J962">
        <f t="shared" si="28"/>
        <v>1702.6744898617244</v>
      </c>
      <c r="K962" s="735">
        <v>16561.884150000002</v>
      </c>
      <c r="L962">
        <f t="shared" si="28"/>
        <v>396943.05101757089</v>
      </c>
      <c r="M962" s="742">
        <v>3759.312606</v>
      </c>
      <c r="N962">
        <f t="shared" si="29"/>
        <v>47722.846983161813</v>
      </c>
    </row>
    <row r="963" spans="1:14" ht="15.5" x14ac:dyDescent="0.35">
      <c r="A963">
        <v>403.44166739878102</v>
      </c>
      <c r="B963">
        <v>286.666964997528</v>
      </c>
      <c r="C963">
        <v>980.168750647416</v>
      </c>
      <c r="D963" s="735">
        <v>13647.652527330316</v>
      </c>
      <c r="E963" s="735">
        <v>881.93963972557049</v>
      </c>
      <c r="F963" s="735">
        <v>50.106769029634087</v>
      </c>
      <c r="H963" s="741">
        <v>961</v>
      </c>
      <c r="I963" s="735">
        <v>30.897794453088199</v>
      </c>
      <c r="J963">
        <f t="shared" si="28"/>
        <v>50.106769029634087</v>
      </c>
      <c r="K963" s="735">
        <v>230.04203670000001</v>
      </c>
      <c r="L963">
        <f t="shared" si="28"/>
        <v>881.93963972557049</v>
      </c>
      <c r="M963" s="742">
        <v>1565.0945160000001</v>
      </c>
      <c r="N963">
        <f t="shared" si="29"/>
        <v>13647.652527330316</v>
      </c>
    </row>
    <row r="964" spans="1:14" ht="15.5" x14ac:dyDescent="0.35">
      <c r="A964">
        <v>13411.446308708601</v>
      </c>
      <c r="B964">
        <v>2174.72265232582</v>
      </c>
      <c r="C964">
        <v>18823.417026279199</v>
      </c>
      <c r="D964" s="735">
        <v>107269.5755701048</v>
      </c>
      <c r="E964" s="735">
        <v>45339.849519097523</v>
      </c>
      <c r="F964" s="735">
        <v>18.956197738713023</v>
      </c>
      <c r="H964" s="741">
        <v>962</v>
      </c>
      <c r="I964" s="735">
        <v>15.6468118840464</v>
      </c>
      <c r="J964">
        <f t="shared" ref="J964:L1002" si="30">(10^(LOG(I964)-0.3))^(1/0.7)</f>
        <v>18.956197738713023</v>
      </c>
      <c r="K964" s="735">
        <v>3626.9039299999999</v>
      </c>
      <c r="L964">
        <f t="shared" si="30"/>
        <v>45339.849519097523</v>
      </c>
      <c r="M964" s="742">
        <v>6627.253659</v>
      </c>
      <c r="N964">
        <f t="shared" ref="N964:N1002" si="31">(10^(LOG(M964)-0.3))^(1/0.7)</f>
        <v>107269.5755701048</v>
      </c>
    </row>
    <row r="965" spans="1:14" ht="15.5" x14ac:dyDescent="0.35">
      <c r="A965">
        <v>3902.3012526781299</v>
      </c>
      <c r="B965">
        <v>43.623680742351297</v>
      </c>
      <c r="C965">
        <v>21662.675357129399</v>
      </c>
      <c r="D965" s="735">
        <v>113150.18897186374</v>
      </c>
      <c r="E965" s="735">
        <v>10083162.516552992</v>
      </c>
      <c r="F965" s="735">
        <v>5324.8975167652607</v>
      </c>
      <c r="H965" s="741">
        <v>963</v>
      </c>
      <c r="I965" s="735">
        <v>809.87478492012303</v>
      </c>
      <c r="J965">
        <f t="shared" si="30"/>
        <v>5324.8975167652607</v>
      </c>
      <c r="K965" s="735">
        <v>159410.7984</v>
      </c>
      <c r="L965">
        <f t="shared" si="30"/>
        <v>10083162.516552992</v>
      </c>
      <c r="M965" s="742">
        <v>6879.5288860000001</v>
      </c>
      <c r="N965">
        <f t="shared" si="31"/>
        <v>113150.18897186374</v>
      </c>
    </row>
    <row r="966" spans="1:14" ht="15.5" x14ac:dyDescent="0.35">
      <c r="A966">
        <v>37.710776340690103</v>
      </c>
      <c r="B966">
        <v>772.52562657953001</v>
      </c>
      <c r="C966">
        <v>1388.02504539609</v>
      </c>
      <c r="D966" s="735">
        <v>210909.61853415644</v>
      </c>
      <c r="E966" s="735">
        <v>22879.678638649093</v>
      </c>
      <c r="F966" s="735">
        <v>2859.5597797719952</v>
      </c>
      <c r="H966" s="741">
        <v>964</v>
      </c>
      <c r="I966" s="735">
        <v>524.09428747582604</v>
      </c>
      <c r="J966">
        <f t="shared" si="30"/>
        <v>2859.5597797719952</v>
      </c>
      <c r="K966" s="735">
        <v>2247.061424</v>
      </c>
      <c r="L966">
        <f t="shared" si="30"/>
        <v>22879.678638649093</v>
      </c>
      <c r="M966" s="742">
        <v>10638.18333</v>
      </c>
      <c r="N966">
        <f t="shared" si="31"/>
        <v>210909.61853415644</v>
      </c>
    </row>
    <row r="967" spans="1:14" ht="15.5" x14ac:dyDescent="0.35">
      <c r="A967">
        <v>10395.7879513937</v>
      </c>
      <c r="B967">
        <v>117.82443214582899</v>
      </c>
      <c r="C967">
        <v>6.7893969815274602</v>
      </c>
      <c r="D967" s="735">
        <v>2601.9871885034408</v>
      </c>
      <c r="E967" s="735">
        <v>17141.004485565059</v>
      </c>
      <c r="F967" s="735">
        <v>2881.6232637804897</v>
      </c>
      <c r="H967" s="741">
        <v>965</v>
      </c>
      <c r="I967" s="735">
        <v>526.92164760789296</v>
      </c>
      <c r="J967">
        <f t="shared" si="30"/>
        <v>2881.6232637804897</v>
      </c>
      <c r="K967" s="735">
        <v>1835.8000950000001</v>
      </c>
      <c r="L967">
        <f t="shared" si="30"/>
        <v>17141.004485565059</v>
      </c>
      <c r="M967" s="742">
        <v>490.58425729999999</v>
      </c>
      <c r="N967">
        <f t="shared" si="31"/>
        <v>2601.9871885034408</v>
      </c>
    </row>
    <row r="968" spans="1:14" ht="15.5" x14ac:dyDescent="0.35">
      <c r="A968">
        <v>4421.4678379299003</v>
      </c>
      <c r="B968">
        <v>818.59647729965604</v>
      </c>
      <c r="C968">
        <v>37203.416842033999</v>
      </c>
      <c r="D968" s="735">
        <v>893.96616295819615</v>
      </c>
      <c r="E968" s="735">
        <v>5039.7300635677148</v>
      </c>
      <c r="F968" s="735">
        <v>168.68517734313681</v>
      </c>
      <c r="H968" s="741">
        <v>966</v>
      </c>
      <c r="I968" s="735">
        <v>72.2692995471769</v>
      </c>
      <c r="J968">
        <f t="shared" si="30"/>
        <v>168.68517734313681</v>
      </c>
      <c r="K968" s="735">
        <v>779.26486030000001</v>
      </c>
      <c r="L968">
        <f t="shared" si="30"/>
        <v>5039.7300635677148</v>
      </c>
      <c r="M968" s="742">
        <v>232.23344069999999</v>
      </c>
      <c r="N968">
        <f t="shared" si="31"/>
        <v>893.96616295819615</v>
      </c>
    </row>
    <row r="969" spans="1:14" ht="15.5" x14ac:dyDescent="0.35">
      <c r="A969">
        <v>110.460470075034</v>
      </c>
      <c r="B969">
        <v>2783.0733573614798</v>
      </c>
      <c r="C969">
        <v>1639.7355536822299</v>
      </c>
      <c r="D969" s="735">
        <v>450586.61638897739</v>
      </c>
      <c r="E969" s="735">
        <v>2567986.4974499689</v>
      </c>
      <c r="F969" s="735">
        <v>6207.3085229240196</v>
      </c>
      <c r="H969" s="741">
        <v>967</v>
      </c>
      <c r="I969" s="735">
        <v>901.638259979998</v>
      </c>
      <c r="J969">
        <f t="shared" si="30"/>
        <v>6207.3085229240196</v>
      </c>
      <c r="K969" s="735">
        <v>61194.855710000003</v>
      </c>
      <c r="L969">
        <f t="shared" si="30"/>
        <v>2567986.4974499689</v>
      </c>
      <c r="M969" s="742">
        <v>18098.592489999999</v>
      </c>
      <c r="N969">
        <f t="shared" si="31"/>
        <v>450586.61638897739</v>
      </c>
    </row>
    <row r="970" spans="1:14" ht="15.5" x14ac:dyDescent="0.35">
      <c r="A970">
        <v>1708.36317148027</v>
      </c>
      <c r="B970">
        <v>86.341633956189</v>
      </c>
      <c r="C970">
        <v>1410.47348325182</v>
      </c>
      <c r="D970" s="735">
        <v>52230.295807203933</v>
      </c>
      <c r="E970" s="735">
        <v>2486.5273206306001</v>
      </c>
      <c r="F970" s="735">
        <v>972.99040605685184</v>
      </c>
      <c r="H970" s="741">
        <v>968</v>
      </c>
      <c r="I970" s="735">
        <v>246.420021211956</v>
      </c>
      <c r="J970">
        <f t="shared" si="30"/>
        <v>972.99040605685184</v>
      </c>
      <c r="K970" s="735">
        <v>475.24249229999998</v>
      </c>
      <c r="L970">
        <f t="shared" si="30"/>
        <v>2486.5273206306001</v>
      </c>
      <c r="M970" s="742">
        <v>4004.476412</v>
      </c>
      <c r="N970">
        <f t="shared" si="31"/>
        <v>52230.295807203933</v>
      </c>
    </row>
    <row r="971" spans="1:14" ht="15.5" x14ac:dyDescent="0.35">
      <c r="A971">
        <v>1262.0892661498799</v>
      </c>
      <c r="B971">
        <v>110.771428707147</v>
      </c>
      <c r="C971">
        <v>2242.7302175980499</v>
      </c>
      <c r="D971" s="735">
        <v>35324.612339877633</v>
      </c>
      <c r="E971" s="735">
        <v>7902.5819916705032</v>
      </c>
      <c r="F971" s="735">
        <v>1880.5304025426901</v>
      </c>
      <c r="H971" s="741">
        <v>969</v>
      </c>
      <c r="I971" s="735">
        <v>390.83752222048702</v>
      </c>
      <c r="J971">
        <f t="shared" si="30"/>
        <v>1880.5304025426901</v>
      </c>
      <c r="K971" s="735">
        <v>1067.6731159999999</v>
      </c>
      <c r="L971">
        <f t="shared" si="30"/>
        <v>7902.5819916705032</v>
      </c>
      <c r="M971" s="742">
        <v>3045.4690000000001</v>
      </c>
      <c r="N971">
        <f t="shared" si="31"/>
        <v>35324.612339877633</v>
      </c>
    </row>
    <row r="972" spans="1:14" ht="15.5" x14ac:dyDescent="0.35">
      <c r="A972">
        <v>66.1569316281266</v>
      </c>
      <c r="B972">
        <v>349.967203742398</v>
      </c>
      <c r="C972">
        <v>18459.2405018094</v>
      </c>
      <c r="D972" s="735">
        <v>27614.014695552145</v>
      </c>
      <c r="E972" s="735">
        <v>5188.8799785920919</v>
      </c>
      <c r="F972" s="735">
        <v>416.09261854098014</v>
      </c>
      <c r="H972" s="741">
        <v>970</v>
      </c>
      <c r="I972" s="735">
        <v>135.96684119163601</v>
      </c>
      <c r="J972">
        <f t="shared" si="30"/>
        <v>416.09261854098014</v>
      </c>
      <c r="K972" s="735">
        <v>795.33764269999995</v>
      </c>
      <c r="L972">
        <f t="shared" si="30"/>
        <v>5188.8799785920919</v>
      </c>
      <c r="M972" s="742">
        <v>2563.2483480000001</v>
      </c>
      <c r="N972">
        <f t="shared" si="31"/>
        <v>27614.014695552145</v>
      </c>
    </row>
    <row r="973" spans="1:14" ht="15.5" x14ac:dyDescent="0.35">
      <c r="A973">
        <v>60.149855538182301</v>
      </c>
      <c r="B973">
        <v>54.576483527820599</v>
      </c>
      <c r="C973">
        <v>795.60746272715903</v>
      </c>
      <c r="D973" s="735">
        <v>144005.1469477682</v>
      </c>
      <c r="E973" s="735">
        <v>2089.4993182237276</v>
      </c>
      <c r="F973" s="735">
        <v>109.42906970307156</v>
      </c>
      <c r="H973" s="741">
        <v>971</v>
      </c>
      <c r="I973" s="735">
        <v>53.381760810505597</v>
      </c>
      <c r="J973">
        <f t="shared" si="30"/>
        <v>109.42906970307156</v>
      </c>
      <c r="K973" s="735">
        <v>420.75526939999997</v>
      </c>
      <c r="L973">
        <f t="shared" si="30"/>
        <v>2089.4993182237276</v>
      </c>
      <c r="M973" s="742">
        <v>8144.5034249999999</v>
      </c>
      <c r="N973">
        <f t="shared" si="31"/>
        <v>144005.1469477682</v>
      </c>
    </row>
    <row r="974" spans="1:14" ht="15.5" x14ac:dyDescent="0.35">
      <c r="A974">
        <v>1080.3253345729199</v>
      </c>
      <c r="B974">
        <v>98.256380527131398</v>
      </c>
      <c r="C974">
        <v>5578.7150394604396</v>
      </c>
      <c r="D974" s="735">
        <v>8836.1764720492665</v>
      </c>
      <c r="E974" s="735">
        <v>46808.293760342851</v>
      </c>
      <c r="F974" s="735">
        <v>307.08488130391027</v>
      </c>
      <c r="H974" s="741">
        <v>972</v>
      </c>
      <c r="I974" s="735">
        <v>109.92105924004601</v>
      </c>
      <c r="J974">
        <f t="shared" si="30"/>
        <v>307.08488130391027</v>
      </c>
      <c r="K974" s="735">
        <v>3708.736406</v>
      </c>
      <c r="L974">
        <f t="shared" si="30"/>
        <v>46808.293760342851</v>
      </c>
      <c r="M974" s="742">
        <v>1154.4764190000001</v>
      </c>
      <c r="N974">
        <f t="shared" si="31"/>
        <v>8836.1764720492665</v>
      </c>
    </row>
    <row r="975" spans="1:14" ht="15.5" x14ac:dyDescent="0.35">
      <c r="A975">
        <v>374.97588329123101</v>
      </c>
      <c r="B975">
        <v>773.39198013947703</v>
      </c>
      <c r="C975">
        <v>3163.2466924754299</v>
      </c>
      <c r="D975" s="735">
        <v>55153.002410752422</v>
      </c>
      <c r="E975" s="735">
        <v>1223.7100748918108</v>
      </c>
      <c r="F975" s="735">
        <v>885.98206671399362</v>
      </c>
      <c r="H975" s="741">
        <v>973</v>
      </c>
      <c r="I975" s="735">
        <v>230.77961895979499</v>
      </c>
      <c r="J975">
        <f t="shared" si="30"/>
        <v>885.98206671399362</v>
      </c>
      <c r="K975" s="735">
        <v>289.31768069999998</v>
      </c>
      <c r="L975">
        <f t="shared" si="30"/>
        <v>1223.7100748918108</v>
      </c>
      <c r="M975" s="742">
        <v>4160.0486700000001</v>
      </c>
      <c r="N975">
        <f t="shared" si="31"/>
        <v>55153.002410752422</v>
      </c>
    </row>
    <row r="976" spans="1:14" ht="15.5" x14ac:dyDescent="0.35">
      <c r="A976">
        <v>3668.5448564506601</v>
      </c>
      <c r="B976">
        <v>1993.3746517808499</v>
      </c>
      <c r="C976">
        <v>1189.33282541329</v>
      </c>
      <c r="D976" s="735">
        <v>27078.446609188413</v>
      </c>
      <c r="E976" s="735">
        <v>21990.672159725858</v>
      </c>
      <c r="F976" s="735">
        <v>1236.8964393656988</v>
      </c>
      <c r="H976" s="741">
        <v>974</v>
      </c>
      <c r="I976" s="735">
        <v>291.49649528691299</v>
      </c>
      <c r="J976">
        <f t="shared" si="30"/>
        <v>1236.8964393656988</v>
      </c>
      <c r="K976" s="735">
        <v>2185.5812329999999</v>
      </c>
      <c r="L976">
        <f t="shared" si="30"/>
        <v>21990.672159725858</v>
      </c>
      <c r="M976" s="742">
        <v>2528.3466790000002</v>
      </c>
      <c r="N976">
        <f t="shared" si="31"/>
        <v>27078.446609188413</v>
      </c>
    </row>
    <row r="977" spans="1:14" ht="15.5" x14ac:dyDescent="0.35">
      <c r="A977">
        <v>605.30985061530998</v>
      </c>
      <c r="B977">
        <v>2910.27502167702</v>
      </c>
      <c r="C977">
        <v>23065.976414244298</v>
      </c>
      <c r="D977" s="735">
        <v>16583.610918863029</v>
      </c>
      <c r="E977" s="735">
        <v>1311.4483838183637</v>
      </c>
      <c r="F977" s="735">
        <v>473.77233262066375</v>
      </c>
      <c r="H977" s="741">
        <v>975</v>
      </c>
      <c r="I977" s="735">
        <v>148.90140189646999</v>
      </c>
      <c r="J977">
        <f t="shared" si="30"/>
        <v>473.77233262066375</v>
      </c>
      <c r="K977" s="735">
        <v>303.6867484</v>
      </c>
      <c r="L977">
        <f t="shared" si="30"/>
        <v>1311.4483838183637</v>
      </c>
      <c r="M977" s="742">
        <v>1793.8055770000001</v>
      </c>
      <c r="N977">
        <f t="shared" si="31"/>
        <v>16583.610918863029</v>
      </c>
    </row>
    <row r="978" spans="1:14" ht="15.5" x14ac:dyDescent="0.35">
      <c r="A978">
        <v>3973.6964789560102</v>
      </c>
      <c r="B978">
        <v>95.7886976389739</v>
      </c>
      <c r="C978">
        <v>150.487512112762</v>
      </c>
      <c r="D978" s="735">
        <v>122988.35270615773</v>
      </c>
      <c r="E978" s="735">
        <v>3607.8844947128377</v>
      </c>
      <c r="F978" s="735">
        <v>332.33444957080957</v>
      </c>
      <c r="H978" s="741">
        <v>976</v>
      </c>
      <c r="I978" s="735">
        <v>116.172344383819</v>
      </c>
      <c r="J978">
        <f t="shared" si="30"/>
        <v>332.33444957080957</v>
      </c>
      <c r="K978" s="735">
        <v>616.70410279999999</v>
      </c>
      <c r="L978">
        <f t="shared" si="30"/>
        <v>3607.8844947128377</v>
      </c>
      <c r="M978" s="742">
        <v>7292.9760820000001</v>
      </c>
      <c r="N978">
        <f t="shared" si="31"/>
        <v>122988.35270615773</v>
      </c>
    </row>
    <row r="979" spans="1:14" ht="15.5" x14ac:dyDescent="0.35">
      <c r="A979">
        <v>444.94472957390099</v>
      </c>
      <c r="B979">
        <v>565.14366304303405</v>
      </c>
      <c r="C979">
        <v>247.261684367789</v>
      </c>
      <c r="D979" s="735">
        <v>4766.0383835732773</v>
      </c>
      <c r="E979" s="735">
        <v>2492992.1938828952</v>
      </c>
      <c r="F979" s="735">
        <v>2917.0125935972737</v>
      </c>
      <c r="H979" s="741">
        <v>977</v>
      </c>
      <c r="I979" s="735">
        <v>531.44314908897297</v>
      </c>
      <c r="J979">
        <f t="shared" si="30"/>
        <v>2917.0125935972737</v>
      </c>
      <c r="K979" s="735">
        <v>59938.330629999997</v>
      </c>
      <c r="L979">
        <f t="shared" si="30"/>
        <v>2492992.1938828952</v>
      </c>
      <c r="M979" s="742">
        <v>749.39410929999997</v>
      </c>
      <c r="N979">
        <f t="shared" si="31"/>
        <v>4766.0383835732773</v>
      </c>
    </row>
    <row r="980" spans="1:14" ht="15.5" x14ac:dyDescent="0.35">
      <c r="A980">
        <v>39.439485287522501</v>
      </c>
      <c r="B980">
        <v>403.61450342169002</v>
      </c>
      <c r="C980">
        <v>1920.1868863991599</v>
      </c>
      <c r="D980" s="735">
        <v>68592.19933570709</v>
      </c>
      <c r="E980" s="735">
        <v>19161.047219812986</v>
      </c>
      <c r="F980" s="735">
        <v>459.56980047819525</v>
      </c>
      <c r="H980" s="741">
        <v>978</v>
      </c>
      <c r="I980" s="735">
        <v>145.762576952763</v>
      </c>
      <c r="J980">
        <f t="shared" si="30"/>
        <v>459.56980047819525</v>
      </c>
      <c r="K980" s="735">
        <v>1984.6935980000001</v>
      </c>
      <c r="L980">
        <f t="shared" si="30"/>
        <v>19161.047219812986</v>
      </c>
      <c r="M980" s="742">
        <v>4846.0993099999996</v>
      </c>
      <c r="N980">
        <f t="shared" si="31"/>
        <v>68592.19933570709</v>
      </c>
    </row>
    <row r="981" spans="1:14" ht="15.5" x14ac:dyDescent="0.35">
      <c r="A981">
        <v>491.02090743162597</v>
      </c>
      <c r="B981">
        <v>1712.6564048463899</v>
      </c>
      <c r="C981">
        <v>8182.0580616741499</v>
      </c>
      <c r="D981" s="735">
        <v>193067.01527866721</v>
      </c>
      <c r="E981" s="735">
        <v>1107.6091118044212</v>
      </c>
      <c r="F981" s="735">
        <v>63.291263909191109</v>
      </c>
      <c r="H981" s="741">
        <v>979</v>
      </c>
      <c r="I981" s="735">
        <v>36.386529737527503</v>
      </c>
      <c r="J981">
        <f t="shared" si="30"/>
        <v>63.291263909191109</v>
      </c>
      <c r="K981" s="735">
        <v>269.81777949999997</v>
      </c>
      <c r="L981">
        <f t="shared" si="30"/>
        <v>1107.6091118044212</v>
      </c>
      <c r="M981" s="742">
        <v>9999.9000190000006</v>
      </c>
      <c r="N981">
        <f t="shared" si="31"/>
        <v>193067.01527866721</v>
      </c>
    </row>
    <row r="982" spans="1:14" ht="15.5" x14ac:dyDescent="0.35">
      <c r="A982">
        <v>205.22006122734501</v>
      </c>
      <c r="B982">
        <v>406.45230132200402</v>
      </c>
      <c r="C982">
        <v>1390.79338198698</v>
      </c>
      <c r="D982" s="735">
        <v>27488.657513977152</v>
      </c>
      <c r="E982" s="735">
        <v>6721.2824546593592</v>
      </c>
      <c r="F982" s="735">
        <v>474894.24054393318</v>
      </c>
      <c r="H982" s="741">
        <v>980</v>
      </c>
      <c r="I982" s="735">
        <v>18776.6379270367</v>
      </c>
      <c r="J982">
        <f t="shared" si="30"/>
        <v>474894.24054393318</v>
      </c>
      <c r="K982" s="735">
        <v>953.27126620000001</v>
      </c>
      <c r="L982">
        <f t="shared" si="30"/>
        <v>6721.2824546593592</v>
      </c>
      <c r="M982" s="742">
        <v>2555.0974660000002</v>
      </c>
      <c r="N982">
        <f t="shared" si="31"/>
        <v>27488.657513977152</v>
      </c>
    </row>
    <row r="983" spans="1:14" ht="15.5" x14ac:dyDescent="0.35">
      <c r="A983">
        <v>103.322191107214</v>
      </c>
      <c r="B983">
        <v>403.25770765140697</v>
      </c>
      <c r="C983">
        <v>4362.08801404939</v>
      </c>
      <c r="D983" s="735">
        <v>11714.57768005535</v>
      </c>
      <c r="E983" s="735">
        <v>464.43798150918263</v>
      </c>
      <c r="F983" s="735">
        <v>2102.1973250604165</v>
      </c>
      <c r="H983" s="741">
        <v>981</v>
      </c>
      <c r="I983" s="735">
        <v>422.54350979434099</v>
      </c>
      <c r="J983">
        <f t="shared" si="30"/>
        <v>2102.1973250604165</v>
      </c>
      <c r="K983" s="735">
        <v>146.84170219999999</v>
      </c>
      <c r="L983">
        <f t="shared" si="30"/>
        <v>464.43798150918263</v>
      </c>
      <c r="M983" s="742">
        <v>1406.3993129999999</v>
      </c>
      <c r="N983">
        <f t="shared" si="31"/>
        <v>11714.57768005535</v>
      </c>
    </row>
    <row r="984" spans="1:14" ht="15.5" x14ac:dyDescent="0.35">
      <c r="A984">
        <v>58.627224016556099</v>
      </c>
      <c r="B984">
        <v>1110.24510820451</v>
      </c>
      <c r="C984">
        <v>48322.361725760697</v>
      </c>
      <c r="D984" s="735">
        <v>23707.556536601438</v>
      </c>
      <c r="E984" s="735">
        <v>1169.2351636705991</v>
      </c>
      <c r="F984" s="735">
        <v>4058.5404126580402</v>
      </c>
      <c r="H984" s="741">
        <v>982</v>
      </c>
      <c r="I984" s="735">
        <v>669.66702181271398</v>
      </c>
      <c r="J984">
        <f t="shared" si="30"/>
        <v>4058.5404126580402</v>
      </c>
      <c r="K984" s="735">
        <v>280.24076350000001</v>
      </c>
      <c r="L984">
        <f t="shared" si="30"/>
        <v>1169.2351636705991</v>
      </c>
      <c r="M984" s="742">
        <v>2303.6725980000001</v>
      </c>
      <c r="N984">
        <f t="shared" si="31"/>
        <v>23707.556536601438</v>
      </c>
    </row>
    <row r="985" spans="1:14" ht="15.5" x14ac:dyDescent="0.35">
      <c r="A985">
        <v>293.815186399678</v>
      </c>
      <c r="B985">
        <v>782.58204093593997</v>
      </c>
      <c r="C985">
        <v>48.2603794062369</v>
      </c>
      <c r="D985" s="735">
        <v>36050.837118757991</v>
      </c>
      <c r="E985" s="735">
        <v>72.677932810389095</v>
      </c>
      <c r="F985" s="735">
        <v>276.40770636050178</v>
      </c>
      <c r="H985" s="741">
        <v>983</v>
      </c>
      <c r="I985" s="735">
        <v>102.113956350661</v>
      </c>
      <c r="J985">
        <f t="shared" si="30"/>
        <v>276.40770636050178</v>
      </c>
      <c r="K985" s="735">
        <v>40.084991539999997</v>
      </c>
      <c r="L985">
        <f t="shared" si="30"/>
        <v>72.677932810389095</v>
      </c>
      <c r="M985" s="742">
        <v>3089.1624529999999</v>
      </c>
      <c r="N985">
        <f t="shared" si="31"/>
        <v>36050.837118757991</v>
      </c>
    </row>
    <row r="986" spans="1:14" ht="15.5" x14ac:dyDescent="0.35">
      <c r="A986">
        <v>2577.9031892471498</v>
      </c>
      <c r="B986">
        <v>211.34192621122301</v>
      </c>
      <c r="C986">
        <v>26673.789421461199</v>
      </c>
      <c r="D986" s="735">
        <v>186219.35676476039</v>
      </c>
      <c r="E986" s="735">
        <v>151.28295289549595</v>
      </c>
      <c r="F986" s="735">
        <v>132.2456018935253</v>
      </c>
      <c r="H986" s="741">
        <v>984</v>
      </c>
      <c r="I986" s="735">
        <v>60.949039551263397</v>
      </c>
      <c r="J986">
        <f t="shared" si="30"/>
        <v>132.2456018935253</v>
      </c>
      <c r="K986" s="735">
        <v>66.965789760000007</v>
      </c>
      <c r="L986">
        <f t="shared" si="30"/>
        <v>151.28295289549595</v>
      </c>
      <c r="M986" s="742">
        <v>9750.2864649999992</v>
      </c>
      <c r="N986">
        <f t="shared" si="31"/>
        <v>186219.35676476039</v>
      </c>
    </row>
    <row r="987" spans="1:14" ht="15.5" x14ac:dyDescent="0.35">
      <c r="A987">
        <v>98.423573916072499</v>
      </c>
      <c r="B987">
        <v>83.639395564364705</v>
      </c>
      <c r="C987">
        <v>2956.3255969811999</v>
      </c>
      <c r="D987" s="735">
        <v>72752.128374576336</v>
      </c>
      <c r="E987" s="735">
        <v>54203.010507305778</v>
      </c>
      <c r="F987" s="735">
        <v>137.28821553443979</v>
      </c>
      <c r="H987" s="741">
        <v>985</v>
      </c>
      <c r="I987" s="735">
        <v>62.566704726208997</v>
      </c>
      <c r="J987">
        <f t="shared" si="30"/>
        <v>137.28821553443979</v>
      </c>
      <c r="K987" s="735">
        <v>4109.7592910000003</v>
      </c>
      <c r="L987">
        <f t="shared" si="30"/>
        <v>54203.010507305778</v>
      </c>
      <c r="M987" s="742">
        <v>5050.007141</v>
      </c>
      <c r="N987">
        <f t="shared" si="31"/>
        <v>72752.128374576336</v>
      </c>
    </row>
    <row r="988" spans="1:14" ht="15.5" x14ac:dyDescent="0.35">
      <c r="A988">
        <v>3055.6738244855201</v>
      </c>
      <c r="B988">
        <v>1761.05167521305</v>
      </c>
      <c r="C988">
        <v>3220.3949100672698</v>
      </c>
      <c r="D988" s="735">
        <v>18983.845706371321</v>
      </c>
      <c r="E988" s="735">
        <v>128.37062373064251</v>
      </c>
      <c r="F988" s="735">
        <v>587.90119127368507</v>
      </c>
      <c r="H988" s="741">
        <v>986</v>
      </c>
      <c r="I988" s="735">
        <v>173.186102293066</v>
      </c>
      <c r="J988">
        <f t="shared" si="30"/>
        <v>587.90119127368507</v>
      </c>
      <c r="K988" s="735">
        <v>59.693350510000002</v>
      </c>
      <c r="L988">
        <f t="shared" si="30"/>
        <v>128.37062373064251</v>
      </c>
      <c r="M988" s="742">
        <v>1971.8275799999999</v>
      </c>
      <c r="N988">
        <f t="shared" si="31"/>
        <v>18983.845706371321</v>
      </c>
    </row>
    <row r="989" spans="1:14" ht="15.5" x14ac:dyDescent="0.35">
      <c r="A989">
        <v>157.08728248676599</v>
      </c>
      <c r="B989">
        <v>37.731640147029701</v>
      </c>
      <c r="C989">
        <v>3176.0185884115899</v>
      </c>
      <c r="D989" s="735">
        <v>2058.9122944937417</v>
      </c>
      <c r="E989" s="735">
        <v>439.43421172017742</v>
      </c>
      <c r="F989" s="735">
        <v>74.497043129755752</v>
      </c>
      <c r="H989" s="741">
        <v>987</v>
      </c>
      <c r="I989" s="735">
        <v>40.784704949763999</v>
      </c>
      <c r="J989">
        <f t="shared" si="30"/>
        <v>74.497043129755752</v>
      </c>
      <c r="K989" s="735">
        <v>141.26211549999999</v>
      </c>
      <c r="L989">
        <f t="shared" si="30"/>
        <v>439.43421172017742</v>
      </c>
      <c r="M989" s="742">
        <v>416.43429950000001</v>
      </c>
      <c r="N989">
        <f t="shared" si="31"/>
        <v>2058.9122944937417</v>
      </c>
    </row>
    <row r="990" spans="1:14" ht="15.5" x14ac:dyDescent="0.35">
      <c r="A990">
        <v>1617.0603540960601</v>
      </c>
      <c r="B990">
        <v>323.70826966426</v>
      </c>
      <c r="C990">
        <v>18749.731471032501</v>
      </c>
      <c r="D990" s="735">
        <v>58290.197371059803</v>
      </c>
      <c r="E990" s="735">
        <v>212575.88432775045</v>
      </c>
      <c r="F990" s="735">
        <v>6968.0368905493324</v>
      </c>
      <c r="H990" s="741">
        <v>988</v>
      </c>
      <c r="I990" s="735">
        <v>977.636277884381</v>
      </c>
      <c r="J990">
        <f t="shared" si="30"/>
        <v>6968.0368905493324</v>
      </c>
      <c r="K990" s="735">
        <v>10696.945820000001</v>
      </c>
      <c r="L990">
        <f t="shared" si="30"/>
        <v>212575.88432775045</v>
      </c>
      <c r="M990" s="742">
        <v>4324.3104789999998</v>
      </c>
      <c r="N990">
        <f t="shared" si="31"/>
        <v>58290.197371059803</v>
      </c>
    </row>
    <row r="991" spans="1:14" ht="15.5" x14ac:dyDescent="0.35">
      <c r="A991">
        <v>45.802451995181698</v>
      </c>
      <c r="B991">
        <v>382.023971280056</v>
      </c>
      <c r="C991">
        <v>76.621863368788297</v>
      </c>
      <c r="D991" s="735">
        <v>8868.482722566956</v>
      </c>
      <c r="E991" s="735">
        <v>2139652.7217901498</v>
      </c>
      <c r="F991" s="735">
        <v>11.655384257188622</v>
      </c>
      <c r="H991" s="741">
        <v>989</v>
      </c>
      <c r="I991" s="735">
        <v>11.1318825925881</v>
      </c>
      <c r="J991">
        <f t="shared" si="30"/>
        <v>11.655384257188622</v>
      </c>
      <c r="K991" s="735">
        <v>53856.769979999997</v>
      </c>
      <c r="L991">
        <f t="shared" si="30"/>
        <v>2139652.7217901498</v>
      </c>
      <c r="M991" s="742">
        <v>1157.4294460000001</v>
      </c>
      <c r="N991">
        <f t="shared" si="31"/>
        <v>8868.482722566956</v>
      </c>
    </row>
    <row r="992" spans="1:14" ht="15.5" x14ac:dyDescent="0.35">
      <c r="A992">
        <v>88.645332117059198</v>
      </c>
      <c r="B992">
        <v>834.88842436561902</v>
      </c>
      <c r="C992">
        <v>2199.0541197890798</v>
      </c>
      <c r="D992" s="735">
        <v>774266.26752541133</v>
      </c>
      <c r="E992" s="735">
        <v>12866.884863826483</v>
      </c>
      <c r="F992" s="735">
        <v>61.129177718775331</v>
      </c>
      <c r="H992" s="741">
        <v>990</v>
      </c>
      <c r="I992" s="735">
        <v>35.511906432548599</v>
      </c>
      <c r="J992">
        <f t="shared" si="30"/>
        <v>61.129177718775331</v>
      </c>
      <c r="K992" s="735">
        <v>1501.866708</v>
      </c>
      <c r="L992">
        <f t="shared" si="30"/>
        <v>12866.884863826483</v>
      </c>
      <c r="M992" s="742">
        <v>26437.673640000001</v>
      </c>
      <c r="N992">
        <f t="shared" si="31"/>
        <v>774266.26752541133</v>
      </c>
    </row>
    <row r="993" spans="1:14" ht="15.5" x14ac:dyDescent="0.35">
      <c r="A993">
        <v>271.04892022270701</v>
      </c>
      <c r="B993">
        <v>74.317682516454397</v>
      </c>
      <c r="C993">
        <v>48343.739414431497</v>
      </c>
      <c r="D993" s="735">
        <v>408291.40156010771</v>
      </c>
      <c r="E993" s="735">
        <v>375235.63253546186</v>
      </c>
      <c r="F993" s="735">
        <v>3404.128773874445</v>
      </c>
      <c r="H993" s="741">
        <v>991</v>
      </c>
      <c r="I993" s="735">
        <v>592.11244119315199</v>
      </c>
      <c r="J993">
        <f t="shared" si="30"/>
        <v>3404.128773874445</v>
      </c>
      <c r="K993" s="735">
        <v>15922.55841</v>
      </c>
      <c r="L993">
        <f t="shared" si="30"/>
        <v>375235.63253546186</v>
      </c>
      <c r="M993" s="742">
        <v>16891.925749999999</v>
      </c>
      <c r="N993">
        <f t="shared" si="31"/>
        <v>408291.40156010771</v>
      </c>
    </row>
    <row r="994" spans="1:14" ht="15.5" x14ac:dyDescent="0.35">
      <c r="A994">
        <v>494.67250100253398</v>
      </c>
      <c r="B994">
        <v>90.868078389253199</v>
      </c>
      <c r="C994">
        <v>10380.758233952</v>
      </c>
      <c r="D994" s="735">
        <v>16943.993408209306</v>
      </c>
      <c r="E994" s="735">
        <v>63257.250259925881</v>
      </c>
      <c r="F994" s="735">
        <v>68.909268410161459</v>
      </c>
      <c r="H994" s="741">
        <v>992</v>
      </c>
      <c r="I994" s="735">
        <v>38.618406301245798</v>
      </c>
      <c r="J994">
        <f t="shared" si="30"/>
        <v>68.909268410161459</v>
      </c>
      <c r="K994" s="735">
        <v>4579.069305</v>
      </c>
      <c r="L994">
        <f t="shared" si="30"/>
        <v>63257.250259925881</v>
      </c>
      <c r="M994" s="742">
        <v>1821.0045950000001</v>
      </c>
      <c r="N994">
        <f t="shared" si="31"/>
        <v>16943.993408209306</v>
      </c>
    </row>
    <row r="995" spans="1:14" ht="15.5" x14ac:dyDescent="0.35">
      <c r="A995">
        <v>33.756171652131201</v>
      </c>
      <c r="B995">
        <v>81.706321300159303</v>
      </c>
      <c r="C995">
        <v>41608.5057312137</v>
      </c>
      <c r="D995" s="735">
        <v>259162.65013402476</v>
      </c>
      <c r="E995" s="735">
        <v>7707.2845527056252</v>
      </c>
      <c r="F995" s="735">
        <v>120.50281991939987</v>
      </c>
      <c r="H995" s="741">
        <v>993</v>
      </c>
      <c r="I995" s="735">
        <v>57.108144146803703</v>
      </c>
      <c r="J995">
        <f t="shared" si="30"/>
        <v>120.50281991939987</v>
      </c>
      <c r="K995" s="735">
        <v>1049.134033</v>
      </c>
      <c r="L995">
        <f t="shared" si="30"/>
        <v>7707.2845527056252</v>
      </c>
      <c r="M995" s="742">
        <v>12288.55135</v>
      </c>
      <c r="N995">
        <f t="shared" si="31"/>
        <v>259162.65013402476</v>
      </c>
    </row>
    <row r="996" spans="1:14" ht="15.5" x14ac:dyDescent="0.35">
      <c r="A996">
        <v>2259.6658552212898</v>
      </c>
      <c r="B996">
        <v>51.339651871821999</v>
      </c>
      <c r="C996">
        <v>79.730573200418206</v>
      </c>
      <c r="D996" s="735">
        <v>9981.6382431109196</v>
      </c>
      <c r="E996" s="735">
        <v>736.34581616538458</v>
      </c>
      <c r="F996" s="735">
        <v>197.64964501437947</v>
      </c>
      <c r="H996" s="741">
        <v>994</v>
      </c>
      <c r="I996" s="735">
        <v>80.747154532553495</v>
      </c>
      <c r="J996">
        <f t="shared" si="30"/>
        <v>197.64964501437947</v>
      </c>
      <c r="K996" s="735">
        <v>202.74832570000001</v>
      </c>
      <c r="L996">
        <f t="shared" si="30"/>
        <v>736.34581616538458</v>
      </c>
      <c r="M996" s="742">
        <v>1257.30684</v>
      </c>
      <c r="N996">
        <f t="shared" si="31"/>
        <v>9981.6382431109196</v>
      </c>
    </row>
    <row r="997" spans="1:14" ht="15.5" x14ac:dyDescent="0.35">
      <c r="A997">
        <v>801.185246073607</v>
      </c>
      <c r="B997">
        <v>61.910509285921897</v>
      </c>
      <c r="C997">
        <v>321.88905028169103</v>
      </c>
      <c r="D997" s="735">
        <v>42742.759929054846</v>
      </c>
      <c r="E997" s="735">
        <v>7633.0190357693346</v>
      </c>
      <c r="F997" s="735">
        <v>42.534201096816084</v>
      </c>
      <c r="H997" s="741">
        <v>995</v>
      </c>
      <c r="I997" s="735">
        <v>27.549695053419601</v>
      </c>
      <c r="J997">
        <f t="shared" si="30"/>
        <v>42.534201096816084</v>
      </c>
      <c r="K997" s="735">
        <v>1042.0473219999999</v>
      </c>
      <c r="L997">
        <f t="shared" si="30"/>
        <v>7633.0190357693346</v>
      </c>
      <c r="M997" s="742">
        <v>3480.1967169999998</v>
      </c>
      <c r="N997">
        <f t="shared" si="31"/>
        <v>42742.759929054846</v>
      </c>
    </row>
    <row r="998" spans="1:14" ht="15.5" x14ac:dyDescent="0.35">
      <c r="A998">
        <v>598.507944771692</v>
      </c>
      <c r="B998">
        <v>14.662863611116</v>
      </c>
      <c r="C998">
        <v>390.50491799670402</v>
      </c>
      <c r="D998" s="735">
        <v>27441.724149392034</v>
      </c>
      <c r="E998" s="735">
        <v>1415.1229141257506</v>
      </c>
      <c r="F998" s="735">
        <v>8.8934935279973129</v>
      </c>
      <c r="H998" s="741">
        <v>996</v>
      </c>
      <c r="I998" s="735">
        <v>9.2119309795052509</v>
      </c>
      <c r="J998">
        <f t="shared" si="30"/>
        <v>8.8934935279973129</v>
      </c>
      <c r="K998" s="735">
        <v>320.29924449999999</v>
      </c>
      <c r="L998">
        <f t="shared" si="30"/>
        <v>1415.1229141257506</v>
      </c>
      <c r="M998" s="742">
        <v>2552.0429319999998</v>
      </c>
      <c r="N998">
        <f t="shared" si="31"/>
        <v>27441.724149392034</v>
      </c>
    </row>
    <row r="999" spans="1:14" ht="15.5" x14ac:dyDescent="0.35">
      <c r="A999">
        <v>347.88105616007198</v>
      </c>
      <c r="B999">
        <v>3925.34609111595</v>
      </c>
      <c r="C999">
        <v>353.41924139140201</v>
      </c>
      <c r="D999" s="735">
        <v>95668.204806296533</v>
      </c>
      <c r="E999" s="735">
        <v>3227.3486004462775</v>
      </c>
      <c r="F999" s="735">
        <v>11149.52242104263</v>
      </c>
      <c r="H999" s="741">
        <v>997</v>
      </c>
      <c r="I999" s="735">
        <v>1358.56175837363</v>
      </c>
      <c r="J999">
        <f t="shared" si="30"/>
        <v>11149.52242104263</v>
      </c>
      <c r="K999" s="735">
        <v>570.41654610000001</v>
      </c>
      <c r="L999">
        <f t="shared" si="30"/>
        <v>3227.3486004462775</v>
      </c>
      <c r="M999" s="742">
        <v>6116.9838970000001</v>
      </c>
      <c r="N999">
        <f t="shared" si="31"/>
        <v>95668.204806296533</v>
      </c>
    </row>
    <row r="1000" spans="1:14" ht="15.5" x14ac:dyDescent="0.35">
      <c r="A1000">
        <v>1342.79362635702</v>
      </c>
      <c r="B1000">
        <v>553.24551725737399</v>
      </c>
      <c r="C1000">
        <v>1664.78801509662</v>
      </c>
      <c r="D1000" s="735">
        <v>16934.738651553562</v>
      </c>
      <c r="E1000" s="735">
        <v>46218.535016354093</v>
      </c>
      <c r="F1000" s="735">
        <v>832.58083322315144</v>
      </c>
      <c r="H1000" s="741">
        <v>998</v>
      </c>
      <c r="I1000" s="735">
        <v>220.952279375149</v>
      </c>
      <c r="J1000">
        <f t="shared" si="30"/>
        <v>832.58083322315144</v>
      </c>
      <c r="K1000" s="735">
        <v>3675.9646210000001</v>
      </c>
      <c r="L1000">
        <f t="shared" si="30"/>
        <v>46218.535016354093</v>
      </c>
      <c r="M1000" s="742">
        <v>1820.308299</v>
      </c>
      <c r="N1000">
        <f t="shared" si="31"/>
        <v>16934.738651553562</v>
      </c>
    </row>
    <row r="1001" spans="1:14" ht="15.5" x14ac:dyDescent="0.35">
      <c r="A1001">
        <v>56.080189058281903</v>
      </c>
      <c r="B1001">
        <v>46.548145613685797</v>
      </c>
      <c r="C1001">
        <v>58567.361271866503</v>
      </c>
      <c r="D1001" s="735">
        <v>23138.427421574259</v>
      </c>
      <c r="E1001" s="735">
        <v>2688.5792570170861</v>
      </c>
      <c r="F1001" s="735">
        <v>107.45559223243761</v>
      </c>
      <c r="H1001" s="741">
        <v>999</v>
      </c>
      <c r="I1001" s="735">
        <v>52.706031282852898</v>
      </c>
      <c r="J1001">
        <f t="shared" si="30"/>
        <v>107.45559223243761</v>
      </c>
      <c r="K1001" s="735">
        <v>501.9563938</v>
      </c>
      <c r="L1001">
        <f t="shared" si="30"/>
        <v>2688.5792570170861</v>
      </c>
      <c r="M1001" s="742">
        <v>2264.8199789999999</v>
      </c>
      <c r="N1001">
        <f t="shared" si="31"/>
        <v>23138.427421574259</v>
      </c>
    </row>
    <row r="1002" spans="1:14" ht="15.5" x14ac:dyDescent="0.35">
      <c r="A1002">
        <v>324.78014332318401</v>
      </c>
      <c r="B1002">
        <v>231.814872309853</v>
      </c>
      <c r="C1002">
        <v>216.29225367217799</v>
      </c>
      <c r="D1002" s="735">
        <v>42354.169350381519</v>
      </c>
      <c r="E1002" s="735">
        <v>16051.290088548765</v>
      </c>
      <c r="F1002" s="735">
        <v>819.20593371689415</v>
      </c>
      <c r="H1002" s="741">
        <v>1000</v>
      </c>
      <c r="I1002" s="735">
        <v>218.46162639244201</v>
      </c>
      <c r="J1002">
        <f t="shared" si="30"/>
        <v>819.20593371689415</v>
      </c>
      <c r="K1002" s="735">
        <v>1753.302938</v>
      </c>
      <c r="L1002">
        <f t="shared" si="30"/>
        <v>16051.290088548765</v>
      </c>
      <c r="M1002" s="742">
        <v>3458.0185459999998</v>
      </c>
      <c r="N1002">
        <f t="shared" si="31"/>
        <v>42354.169350381519</v>
      </c>
    </row>
    <row r="1003" spans="1:14" x14ac:dyDescent="0.3">
      <c r="D1003" s="735"/>
      <c r="E1003" s="735"/>
      <c r="F1003" s="735"/>
    </row>
  </sheetData>
  <mergeCells count="3">
    <mergeCell ref="I1:J1"/>
    <mergeCell ref="K1:L1"/>
    <mergeCell ref="M1: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AAD36-6611-46EA-8A48-35C95DE4B5DF}">
  <dimension ref="A2:J18"/>
  <sheetViews>
    <sheetView workbookViewId="0">
      <selection activeCell="E21" sqref="E21"/>
    </sheetView>
  </sheetViews>
  <sheetFormatPr defaultRowHeight="13" x14ac:dyDescent="0.3"/>
  <cols>
    <col min="1" max="1" width="13.296875" customWidth="1"/>
  </cols>
  <sheetData>
    <row r="2" spans="1:10" x14ac:dyDescent="0.3">
      <c r="A2" t="s">
        <v>1663</v>
      </c>
      <c r="B2" t="s">
        <v>2597</v>
      </c>
      <c r="D2" s="732" t="s">
        <v>2599</v>
      </c>
      <c r="E2" s="728" t="str">
        <f ca="1">"HEIGHT.aL in "&amp;CELL("address",$B$3)</f>
        <v>HEIGHT.aL in $B$3</v>
      </c>
      <c r="F2" s="728" t="str">
        <f ca="1">"HEIGHT.aR in "&amp;CELL("address",$B$4)</f>
        <v>HEIGHT.aR in $B$4</v>
      </c>
      <c r="G2" s="728" t="str">
        <f ca="1">"HEIGHT.aC in "&amp;CELL("address",$B$5)</f>
        <v>HEIGHT.aC in $B$5</v>
      </c>
      <c r="H2" s="728" t="str">
        <f ca="1">"WINDspeed.L in "&amp;CELL("address",$B$6)</f>
        <v>WINDspeed.L in $B$6</v>
      </c>
      <c r="I2" s="728" t="str">
        <f ca="1">"WINDspeed.R in "&amp;CELL("address",$B$7)</f>
        <v>WINDspeed.R in $B$7</v>
      </c>
      <c r="J2" s="729" t="str">
        <f ca="1">"WINDspeed.C in "&amp;CELL("address",$B$8)</f>
        <v>WINDspeed.C in $B$8</v>
      </c>
    </row>
    <row r="3" spans="1:10" x14ac:dyDescent="0.3">
      <c r="A3" t="s">
        <v>2040</v>
      </c>
      <c r="B3" cm="1">
        <f t="array" aca="1" ref="B3" ca="1">_xll.RiskTriang(77,400,1338,_xll.RiskName(A3),_xll.RiskCorrmat(NewMatrix1,1))</f>
        <v>641.95699671876037</v>
      </c>
      <c r="D3" s="730" t="str">
        <f ca="1">"HEIGHT.aL in "&amp;CELL("address",$B$3)</f>
        <v>HEIGHT.aL in $B$3</v>
      </c>
      <c r="E3" s="724">
        <v>1</v>
      </c>
      <c r="F3" s="724"/>
      <c r="G3" s="724"/>
      <c r="H3" s="724"/>
      <c r="I3" s="724"/>
      <c r="J3" s="725"/>
    </row>
    <row r="4" spans="1:10" x14ac:dyDescent="0.3">
      <c r="A4" t="s">
        <v>1188</v>
      </c>
      <c r="B4" cm="1">
        <f t="array" aca="1" ref="B4" ca="1">_xll.RiskTriang(77,400,1338,_xll.RiskName(A4),_xll.RiskCorrmat(NewMatrix1,2))</f>
        <v>543.60601933770113</v>
      </c>
      <c r="D4" s="730" t="str">
        <f ca="1">"HEIGHT.aR in "&amp;CELL("address",$B$4)</f>
        <v>HEIGHT.aR in $B$4</v>
      </c>
      <c r="E4" s="724">
        <v>0.85</v>
      </c>
      <c r="F4" s="724">
        <v>1</v>
      </c>
      <c r="G4" s="724"/>
      <c r="H4" s="724"/>
      <c r="I4" s="724"/>
      <c r="J4" s="725"/>
    </row>
    <row r="5" spans="1:10" x14ac:dyDescent="0.3">
      <c r="A5" t="s">
        <v>103</v>
      </c>
      <c r="B5" cm="1">
        <f t="array" aca="1" ref="B5" ca="1">_xll.RiskTriang(77,400,1338,_xll.RiskName(A5),_xll.RiskCorrmat(NewMatrix1,3))</f>
        <v>251.88202315384237</v>
      </c>
      <c r="D5" s="730" t="str">
        <f ca="1">"HEIGHT.aC in "&amp;CELL("address",$B$5)</f>
        <v>HEIGHT.aC in $B$5</v>
      </c>
      <c r="E5" s="724">
        <v>0.85</v>
      </c>
      <c r="F5" s="724">
        <v>0.85</v>
      </c>
      <c r="G5" s="724">
        <v>1</v>
      </c>
      <c r="H5" s="724"/>
      <c r="I5" s="724"/>
      <c r="J5" s="725"/>
    </row>
    <row r="6" spans="1:10" x14ac:dyDescent="0.3">
      <c r="A6" t="s">
        <v>2060</v>
      </c>
      <c r="B6" s="253" cm="1">
        <f t="array" aca="1" ref="B6" ca="1">_xll.RiskPert(0,5.1,18,_xll.RiskName(A6),_xll.RiskStatic(4.65),_xll.RiskCorrmat(NewMatrix1,4))</f>
        <v>7.5915949970912964</v>
      </c>
      <c r="D6" s="730" t="str">
        <f ca="1">"WINDspeed.L in "&amp;CELL("address",$B$6)</f>
        <v>WINDspeed.L in $B$6</v>
      </c>
      <c r="E6" s="724">
        <v>0.85</v>
      </c>
      <c r="F6" s="724">
        <v>0.85</v>
      </c>
      <c r="G6" s="724">
        <v>0.85</v>
      </c>
      <c r="H6" s="724">
        <v>1</v>
      </c>
      <c r="I6" s="724"/>
      <c r="J6" s="725"/>
    </row>
    <row r="7" spans="1:10" x14ac:dyDescent="0.3">
      <c r="A7" t="s">
        <v>101</v>
      </c>
      <c r="B7" s="253" cm="1">
        <f t="array" aca="1" ref="B7" ca="1">_xll.RiskPert(0,5.1,18,_xll.RiskName(A7),_xll.RiskStatic(4.65),_xll.RiskCorrmat(NewMatrix1,5))</f>
        <v>1.3489437362390282</v>
      </c>
      <c r="D7" s="730" t="str">
        <f ca="1">"WINDspeed.R in "&amp;CELL("address",$B$7)</f>
        <v>WINDspeed.R in $B$7</v>
      </c>
      <c r="E7" s="724">
        <v>0.85</v>
      </c>
      <c r="F7" s="724">
        <v>0.85</v>
      </c>
      <c r="G7" s="724">
        <v>0.85</v>
      </c>
      <c r="H7" s="724">
        <v>0.85</v>
      </c>
      <c r="I7" s="724">
        <v>1</v>
      </c>
      <c r="J7" s="725"/>
    </row>
    <row r="8" spans="1:10" x14ac:dyDescent="0.3">
      <c r="A8" t="s">
        <v>782</v>
      </c>
      <c r="B8" s="253" cm="1">
        <f t="array" aca="1" ref="B8" ca="1">_xll.RiskPert(0,5.1,18,_xll.RiskName(A8),_xll.RiskStatic(4.65),_xll.RiskCorrmat(NewMatrix1,6))</f>
        <v>6.6166749111169691</v>
      </c>
      <c r="D8" s="731" t="str">
        <f ca="1">"WINDspeed.C in "&amp;CELL("address",$B$8)</f>
        <v>WINDspeed.C in $B$8</v>
      </c>
      <c r="E8" s="726">
        <v>0.85</v>
      </c>
      <c r="F8" s="726">
        <v>0.85</v>
      </c>
      <c r="G8" s="726">
        <v>0.85</v>
      </c>
      <c r="H8" s="726">
        <v>0.85</v>
      </c>
      <c r="I8" s="726">
        <v>0.85</v>
      </c>
      <c r="J8" s="727">
        <v>1</v>
      </c>
    </row>
    <row r="10" spans="1:10" x14ac:dyDescent="0.3">
      <c r="D10" s="732" t="s">
        <v>2599</v>
      </c>
      <c r="E10" s="728" t="str">
        <f ca="1">"TEMP.L in "&amp;CELL("address",$B$11)</f>
        <v>TEMP.L in $B$11</v>
      </c>
      <c r="F10" s="728" t="str">
        <f ca="1">"TEMP.R in "&amp;CELL("address",$B$12)</f>
        <v>TEMP.R in $B$12</v>
      </c>
      <c r="G10" s="729" t="str">
        <f ca="1">"TEMP.C in "&amp;CELL("address",$B$13)</f>
        <v>TEMP.C in $B$13</v>
      </c>
    </row>
    <row r="11" spans="1:10" x14ac:dyDescent="0.3">
      <c r="A11" t="s">
        <v>2598</v>
      </c>
      <c r="B11" cm="1">
        <f t="array" aca="1" ref="B11" ca="1">_xll.RiskTriang(-10,12,35,_xll.RiskName(A11),_xll.RiskCorrmat(NewMatrix2,1))</f>
        <v>12.774370555063886</v>
      </c>
      <c r="D11" s="730" t="str">
        <f ca="1">"TEMP.L in "&amp;CELL("address",$B$11)</f>
        <v>TEMP.L in $B$11</v>
      </c>
      <c r="E11" s="724">
        <v>1</v>
      </c>
      <c r="F11" s="724"/>
      <c r="G11" s="725"/>
    </row>
    <row r="12" spans="1:10" x14ac:dyDescent="0.3">
      <c r="A12" t="s">
        <v>102</v>
      </c>
      <c r="B12" cm="1">
        <f t="array" aca="1" ref="B12" ca="1">_xll.RiskTriang(-10,12,35,_xll.RiskName(A12),_xll.RiskCorrmat(NewMatrix2,2))</f>
        <v>26.144339001823425</v>
      </c>
      <c r="D12" s="730" t="str">
        <f ca="1">"TEMP.R in "&amp;CELL("address",$B$12)</f>
        <v>TEMP.R in $B$12</v>
      </c>
      <c r="E12" s="724">
        <v>0.9</v>
      </c>
      <c r="F12" s="724">
        <v>1</v>
      </c>
      <c r="G12" s="725"/>
    </row>
    <row r="13" spans="1:10" x14ac:dyDescent="0.3">
      <c r="A13" t="s">
        <v>1101</v>
      </c>
      <c r="B13" cm="1">
        <f t="array" aca="1" ref="B13" ca="1">_xll.RiskTriang(-10,12,35,_xll.RiskName(A13),_xll.RiskCorrmat(NewMatrix2,3))</f>
        <v>9.0992948237771145</v>
      </c>
      <c r="D13" s="731" t="str">
        <f ca="1">"TEMP.C in "&amp;CELL("address",$B$13)</f>
        <v>TEMP.C in $B$13</v>
      </c>
      <c r="E13" s="726">
        <v>0.9</v>
      </c>
      <c r="F13" s="726">
        <v>0.9</v>
      </c>
      <c r="G13" s="727">
        <v>1</v>
      </c>
    </row>
    <row r="15" spans="1:10" x14ac:dyDescent="0.3">
      <c r="D15" s="732" t="s">
        <v>2599</v>
      </c>
      <c r="E15" s="728" t="str">
        <f ca="1">"RAINrate.L in "&amp;CELL("address",$B$16)</f>
        <v>RAINrate.L in $B$16</v>
      </c>
      <c r="F15" s="728" t="str">
        <f ca="1">"RAINrate.R in "&amp;CELL("address",$B$17)</f>
        <v>RAINrate.R in $B$17</v>
      </c>
      <c r="G15" s="729" t="str">
        <f ca="1">"RAINrate.C in "&amp;CELL("address",$B$18)</f>
        <v>RAINrate.C in $B$18</v>
      </c>
    </row>
    <row r="16" spans="1:10" x14ac:dyDescent="0.3">
      <c r="A16" t="s">
        <v>2136</v>
      </c>
      <c r="B16" cm="1">
        <f t="array" aca="1" ref="B16" ca="1">_xll.RiskPert(350,700,2400,_xll.RiskName(A16),_xll.RiskCorrmat(NewMatrix3,1))</f>
        <v>541.48640233781805</v>
      </c>
      <c r="D16" s="730" t="str">
        <f ca="1">"RAINrate.L in "&amp;CELL("address",$B$16)</f>
        <v>RAINrate.L in $B$16</v>
      </c>
      <c r="E16" s="724">
        <v>1</v>
      </c>
      <c r="F16" s="724"/>
      <c r="G16" s="725"/>
    </row>
    <row r="17" spans="1:7" x14ac:dyDescent="0.3">
      <c r="A17" t="s">
        <v>114</v>
      </c>
      <c r="B17" cm="1">
        <f t="array" aca="1" ref="B17" ca="1">_xll.RiskPert(350,700,2400,_xll.RiskName(A17),_xll.RiskCorrmat(NewMatrix3,2))</f>
        <v>1510.6734618231249</v>
      </c>
      <c r="D17" s="730" t="str">
        <f ca="1">"RAINrate.R in "&amp;CELL("address",$B$17)</f>
        <v>RAINrate.R in $B$17</v>
      </c>
      <c r="E17" s="724">
        <v>0.85</v>
      </c>
      <c r="F17" s="724">
        <v>1</v>
      </c>
      <c r="G17" s="725"/>
    </row>
    <row r="18" spans="1:7" x14ac:dyDescent="0.3">
      <c r="A18" t="s">
        <v>1056</v>
      </c>
      <c r="B18" cm="1">
        <f t="array" aca="1" ref="B18" ca="1">_xll.RiskPert(350,700,2400,_xll.RiskName(A18),_xll.RiskCorrmat(NewMatrix3,3))</f>
        <v>753.19346583795152</v>
      </c>
      <c r="D18" s="731" t="str">
        <f ca="1">"RAINrate.C in "&amp;CELL("address",$B$18)</f>
        <v>RAINrate.C in $B$18</v>
      </c>
      <c r="E18" s="726">
        <v>0.85</v>
      </c>
      <c r="F18" s="726">
        <v>0.85</v>
      </c>
      <c r="G18" s="727">
        <v>1</v>
      </c>
    </row>
  </sheetData>
  <conditionalFormatting sqref="B7">
    <cfRule type="cellIs" dxfId="179" priority="30" operator="equal">
      <formula>0</formula>
    </cfRule>
  </conditionalFormatting>
  <conditionalFormatting sqref="B7">
    <cfRule type="cellIs" dxfId="178" priority="29" operator="equal">
      <formula>0</formula>
    </cfRule>
  </conditionalFormatting>
  <conditionalFormatting sqref="B6">
    <cfRule type="cellIs" dxfId="177" priority="25" operator="equal">
      <formula>0</formula>
    </cfRule>
  </conditionalFormatting>
  <conditionalFormatting sqref="B6">
    <cfRule type="cellIs" dxfId="176" priority="24" operator="equal">
      <formula>0</formula>
    </cfRule>
  </conditionalFormatting>
  <conditionalFormatting sqref="B8">
    <cfRule type="cellIs" dxfId="175" priority="20" operator="equal">
      <formula>0</formula>
    </cfRule>
  </conditionalFormatting>
  <conditionalFormatting sqref="B8">
    <cfRule type="cellIs" dxfId="174" priority="19" operator="equal">
      <formula>0</formula>
    </cfRule>
  </conditionalFormatting>
  <conditionalFormatting sqref="B3:B8 B11:B13 B16:B18">
    <cfRule type="expression" dxfId="173" priority="31" stopIfTrue="1">
      <formula>RiskColorCellsSimOutput</formula>
    </cfRule>
    <cfRule type="expression" dxfId="172" priority="32" stopIfTrue="1">
      <formula>RiskColorCellsSimInput</formula>
    </cfRule>
    <cfRule type="expression" dxfId="171" priority="33" stopIfTrue="1">
      <formula>RiskColorCellsSimStatistics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008000"/>
  </sheetPr>
  <dimension ref="A1:P138"/>
  <sheetViews>
    <sheetView topLeftCell="J37" zoomScale="85" zoomScaleNormal="85" workbookViewId="0">
      <selection activeCell="N60" sqref="N60"/>
    </sheetView>
  </sheetViews>
  <sheetFormatPr defaultRowHeight="13" x14ac:dyDescent="0.3"/>
  <cols>
    <col min="1" max="5" width="1.59765625" style="332" customWidth="1"/>
    <col min="6" max="6" width="60.59765625" style="332" customWidth="1"/>
    <col min="7" max="7" width="22.59765625" style="375" customWidth="1"/>
    <col min="8" max="8" width="10.59765625" style="375" customWidth="1"/>
    <col min="9" max="10" width="9.09765625" style="376" customWidth="1"/>
    <col min="11" max="11" width="9.09765625" style="377" customWidth="1"/>
    <col min="12" max="12" width="9.09765625" style="376" customWidth="1"/>
    <col min="13" max="13" width="11.59765625" style="332" customWidth="1"/>
    <col min="14" max="14" width="47.59765625" style="332" customWidth="1"/>
    <col min="15" max="15" width="5" style="332" customWidth="1"/>
  </cols>
  <sheetData>
    <row r="1" spans="1:15" x14ac:dyDescent="0.3">
      <c r="A1" s="482" t="s">
        <v>2024</v>
      </c>
      <c r="B1" s="379"/>
      <c r="C1" s="379"/>
      <c r="D1" s="379"/>
      <c r="E1" s="379"/>
      <c r="F1" s="379"/>
      <c r="G1" s="380"/>
      <c r="H1" s="380"/>
      <c r="I1" s="418"/>
      <c r="J1" s="418"/>
      <c r="K1" s="419"/>
      <c r="L1" s="420"/>
      <c r="M1" s="331"/>
      <c r="N1" s="331"/>
      <c r="O1" s="331"/>
    </row>
    <row r="2" spans="1:15" x14ac:dyDescent="0.3">
      <c r="A2" s="331"/>
      <c r="B2" s="331"/>
      <c r="C2" s="331"/>
      <c r="D2" s="331"/>
      <c r="E2" s="331"/>
      <c r="F2" s="331"/>
      <c r="G2" s="352"/>
      <c r="H2" s="352"/>
      <c r="I2" s="353"/>
      <c r="J2" s="353"/>
      <c r="K2" s="355"/>
      <c r="L2" s="354"/>
      <c r="M2" s="331"/>
      <c r="N2" s="331"/>
      <c r="O2" s="331"/>
    </row>
    <row r="3" spans="1:15" x14ac:dyDescent="0.3">
      <c r="A3" s="356" t="s">
        <v>1305</v>
      </c>
      <c r="B3" s="356"/>
      <c r="C3" s="356"/>
      <c r="D3" s="356"/>
      <c r="E3" s="356"/>
      <c r="F3" s="356"/>
      <c r="G3" s="357" t="s">
        <v>969</v>
      </c>
      <c r="H3" s="357" t="s">
        <v>929</v>
      </c>
      <c r="I3" s="358" t="s">
        <v>748</v>
      </c>
      <c r="J3" s="359" t="s">
        <v>29</v>
      </c>
      <c r="K3" s="190" t="s">
        <v>747</v>
      </c>
      <c r="L3" s="359" t="s">
        <v>1353</v>
      </c>
      <c r="M3" s="190"/>
      <c r="N3" s="357" t="s">
        <v>1366</v>
      </c>
      <c r="O3" s="331"/>
    </row>
    <row r="4" spans="1:15" x14ac:dyDescent="0.3">
      <c r="A4" s="331"/>
      <c r="B4" s="331"/>
      <c r="C4" s="331"/>
      <c r="D4" s="331"/>
      <c r="E4" s="331"/>
      <c r="F4" s="331"/>
      <c r="G4" s="352"/>
      <c r="H4" s="360"/>
      <c r="I4" s="353"/>
      <c r="J4" s="353"/>
      <c r="K4" s="355"/>
      <c r="L4" s="353"/>
      <c r="M4" s="355"/>
      <c r="N4" s="355"/>
      <c r="O4" s="331"/>
    </row>
    <row r="5" spans="1:15" ht="14.5" x14ac:dyDescent="0.3">
      <c r="A5" s="380" t="s">
        <v>1082</v>
      </c>
      <c r="B5" s="379"/>
      <c r="C5" s="379"/>
      <c r="D5" s="379"/>
      <c r="E5" s="379"/>
      <c r="F5" s="379"/>
      <c r="G5" s="381" t="s">
        <v>2025</v>
      </c>
      <c r="H5" s="380" t="s">
        <v>2416</v>
      </c>
      <c r="I5" s="409"/>
      <c r="J5" s="385"/>
      <c r="K5" s="385">
        <f ca="1">SYSTEMAREA.L*HEIGHT.aL</f>
        <v>10271311947.500166</v>
      </c>
      <c r="L5" s="386">
        <f ca="1">IF(ISBLANK(I5),IF(ISNUMBER(J5)=FALSE,K5,J5),I5)</f>
        <v>10271311947.500166</v>
      </c>
      <c r="M5" s="42" t="s">
        <v>2026</v>
      </c>
      <c r="N5" s="379"/>
      <c r="O5" s="331"/>
    </row>
    <row r="6" spans="1:15" ht="14.5" x14ac:dyDescent="0.3">
      <c r="A6" s="380" t="s">
        <v>2027</v>
      </c>
      <c r="B6" s="379"/>
      <c r="C6" s="379"/>
      <c r="D6" s="379"/>
      <c r="E6" s="379"/>
      <c r="F6" s="379"/>
      <c r="G6" s="381" t="s">
        <v>2028</v>
      </c>
      <c r="H6" s="380" t="s">
        <v>2416</v>
      </c>
      <c r="I6" s="409"/>
      <c r="J6" s="385"/>
      <c r="K6" s="385">
        <f ca="1">SYSTEMAREA.L*AREAFRAC.wL*DEPTH.wL</f>
        <v>3199273.0450335019</v>
      </c>
      <c r="L6" s="386">
        <f ca="1">IF(ISBLANK(I6),IF(ISNUMBER(J6)=FALSE,K6,J6),I6)</f>
        <v>3199273.0450335019</v>
      </c>
      <c r="M6" s="42" t="s">
        <v>2026</v>
      </c>
      <c r="N6" s="379"/>
      <c r="O6" s="331"/>
    </row>
    <row r="7" spans="1:15" s="351" customFormat="1" ht="15" x14ac:dyDescent="0.35">
      <c r="A7" s="670" t="s">
        <v>728</v>
      </c>
      <c r="B7" s="669"/>
      <c r="C7" s="669"/>
      <c r="D7" s="669"/>
      <c r="E7" s="669"/>
      <c r="F7" s="669"/>
      <c r="G7" s="702" t="s">
        <v>2569</v>
      </c>
      <c r="H7" s="670" t="s">
        <v>2416</v>
      </c>
      <c r="I7" s="671"/>
      <c r="J7" s="672"/>
      <c r="K7" s="672">
        <f ca="1">SYSTEMAREA.L*AREAFRAC.wL*DEPTH.sdL</f>
        <v>93688.416834340256</v>
      </c>
      <c r="L7" s="673">
        <f ca="1">IF(ISBLANK(I7),IF(ISNUMBER(J7)=FALSE,K7,J7),I7)</f>
        <v>93688.416834340256</v>
      </c>
      <c r="M7" s="674" t="s">
        <v>2570</v>
      </c>
      <c r="N7" s="669" t="s">
        <v>2582</v>
      </c>
      <c r="O7" s="675"/>
    </row>
    <row r="8" spans="1:15" ht="14.5" x14ac:dyDescent="0.3">
      <c r="A8" s="380" t="s">
        <v>2029</v>
      </c>
      <c r="B8" s="379"/>
      <c r="C8" s="379"/>
      <c r="D8" s="379"/>
      <c r="E8" s="379"/>
      <c r="F8" s="379"/>
      <c r="G8" s="381" t="s">
        <v>2030</v>
      </c>
      <c r="H8" s="380" t="s">
        <v>2416</v>
      </c>
      <c r="I8" s="409"/>
      <c r="J8" s="385"/>
      <c r="K8" s="385">
        <f>SYSTEMAREA.L*AREAFRAC.sL*DEPTH.sL</f>
        <v>1472000</v>
      </c>
      <c r="L8" s="386">
        <f>IF(ISBLANK(I8),IF(ISNUMBER(J8)=FALSE,K8,J8),I8)</f>
        <v>1472000</v>
      </c>
      <c r="M8" s="42" t="s">
        <v>2026</v>
      </c>
      <c r="N8" s="379"/>
      <c r="O8" s="331"/>
    </row>
    <row r="9" spans="1:15" ht="14.5" x14ac:dyDescent="0.3">
      <c r="A9" s="380"/>
      <c r="B9" s="380" t="s">
        <v>2031</v>
      </c>
      <c r="C9" s="379"/>
      <c r="D9" s="379"/>
      <c r="E9" s="379"/>
      <c r="F9" s="379"/>
      <c r="G9" s="381" t="s">
        <v>2032</v>
      </c>
      <c r="H9" s="380" t="s">
        <v>2417</v>
      </c>
      <c r="I9" s="409"/>
      <c r="J9" s="385"/>
      <c r="K9" s="385">
        <f>AREAland.L/1000000</f>
        <v>16</v>
      </c>
      <c r="L9" s="386">
        <f>IF(ISBLANK(I9),IF(ISNUMBER(J9)=FALSE,K9*1000000,J9*1000000),I9*1000000)</f>
        <v>16000000</v>
      </c>
      <c r="M9" s="42" t="s">
        <v>2033</v>
      </c>
      <c r="N9" s="379"/>
      <c r="O9" s="331"/>
    </row>
    <row r="10" spans="1:15" x14ac:dyDescent="0.3">
      <c r="A10" s="380"/>
      <c r="B10" s="380"/>
      <c r="C10" s="379" t="s">
        <v>2034</v>
      </c>
      <c r="D10" s="379"/>
      <c r="E10" s="379"/>
      <c r="F10" s="379"/>
      <c r="G10" s="381" t="s">
        <v>2035</v>
      </c>
      <c r="H10" s="380" t="s">
        <v>28</v>
      </c>
      <c r="I10" s="409"/>
      <c r="J10" s="385"/>
      <c r="K10" s="385">
        <v>54000</v>
      </c>
      <c r="L10" s="386">
        <f t="shared" ref="L10:L37" si="0">IF(ISBLANK(I10),IF(ISNUMBER(J10)=FALSE,K10,J10),I10)</f>
        <v>54000</v>
      </c>
      <c r="M10" s="42" t="s">
        <v>477</v>
      </c>
      <c r="N10" s="379"/>
      <c r="O10" s="331"/>
    </row>
    <row r="11" spans="1:15" x14ac:dyDescent="0.3">
      <c r="A11" s="380"/>
      <c r="B11" s="380" t="s">
        <v>2036</v>
      </c>
      <c r="C11" s="379"/>
      <c r="D11" s="379"/>
      <c r="E11" s="379"/>
      <c r="F11" s="379"/>
      <c r="G11" s="382" t="s">
        <v>2037</v>
      </c>
      <c r="H11" s="380" t="s">
        <v>28</v>
      </c>
      <c r="I11" s="409"/>
      <c r="J11" s="385"/>
      <c r="K11" s="385">
        <f>FRACwater.L</f>
        <v>0.08</v>
      </c>
      <c r="L11" s="386">
        <f t="shared" si="0"/>
        <v>0.08</v>
      </c>
      <c r="M11" s="42" t="s">
        <v>477</v>
      </c>
      <c r="N11" s="379"/>
      <c r="O11" s="331"/>
    </row>
    <row r="12" spans="1:15" x14ac:dyDescent="0.3">
      <c r="A12" s="380"/>
      <c r="B12" s="380" t="s">
        <v>2038</v>
      </c>
      <c r="C12" s="379"/>
      <c r="D12" s="379"/>
      <c r="E12" s="379"/>
      <c r="F12" s="379"/>
      <c r="G12" s="382" t="s">
        <v>2039</v>
      </c>
      <c r="H12" s="380" t="s">
        <v>28</v>
      </c>
      <c r="I12" s="409"/>
      <c r="J12" s="385"/>
      <c r="K12" s="385">
        <f>FRACsoil.L</f>
        <v>0.92</v>
      </c>
      <c r="L12" s="386">
        <f t="shared" si="0"/>
        <v>0.92</v>
      </c>
      <c r="M12" s="42" t="s">
        <v>477</v>
      </c>
      <c r="N12" s="379"/>
      <c r="O12" s="331"/>
    </row>
    <row r="13" spans="1:15" x14ac:dyDescent="0.3">
      <c r="A13" s="380"/>
      <c r="B13" s="380" t="s">
        <v>761</v>
      </c>
      <c r="C13" s="383"/>
      <c r="D13" s="383"/>
      <c r="E13" s="380"/>
      <c r="F13" s="379"/>
      <c r="G13" s="382" t="s">
        <v>2040</v>
      </c>
      <c r="H13" s="380" t="s">
        <v>713</v>
      </c>
      <c r="I13" s="409">
        <f ca="1">Correlations!B3</f>
        <v>641.95699671876037</v>
      </c>
      <c r="J13" s="385"/>
      <c r="K13" s="385">
        <v>1000</v>
      </c>
      <c r="L13" s="386">
        <f t="shared" ca="1" si="0"/>
        <v>641.95699671876037</v>
      </c>
      <c r="M13" s="42" t="s">
        <v>714</v>
      </c>
      <c r="N13" s="379"/>
      <c r="O13" s="331"/>
    </row>
    <row r="14" spans="1:15" x14ac:dyDescent="0.3">
      <c r="A14" s="380"/>
      <c r="B14" s="380" t="s">
        <v>2041</v>
      </c>
      <c r="C14" s="383"/>
      <c r="D14" s="383"/>
      <c r="E14" s="380"/>
      <c r="F14" s="379"/>
      <c r="G14" s="382" t="s">
        <v>2042</v>
      </c>
      <c r="H14" s="380" t="s">
        <v>713</v>
      </c>
      <c r="I14" s="409"/>
      <c r="J14" s="385"/>
      <c r="K14" s="385">
        <f ca="1">DEPTHwater.L</f>
        <v>2.4994320664324232</v>
      </c>
      <c r="L14" s="386">
        <f t="shared" ca="1" si="0"/>
        <v>2.4994320664324232</v>
      </c>
      <c r="M14" s="42" t="s">
        <v>714</v>
      </c>
      <c r="N14" s="379"/>
      <c r="O14" s="331"/>
    </row>
    <row r="15" spans="1:15" s="351" customFormat="1" x14ac:dyDescent="0.3">
      <c r="A15" s="670"/>
      <c r="B15" s="670" t="s">
        <v>2565</v>
      </c>
      <c r="C15" s="703"/>
      <c r="D15" s="703"/>
      <c r="E15" s="670"/>
      <c r="F15" s="669"/>
      <c r="G15" s="704" t="s">
        <v>2566</v>
      </c>
      <c r="H15" s="670" t="s">
        <v>715</v>
      </c>
      <c r="I15" s="671" cm="1">
        <f t="array" aca="1" ref="I15" ca="1">_xll.RiskTriang(1,3,10,_xll.RiskName(G15))</f>
        <v>7.319407565182833</v>
      </c>
      <c r="J15" s="672"/>
      <c r="K15" s="672">
        <v>3</v>
      </c>
      <c r="L15" s="673">
        <f ca="1">IF(ISBLANK(I15),IF(ISNUMBER(J15)=FALSE,K15/100,J15/100),I15/100)</f>
        <v>7.3194075651828325E-2</v>
      </c>
      <c r="M15" s="674" t="s">
        <v>714</v>
      </c>
      <c r="N15" s="669" t="s">
        <v>2582</v>
      </c>
      <c r="O15" s="675"/>
    </row>
    <row r="16" spans="1:15" x14ac:dyDescent="0.3">
      <c r="A16" s="380"/>
      <c r="B16" s="380" t="s">
        <v>2043</v>
      </c>
      <c r="C16" s="383"/>
      <c r="D16" s="383"/>
      <c r="E16" s="380"/>
      <c r="F16" s="379"/>
      <c r="G16" s="382" t="s">
        <v>2044</v>
      </c>
      <c r="H16" s="380" t="s">
        <v>713</v>
      </c>
      <c r="I16" s="409"/>
      <c r="J16" s="385"/>
      <c r="K16" s="410">
        <v>0.1</v>
      </c>
      <c r="L16" s="386">
        <f t="shared" si="0"/>
        <v>0.1</v>
      </c>
      <c r="M16" s="42" t="s">
        <v>714</v>
      </c>
      <c r="N16" s="379"/>
      <c r="O16" s="331"/>
    </row>
    <row r="17" spans="1:16" x14ac:dyDescent="0.3">
      <c r="A17" s="384"/>
      <c r="B17" s="384" t="s">
        <v>208</v>
      </c>
      <c r="C17" s="384"/>
      <c r="D17" s="384"/>
      <c r="E17" s="384"/>
      <c r="F17" s="384"/>
      <c r="G17" s="306" t="s">
        <v>2045</v>
      </c>
      <c r="H17" s="306" t="s">
        <v>716</v>
      </c>
      <c r="I17" s="411"/>
      <c r="J17" s="412" t="str">
        <f>IF(HLOOKUP(CaseName,CaseData,ROW()+161,FALSE)="","",HLOOKUP(CaseName,CaseData,ROW()+161,FALSE))</f>
        <v/>
      </c>
      <c r="K17" s="413">
        <v>1.9999999999999999E-11</v>
      </c>
      <c r="L17" s="386">
        <f t="shared" si="0"/>
        <v>1.9999999999999999E-11</v>
      </c>
      <c r="M17" s="42" t="s">
        <v>477</v>
      </c>
      <c r="N17" s="379"/>
      <c r="O17" s="331"/>
    </row>
    <row r="18" spans="1:16" x14ac:dyDescent="0.3">
      <c r="A18" s="384"/>
      <c r="B18" s="384" t="s">
        <v>209</v>
      </c>
      <c r="C18" s="384"/>
      <c r="D18" s="384"/>
      <c r="E18" s="384"/>
      <c r="F18" s="384"/>
      <c r="G18" s="306" t="s">
        <v>2046</v>
      </c>
      <c r="H18" s="306" t="s">
        <v>716</v>
      </c>
      <c r="I18" s="411"/>
      <c r="J18" s="412" t="str">
        <f>IF(HLOOKUP(CaseName,CaseData,ROW()+161,FALSE)="","",HLOOKUP(CaseName,CaseData,ROW()+161,FALSE))</f>
        <v/>
      </c>
      <c r="K18" s="413">
        <v>1.9999999999999999E-11</v>
      </c>
      <c r="L18" s="386">
        <f t="shared" si="0"/>
        <v>1.9999999999999999E-11</v>
      </c>
      <c r="M18" s="42" t="s">
        <v>477</v>
      </c>
      <c r="N18" s="379"/>
      <c r="O18" s="331"/>
    </row>
    <row r="19" spans="1:16" ht="13.5" customHeight="1" x14ac:dyDescent="0.3">
      <c r="A19" s="380"/>
      <c r="B19" s="380" t="s">
        <v>2047</v>
      </c>
      <c r="C19" s="383"/>
      <c r="D19" s="383"/>
      <c r="E19" s="380"/>
      <c r="F19" s="379"/>
      <c r="G19" s="382" t="s">
        <v>2048</v>
      </c>
      <c r="H19" s="380" t="s">
        <v>716</v>
      </c>
      <c r="I19" s="409"/>
      <c r="J19" s="385"/>
      <c r="K19" s="385">
        <v>0.2</v>
      </c>
      <c r="L19" s="386">
        <f t="shared" si="0"/>
        <v>0.2</v>
      </c>
      <c r="M19" s="42" t="s">
        <v>477</v>
      </c>
      <c r="N19" s="379"/>
      <c r="O19" s="331"/>
    </row>
    <row r="20" spans="1:16" s="351" customFormat="1" ht="13.5" customHeight="1" x14ac:dyDescent="0.3">
      <c r="A20" s="670"/>
      <c r="B20" s="703" t="s">
        <v>429</v>
      </c>
      <c r="C20" s="703"/>
      <c r="D20" s="703"/>
      <c r="E20" s="670"/>
      <c r="F20" s="669"/>
      <c r="G20" s="704" t="s">
        <v>2593</v>
      </c>
      <c r="H20" s="670" t="s">
        <v>716</v>
      </c>
      <c r="I20" s="671" cm="1">
        <f t="array" aca="1" ref="I20" ca="1">_xll.RiskTriang(0.5,0.8,0.999,_xll.RiskName(G20),_xll.RiskStatic(0.766333333333333))</f>
        <v>0.89526017105300415</v>
      </c>
      <c r="J20" s="672" t="s">
        <v>2588</v>
      </c>
      <c r="K20" s="672">
        <v>0.8</v>
      </c>
      <c r="L20" s="673">
        <f t="shared" ca="1" si="0"/>
        <v>0.89526017105300415</v>
      </c>
      <c r="M20" s="674" t="s">
        <v>477</v>
      </c>
      <c r="N20" s="669" t="s">
        <v>2596</v>
      </c>
      <c r="O20" s="675"/>
    </row>
    <row r="21" spans="1:16" s="351" customFormat="1" ht="13.5" customHeight="1" x14ac:dyDescent="0.3">
      <c r="A21" s="670"/>
      <c r="B21" s="703" t="s">
        <v>429</v>
      </c>
      <c r="C21" s="703"/>
      <c r="D21" s="703"/>
      <c r="E21" s="670"/>
      <c r="F21" s="669"/>
      <c r="G21" s="704" t="s">
        <v>2594</v>
      </c>
      <c r="H21" s="670" t="s">
        <v>716</v>
      </c>
      <c r="I21" s="671"/>
      <c r="J21" s="672" t="s">
        <v>2588</v>
      </c>
      <c r="K21" s="672">
        <f ca="1">1-FRACw.sdL</f>
        <v>0.10473982894699585</v>
      </c>
      <c r="L21" s="673">
        <f t="shared" ca="1" si="0"/>
        <v>0.10473982894699585</v>
      </c>
      <c r="M21" s="674" t="s">
        <v>477</v>
      </c>
      <c r="N21" s="669"/>
      <c r="O21" s="675"/>
    </row>
    <row r="22" spans="1:16" x14ac:dyDescent="0.3">
      <c r="A22" s="380"/>
      <c r="B22" s="380" t="s">
        <v>2049</v>
      </c>
      <c r="C22" s="383"/>
      <c r="D22" s="383"/>
      <c r="E22" s="380"/>
      <c r="F22" s="379"/>
      <c r="G22" s="382" t="s">
        <v>2050</v>
      </c>
      <c r="H22" s="380" t="s">
        <v>716</v>
      </c>
      <c r="I22" s="409" cm="1">
        <f t="array" aca="1" ref="I22" ca="1">_xll.RiskTriang(0.003,0.2,0.67,_xll.RiskName(G22))</f>
        <v>0.27588706292164389</v>
      </c>
      <c r="J22" s="385"/>
      <c r="K22" s="385">
        <v>0.2</v>
      </c>
      <c r="L22" s="386">
        <f t="shared" ca="1" si="0"/>
        <v>0.27588706292164389</v>
      </c>
      <c r="M22" s="42" t="s">
        <v>477</v>
      </c>
      <c r="N22" s="379"/>
      <c r="O22" s="331"/>
    </row>
    <row r="23" spans="1:16" x14ac:dyDescent="0.3">
      <c r="A23" s="380"/>
      <c r="B23" s="380" t="s">
        <v>2051</v>
      </c>
      <c r="C23" s="383"/>
      <c r="D23" s="383"/>
      <c r="E23" s="380"/>
      <c r="F23" s="379"/>
      <c r="G23" s="382" t="s">
        <v>2052</v>
      </c>
      <c r="H23" s="380" t="s">
        <v>716</v>
      </c>
      <c r="I23" s="409"/>
      <c r="J23" s="385"/>
      <c r="K23" s="385">
        <f ca="1">1-FRACa.sL-FRACw.sL</f>
        <v>0.52411293707835616</v>
      </c>
      <c r="L23" s="386">
        <f t="shared" ca="1" si="0"/>
        <v>0.52411293707835616</v>
      </c>
      <c r="M23" s="42" t="s">
        <v>477</v>
      </c>
      <c r="N23" s="379"/>
      <c r="O23" s="331"/>
    </row>
    <row r="24" spans="1:16" x14ac:dyDescent="0.3">
      <c r="A24" s="306"/>
      <c r="B24" s="384"/>
      <c r="C24" s="384"/>
      <c r="D24" s="384"/>
      <c r="E24" s="384"/>
      <c r="F24" s="384"/>
      <c r="G24" s="406"/>
      <c r="H24" s="306"/>
      <c r="I24" s="414"/>
      <c r="J24" s="415"/>
      <c r="K24" s="416"/>
      <c r="L24" s="416"/>
      <c r="M24" s="42"/>
      <c r="N24" s="384"/>
      <c r="O24" s="42"/>
    </row>
    <row r="25" spans="1:16" ht="14.5" x14ac:dyDescent="0.3">
      <c r="A25" s="306" t="s">
        <v>2053</v>
      </c>
      <c r="B25" s="384"/>
      <c r="C25" s="384"/>
      <c r="D25" s="384"/>
      <c r="E25" s="384"/>
      <c r="F25" s="384"/>
      <c r="G25" s="306" t="s">
        <v>2054</v>
      </c>
      <c r="H25" s="306" t="s">
        <v>2418</v>
      </c>
      <c r="I25" s="417"/>
      <c r="J25" s="412" t="str">
        <f>IF(HLOOKUP(CaseName,CaseData,ROW()+161,FALSE)="","",HLOOKUP(CaseName,CaseData,ROW()+161,FALSE))</f>
        <v/>
      </c>
      <c r="K25" s="413">
        <f ca="1">AIRflow.aL.aR/VOLUME.aL</f>
        <v>2.1415494099360842E-3</v>
      </c>
      <c r="L25" s="386">
        <f ca="1">IF(ISBLANK(I25),IF(ISNUMBER(J25)=FALSE,K25,J25),I25)</f>
        <v>2.1415494099360842E-3</v>
      </c>
      <c r="M25" s="38" t="s">
        <v>1515</v>
      </c>
      <c r="N25" s="384"/>
      <c r="O25" s="42"/>
      <c r="P25" s="135"/>
    </row>
    <row r="26" spans="1:16" ht="14.5" x14ac:dyDescent="0.3">
      <c r="A26" s="380"/>
      <c r="B26" s="379" t="s">
        <v>2055</v>
      </c>
      <c r="C26" s="383"/>
      <c r="D26" s="383"/>
      <c r="E26" s="383"/>
      <c r="F26" s="379"/>
      <c r="G26" s="381" t="s">
        <v>2056</v>
      </c>
      <c r="H26" s="380" t="s">
        <v>2419</v>
      </c>
      <c r="I26" s="417"/>
      <c r="J26" s="385"/>
      <c r="K26" s="385">
        <f ca="1">VOLUME.aL/TAU.aL</f>
        <v>21996522.040438432</v>
      </c>
      <c r="L26" s="386">
        <f t="shared" ca="1" si="0"/>
        <v>21996522.040438432</v>
      </c>
      <c r="M26" s="42" t="s">
        <v>2057</v>
      </c>
      <c r="N26" s="379"/>
      <c r="O26" s="331"/>
    </row>
    <row r="27" spans="1:16" x14ac:dyDescent="0.3">
      <c r="A27" s="380"/>
      <c r="B27" s="380"/>
      <c r="C27" s="380" t="s">
        <v>2058</v>
      </c>
      <c r="D27" s="379"/>
      <c r="E27" s="379"/>
      <c r="F27" s="379"/>
      <c r="G27" s="381" t="s">
        <v>2059</v>
      </c>
      <c r="H27" s="380" t="s">
        <v>717</v>
      </c>
      <c r="I27" s="417"/>
      <c r="J27" s="385"/>
      <c r="K27" s="385">
        <f ca="1">(SQRT(SYSTEMAREA.L*PI()/4)/WINDspeed.L)/(3600*24)</f>
        <v>5.4045328211313644E-3</v>
      </c>
      <c r="L27" s="386">
        <f ca="1">IF(ISBLANK(I27),IF(ISNUMBER(J27)=FALSE,K27*(24*3600),J27*(24*3600)),I27*(24*3600))</f>
        <v>466.95163574574985</v>
      </c>
      <c r="M27" s="42" t="s">
        <v>107</v>
      </c>
      <c r="N27" s="379"/>
      <c r="O27" s="331"/>
    </row>
    <row r="28" spans="1:16" ht="14.5" x14ac:dyDescent="0.3">
      <c r="A28" s="380"/>
      <c r="B28" s="380"/>
      <c r="C28" s="380"/>
      <c r="D28" s="383" t="s">
        <v>699</v>
      </c>
      <c r="E28" s="383"/>
      <c r="F28" s="379"/>
      <c r="G28" s="381" t="s">
        <v>2060</v>
      </c>
      <c r="H28" s="383" t="s">
        <v>2420</v>
      </c>
      <c r="I28" s="253">
        <f ca="1">Correlations!B6</f>
        <v>7.5915949970912964</v>
      </c>
      <c r="J28" s="385"/>
      <c r="K28" s="385">
        <v>3</v>
      </c>
      <c r="L28" s="386">
        <f t="shared" ca="1" si="0"/>
        <v>7.5915949970912964</v>
      </c>
      <c r="M28" s="42" t="s">
        <v>2061</v>
      </c>
      <c r="N28" s="379"/>
      <c r="O28" s="331"/>
    </row>
    <row r="29" spans="1:16" x14ac:dyDescent="0.3">
      <c r="A29" s="306"/>
      <c r="B29" s="384"/>
      <c r="C29" s="384"/>
      <c r="D29" s="384"/>
      <c r="E29" s="384"/>
      <c r="F29" s="384"/>
      <c r="G29" s="406"/>
      <c r="H29" s="306"/>
      <c r="I29" s="414"/>
      <c r="J29" s="415"/>
      <c r="K29" s="416"/>
      <c r="L29" s="416"/>
      <c r="M29" s="42"/>
      <c r="N29" s="384"/>
      <c r="O29" s="42"/>
    </row>
    <row r="30" spans="1:16" ht="14.5" x14ac:dyDescent="0.3">
      <c r="A30" s="306" t="s">
        <v>2062</v>
      </c>
      <c r="B30" s="384"/>
      <c r="C30" s="384"/>
      <c r="D30" s="384"/>
      <c r="E30" s="384"/>
      <c r="F30" s="384"/>
      <c r="G30" s="306" t="s">
        <v>2063</v>
      </c>
      <c r="H30" s="306" t="s">
        <v>2418</v>
      </c>
      <c r="I30" s="409"/>
      <c r="J30" s="412" t="str">
        <f>IF(HLOOKUP(CaseName,CaseData,ROW()+161,FALSE)="","",HLOOKUP(CaseName,CaseData,ROW()+161,FALSE))</f>
        <v/>
      </c>
      <c r="K30" s="413">
        <f ca="1">WATERflow.wL.w1R/VOLUME.wL</f>
        <v>1.9550844026194796E-8</v>
      </c>
      <c r="L30" s="386">
        <f ca="1">IF(ISBLANK(I30),IF(ISNUMBER(J30)=FALSE,K30,J30),I30)</f>
        <v>1.9550844026194796E-8</v>
      </c>
      <c r="M30" s="38" t="s">
        <v>1515</v>
      </c>
      <c r="N30" s="421"/>
      <c r="O30" s="42"/>
    </row>
    <row r="31" spans="1:16" ht="14.5" x14ac:dyDescent="0.3">
      <c r="A31" s="306" t="s">
        <v>2064</v>
      </c>
      <c r="B31" s="384"/>
      <c r="C31" s="384"/>
      <c r="D31" s="384"/>
      <c r="E31" s="384"/>
      <c r="F31" s="384"/>
      <c r="G31" s="306" t="s">
        <v>2065</v>
      </c>
      <c r="H31" s="306" t="s">
        <v>2418</v>
      </c>
      <c r="I31" s="409"/>
      <c r="J31" s="412" t="str">
        <f>IF(HLOOKUP(CaseName,CaseData,ROW()+161,FALSE)="","",HLOOKUP(CaseName,CaseData,ROW()+161,FALSE))</f>
        <v/>
      </c>
      <c r="K31" s="413">
        <f ca="1">WATERflow.wL.w2R/VOLUME.wL</f>
        <v>0</v>
      </c>
      <c r="L31" s="386">
        <f ca="1">IF(ISBLANK(I31),IF(ISNUMBER(J31)=FALSE,K31,J31),I31)</f>
        <v>0</v>
      </c>
      <c r="M31" s="38" t="s">
        <v>1515</v>
      </c>
      <c r="N31" s="384"/>
      <c r="O31" s="42"/>
    </row>
    <row r="32" spans="1:16" ht="14.5" x14ac:dyDescent="0.3">
      <c r="A32" s="380"/>
      <c r="B32" s="380" t="s">
        <v>2066</v>
      </c>
      <c r="C32" s="379"/>
      <c r="D32" s="383"/>
      <c r="E32" s="383"/>
      <c r="F32" s="379"/>
      <c r="G32" s="381" t="s">
        <v>2067</v>
      </c>
      <c r="H32" s="380" t="s">
        <v>2419</v>
      </c>
      <c r="I32" s="417"/>
      <c r="J32" s="385"/>
      <c r="K32" s="385">
        <f ca="1">(WATERflow.w1R.wL+RAINflow.aL.wL+WATERrun.sL)*FRAC.wL.w1R</f>
        <v>6.2548488300659275E-2</v>
      </c>
      <c r="L32" s="386">
        <f t="shared" ca="1" si="0"/>
        <v>6.2548488300659275E-2</v>
      </c>
      <c r="M32" s="42" t="s">
        <v>2057</v>
      </c>
      <c r="N32" s="379"/>
      <c r="O32" s="331"/>
    </row>
    <row r="33" spans="1:15" ht="14.5" x14ac:dyDescent="0.3">
      <c r="A33" s="380"/>
      <c r="B33" s="380" t="s">
        <v>2068</v>
      </c>
      <c r="C33" s="379"/>
      <c r="D33" s="383"/>
      <c r="E33" s="383"/>
      <c r="F33" s="379"/>
      <c r="G33" s="382" t="s">
        <v>2069</v>
      </c>
      <c r="H33" s="380" t="s">
        <v>2419</v>
      </c>
      <c r="I33" s="417"/>
      <c r="J33" s="385"/>
      <c r="K33" s="385">
        <f ca="1">(RAINflow.aL.wL+WATERrun.sL+WATERflow.w1R.wL)*(1-FRAC.wL.w1R)</f>
        <v>0</v>
      </c>
      <c r="L33" s="386">
        <f t="shared" ca="1" si="0"/>
        <v>0</v>
      </c>
      <c r="M33" s="42" t="s">
        <v>2057</v>
      </c>
      <c r="N33" s="379"/>
      <c r="O33" s="331"/>
    </row>
    <row r="34" spans="1:15" ht="14.5" x14ac:dyDescent="0.3">
      <c r="A34" s="306"/>
      <c r="B34" s="306"/>
      <c r="C34" s="306" t="s">
        <v>2070</v>
      </c>
      <c r="D34" s="384"/>
      <c r="E34" s="397"/>
      <c r="F34" s="397"/>
      <c r="G34" s="406" t="s">
        <v>2071</v>
      </c>
      <c r="H34" s="306" t="s">
        <v>2421</v>
      </c>
      <c r="I34" s="417"/>
      <c r="J34" s="412" t="str">
        <f>IF(HLOOKUP(CaseName,CaseData,ROW()+161,FALSE)="","",HLOOKUP(CaseName,CaseData,ROW()+161,FALSE))</f>
        <v/>
      </c>
      <c r="K34" s="413">
        <v>0</v>
      </c>
      <c r="L34" s="386">
        <f>IF(ISBLANK(I34),IF(ISNUMBER(J34)=FALSE,K34,J34),I34)</f>
        <v>0</v>
      </c>
      <c r="M34" s="38" t="s">
        <v>1596</v>
      </c>
      <c r="N34" s="379"/>
      <c r="O34" s="305"/>
    </row>
    <row r="35" spans="1:15" ht="14.5" x14ac:dyDescent="0.3">
      <c r="A35" s="380"/>
      <c r="B35" s="380"/>
      <c r="C35" s="379" t="s">
        <v>2072</v>
      </c>
      <c r="D35" s="383"/>
      <c r="E35" s="383"/>
      <c r="F35" s="379"/>
      <c r="G35" s="379" t="s">
        <v>2073</v>
      </c>
      <c r="H35" s="380" t="s">
        <v>2419</v>
      </c>
      <c r="I35" s="409"/>
      <c r="J35" s="385"/>
      <c r="K35" s="385">
        <f ca="1">RAINrate.L*SYSTEMAREA.L*AREAFRAC.wL</f>
        <v>2.1978139110616666E-2</v>
      </c>
      <c r="L35" s="386">
        <f t="shared" ca="1" si="0"/>
        <v>2.1978139110616666E-2</v>
      </c>
      <c r="M35" s="42" t="s">
        <v>2057</v>
      </c>
      <c r="N35" s="379"/>
      <c r="O35" s="331"/>
    </row>
    <row r="36" spans="1:15" ht="14.5" x14ac:dyDescent="0.3">
      <c r="A36" s="380"/>
      <c r="B36" s="380"/>
      <c r="C36" s="380" t="s">
        <v>2074</v>
      </c>
      <c r="D36" s="383"/>
      <c r="E36" s="383"/>
      <c r="F36" s="379"/>
      <c r="G36" s="379" t="s">
        <v>2075</v>
      </c>
      <c r="H36" s="380" t="s">
        <v>2419</v>
      </c>
      <c r="I36" s="409"/>
      <c r="J36" s="385"/>
      <c r="K36" s="385">
        <f ca="1">RAINrate.L*FRACrun.sL*SYSTEMAREA.L*(1-AREAFRAC.wL)</f>
        <v>4.0570349190042605E-2</v>
      </c>
      <c r="L36" s="386">
        <f t="shared" ca="1" si="0"/>
        <v>4.0570349190042605E-2</v>
      </c>
      <c r="M36" s="42" t="s">
        <v>2057</v>
      </c>
      <c r="N36" s="379"/>
      <c r="O36" s="331"/>
    </row>
    <row r="37" spans="1:15" x14ac:dyDescent="0.3">
      <c r="A37" s="380"/>
      <c r="B37" s="380"/>
      <c r="C37" s="379" t="s">
        <v>2076</v>
      </c>
      <c r="D37" s="383"/>
      <c r="E37" s="383"/>
      <c r="F37" s="379"/>
      <c r="G37" s="381" t="s">
        <v>2077</v>
      </c>
      <c r="H37" s="380" t="s">
        <v>28</v>
      </c>
      <c r="I37" s="409"/>
      <c r="J37" s="385"/>
      <c r="K37" s="385">
        <v>1</v>
      </c>
      <c r="L37" s="386">
        <f t="shared" si="0"/>
        <v>1</v>
      </c>
      <c r="M37" s="42" t="s">
        <v>477</v>
      </c>
      <c r="N37" s="379"/>
      <c r="O37" s="331"/>
    </row>
    <row r="38" spans="1:15" x14ac:dyDescent="0.3">
      <c r="A38" s="331"/>
      <c r="B38" s="331"/>
      <c r="C38" s="331"/>
      <c r="D38" s="331"/>
      <c r="E38" s="331"/>
      <c r="F38" s="331"/>
      <c r="G38" s="352"/>
      <c r="H38" s="360"/>
      <c r="I38" s="353"/>
      <c r="J38" s="353"/>
      <c r="K38" s="355"/>
      <c r="L38" s="353"/>
      <c r="M38" s="355"/>
      <c r="N38" s="355"/>
      <c r="O38" s="331"/>
    </row>
    <row r="39" spans="1:15" x14ac:dyDescent="0.3">
      <c r="A39" s="357" t="s">
        <v>201</v>
      </c>
      <c r="B39" s="356"/>
      <c r="C39" s="356"/>
      <c r="D39" s="356"/>
      <c r="E39" s="356"/>
      <c r="F39" s="356"/>
      <c r="G39" s="357" t="s">
        <v>969</v>
      </c>
      <c r="H39" s="357" t="s">
        <v>929</v>
      </c>
      <c r="I39" s="358" t="s">
        <v>748</v>
      </c>
      <c r="J39" s="359" t="s">
        <v>29</v>
      </c>
      <c r="K39" s="190" t="s">
        <v>747</v>
      </c>
      <c r="L39" s="359" t="s">
        <v>1353</v>
      </c>
      <c r="M39" s="190"/>
      <c r="N39" s="357" t="s">
        <v>1366</v>
      </c>
      <c r="O39" s="331"/>
    </row>
    <row r="40" spans="1:15" x14ac:dyDescent="0.3">
      <c r="A40" s="331"/>
      <c r="B40" s="331"/>
      <c r="C40" s="331"/>
      <c r="D40" s="331"/>
      <c r="E40" s="331"/>
      <c r="F40" s="331"/>
      <c r="G40" s="352"/>
      <c r="H40" s="360"/>
      <c r="I40" s="353"/>
      <c r="J40" s="353"/>
      <c r="K40" s="355"/>
      <c r="L40" s="353"/>
      <c r="M40" s="355"/>
      <c r="N40" s="355"/>
      <c r="O40" s="331"/>
    </row>
    <row r="41" spans="1:15" s="351" customFormat="1" x14ac:dyDescent="0.3">
      <c r="A41" s="669"/>
      <c r="B41" s="670" t="s">
        <v>947</v>
      </c>
      <c r="C41" s="670"/>
      <c r="D41" s="670"/>
      <c r="E41" s="670"/>
      <c r="F41" s="670"/>
      <c r="G41" s="670" t="s">
        <v>2078</v>
      </c>
      <c r="H41" s="670" t="s">
        <v>28</v>
      </c>
      <c r="I41" s="671">
        <f ca="1">IF(K41&lt;0,0,K41)</f>
        <v>9.6594482412726279E-11</v>
      </c>
      <c r="J41" s="672"/>
      <c r="K41" s="672">
        <f ca="1">1-FRaerw.aL-FRaers.aL</f>
        <v>9.6594482412726279E-11</v>
      </c>
      <c r="L41" s="673">
        <f t="shared" ref="L41:L50" ca="1" si="1">IF(ISBLANK(I41),IF(ISNUMBER(J41)=FALSE,K41,J41),I41)</f>
        <v>9.6594482412726279E-11</v>
      </c>
      <c r="M41" s="674" t="s">
        <v>477</v>
      </c>
      <c r="N41" s="675" t="s">
        <v>2660</v>
      </c>
      <c r="O41" s="675"/>
    </row>
    <row r="42" spans="1:15" x14ac:dyDescent="0.3">
      <c r="A42" s="384"/>
      <c r="B42" s="384" t="s">
        <v>609</v>
      </c>
      <c r="C42" s="384"/>
      <c r="D42" s="384"/>
      <c r="E42" s="384"/>
      <c r="F42" s="384"/>
      <c r="G42" s="384" t="s">
        <v>2079</v>
      </c>
      <c r="H42" s="384" t="s">
        <v>28</v>
      </c>
      <c r="I42" s="422"/>
      <c r="J42" s="412" t="str">
        <f>IF(HLOOKUP(CaseName,CaseData,ROW()+161,FALSE)="","",HLOOKUP(CaseName,CaseData,ROW()+161,FALSE))</f>
        <v/>
      </c>
      <c r="K42" s="423">
        <f ca="1">FRACaerw.aL*Kaerw.aL/(1+FRACaerw.aL*Kaerw.aL+FRACaers.aL*Kaers.aL)</f>
        <v>0.76044446096058116</v>
      </c>
      <c r="L42" s="386">
        <f t="shared" ca="1" si="1"/>
        <v>0.76044446096058116</v>
      </c>
      <c r="M42" s="42" t="s">
        <v>477</v>
      </c>
      <c r="N42" s="331"/>
      <c r="O42" s="331"/>
    </row>
    <row r="43" spans="1:15" x14ac:dyDescent="0.3">
      <c r="A43" s="384"/>
      <c r="B43" s="384" t="s">
        <v>610</v>
      </c>
      <c r="C43" s="384"/>
      <c r="D43" s="384"/>
      <c r="E43" s="384"/>
      <c r="F43" s="384"/>
      <c r="G43" s="384" t="s">
        <v>2080</v>
      </c>
      <c r="H43" s="384" t="s">
        <v>28</v>
      </c>
      <c r="I43" s="422"/>
      <c r="J43" s="412" t="str">
        <f>IF(HLOOKUP(CaseName,CaseData,ROW()+161,FALSE)="","",HLOOKUP(CaseName,CaseData,ROW()+161,FALSE))</f>
        <v/>
      </c>
      <c r="K43" s="424">
        <f ca="1">FRACaers.aL*Kaers.aL/(1+FRACaerw.aL*Kaerw.aL+FRACaers.aL*Kaers.aL )</f>
        <v>0.23955553894282436</v>
      </c>
      <c r="L43" s="386">
        <f t="shared" ca="1" si="1"/>
        <v>0.23955553894282436</v>
      </c>
      <c r="M43" s="42" t="s">
        <v>477</v>
      </c>
      <c r="N43" s="331"/>
      <c r="O43" s="331"/>
    </row>
    <row r="44" spans="1:15" s="351" customFormat="1" x14ac:dyDescent="0.3">
      <c r="A44" s="669"/>
      <c r="B44" s="669"/>
      <c r="C44" s="670" t="s">
        <v>1004</v>
      </c>
      <c r="D44" s="670"/>
      <c r="E44" s="670"/>
      <c r="F44" s="670"/>
      <c r="G44" s="670" t="s">
        <v>2081</v>
      </c>
      <c r="H44" s="670" t="s">
        <v>28</v>
      </c>
      <c r="I44" s="671"/>
      <c r="J44" s="672"/>
      <c r="K44" s="672" cm="1">
        <f t="array" aca="1" ref="K44" ca="1">Kaw*EXP((H0vap/8.314)*(1/298-1/TEMP.L))*EXP(-(H0sol/8.314)*(1/298-1/TEMP.L))*(298/TEMP.L)</f>
        <v>2.5404752052887147E-21</v>
      </c>
      <c r="L44" s="673">
        <f t="shared" ca="1" si="1"/>
        <v>2.5404752052887147E-21</v>
      </c>
      <c r="M44" s="674" t="s">
        <v>477</v>
      </c>
      <c r="N44" s="675" t="s">
        <v>2600</v>
      </c>
      <c r="O44" s="675"/>
    </row>
    <row r="45" spans="1:15" x14ac:dyDescent="0.3">
      <c r="A45" s="361"/>
      <c r="B45" s="362"/>
      <c r="C45" s="362" t="s">
        <v>2082</v>
      </c>
      <c r="D45" s="362"/>
      <c r="E45" s="362"/>
      <c r="F45" s="362"/>
      <c r="G45" s="362" t="s">
        <v>2083</v>
      </c>
      <c r="H45" s="362" t="s">
        <v>478</v>
      </c>
      <c r="I45" s="272"/>
      <c r="J45" s="363"/>
      <c r="K45" s="363">
        <f ca="1">IF(Tm&gt;298,EXP(-6.79*(1-Tm/298))*Pvap25*EXP((H0vap/8.314)*(1/298-1/TEMP.R)),Pvap25*EXP((H0vap/8.314)*(1/298-1/TEMP.R)))</f>
        <v>3.8484918439327317E-3</v>
      </c>
      <c r="L45" s="364">
        <f t="shared" ca="1" si="1"/>
        <v>3.8484918439327317E-3</v>
      </c>
      <c r="M45" s="145" t="s">
        <v>479</v>
      </c>
      <c r="N45" s="331"/>
      <c r="O45" s="331"/>
    </row>
    <row r="46" spans="1:15" ht="14.5" x14ac:dyDescent="0.3">
      <c r="A46" s="365"/>
      <c r="B46" s="366"/>
      <c r="C46" s="365" t="s">
        <v>2084</v>
      </c>
      <c r="D46" s="365"/>
      <c r="E46" s="365"/>
      <c r="F46" s="365"/>
      <c r="G46" s="365" t="s">
        <v>2085</v>
      </c>
      <c r="H46" s="362" t="s">
        <v>2086</v>
      </c>
      <c r="I46" s="272"/>
      <c r="J46" s="363"/>
      <c r="K46" s="363">
        <v>1.4999999999999999E-4</v>
      </c>
      <c r="L46" s="364">
        <f t="shared" si="1"/>
        <v>1.4999999999999999E-4</v>
      </c>
      <c r="M46" s="145" t="s">
        <v>2087</v>
      </c>
      <c r="N46" s="331"/>
      <c r="O46" s="331"/>
    </row>
    <row r="47" spans="1:15" s="351" customFormat="1" ht="15.5" x14ac:dyDescent="0.4">
      <c r="A47" s="714"/>
      <c r="B47" s="714"/>
      <c r="C47" s="714" t="s">
        <v>606</v>
      </c>
      <c r="D47" s="714"/>
      <c r="E47" s="714"/>
      <c r="F47" s="714"/>
      <c r="G47" s="714" t="s">
        <v>2088</v>
      </c>
      <c r="H47" s="714" t="s">
        <v>2422</v>
      </c>
      <c r="I47" s="744"/>
      <c r="J47" s="716" t="str">
        <f>IF(HLOOKUP(CaseName,CaseData,ROW()+161,FALSE)="","",HLOOKUP(CaseName,CaseData,ROW()+161,FALSE))</f>
        <v/>
      </c>
      <c r="K47" s="745">
        <f ca="1">1/(Kaw.L*FRorig.aerw)</f>
        <v>3.9362714421231839E+20</v>
      </c>
      <c r="L47" s="673">
        <f t="shared" ca="1" si="1"/>
        <v>3.9362714421231839E+20</v>
      </c>
      <c r="M47" s="674" t="s">
        <v>477</v>
      </c>
      <c r="N47" s="675" t="s">
        <v>2661</v>
      </c>
      <c r="O47" s="675"/>
    </row>
    <row r="48" spans="1:15" ht="15.5" x14ac:dyDescent="0.4">
      <c r="A48" s="384"/>
      <c r="B48" s="384"/>
      <c r="C48" s="384" t="s">
        <v>607</v>
      </c>
      <c r="D48" s="384"/>
      <c r="E48" s="384"/>
      <c r="F48" s="384"/>
      <c r="G48" s="384" t="s">
        <v>2089</v>
      </c>
      <c r="H48" s="384" t="s">
        <v>2423</v>
      </c>
      <c r="I48" s="422"/>
      <c r="J48" s="412" t="str">
        <f>IF(HLOOKUP(CaseName,CaseData,ROW()+161,FALSE)="","",HLOOKUP(CaseName,CaseData,ROW()+161,FALSE))</f>
        <v/>
      </c>
      <c r="K48" s="423">
        <f>0.54*(Kow/Kaw)*CORGaers*(RHOaers/1000)</f>
        <v>1.2400059112166343E+20</v>
      </c>
      <c r="L48" s="386">
        <f t="shared" si="1"/>
        <v>1.2400059112166343E+20</v>
      </c>
      <c r="M48" s="42" t="s">
        <v>477</v>
      </c>
      <c r="N48" s="331"/>
      <c r="O48" s="331"/>
    </row>
    <row r="49" spans="1:15" x14ac:dyDescent="0.3">
      <c r="A49" s="380"/>
      <c r="B49" s="380" t="s">
        <v>2090</v>
      </c>
      <c r="C49" s="383"/>
      <c r="D49" s="379"/>
      <c r="E49" s="379"/>
      <c r="F49" s="379"/>
      <c r="G49" s="382" t="s">
        <v>2091</v>
      </c>
      <c r="H49" s="380" t="s">
        <v>28</v>
      </c>
      <c r="I49" s="409"/>
      <c r="J49" s="385"/>
      <c r="K49" s="385">
        <f ca="1">1/(1+Kp.suspL*SUSP.wL/1000+Kp.colL*COL.wL/1000)</f>
        <v>0.84668976588786271</v>
      </c>
      <c r="L49" s="386">
        <f t="shared" ca="1" si="1"/>
        <v>0.84668976588786271</v>
      </c>
      <c r="M49" s="42" t="s">
        <v>477</v>
      </c>
      <c r="N49" s="331"/>
      <c r="O49" s="331"/>
    </row>
    <row r="50" spans="1:15" ht="14.5" x14ac:dyDescent="0.3">
      <c r="A50" s="380"/>
      <c r="B50" s="379"/>
      <c r="C50" s="380" t="s">
        <v>700</v>
      </c>
      <c r="D50" s="379"/>
      <c r="E50" s="379"/>
      <c r="F50" s="379"/>
      <c r="G50" s="382" t="s">
        <v>2092</v>
      </c>
      <c r="H50" s="380" t="s">
        <v>1000</v>
      </c>
      <c r="I50" s="409"/>
      <c r="J50" s="385"/>
      <c r="K50" s="385">
        <f ca="1">Ksw*(1000/RHOsolid)*(CORGsusp.L/CORG)</f>
        <v>7285.6713538728445</v>
      </c>
      <c r="L50" s="386">
        <f t="shared" ca="1" si="1"/>
        <v>7285.6713538728445</v>
      </c>
      <c r="M50" s="42" t="s">
        <v>2093</v>
      </c>
      <c r="N50" s="331"/>
      <c r="O50" s="331"/>
    </row>
    <row r="51" spans="1:15" x14ac:dyDescent="0.3">
      <c r="A51" s="380"/>
      <c r="B51" s="379"/>
      <c r="C51" s="380" t="s">
        <v>1091</v>
      </c>
      <c r="D51" s="379"/>
      <c r="E51" s="379"/>
      <c r="F51" s="379"/>
      <c r="G51" s="382" t="s">
        <v>2094</v>
      </c>
      <c r="H51" s="380" t="s">
        <v>28</v>
      </c>
      <c r="I51" s="409" cm="1">
        <f t="array" aca="1" ref="I51" ca="1">_xll.RiskLognorm(0.1,0.04,_xll.RiskName(G51))</f>
        <v>0.11048172499084093</v>
      </c>
      <c r="J51" s="385"/>
      <c r="K51" s="385">
        <v>0.1</v>
      </c>
      <c r="L51" s="386">
        <f ca="1">IF(ISBLANK(I51),IF(ISBLANK(J51),K51,J51),I51)</f>
        <v>0.11048172499084093</v>
      </c>
      <c r="M51" s="42" t="s">
        <v>477</v>
      </c>
      <c r="N51" s="331"/>
      <c r="O51" s="331"/>
    </row>
    <row r="52" spans="1:15" ht="14.5" x14ac:dyDescent="0.3">
      <c r="A52" s="380"/>
      <c r="B52" s="379"/>
      <c r="C52" s="380" t="s">
        <v>2095</v>
      </c>
      <c r="D52" s="379"/>
      <c r="E52" s="379"/>
      <c r="F52" s="379"/>
      <c r="G52" s="382" t="s">
        <v>2096</v>
      </c>
      <c r="H52" s="380" t="s">
        <v>999</v>
      </c>
      <c r="I52" s="409" cm="1">
        <f t="array" aca="1" ref="I52" ca="1">_xll.RiskLognorm(24.4,23.5,_xll.RiskName((G52)))</f>
        <v>24.852784635512723</v>
      </c>
      <c r="J52" s="385"/>
      <c r="K52" s="385">
        <v>15</v>
      </c>
      <c r="L52" s="386">
        <f ca="1">IF(ISBLANK(I52),IF(ISBLANK(J52),K52/1000,J52/1000),I52/1000)</f>
        <v>2.4852784635512722E-2</v>
      </c>
      <c r="M52" s="42" t="s">
        <v>2097</v>
      </c>
      <c r="N52" s="331"/>
      <c r="O52" s="331"/>
    </row>
    <row r="53" spans="1:15" ht="14.5" x14ac:dyDescent="0.3">
      <c r="A53" s="306"/>
      <c r="B53" s="384"/>
      <c r="C53" s="306" t="s">
        <v>541</v>
      </c>
      <c r="D53" s="384"/>
      <c r="E53" s="384"/>
      <c r="F53" s="384"/>
      <c r="G53" s="406" t="s">
        <v>2098</v>
      </c>
      <c r="H53" s="306" t="s">
        <v>1000</v>
      </c>
      <c r="I53" s="411"/>
      <c r="J53" s="412" t="str">
        <f>IF(HLOOKUP(CaseName,CaseData,ROW()+161,FALSE)="","",HLOOKUP(CaseName,CaseData,ROW()+161,FALSE))</f>
        <v/>
      </c>
      <c r="K53" s="425">
        <f>0.08*D</f>
        <v>0.91852289719750679</v>
      </c>
      <c r="L53" s="386">
        <f>IF(ISBLANK(I53),IF(ISNUMBER(J53)=FALSE,K53,J53),I53)</f>
        <v>0.91852289719750679</v>
      </c>
      <c r="M53" s="42" t="s">
        <v>1525</v>
      </c>
      <c r="N53" s="331"/>
      <c r="O53" s="331"/>
    </row>
    <row r="54" spans="1:15" ht="14.5" x14ac:dyDescent="0.3">
      <c r="A54" s="306"/>
      <c r="B54" s="384"/>
      <c r="C54" s="306" t="s">
        <v>543</v>
      </c>
      <c r="D54" s="384"/>
      <c r="E54" s="384"/>
      <c r="F54" s="384"/>
      <c r="G54" s="406" t="s">
        <v>2099</v>
      </c>
      <c r="H54" s="306" t="s">
        <v>999</v>
      </c>
      <c r="I54" s="411"/>
      <c r="J54" s="412" t="str">
        <f>IF(HLOOKUP(CaseName,CaseData,ROW()+161,FALSE)="","",HLOOKUP(CaseName,CaseData,ROW()+161,FALSE))</f>
        <v/>
      </c>
      <c r="K54" s="425">
        <v>1</v>
      </c>
      <c r="L54" s="386">
        <f>IF(ISBLANK(I54),IF(ISNUMBER(J54)=FALSE,K54/1000,J54/1000),I54/1000)</f>
        <v>1E-3</v>
      </c>
      <c r="M54" s="42" t="s">
        <v>1524</v>
      </c>
      <c r="N54" s="331"/>
      <c r="O54" s="331"/>
    </row>
    <row r="55" spans="1:15" s="351" customFormat="1" x14ac:dyDescent="0.3">
      <c r="A55" s="713"/>
      <c r="B55" s="714" t="s">
        <v>726</v>
      </c>
      <c r="C55" s="713"/>
      <c r="D55" s="714"/>
      <c r="E55" s="714"/>
      <c r="F55" s="714"/>
      <c r="G55" s="722" t="s">
        <v>2590</v>
      </c>
      <c r="H55" s="713" t="s">
        <v>28</v>
      </c>
      <c r="I55" s="723"/>
      <c r="J55" s="716" t="s">
        <v>2588</v>
      </c>
      <c r="K55" s="709">
        <f ca="1">FRACw.sdL+FRACs.sdL*Kp.sdL*RHOsolid/1000</f>
        <v>389.08232127413669</v>
      </c>
      <c r="L55" s="673">
        <f t="shared" ref="L55:L62" ca="1" si="2">IF(ISBLANK(I55),IF(ISNUMBER(J55)=FALSE,K55,J55),I55)</f>
        <v>389.08232127413669</v>
      </c>
      <c r="M55" s="674" t="s">
        <v>477</v>
      </c>
      <c r="N55" s="675" t="s">
        <v>2595</v>
      </c>
      <c r="O55" s="675"/>
    </row>
    <row r="56" spans="1:15" s="351" customFormat="1" x14ac:dyDescent="0.3">
      <c r="A56" s="713"/>
      <c r="B56" s="714"/>
      <c r="C56" s="713" t="s">
        <v>1428</v>
      </c>
      <c r="D56" s="714"/>
      <c r="E56" s="714"/>
      <c r="F56" s="714"/>
      <c r="G56" s="722" t="s">
        <v>2591</v>
      </c>
      <c r="H56" s="713" t="s">
        <v>1000</v>
      </c>
      <c r="I56" s="723"/>
      <c r="J56" s="716" t="s">
        <v>2588</v>
      </c>
      <c r="K56" s="709">
        <f ca="1">(FRorig.sd1*Ksw+(1-FRorig.sd1)*Ksw.alt)*(1000/RHOsolid/CORG)*CORG.sdL</f>
        <v>1457.9127572290424</v>
      </c>
      <c r="L56" s="673">
        <f t="shared" ca="1" si="2"/>
        <v>1457.9127572290424</v>
      </c>
      <c r="M56" s="674" t="s">
        <v>2589</v>
      </c>
      <c r="N56" s="675"/>
      <c r="O56" s="675"/>
    </row>
    <row r="57" spans="1:15" s="351" customFormat="1" x14ac:dyDescent="0.3">
      <c r="A57" s="713"/>
      <c r="B57" s="714"/>
      <c r="C57" s="713" t="s">
        <v>1271</v>
      </c>
      <c r="D57" s="714"/>
      <c r="E57" s="714"/>
      <c r="F57" s="714"/>
      <c r="G57" s="722" t="s">
        <v>2592</v>
      </c>
      <c r="H57" s="713" t="s">
        <v>28</v>
      </c>
      <c r="I57" s="723" cm="1">
        <f t="array" aca="1" ref="I57" ca="1">_xll.RiskLognorm(0.05,0.04,_xll.RiskName(G57))</f>
        <v>2.2108150159586365E-2</v>
      </c>
      <c r="J57" s="716" t="s">
        <v>2588</v>
      </c>
      <c r="K57" s="709">
        <v>0.05</v>
      </c>
      <c r="L57" s="673">
        <f t="shared" ca="1" si="2"/>
        <v>2.2108150159586365E-2</v>
      </c>
      <c r="M57" s="674" t="s">
        <v>477</v>
      </c>
      <c r="N57" s="675"/>
      <c r="O57" s="675"/>
    </row>
    <row r="58" spans="1:15" x14ac:dyDescent="0.3">
      <c r="A58" s="380"/>
      <c r="B58" s="380" t="s">
        <v>2100</v>
      </c>
      <c r="C58" s="379"/>
      <c r="D58" s="380"/>
      <c r="E58" s="379"/>
      <c r="F58" s="379"/>
      <c r="G58" s="382" t="s">
        <v>2101</v>
      </c>
      <c r="H58" s="380" t="s">
        <v>28</v>
      </c>
      <c r="I58" s="409"/>
      <c r="J58" s="385"/>
      <c r="K58" s="385">
        <f ca="1">FRACa.sL*Kaw.L+FRACw.sL+FRACs.sL*Kp.sL*RHOsolid/1000</f>
        <v>13534.431905846097</v>
      </c>
      <c r="L58" s="386">
        <f t="shared" ca="1" si="2"/>
        <v>13534.431905846097</v>
      </c>
      <c r="M58" s="42" t="s">
        <v>477</v>
      </c>
      <c r="N58" s="331"/>
      <c r="O58" s="331"/>
    </row>
    <row r="59" spans="1:15" x14ac:dyDescent="0.3">
      <c r="A59" s="380"/>
      <c r="B59" s="380" t="s">
        <v>2102</v>
      </c>
      <c r="C59" s="383"/>
      <c r="D59" s="379"/>
      <c r="E59" s="379"/>
      <c r="F59" s="379"/>
      <c r="G59" s="382" t="s">
        <v>2103</v>
      </c>
      <c r="H59" s="380" t="s">
        <v>28</v>
      </c>
      <c r="I59" s="409"/>
      <c r="J59" s="385"/>
      <c r="K59" s="426">
        <f ca="1">FRACw.sL/(FRACa.sL*Kaw.L+FRACw.sL+FRACs.sL*Kp.sL*RHOsolid/1000)</f>
        <v>2.0384088880928689E-5</v>
      </c>
      <c r="L59" s="386">
        <f t="shared" ca="1" si="2"/>
        <v>2.0384088880928689E-5</v>
      </c>
      <c r="M59" s="42" t="s">
        <v>477</v>
      </c>
      <c r="N59" s="331"/>
      <c r="O59" s="331"/>
    </row>
    <row r="60" spans="1:15" x14ac:dyDescent="0.3">
      <c r="A60" s="380"/>
      <c r="B60" s="380" t="s">
        <v>2104</v>
      </c>
      <c r="C60" s="383"/>
      <c r="D60" s="379"/>
      <c r="E60" s="379"/>
      <c r="F60" s="379"/>
      <c r="G60" s="382" t="s">
        <v>2105</v>
      </c>
      <c r="H60" s="380" t="s">
        <v>28</v>
      </c>
      <c r="I60" s="409"/>
      <c r="J60" s="385"/>
      <c r="K60" s="426">
        <f ca="1">FRACs.sL/(FRACa.sL*Kh.L/(Kp.sL*RHOsolid/1000)+FRACw.sL/(Kp.sL*RHOsolid/1000)+FRACs.sL)</f>
        <v>0.99997961591111895</v>
      </c>
      <c r="L60" s="386">
        <f t="shared" ca="1" si="2"/>
        <v>0.99997961591111895</v>
      </c>
      <c r="M60" s="42" t="s">
        <v>477</v>
      </c>
      <c r="N60" s="331"/>
      <c r="O60" s="331"/>
    </row>
    <row r="61" spans="1:15" ht="14.5" x14ac:dyDescent="0.3">
      <c r="A61" s="380"/>
      <c r="B61" s="379"/>
      <c r="C61" s="380" t="s">
        <v>2106</v>
      </c>
      <c r="D61" s="379"/>
      <c r="E61" s="379"/>
      <c r="F61" s="379"/>
      <c r="G61" s="382" t="s">
        <v>2107</v>
      </c>
      <c r="H61" s="380" t="s">
        <v>1000</v>
      </c>
      <c r="I61" s="409"/>
      <c r="J61" s="385"/>
      <c r="K61" s="385">
        <f ca="1">Ksw*(1000/RHOsolid)*(CORG.sL/CORG)</f>
        <v>10158.010086225229</v>
      </c>
      <c r="L61" s="386">
        <f t="shared" ca="1" si="2"/>
        <v>10158.010086225229</v>
      </c>
      <c r="M61" s="42" t="s">
        <v>2093</v>
      </c>
      <c r="N61" s="331"/>
      <c r="O61" s="331"/>
    </row>
    <row r="62" spans="1:15" x14ac:dyDescent="0.3">
      <c r="A62" s="380"/>
      <c r="B62" s="379"/>
      <c r="C62" s="380" t="s">
        <v>2108</v>
      </c>
      <c r="D62" s="379"/>
      <c r="E62" s="379"/>
      <c r="F62" s="379"/>
      <c r="G62" s="382" t="s">
        <v>2109</v>
      </c>
      <c r="H62" s="380" t="s">
        <v>28</v>
      </c>
      <c r="I62" s="409" cm="1">
        <f t="array" aca="1" ref="I62" ca="1">_xll.RiskLognorm(0.05,0.04,_xll.RiskName(G62))</f>
        <v>0.15403858097496487</v>
      </c>
      <c r="J62" s="385"/>
      <c r="K62" s="385">
        <v>0.02</v>
      </c>
      <c r="L62" s="386">
        <f t="shared" ca="1" si="2"/>
        <v>0.15403858097496487</v>
      </c>
      <c r="M62" s="42" t="s">
        <v>477</v>
      </c>
      <c r="N62" s="331"/>
      <c r="O62" s="331"/>
    </row>
    <row r="63" spans="1:15" x14ac:dyDescent="0.3">
      <c r="A63" s="331"/>
      <c r="B63" s="331"/>
      <c r="C63" s="331"/>
      <c r="D63" s="331"/>
      <c r="E63" s="331"/>
      <c r="F63" s="331"/>
      <c r="G63" s="352"/>
      <c r="H63" s="360"/>
      <c r="I63" s="353"/>
      <c r="J63" s="353"/>
      <c r="K63" s="355"/>
      <c r="L63" s="353"/>
      <c r="M63" s="355"/>
      <c r="N63" s="355"/>
      <c r="O63" s="331"/>
    </row>
    <row r="64" spans="1:15" x14ac:dyDescent="0.3">
      <c r="A64" s="357" t="s">
        <v>1306</v>
      </c>
      <c r="B64" s="356"/>
      <c r="C64" s="356"/>
      <c r="D64" s="356"/>
      <c r="E64" s="356"/>
      <c r="F64" s="356"/>
      <c r="G64" s="357" t="s">
        <v>969</v>
      </c>
      <c r="H64" s="357" t="s">
        <v>929</v>
      </c>
      <c r="I64" s="358" t="s">
        <v>748</v>
      </c>
      <c r="J64" s="359" t="s">
        <v>29</v>
      </c>
      <c r="K64" s="190" t="s">
        <v>747</v>
      </c>
      <c r="L64" s="359" t="s">
        <v>1353</v>
      </c>
      <c r="M64" s="190"/>
      <c r="N64" s="357" t="s">
        <v>1366</v>
      </c>
      <c r="O64" s="331"/>
    </row>
    <row r="65" spans="1:15" x14ac:dyDescent="0.3">
      <c r="A65" s="331"/>
      <c r="B65" s="331"/>
      <c r="C65" s="331"/>
      <c r="D65" s="331"/>
      <c r="E65" s="331"/>
      <c r="F65" s="331"/>
      <c r="G65" s="352"/>
      <c r="H65" s="360"/>
      <c r="I65" s="353"/>
      <c r="J65" s="353"/>
      <c r="K65" s="355"/>
      <c r="L65" s="353"/>
      <c r="M65" s="355"/>
      <c r="N65" s="355"/>
      <c r="O65" s="331"/>
    </row>
    <row r="66" spans="1:15" ht="14.5" x14ac:dyDescent="0.3">
      <c r="A66" s="306" t="s">
        <v>2110</v>
      </c>
      <c r="B66" s="384"/>
      <c r="C66" s="384"/>
      <c r="D66" s="384"/>
      <c r="E66" s="384"/>
      <c r="F66" s="384"/>
      <c r="G66" s="306" t="s">
        <v>2111</v>
      </c>
      <c r="H66" s="306" t="s">
        <v>2418</v>
      </c>
      <c r="I66" s="409"/>
      <c r="J66" s="412" t="str">
        <f>IF(HLOOKUP(CaseName,CaseData,ROW()+161,FALSE)="","",HLOOKUP(CaseName,CaseData,ROW()+161,FALSE))</f>
        <v/>
      </c>
      <c r="K66" s="413">
        <f ca="1">(DEPflow.aL.wL+GASABSflow.aL.wL)/VOLUME.aL</f>
        <v>8.1358547068191331E-2</v>
      </c>
      <c r="L66" s="386">
        <f ca="1">IF(ISBLANK(I66),IF(ISNUMBER(J66)=FALSE,K66,J66),I66)</f>
        <v>8.1358547068191331E-2</v>
      </c>
      <c r="M66" s="38" t="s">
        <v>1515</v>
      </c>
      <c r="N66" s="82"/>
      <c r="O66" s="331"/>
    </row>
    <row r="67" spans="1:15" ht="14.5" x14ac:dyDescent="0.3">
      <c r="A67" s="306" t="s">
        <v>2112</v>
      </c>
      <c r="B67" s="384"/>
      <c r="C67" s="384"/>
      <c r="D67" s="384"/>
      <c r="E67" s="384"/>
      <c r="F67" s="384"/>
      <c r="G67" s="306" t="s">
        <v>2113</v>
      </c>
      <c r="H67" s="306" t="s">
        <v>2418</v>
      </c>
      <c r="I67" s="409"/>
      <c r="J67" s="412" t="str">
        <f>IF(HLOOKUP(CaseName,CaseData,ROW()+161,FALSE)="","",HLOOKUP(CaseName,CaseData,ROW()+161,FALSE))</f>
        <v/>
      </c>
      <c r="K67" s="413">
        <f ca="1">(DEPflow.aL.sL+GASABSflow.aL.sL)/VOLUME.aL</f>
        <v>0.93562329128419885</v>
      </c>
      <c r="L67" s="386">
        <f ca="1">IF(ISBLANK(I67),IF(ISNUMBER(J67)=FALSE,K67,J67),I67)</f>
        <v>0.93562329128419885</v>
      </c>
      <c r="M67" s="38" t="s">
        <v>1515</v>
      </c>
      <c r="N67" s="82"/>
      <c r="O67" s="331"/>
    </row>
    <row r="68" spans="1:15" ht="14.5" x14ac:dyDescent="0.3">
      <c r="A68" s="306" t="s">
        <v>2114</v>
      </c>
      <c r="B68" s="384"/>
      <c r="C68" s="384"/>
      <c r="D68" s="384"/>
      <c r="E68" s="384"/>
      <c r="F68" s="384"/>
      <c r="G68" s="306" t="s">
        <v>2115</v>
      </c>
      <c r="H68" s="306" t="s">
        <v>2418</v>
      </c>
      <c r="I68" s="409"/>
      <c r="J68" s="412" t="str">
        <f>IF(HLOOKUP(CaseName,CaseData,ROW()+161,FALSE)="","",HLOOKUP(CaseName,CaseData,ROW()+161,FALSE))</f>
        <v/>
      </c>
      <c r="K68" s="413">
        <f ca="1">VOLATflow.wL.aL/VOLUME.wL</f>
        <v>9.7048972126742688E-24</v>
      </c>
      <c r="L68" s="386">
        <f ca="1">IF(ISBLANK(I68),IF(ISNUMBER(J68)=FALSE,K68,J68),I68)</f>
        <v>9.7048972126742688E-24</v>
      </c>
      <c r="M68" s="38" t="s">
        <v>1515</v>
      </c>
      <c r="N68" s="82"/>
      <c r="O68" s="331"/>
    </row>
    <row r="69" spans="1:15" ht="14.5" x14ac:dyDescent="0.3">
      <c r="A69" s="306" t="s">
        <v>2116</v>
      </c>
      <c r="B69" s="384"/>
      <c r="C69" s="384"/>
      <c r="D69" s="384"/>
      <c r="E69" s="384"/>
      <c r="F69" s="384"/>
      <c r="G69" s="306" t="s">
        <v>2117</v>
      </c>
      <c r="H69" s="306" t="s">
        <v>2418</v>
      </c>
      <c r="I69" s="409"/>
      <c r="J69" s="412" t="str">
        <f>IF(HLOOKUP(CaseName,CaseData,ROW()+161,FALSE)="","",HLOOKUP(CaseName,CaseData,ROW()+161,FALSE))</f>
        <v/>
      </c>
      <c r="K69" s="413">
        <f ca="1">VOLATflow.sL.aL/VOLUME.sL</f>
        <v>1.3058243273612244E-18</v>
      </c>
      <c r="L69" s="386">
        <f t="shared" ref="L69:L75" ca="1" si="3">IF(ISBLANK(I69),IF(ISNUMBER(J69)=FALSE,K69,J69),I69)</f>
        <v>1.3058243273612244E-18</v>
      </c>
      <c r="M69" s="38" t="s">
        <v>1515</v>
      </c>
      <c r="N69" s="82"/>
      <c r="O69" s="331"/>
    </row>
    <row r="70" spans="1:15" ht="14.5" x14ac:dyDescent="0.3">
      <c r="A70" s="379"/>
      <c r="B70" s="380" t="s">
        <v>2118</v>
      </c>
      <c r="C70" s="379"/>
      <c r="D70" s="379"/>
      <c r="E70" s="379"/>
      <c r="F70" s="379"/>
      <c r="G70" s="381" t="s">
        <v>2119</v>
      </c>
      <c r="H70" s="380" t="s">
        <v>2419</v>
      </c>
      <c r="I70" s="409"/>
      <c r="J70" s="385"/>
      <c r="K70" s="385">
        <f ca="1">(DRYDEPaerosol.L+AerosolWashout.L+GasWashout.L)*(SYSTEMAREA.L*AREAFRAC.wL)</f>
        <v>835659016.53276682</v>
      </c>
      <c r="L70" s="386">
        <f t="shared" ca="1" si="3"/>
        <v>835659016.53276682</v>
      </c>
      <c r="M70" s="42" t="s">
        <v>2057</v>
      </c>
      <c r="N70" s="331"/>
      <c r="O70" s="331"/>
    </row>
    <row r="71" spans="1:15" ht="14.5" x14ac:dyDescent="0.3">
      <c r="A71" s="379"/>
      <c r="B71" s="380" t="s">
        <v>2120</v>
      </c>
      <c r="C71" s="379"/>
      <c r="D71" s="379"/>
      <c r="E71" s="379"/>
      <c r="F71" s="379"/>
      <c r="G71" s="381" t="s">
        <v>2121</v>
      </c>
      <c r="H71" s="380" t="s">
        <v>2419</v>
      </c>
      <c r="I71" s="409"/>
      <c r="J71" s="385"/>
      <c r="K71" s="385">
        <f ca="1">(DRYDEPaerosol.L+AerosolWashout.L+GasWashout.L)*(SYSTEMAREA.L*AREAFRAC.sL)</f>
        <v>9610078690.1268177</v>
      </c>
      <c r="L71" s="386">
        <f t="shared" ca="1" si="3"/>
        <v>9610078690.1268177</v>
      </c>
      <c r="M71" s="42" t="s">
        <v>2057</v>
      </c>
      <c r="N71" s="331"/>
      <c r="O71" s="331"/>
    </row>
    <row r="72" spans="1:15" ht="14.5" x14ac:dyDescent="0.3">
      <c r="A72" s="379"/>
      <c r="B72" s="380"/>
      <c r="C72" s="306" t="s">
        <v>1874</v>
      </c>
      <c r="D72" s="384"/>
      <c r="E72" s="384"/>
      <c r="F72" s="384"/>
      <c r="G72" s="399" t="s">
        <v>2122</v>
      </c>
      <c r="H72" s="306" t="s">
        <v>2418</v>
      </c>
      <c r="I72" s="417"/>
      <c r="J72" s="412" t="str">
        <f t="shared" ref="J72:J77" si="4">IF(HLOOKUP(CaseName,CaseData,ROW()+161,FALSE)="","",HLOOKUP(CaseName,CaseData,ROW()+161,FALSE))</f>
        <v/>
      </c>
      <c r="K72" s="425">
        <f ca="1">kdep.L-(GASABSflow.aL.wL+GASABSflow.aL.sL)/VOLUME.aL-KDEG.aL</f>
        <v>1.0185787939600864E-5</v>
      </c>
      <c r="L72" s="386">
        <f t="shared" ca="1" si="3"/>
        <v>1.0185787939600864E-5</v>
      </c>
      <c r="M72" s="38" t="s">
        <v>1515</v>
      </c>
      <c r="N72" s="331"/>
      <c r="O72" s="331"/>
    </row>
    <row r="73" spans="1:15" ht="14.5" x14ac:dyDescent="0.3">
      <c r="A73" s="379"/>
      <c r="B73" s="380"/>
      <c r="C73" s="306"/>
      <c r="D73" s="384" t="s">
        <v>1875</v>
      </c>
      <c r="E73" s="384"/>
      <c r="F73" s="384"/>
      <c r="G73" s="399" t="s">
        <v>2123</v>
      </c>
      <c r="H73" s="306" t="s">
        <v>2418</v>
      </c>
      <c r="I73" s="417"/>
      <c r="J73" s="412" t="str">
        <f t="shared" si="4"/>
        <v/>
      </c>
      <c r="K73" s="425">
        <f ca="1">((1/kdry.L)*tdry.L/(tdry.L+twet.L)+(1/kwet.L)*twet.L/(tdry.L+twet.L)-((1/kwet.L-1/kdry.L)^2/(tdry.L+twet.L))*(1-EXP(-kdry.L*tdry.L))*(1-EXP(-kwet.L*twet.L))/(1-EXP(-kdry.L*tdry.L-kwet.L*twet.L)))^-1</f>
        <v>1.0185787939881654E-5</v>
      </c>
      <c r="L73" s="386">
        <f t="shared" ca="1" si="3"/>
        <v>1.0185787939881654E-5</v>
      </c>
      <c r="M73" s="38" t="s">
        <v>1515</v>
      </c>
      <c r="N73" s="331"/>
      <c r="O73" s="331"/>
    </row>
    <row r="74" spans="1:15" ht="14.5" x14ac:dyDescent="0.3">
      <c r="A74" s="379"/>
      <c r="B74" s="380"/>
      <c r="C74" s="306"/>
      <c r="D74" s="306"/>
      <c r="E74" s="306" t="s">
        <v>2124</v>
      </c>
      <c r="F74" s="384"/>
      <c r="G74" s="399" t="s">
        <v>2125</v>
      </c>
      <c r="H74" s="306" t="s">
        <v>2418</v>
      </c>
      <c r="I74" s="417"/>
      <c r="J74" s="412" t="str">
        <f t="shared" si="4"/>
        <v/>
      </c>
      <c r="K74" s="425">
        <f ca="1">DRYDEPaerosol.L/HEIGHT.aL + (GASABSflow.aL.wL+GASABSflow.aL.sL)/VOLUME.aL+KDEG.aL</f>
        <v>1.2123163433076645E-6</v>
      </c>
      <c r="L74" s="386">
        <f t="shared" ca="1" si="3"/>
        <v>1.2123163433076645E-6</v>
      </c>
      <c r="M74" s="38" t="s">
        <v>1515</v>
      </c>
      <c r="N74" s="331"/>
      <c r="O74" s="331"/>
    </row>
    <row r="75" spans="1:15" ht="14.5" x14ac:dyDescent="0.3">
      <c r="A75" s="379"/>
      <c r="B75" s="380"/>
      <c r="C75" s="306"/>
      <c r="D75" s="306"/>
      <c r="E75" s="306" t="s">
        <v>2126</v>
      </c>
      <c r="F75" s="384"/>
      <c r="G75" s="399" t="s">
        <v>2127</v>
      </c>
      <c r="H75" s="306" t="s">
        <v>2418</v>
      </c>
      <c r="I75" s="417"/>
      <c r="J75" s="412" t="str">
        <f t="shared" si="4"/>
        <v/>
      </c>
      <c r="K75" s="425">
        <f ca="1">(AerosolWashout.L+GasWashout.L)/HEIGHT.aL + (GASABSflow.aL.wL+GASABSflow.aL.sL)/VOLUME.aL+KDEG.aL</f>
        <v>1.0169806260360472</v>
      </c>
      <c r="L75" s="386">
        <f t="shared" ca="1" si="3"/>
        <v>1.0169806260360472</v>
      </c>
      <c r="M75" s="38" t="s">
        <v>1515</v>
      </c>
      <c r="N75" s="331"/>
      <c r="O75" s="331"/>
    </row>
    <row r="76" spans="1:15" x14ac:dyDescent="0.3">
      <c r="A76" s="306"/>
      <c r="B76" s="306"/>
      <c r="C76" s="384" t="s">
        <v>2128</v>
      </c>
      <c r="D76" s="384"/>
      <c r="E76" s="384"/>
      <c r="F76" s="384"/>
      <c r="G76" s="384" t="s">
        <v>2129</v>
      </c>
      <c r="H76" s="384" t="s">
        <v>1779</v>
      </c>
      <c r="I76" s="417"/>
      <c r="J76" s="412" t="str">
        <f t="shared" si="4"/>
        <v/>
      </c>
      <c r="K76" s="425">
        <f ca="1">80*(1-RAINrate.R/(0.0013/3600))</f>
        <v>69.387611789089391</v>
      </c>
      <c r="L76" s="386">
        <f ca="1">IF(ISBLANK(I76),IF(ISNUMBER(J76)=FALSE,K76*3600,J76*3600),I76*3600)</f>
        <v>249795.40244072181</v>
      </c>
      <c r="M76" s="38" t="s">
        <v>107</v>
      </c>
      <c r="N76" s="331"/>
      <c r="O76" s="331"/>
    </row>
    <row r="77" spans="1:15" x14ac:dyDescent="0.3">
      <c r="A77" s="306"/>
      <c r="B77" s="306"/>
      <c r="C77" s="384" t="s">
        <v>2130</v>
      </c>
      <c r="D77" s="384"/>
      <c r="E77" s="384"/>
      <c r="F77" s="384"/>
      <c r="G77" s="384" t="s">
        <v>2131</v>
      </c>
      <c r="H77" s="384" t="s">
        <v>1779</v>
      </c>
      <c r="I77" s="417"/>
      <c r="J77" s="412" t="str">
        <f t="shared" si="4"/>
        <v/>
      </c>
      <c r="K77" s="425">
        <f ca="1">80*(RAINrate.R/(0.0013/3600))</f>
        <v>10.612388210910609</v>
      </c>
      <c r="L77" s="386">
        <f ca="1">IF(ISBLANK(I77),IF(ISNUMBER(J77)=FALSE,K77*3600,J77*3600),I77*3600)</f>
        <v>38204.597559278191</v>
      </c>
      <c r="M77" s="38" t="s">
        <v>107</v>
      </c>
      <c r="N77" s="331"/>
      <c r="O77" s="331"/>
    </row>
    <row r="78" spans="1:15" ht="14.5" x14ac:dyDescent="0.3">
      <c r="A78" s="379"/>
      <c r="B78" s="379"/>
      <c r="C78" s="380" t="s">
        <v>484</v>
      </c>
      <c r="D78" s="379"/>
      <c r="E78" s="379"/>
      <c r="F78" s="379"/>
      <c r="G78" s="382" t="s">
        <v>2132</v>
      </c>
      <c r="H78" s="383" t="s">
        <v>2420</v>
      </c>
      <c r="I78" s="409"/>
      <c r="J78" s="385"/>
      <c r="K78" s="385">
        <f ca="1">AEROSOLdeprate.L*(1-FRgas.aL)</f>
        <v>7.7825495864260327E-4</v>
      </c>
      <c r="L78" s="386">
        <f ca="1">IF(ISBLANK(I78),IF(ISNUMBER(J78)=FALSE,K78,J78),I78)</f>
        <v>7.7825495864260327E-4</v>
      </c>
      <c r="M78" s="42" t="s">
        <v>2061</v>
      </c>
      <c r="N78" s="331"/>
      <c r="O78" s="331"/>
    </row>
    <row r="79" spans="1:15" ht="14.5" x14ac:dyDescent="0.3">
      <c r="A79" s="380"/>
      <c r="B79" s="380"/>
      <c r="C79" s="380" t="s">
        <v>739</v>
      </c>
      <c r="D79" s="379"/>
      <c r="E79" s="379"/>
      <c r="F79" s="379"/>
      <c r="G79" s="381" t="s">
        <v>2133</v>
      </c>
      <c r="H79" s="383" t="s">
        <v>2420</v>
      </c>
      <c r="I79" s="409"/>
      <c r="J79" s="385"/>
      <c r="K79" s="385">
        <f ca="1">RAINrate.L*(1-FRgas.aL)*COLLECTeff.L</f>
        <v>4.6406691476739086E-4</v>
      </c>
      <c r="L79" s="386">
        <f ca="1">IF(ISBLANK(I79),IF(ISNUMBER(J79)=FALSE,K79,J79),I79)</f>
        <v>4.6406691476739086E-4</v>
      </c>
      <c r="M79" s="42" t="s">
        <v>2061</v>
      </c>
      <c r="N79" s="331"/>
      <c r="O79" s="331"/>
    </row>
    <row r="80" spans="1:15" ht="14.5" x14ac:dyDescent="0.3">
      <c r="A80" s="380"/>
      <c r="B80" s="380"/>
      <c r="C80" s="380" t="s">
        <v>740</v>
      </c>
      <c r="D80" s="379"/>
      <c r="E80" s="379"/>
      <c r="F80" s="379"/>
      <c r="G80" s="381" t="s">
        <v>2134</v>
      </c>
      <c r="H80" s="383" t="s">
        <v>2420</v>
      </c>
      <c r="I80" s="409"/>
      <c r="J80" s="385"/>
      <c r="K80" s="385">
        <f ca="1">RAINrate.L*FRgas.aL/Kh.L</f>
        <v>652.85736434435069</v>
      </c>
      <c r="L80" s="386">
        <f ca="1">IF(ISBLANK(I80),IF(ISNUMBER(J80)=FALSE,K80,J80),I80)</f>
        <v>652.85736434435069</v>
      </c>
      <c r="M80" s="42" t="s">
        <v>2061</v>
      </c>
      <c r="N80" s="331"/>
      <c r="O80" s="331"/>
    </row>
    <row r="81" spans="1:15" ht="14.5" x14ac:dyDescent="0.3">
      <c r="A81" s="380"/>
      <c r="B81" s="380"/>
      <c r="C81" s="379"/>
      <c r="D81" s="383" t="s">
        <v>741</v>
      </c>
      <c r="E81" s="383"/>
      <c r="F81" s="379"/>
      <c r="G81" s="382" t="s">
        <v>2135</v>
      </c>
      <c r="H81" s="383" t="s">
        <v>2420</v>
      </c>
      <c r="I81" s="409" cm="1">
        <f t="array" aca="1" ref="I81" ca="1">_xll.RiskLognorm(0.001,0.001,_xll.RiskName(G81))</f>
        <v>7.7825495871777838E-4</v>
      </c>
      <c r="J81" s="385"/>
      <c r="K81" s="385">
        <v>1E-3</v>
      </c>
      <c r="L81" s="386">
        <f ca="1">IF(ISBLANK(I81),IF(ISNUMBER(J81)=FALSE,K81,J81),I81)</f>
        <v>7.7825495871777838E-4</v>
      </c>
      <c r="M81" s="42" t="s">
        <v>2061</v>
      </c>
      <c r="N81" s="331"/>
      <c r="O81" s="331"/>
    </row>
    <row r="82" spans="1:15" ht="14.5" x14ac:dyDescent="0.3">
      <c r="A82" s="380"/>
      <c r="B82" s="380"/>
      <c r="C82" s="379"/>
      <c r="D82" s="380" t="s">
        <v>742</v>
      </c>
      <c r="E82" s="383"/>
      <c r="F82" s="379"/>
      <c r="G82" s="382" t="s">
        <v>2136</v>
      </c>
      <c r="H82" s="383" t="s">
        <v>2424</v>
      </c>
      <c r="I82" s="409">
        <f ca="1">Correlations!B16</f>
        <v>541.48640233781805</v>
      </c>
      <c r="J82" s="385"/>
      <c r="K82" s="385">
        <v>700</v>
      </c>
      <c r="L82" s="386">
        <f ca="1">IF(ISBLANK(I82),IF(ISBLANK(J82),(K82/1000)/(3600*24*365),(J82/1000)/(3600*24*365)),(I82/1000)/(3600*24*365))</f>
        <v>1.7170421180169271E-8</v>
      </c>
      <c r="M82" s="42" t="s">
        <v>2061</v>
      </c>
      <c r="N82" s="331"/>
      <c r="O82" s="331"/>
    </row>
    <row r="83" spans="1:15" x14ac:dyDescent="0.3">
      <c r="A83" s="380"/>
      <c r="B83" s="380"/>
      <c r="C83" s="379"/>
      <c r="D83" s="380" t="s">
        <v>440</v>
      </c>
      <c r="E83" s="379"/>
      <c r="F83" s="379"/>
      <c r="G83" s="382" t="s">
        <v>2137</v>
      </c>
      <c r="H83" s="380" t="s">
        <v>28</v>
      </c>
      <c r="I83" s="409" cm="1">
        <f t="array" aca="1" ref="I83" ca="1">_xll.RiskTriang(5000,20000,35000,_xll.RiskName(G83))</f>
        <v>27027.113076770918</v>
      </c>
      <c r="J83" s="385"/>
      <c r="K83" s="385">
        <v>200000</v>
      </c>
      <c r="L83" s="386">
        <f t="shared" ref="L83:L118" ca="1" si="5">IF(ISBLANK(I83),IF(ISNUMBER(J83)=FALSE,K83,J83),I83)</f>
        <v>27027.113076770918</v>
      </c>
      <c r="M83" s="42" t="s">
        <v>477</v>
      </c>
      <c r="N83" s="331"/>
      <c r="O83" s="331"/>
    </row>
    <row r="84" spans="1:15" ht="14.5" x14ac:dyDescent="0.3">
      <c r="A84" s="306"/>
      <c r="B84" s="380" t="s">
        <v>2138</v>
      </c>
      <c r="C84" s="379"/>
      <c r="D84" s="379"/>
      <c r="E84" s="383"/>
      <c r="F84" s="379"/>
      <c r="G84" s="381" t="s">
        <v>2139</v>
      </c>
      <c r="H84" s="380" t="s">
        <v>2419</v>
      </c>
      <c r="I84" s="409"/>
      <c r="J84" s="385"/>
      <c r="K84" s="385">
        <f ca="1">FRgas.aL*(kaw.air.aL*kaw.water.wL/(kaw.air.aL*Kh.L+kaw.water.wL))*(SYSTEMAREA.L*AREAFRAC.wL)</f>
        <v>1.3942970088202679E-6</v>
      </c>
      <c r="L84" s="386">
        <f t="shared" ca="1" si="5"/>
        <v>1.3942970088202679E-6</v>
      </c>
      <c r="M84" s="42" t="s">
        <v>2057</v>
      </c>
      <c r="N84" s="331"/>
      <c r="O84" s="331"/>
    </row>
    <row r="85" spans="1:15" ht="14.5" x14ac:dyDescent="0.3">
      <c r="A85" s="306"/>
      <c r="B85" s="380" t="s">
        <v>2140</v>
      </c>
      <c r="C85" s="379"/>
      <c r="D85" s="379"/>
      <c r="E85" s="383"/>
      <c r="F85" s="379"/>
      <c r="G85" s="381" t="s">
        <v>2141</v>
      </c>
      <c r="H85" s="380" t="s">
        <v>2419</v>
      </c>
      <c r="I85" s="409"/>
      <c r="J85" s="385"/>
      <c r="K85" s="385">
        <f ca="1">(kaw.air.aL*kaw.water.wL/(kaw.air.aL*Kh.L+kaw.water.wL))*Kh.L*FRw.wL*(SYSTEMAREA.L*AREAFRAC.wL)</f>
        <v>3.1048616057329552E-17</v>
      </c>
      <c r="L85" s="386">
        <f t="shared" ca="1" si="5"/>
        <v>3.1048616057329552E-17</v>
      </c>
      <c r="M85" s="42" t="s">
        <v>2057</v>
      </c>
      <c r="N85" s="331"/>
      <c r="O85" s="331"/>
    </row>
    <row r="86" spans="1:15" ht="14.5" x14ac:dyDescent="0.3">
      <c r="A86" s="306"/>
      <c r="B86" s="380"/>
      <c r="C86" s="379" t="s">
        <v>1070</v>
      </c>
      <c r="D86" s="379"/>
      <c r="E86" s="383"/>
      <c r="F86" s="379"/>
      <c r="G86" s="381" t="s">
        <v>2142</v>
      </c>
      <c r="H86" s="383" t="s">
        <v>2420</v>
      </c>
      <c r="I86" s="409"/>
      <c r="J86" s="385"/>
      <c r="K86" s="385">
        <f ca="1">0.01*(0.3+0.2*WINDspeed.L)*((0.018/Molweight)^(0.67*0.5))</f>
        <v>1.1276985092031717E-2</v>
      </c>
      <c r="L86" s="386">
        <f t="shared" ca="1" si="5"/>
        <v>1.1276985092031717E-2</v>
      </c>
      <c r="M86" s="42" t="s">
        <v>2061</v>
      </c>
      <c r="N86" s="331"/>
      <c r="O86" s="331"/>
    </row>
    <row r="87" spans="1:15" ht="14.5" x14ac:dyDescent="0.3">
      <c r="A87" s="306"/>
      <c r="B87" s="380"/>
      <c r="C87" s="379" t="s">
        <v>1009</v>
      </c>
      <c r="D87" s="379"/>
      <c r="E87" s="383"/>
      <c r="F87" s="379"/>
      <c r="G87" s="381" t="s">
        <v>2143</v>
      </c>
      <c r="H87" s="383" t="s">
        <v>2420</v>
      </c>
      <c r="I87" s="409"/>
      <c r="J87" s="385"/>
      <c r="K87" s="385">
        <f ca="1">0.01*(0.0004+0.00004*WINDspeed.L^2)*((0.032/Molweight)^(0.5*0.5))</f>
        <v>2.1870060060080128E-5</v>
      </c>
      <c r="L87" s="386">
        <f t="shared" ca="1" si="5"/>
        <v>2.1870060060080128E-5</v>
      </c>
      <c r="M87" s="42" t="s">
        <v>2061</v>
      </c>
      <c r="N87" s="331"/>
      <c r="O87" s="331"/>
    </row>
    <row r="88" spans="1:15" ht="14.5" x14ac:dyDescent="0.3">
      <c r="A88" s="306"/>
      <c r="B88" s="380" t="s">
        <v>2144</v>
      </c>
      <c r="C88" s="379"/>
      <c r="D88" s="379"/>
      <c r="E88" s="383"/>
      <c r="F88" s="379"/>
      <c r="G88" s="381" t="s">
        <v>2145</v>
      </c>
      <c r="H88" s="380" t="s">
        <v>2419</v>
      </c>
      <c r="I88" s="409"/>
      <c r="J88" s="385"/>
      <c r="K88" s="385">
        <f ca="1">FRgas.aL*(kas.air.aL*kas.soil.sL)/(kas.air.aL*(Kh.L/FRw.sL)+kas.soil.sL)*(SYSTEMAREA.L*AREAFRAC.sL)</f>
        <v>1.489776874883591E-6</v>
      </c>
      <c r="L88" s="386">
        <f t="shared" ca="1" si="5"/>
        <v>1.489776874883591E-6</v>
      </c>
      <c r="M88" s="42" t="s">
        <v>2057</v>
      </c>
      <c r="N88" s="331"/>
      <c r="O88" s="331"/>
    </row>
    <row r="89" spans="1:15" ht="14.5" x14ac:dyDescent="0.3">
      <c r="A89" s="306"/>
      <c r="B89" s="380" t="s">
        <v>2146</v>
      </c>
      <c r="C89" s="379"/>
      <c r="D89" s="379"/>
      <c r="E89" s="383"/>
      <c r="F89" s="379"/>
      <c r="G89" s="381" t="s">
        <v>2147</v>
      </c>
      <c r="H89" s="380" t="s">
        <v>2419</v>
      </c>
      <c r="I89" s="409"/>
      <c r="J89" s="385"/>
      <c r="K89" s="385">
        <f ca="1">(kas.air.aL*kas.soil.sL)/(kas.air.aL+kas.soil.sL/(Kh.L/FRw.sL))*(SYSTEMAREA.L*AREAFRAC.sL)</f>
        <v>1.9221734098757223E-12</v>
      </c>
      <c r="L89" s="386">
        <f t="shared" ca="1" si="5"/>
        <v>1.9221734098757223E-12</v>
      </c>
      <c r="M89" s="42" t="s">
        <v>2057</v>
      </c>
      <c r="N89" s="331"/>
      <c r="O89" s="331"/>
    </row>
    <row r="90" spans="1:15" x14ac:dyDescent="0.3">
      <c r="A90" s="306"/>
      <c r="B90" s="306"/>
      <c r="C90" s="384" t="s">
        <v>177</v>
      </c>
      <c r="D90" s="384"/>
      <c r="E90" s="397"/>
      <c r="F90" s="397"/>
      <c r="G90" s="399" t="s">
        <v>2148</v>
      </c>
      <c r="H90" s="384" t="s">
        <v>28</v>
      </c>
      <c r="I90" s="409"/>
      <c r="J90" s="412" t="str">
        <f>IF(HLOOKUP(CaseName,CaseData,ROW()+161,FALSE)="","",HLOOKUP(CaseName,CaseData,ROW()+161,FALSE))</f>
        <v/>
      </c>
      <c r="K90" s="425">
        <f>(1/0.1)*DEPTH.sL/(1-EXP((-1/0.1)*DEPTH.sL))</f>
        <v>1.5819767068693265</v>
      </c>
      <c r="L90" s="386">
        <f t="shared" si="5"/>
        <v>1.5819767068693265</v>
      </c>
      <c r="M90" s="38" t="s">
        <v>477</v>
      </c>
      <c r="N90" s="38"/>
      <c r="O90" s="331"/>
    </row>
    <row r="91" spans="1:15" ht="14.5" x14ac:dyDescent="0.3">
      <c r="A91" s="306"/>
      <c r="B91" s="380"/>
      <c r="C91" s="379" t="s">
        <v>1010</v>
      </c>
      <c r="D91" s="379"/>
      <c r="E91" s="383"/>
      <c r="F91" s="379"/>
      <c r="G91" s="381" t="s">
        <v>2149</v>
      </c>
      <c r="H91" s="383" t="s">
        <v>2420</v>
      </c>
      <c r="I91" s="409"/>
      <c r="J91" s="385"/>
      <c r="K91" s="385">
        <f>0.43/(24*3600)/0.00475</f>
        <v>1.0477582846003899E-3</v>
      </c>
      <c r="L91" s="386">
        <f t="shared" si="5"/>
        <v>1.0477582846003899E-3</v>
      </c>
      <c r="M91" s="42" t="s">
        <v>2061</v>
      </c>
      <c r="N91" s="331"/>
      <c r="O91" s="331"/>
    </row>
    <row r="92" spans="1:15" ht="14.5" x14ac:dyDescent="0.3">
      <c r="A92" s="306"/>
      <c r="B92" s="380"/>
      <c r="C92" s="379" t="s">
        <v>850</v>
      </c>
      <c r="D92" s="379"/>
      <c r="E92" s="379"/>
      <c r="F92" s="379"/>
      <c r="G92" s="381" t="s">
        <v>2150</v>
      </c>
      <c r="H92" s="383" t="s">
        <v>2420</v>
      </c>
      <c r="I92" s="409"/>
      <c r="J92" s="385"/>
      <c r="K92" s="385">
        <f ca="1">Veff.sL+Deff.sL/PENdepth.sL</f>
        <v>1.2421678328742493E-11</v>
      </c>
      <c r="L92" s="386">
        <f t="shared" ca="1" si="5"/>
        <v>1.2421678328742493E-11</v>
      </c>
      <c r="M92" s="42" t="s">
        <v>2061</v>
      </c>
      <c r="N92" s="331"/>
      <c r="O92" s="331"/>
    </row>
    <row r="93" spans="1:15" x14ac:dyDescent="0.3">
      <c r="A93" s="306"/>
      <c r="B93" s="379"/>
      <c r="C93" s="379"/>
      <c r="D93" s="379" t="s">
        <v>2151</v>
      </c>
      <c r="E93" s="379"/>
      <c r="F93" s="379"/>
      <c r="G93" s="382" t="s">
        <v>2152</v>
      </c>
      <c r="H93" s="380" t="s">
        <v>713</v>
      </c>
      <c r="I93" s="409"/>
      <c r="J93" s="385"/>
      <c r="K93" s="385">
        <f ca="1">(Veff.sL+SQRT(Veff.sL^2+4*KDEG.sL*Deff.sL))/(2*KDEG.sL)</f>
        <v>2898734213.3513198</v>
      </c>
      <c r="L93" s="386">
        <f t="shared" ca="1" si="5"/>
        <v>2898734213.3513198</v>
      </c>
      <c r="M93" s="42" t="s">
        <v>714</v>
      </c>
      <c r="N93" s="331"/>
      <c r="O93" s="331"/>
    </row>
    <row r="94" spans="1:15" ht="14.5" x14ac:dyDescent="0.3">
      <c r="A94" s="306"/>
      <c r="B94" s="379"/>
      <c r="C94" s="379"/>
      <c r="D94" s="380" t="s">
        <v>2153</v>
      </c>
      <c r="E94" s="379"/>
      <c r="F94" s="379"/>
      <c r="G94" s="382" t="s">
        <v>2154</v>
      </c>
      <c r="H94" s="383" t="s">
        <v>2420</v>
      </c>
      <c r="I94" s="409"/>
      <c r="J94" s="385"/>
      <c r="K94" s="385">
        <f ca="1">(RAINrate.L*FRACinf.s2L)*(FRw.sL/FRACw.sL)+SOLIDadv.sL*(FRs.sL/FRACs.sL)</f>
        <v>1.2421678324547734E-11</v>
      </c>
      <c r="L94" s="386">
        <f t="shared" ca="1" si="5"/>
        <v>1.2421678324547734E-11</v>
      </c>
      <c r="M94" s="42" t="s">
        <v>2061</v>
      </c>
      <c r="N94" s="331"/>
      <c r="O94" s="331"/>
    </row>
    <row r="95" spans="1:15" ht="14.5" x14ac:dyDescent="0.3">
      <c r="A95" s="306"/>
      <c r="B95" s="379"/>
      <c r="C95" s="379"/>
      <c r="D95" s="379" t="s">
        <v>2155</v>
      </c>
      <c r="E95" s="379"/>
      <c r="F95" s="379"/>
      <c r="G95" s="382" t="s">
        <v>2156</v>
      </c>
      <c r="H95" s="383" t="s">
        <v>2425</v>
      </c>
      <c r="I95" s="409"/>
      <c r="J95" s="385"/>
      <c r="K95" s="385">
        <f ca="1">DIFFgas*FRACa.sL^1.5*(1-FRw.sL-FRs.sL)/FRACa.sL+DIFFwater*FRACw.sL^1.5*FRw.sL/FRACw.sL+SOLIDdiff.sL*FRs.sL/FRACs.sL</f>
        <v>1.2159489389787642E-11</v>
      </c>
      <c r="L95" s="386">
        <f t="shared" ca="1" si="5"/>
        <v>1.2159489389787642E-11</v>
      </c>
      <c r="M95" s="42" t="s">
        <v>2157</v>
      </c>
      <c r="N95" s="331"/>
      <c r="O95" s="331"/>
    </row>
    <row r="96" spans="1:15" ht="14.5" x14ac:dyDescent="0.3">
      <c r="A96" s="306"/>
      <c r="B96" s="379"/>
      <c r="C96" s="379"/>
      <c r="D96" s="379"/>
      <c r="E96" s="379" t="s">
        <v>2158</v>
      </c>
      <c r="F96" s="379"/>
      <c r="G96" s="380" t="s">
        <v>2159</v>
      </c>
      <c r="H96" s="383" t="s">
        <v>2420</v>
      </c>
      <c r="I96" s="409"/>
      <c r="J96" s="385"/>
      <c r="K96" s="385">
        <f>0.0002/(365*24*3600)</f>
        <v>6.3419583967529175E-12</v>
      </c>
      <c r="L96" s="386">
        <f t="shared" si="5"/>
        <v>6.3419583967529175E-12</v>
      </c>
      <c r="M96" s="42" t="s">
        <v>2061</v>
      </c>
      <c r="N96" s="331"/>
      <c r="O96" s="331"/>
    </row>
    <row r="97" spans="1:15" ht="14.5" x14ac:dyDescent="0.3">
      <c r="A97" s="306"/>
      <c r="B97" s="379"/>
      <c r="C97" s="379"/>
      <c r="D97" s="379"/>
      <c r="E97" s="379" t="s">
        <v>2160</v>
      </c>
      <c r="F97" s="379"/>
      <c r="G97" s="380" t="s">
        <v>2161</v>
      </c>
      <c r="H97" s="383" t="s">
        <v>2425</v>
      </c>
      <c r="I97" s="409"/>
      <c r="J97" s="385"/>
      <c r="K97" s="385">
        <f>0.00000055/(24*3600)</f>
        <v>6.3657407407407413E-12</v>
      </c>
      <c r="L97" s="386">
        <f t="shared" si="5"/>
        <v>6.3657407407407413E-12</v>
      </c>
      <c r="M97" s="42" t="s">
        <v>2157</v>
      </c>
      <c r="N97" s="331"/>
      <c r="O97" s="331"/>
    </row>
    <row r="98" spans="1:15" x14ac:dyDescent="0.3">
      <c r="A98" s="306"/>
      <c r="B98" s="379"/>
      <c r="C98" s="379"/>
      <c r="D98" s="379"/>
      <c r="E98" s="379"/>
      <c r="F98" s="379"/>
      <c r="G98" s="380"/>
      <c r="H98" s="383"/>
      <c r="I98" s="409"/>
      <c r="J98" s="385"/>
      <c r="K98" s="385"/>
      <c r="L98" s="386"/>
      <c r="M98" s="42"/>
      <c r="N98" s="331"/>
      <c r="O98" s="331"/>
    </row>
    <row r="99" spans="1:15" s="351" customFormat="1" ht="14.5" x14ac:dyDescent="0.3">
      <c r="A99" s="674" t="s">
        <v>89</v>
      </c>
      <c r="G99" s="705" t="s">
        <v>2552</v>
      </c>
      <c r="H99" s="674" t="s">
        <v>1579</v>
      </c>
      <c r="I99" s="706"/>
      <c r="J99" s="707" t="str">
        <f t="shared" ref="J99:J111" si="6">IF(HLOOKUP(CaseName,CaseData,ROW()+158,FALSE)="","",HLOOKUP(CaseName,CaseData,ROW()+158,FALSE))</f>
        <v/>
      </c>
      <c r="K99" s="672">
        <f ca="1">(SED.wL.sdL+ADSORB.wL.sdL)/DEPTH.wL</f>
        <v>1.444500727497233E-6</v>
      </c>
      <c r="L99" s="673">
        <f t="shared" ca="1" si="5"/>
        <v>1.444500727497233E-6</v>
      </c>
      <c r="M99" s="351" t="s">
        <v>1515</v>
      </c>
      <c r="N99" s="669" t="s">
        <v>2582</v>
      </c>
      <c r="O99" s="675"/>
    </row>
    <row r="100" spans="1:15" s="351" customFormat="1" ht="14.5" x14ac:dyDescent="0.3">
      <c r="A100" s="674" t="s">
        <v>90</v>
      </c>
      <c r="G100" s="705" t="s">
        <v>2553</v>
      </c>
      <c r="H100" s="674" t="s">
        <v>1579</v>
      </c>
      <c r="I100" s="706"/>
      <c r="J100" s="707" t="str">
        <f t="shared" si="6"/>
        <v/>
      </c>
      <c r="K100" s="672">
        <f ca="1">(RESUSP.sdL.wL+DESORB.sdL.wL)/DEPTH.sdL</f>
        <v>1.7977989971090048E-4</v>
      </c>
      <c r="L100" s="673">
        <f t="shared" ca="1" si="5"/>
        <v>1.7977989971090048E-4</v>
      </c>
      <c r="M100" s="351" t="s">
        <v>1515</v>
      </c>
      <c r="N100" s="675"/>
      <c r="O100" s="675"/>
    </row>
    <row r="101" spans="1:15" s="351" customFormat="1" ht="14.5" x14ac:dyDescent="0.3">
      <c r="A101" s="674"/>
      <c r="B101" s="674" t="s">
        <v>2544</v>
      </c>
      <c r="G101" s="705" t="s">
        <v>2554</v>
      </c>
      <c r="H101" s="674" t="s">
        <v>2567</v>
      </c>
      <c r="I101" s="708"/>
      <c r="J101" s="707" t="str">
        <f t="shared" si="6"/>
        <v/>
      </c>
      <c r="K101" s="672">
        <f ca="1">(GROSSSEDrate.wL*FRACs.sdL*RHOsolid/SUSP.wL)*((Kp.suspL*SUSP.wL/1000)*FRw.wL)</f>
        <v>3.5818008174527862E-6</v>
      </c>
      <c r="L101" s="673">
        <f t="shared" ca="1" si="5"/>
        <v>3.5818008174527862E-6</v>
      </c>
      <c r="M101" s="674" t="s">
        <v>2061</v>
      </c>
      <c r="N101" s="675" t="s">
        <v>2603</v>
      </c>
      <c r="O101" s="675"/>
    </row>
    <row r="102" spans="1:15" s="351" customFormat="1" ht="14.5" x14ac:dyDescent="0.3">
      <c r="A102" s="674"/>
      <c r="B102" s="674" t="s">
        <v>2545</v>
      </c>
      <c r="G102" s="705" t="s">
        <v>2555</v>
      </c>
      <c r="H102" s="674" t="s">
        <v>2567</v>
      </c>
      <c r="I102" s="708"/>
      <c r="J102" s="707" t="str">
        <f t="shared" si="6"/>
        <v/>
      </c>
      <c r="K102" s="709">
        <f ca="1">RESUSPrate.sdL</f>
        <v>2.0938495017237509E-9</v>
      </c>
      <c r="L102" s="673">
        <f t="shared" ca="1" si="5"/>
        <v>2.0938495017237509E-9</v>
      </c>
      <c r="M102" s="674" t="s">
        <v>2061</v>
      </c>
      <c r="N102" s="675"/>
      <c r="O102" s="675"/>
    </row>
    <row r="103" spans="1:15" s="351" customFormat="1" ht="15" x14ac:dyDescent="0.35">
      <c r="A103" s="674"/>
      <c r="B103" s="674"/>
      <c r="C103" s="674" t="s">
        <v>2546</v>
      </c>
      <c r="G103" s="710" t="s">
        <v>2556</v>
      </c>
      <c r="H103" s="711" t="s">
        <v>1589</v>
      </c>
      <c r="I103" s="708"/>
      <c r="J103" s="707" t="str">
        <f t="shared" si="6"/>
        <v/>
      </c>
      <c r="K103" s="672">
        <f ca="1">IF(SETTLvelocity.L*SUSP.wL/(FRACs.sdL*RHOsolid)&gt;NETsedrate.wL,SETTLvelocity.L*SUSP.wL/(FRACs.sdL*RHOsolid),NETsedrate.wL)</f>
        <v>2.1807105494152782E-9</v>
      </c>
      <c r="L103" s="673">
        <f t="shared" ca="1" si="5"/>
        <v>2.1807105494152782E-9</v>
      </c>
      <c r="M103" s="674" t="s">
        <v>2563</v>
      </c>
      <c r="N103" s="675" t="s">
        <v>2603</v>
      </c>
      <c r="O103" s="675"/>
    </row>
    <row r="104" spans="1:15" s="351" customFormat="1" ht="15" x14ac:dyDescent="0.35">
      <c r="A104" s="674"/>
      <c r="B104" s="674"/>
      <c r="C104" s="711" t="s">
        <v>2547</v>
      </c>
      <c r="G104" s="710" t="s">
        <v>2557</v>
      </c>
      <c r="H104" s="711" t="s">
        <v>1589</v>
      </c>
      <c r="I104" s="708"/>
      <c r="J104" s="707" t="str">
        <f t="shared" si="6"/>
        <v/>
      </c>
      <c r="K104" s="672">
        <f ca="1">GROSSSEDrate.wL-NETsedrate.wL</f>
        <v>2.0938495017237509E-9</v>
      </c>
      <c r="L104" s="673">
        <f t="shared" ca="1" si="5"/>
        <v>2.0938495017237509E-9</v>
      </c>
      <c r="M104" s="674" t="s">
        <v>2563</v>
      </c>
      <c r="N104" s="675"/>
      <c r="O104" s="675"/>
    </row>
    <row r="105" spans="1:15" s="351" customFormat="1" ht="15" x14ac:dyDescent="0.35">
      <c r="A105" s="674"/>
      <c r="B105" s="674"/>
      <c r="D105" s="674" t="s">
        <v>576</v>
      </c>
      <c r="E105" s="711"/>
      <c r="F105" s="711"/>
      <c r="G105" s="710" t="s">
        <v>2558</v>
      </c>
      <c r="H105" s="711" t="s">
        <v>1589</v>
      </c>
      <c r="I105" s="708" cm="1">
        <f t="array" aca="1" ref="I105" ca="1">_xll.RiskTriang(0.000003,0.0000289,0.00003,_xll.RiskName(G105))</f>
        <v>2.3363208645890143E-5</v>
      </c>
      <c r="J105" s="707" t="str">
        <f t="shared" si="6"/>
        <v/>
      </c>
      <c r="K105" s="672">
        <f>2.5/(24*3600)</f>
        <v>2.8935185185185186E-5</v>
      </c>
      <c r="L105" s="673">
        <f t="shared" ca="1" si="5"/>
        <v>2.3363208645890143E-5</v>
      </c>
      <c r="M105" s="674" t="s">
        <v>2563</v>
      </c>
      <c r="N105" s="675"/>
      <c r="O105" s="675"/>
    </row>
    <row r="106" spans="1:15" s="351" customFormat="1" ht="15" x14ac:dyDescent="0.35">
      <c r="A106" s="674"/>
      <c r="B106" s="674"/>
      <c r="D106" s="674" t="s">
        <v>2548</v>
      </c>
      <c r="E106" s="711"/>
      <c r="F106" s="674"/>
      <c r="G106" s="710" t="s">
        <v>2580</v>
      </c>
      <c r="H106" s="711" t="s">
        <v>1589</v>
      </c>
      <c r="I106" s="708"/>
      <c r="J106" s="707" t="str">
        <f t="shared" si="6"/>
        <v/>
      </c>
      <c r="K106" s="672">
        <v>8.6861047691527155E-11</v>
      </c>
      <c r="L106" s="673">
        <f t="shared" si="5"/>
        <v>8.6861047691527155E-11</v>
      </c>
      <c r="M106" s="674" t="s">
        <v>2563</v>
      </c>
      <c r="N106" s="675"/>
      <c r="O106" s="675"/>
    </row>
    <row r="107" spans="1:15" s="351" customFormat="1" ht="14.5" x14ac:dyDescent="0.3">
      <c r="A107" s="674"/>
      <c r="B107" s="674"/>
      <c r="E107" s="674" t="s">
        <v>2549</v>
      </c>
      <c r="F107" s="711"/>
      <c r="G107" s="710" t="s">
        <v>2581</v>
      </c>
      <c r="H107" s="674" t="s">
        <v>1590</v>
      </c>
      <c r="I107" s="708" cm="1">
        <f t="array" aca="1" ref="I107" ca="1">_xll.RiskTriang(5,10,20,_xll.RiskName(G107))</f>
        <v>6.7355234767346737</v>
      </c>
      <c r="J107" s="707" t="str">
        <f t="shared" si="6"/>
        <v/>
      </c>
      <c r="K107" s="672">
        <v>10</v>
      </c>
      <c r="L107" s="673">
        <f ca="1">IF(ISBLANK(I107),IF(ISNUMBER(J107)=FALSE,K107/(1000*3600*24*365)*AREAFRAC.wL*SYSTEMAREA.L,J107/(1000*3600*24*365)*AREAFRAC.wL*SYSTEMAREA.L),I107/(1000*3600*24*365)*AREAFRAC.wL*SYSTEMAREA.L)</f>
        <v>2.7338502188674476E-4</v>
      </c>
      <c r="M107" s="351" t="s">
        <v>1526</v>
      </c>
      <c r="N107" s="675"/>
      <c r="O107" s="675"/>
    </row>
    <row r="108" spans="1:15" s="351" customFormat="1" ht="15" x14ac:dyDescent="0.35">
      <c r="B108" s="351" t="s">
        <v>2550</v>
      </c>
      <c r="C108" s="711"/>
      <c r="D108" s="711"/>
      <c r="G108" s="705" t="s">
        <v>2559</v>
      </c>
      <c r="H108" s="674" t="s">
        <v>2567</v>
      </c>
      <c r="I108" s="708"/>
      <c r="J108" s="707" t="str">
        <f t="shared" si="6"/>
        <v/>
      </c>
      <c r="K108" s="672">
        <f ca="1">(kwsd.water.wL*kwsd.sed.sdL)/(kwsd.water.wL+kwsd.sed.sdL)*FRw.wL</f>
        <v>2.863062083876196E-8</v>
      </c>
      <c r="L108" s="673">
        <f t="shared" ca="1" si="5"/>
        <v>2.863062083876196E-8</v>
      </c>
      <c r="M108" s="674" t="s">
        <v>2563</v>
      </c>
      <c r="N108" s="675"/>
      <c r="O108" s="675"/>
    </row>
    <row r="109" spans="1:15" s="351" customFormat="1" ht="15" x14ac:dyDescent="0.35">
      <c r="B109" s="351" t="s">
        <v>2551</v>
      </c>
      <c r="C109" s="711"/>
      <c r="D109" s="711"/>
      <c r="G109" s="705" t="s">
        <v>2560</v>
      </c>
      <c r="H109" s="674" t="s">
        <v>2567</v>
      </c>
      <c r="I109" s="708"/>
      <c r="J109" s="707" t="str">
        <f t="shared" si="6"/>
        <v/>
      </c>
      <c r="K109" s="672">
        <f ca="1">(kwsd.water.wL*kwsd.sed.sdL)/(kwsd.water.wL+kwsd.sed.sdL)*Ksdw.L</f>
        <v>1.3156729730616036E-5</v>
      </c>
      <c r="L109" s="673">
        <f t="shared" ca="1" si="5"/>
        <v>1.3156729730616036E-5</v>
      </c>
      <c r="M109" s="674" t="s">
        <v>2563</v>
      </c>
      <c r="N109" s="675"/>
      <c r="O109" s="675"/>
    </row>
    <row r="110" spans="1:15" s="351" customFormat="1" ht="15" x14ac:dyDescent="0.35">
      <c r="A110" s="674"/>
      <c r="B110" s="674"/>
      <c r="C110" s="351" t="s">
        <v>1069</v>
      </c>
      <c r="E110" s="711"/>
      <c r="F110" s="711"/>
      <c r="G110" s="712" t="s">
        <v>2561</v>
      </c>
      <c r="H110" s="711" t="s">
        <v>1589</v>
      </c>
      <c r="I110" s="252" cm="1">
        <f t="array" aca="1" ref="I110" ca="1">_xll.RiskTriang((0.00000278/3),0.00000278,(0.00000278*3),_xll.RiskName(G110))</f>
        <v>5.9781884585702209E-6</v>
      </c>
      <c r="J110" s="707" t="str">
        <f t="shared" si="6"/>
        <v/>
      </c>
      <c r="K110" s="672">
        <v>2.7779999999999999E-6</v>
      </c>
      <c r="L110" s="673">
        <f t="shared" ca="1" si="5"/>
        <v>5.9781884585702209E-6</v>
      </c>
      <c r="M110" s="674" t="s">
        <v>2563</v>
      </c>
      <c r="N110" s="675"/>
      <c r="O110" s="675"/>
    </row>
    <row r="111" spans="1:15" s="351" customFormat="1" ht="15" x14ac:dyDescent="0.35">
      <c r="A111" s="674"/>
      <c r="B111" s="674"/>
      <c r="C111" s="351" t="s">
        <v>1225</v>
      </c>
      <c r="E111" s="711"/>
      <c r="G111" s="712" t="s">
        <v>2562</v>
      </c>
      <c r="H111" s="711" t="s">
        <v>1589</v>
      </c>
      <c r="I111" s="252" cm="1">
        <f t="array" aca="1" ref="I111" ca="1">_xll.RiskTriang((0.0000000278/3),0.0000000278,(0.0000000278*3),_xll.RiskName(G111))</f>
        <v>3.4007127824854811E-8</v>
      </c>
      <c r="J111" s="707" t="str">
        <f t="shared" si="6"/>
        <v/>
      </c>
      <c r="K111" s="672">
        <v>2.7780000000000001E-8</v>
      </c>
      <c r="L111" s="673">
        <f t="shared" ca="1" si="5"/>
        <v>3.4007127824854811E-8</v>
      </c>
      <c r="M111" s="674" t="s">
        <v>2563</v>
      </c>
      <c r="N111" s="675"/>
      <c r="O111" s="675"/>
    </row>
    <row r="112" spans="1:15" x14ac:dyDescent="0.3">
      <c r="A112" s="42"/>
      <c r="B112" s="42"/>
      <c r="C112" s="38"/>
      <c r="D112" s="38"/>
      <c r="E112" s="64"/>
      <c r="F112" s="38"/>
      <c r="G112" s="679"/>
      <c r="H112" s="64"/>
      <c r="I112" s="255"/>
      <c r="J112" s="192"/>
      <c r="K112" s="395"/>
      <c r="L112" s="386"/>
      <c r="M112" s="42"/>
      <c r="N112" s="331"/>
      <c r="O112" s="331"/>
    </row>
    <row r="113" spans="1:15" ht="14.5" x14ac:dyDescent="0.3">
      <c r="A113" s="306" t="s">
        <v>91</v>
      </c>
      <c r="B113" s="384"/>
      <c r="C113" s="384"/>
      <c r="D113" s="384"/>
      <c r="E113" s="384"/>
      <c r="F113" s="384"/>
      <c r="G113" s="399" t="s">
        <v>2162</v>
      </c>
      <c r="H113" s="306" t="s">
        <v>2418</v>
      </c>
      <c r="I113" s="409"/>
      <c r="J113" s="412" t="str">
        <f>IF(HLOOKUP(CaseName,CaseData,ROW()+161,FALSE)="","",HLOOKUP(CaseName,CaseData,ROW()+161,FALSE))</f>
        <v/>
      </c>
      <c r="K113" s="413">
        <f ca="1">(RAINrate.L*FRACrun.sL/Ksw.L+EROSION.sL)*CORRrunoff.sL * (SYSTEMAREA.L*AREAFRAC.sL/VOLUME.sL)</f>
        <v>1.6994252831073437E-11</v>
      </c>
      <c r="L113" s="386">
        <f ca="1">IF(ISBLANK(I113),IF(ISNUMBER(J113)=FALSE,K113,J113),I113)</f>
        <v>1.6994252831073437E-11</v>
      </c>
      <c r="M113" s="38" t="s">
        <v>1515</v>
      </c>
      <c r="N113" s="82"/>
      <c r="O113" s="331"/>
    </row>
    <row r="114" spans="1:15" ht="14.5" x14ac:dyDescent="0.3">
      <c r="A114" s="306"/>
      <c r="B114" s="380" t="s">
        <v>2458</v>
      </c>
      <c r="C114" s="379"/>
      <c r="D114" s="379"/>
      <c r="E114" s="379"/>
      <c r="F114" s="379"/>
      <c r="G114" s="381" t="s">
        <v>2164</v>
      </c>
      <c r="H114" s="380" t="s">
        <v>2419</v>
      </c>
      <c r="I114" s="409"/>
      <c r="J114" s="385"/>
      <c r="K114" s="385">
        <f ca="1">(RAINrate.L*FRACrun.sL/Ksw.L+EROSION.sL)*SYSTEMAREA.L*AREAFRAC.sL</f>
        <v>1.5812837229977255E-5</v>
      </c>
      <c r="L114" s="386">
        <f t="shared" ca="1" si="5"/>
        <v>1.5812837229977255E-5</v>
      </c>
      <c r="M114" s="42" t="s">
        <v>2057</v>
      </c>
      <c r="N114" s="331"/>
      <c r="O114" s="331"/>
    </row>
    <row r="115" spans="1:15" x14ac:dyDescent="0.3">
      <c r="A115" s="306"/>
      <c r="B115" s="306"/>
      <c r="C115" s="384" t="s">
        <v>177</v>
      </c>
      <c r="D115" s="384"/>
      <c r="E115" s="397"/>
      <c r="F115" s="397"/>
      <c r="G115" s="399" t="s">
        <v>2165</v>
      </c>
      <c r="H115" s="384" t="s">
        <v>28</v>
      </c>
      <c r="I115" s="411"/>
      <c r="J115" s="412" t="str">
        <f>IF(HLOOKUP(CaseName,CaseData,ROW()+161,FALSE)="","",HLOOKUP(CaseName,CaseData,ROW()+161,FALSE))</f>
        <v/>
      </c>
      <c r="K115" s="413">
        <f>(1/0.1)*DEPTH.sL/(1-EXP((-1/0.1)*DEPTH.sL))</f>
        <v>1.5819767068693265</v>
      </c>
      <c r="L115" s="386">
        <f t="shared" si="5"/>
        <v>1.5819767068693265</v>
      </c>
      <c r="M115" s="38" t="s">
        <v>477</v>
      </c>
      <c r="N115" s="331"/>
      <c r="O115" s="331"/>
    </row>
    <row r="116" spans="1:15" ht="14.5" x14ac:dyDescent="0.3">
      <c r="A116" s="306"/>
      <c r="B116" s="380"/>
      <c r="C116" s="383" t="s">
        <v>203</v>
      </c>
      <c r="D116" s="383"/>
      <c r="E116" s="383"/>
      <c r="F116" s="379"/>
      <c r="G116" s="382" t="s">
        <v>2166</v>
      </c>
      <c r="H116" s="383" t="s">
        <v>2424</v>
      </c>
      <c r="I116" s="255" cm="1">
        <f t="array" aca="1" ref="I116" ca="1">_xll.RiskTriang(0,0.03,0.06,_xll.RiskName(G116),_xll.RiskStatic(0.03))</f>
        <v>2.7455326234845603E-2</v>
      </c>
      <c r="J116" s="385"/>
      <c r="K116" s="385">
        <v>0.03</v>
      </c>
      <c r="L116" s="386">
        <f ca="1">IF(ISBLANK(I116),IF(ISBLANK(J116),K116/1000/(365*24*3600),J116/1000/(365*24*3600)),I116/1000/(365*24*3600))</f>
        <v>8.7060268375334861E-13</v>
      </c>
      <c r="M116" s="42" t="s">
        <v>2061</v>
      </c>
      <c r="N116" s="331"/>
      <c r="O116" s="331"/>
    </row>
    <row r="117" spans="1:15" x14ac:dyDescent="0.3">
      <c r="A117" s="306"/>
      <c r="B117" s="380"/>
      <c r="C117" s="380" t="s">
        <v>2167</v>
      </c>
      <c r="D117" s="383"/>
      <c r="E117" s="383"/>
      <c r="F117" s="379"/>
      <c r="G117" s="382" t="s">
        <v>2168</v>
      </c>
      <c r="H117" s="380" t="s">
        <v>28</v>
      </c>
      <c r="I117" s="409" cm="1">
        <f t="array" aca="1" ref="I117" ca="1">_xll.RiskTriang(0,0.25,0.5,_xll.RiskName(G117))</f>
        <v>0.16051661305592069</v>
      </c>
      <c r="J117" s="385"/>
      <c r="K117" s="385">
        <f>FRACrun.L</f>
        <v>0.25</v>
      </c>
      <c r="L117" s="386">
        <f t="shared" ca="1" si="5"/>
        <v>0.16051661305592069</v>
      </c>
      <c r="M117" s="42" t="s">
        <v>477</v>
      </c>
      <c r="N117" s="379"/>
      <c r="O117" s="331"/>
    </row>
    <row r="118" spans="1:15" x14ac:dyDescent="0.3">
      <c r="A118" s="306"/>
      <c r="B118" s="306"/>
      <c r="C118" s="306"/>
      <c r="D118" s="384" t="s">
        <v>2169</v>
      </c>
      <c r="E118" s="306"/>
      <c r="F118" s="397"/>
      <c r="G118" s="399" t="s">
        <v>2170</v>
      </c>
      <c r="H118" s="397" t="s">
        <v>713</v>
      </c>
      <c r="I118" s="411"/>
      <c r="J118" s="412" t="str">
        <f>IF(HLOOKUP(CaseName,CaseData,ROW()+161,FALSE)="","",HLOOKUP(CaseName,CaseData,ROW()+161,FALSE))</f>
        <v/>
      </c>
      <c r="K118" s="413">
        <v>0.5</v>
      </c>
      <c r="L118" s="386">
        <f t="shared" si="5"/>
        <v>0.5</v>
      </c>
      <c r="M118" s="38" t="s">
        <v>714</v>
      </c>
      <c r="N118" s="331"/>
      <c r="O118" s="331"/>
    </row>
    <row r="119" spans="1:15" x14ac:dyDescent="0.3">
      <c r="A119" s="331"/>
      <c r="B119" s="331"/>
      <c r="C119" s="331"/>
      <c r="D119" s="331"/>
      <c r="E119" s="331"/>
      <c r="F119" s="331"/>
      <c r="G119" s="352"/>
      <c r="H119" s="360"/>
      <c r="I119" s="353"/>
      <c r="J119" s="353"/>
      <c r="K119" s="355"/>
      <c r="L119" s="353"/>
      <c r="M119" s="355"/>
      <c r="N119" s="355"/>
      <c r="O119" s="331"/>
    </row>
    <row r="120" spans="1:15" x14ac:dyDescent="0.3">
      <c r="A120" s="357" t="s">
        <v>414</v>
      </c>
      <c r="B120" s="356"/>
      <c r="C120" s="356"/>
      <c r="D120" s="356"/>
      <c r="E120" s="356"/>
      <c r="F120" s="356"/>
      <c r="G120" s="357" t="s">
        <v>969</v>
      </c>
      <c r="H120" s="357" t="s">
        <v>929</v>
      </c>
      <c r="I120" s="358" t="s">
        <v>748</v>
      </c>
      <c r="J120" s="359" t="s">
        <v>29</v>
      </c>
      <c r="K120" s="190" t="s">
        <v>747</v>
      </c>
      <c r="L120" s="359" t="s">
        <v>1353</v>
      </c>
      <c r="M120" s="190"/>
      <c r="N120" s="357" t="s">
        <v>1366</v>
      </c>
      <c r="O120" s="331"/>
    </row>
    <row r="121" spans="1:15" x14ac:dyDescent="0.3">
      <c r="A121" s="331"/>
      <c r="B121" s="331"/>
      <c r="C121" s="331"/>
      <c r="D121" s="331"/>
      <c r="E121" s="331"/>
      <c r="F121" s="331"/>
      <c r="G121" s="352"/>
      <c r="H121" s="360"/>
      <c r="I121" s="353"/>
      <c r="J121" s="353"/>
      <c r="K121" s="355"/>
      <c r="L121" s="353"/>
      <c r="M121" s="355"/>
      <c r="N121" s="355"/>
      <c r="O121" s="331"/>
    </row>
    <row r="122" spans="1:15" ht="14.5" x14ac:dyDescent="0.3">
      <c r="A122" s="306" t="s">
        <v>216</v>
      </c>
      <c r="B122" s="384"/>
      <c r="C122" s="384"/>
      <c r="D122" s="384"/>
      <c r="E122" s="384"/>
      <c r="F122" s="384"/>
      <c r="G122" s="399" t="s">
        <v>2171</v>
      </c>
      <c r="H122" s="306" t="s">
        <v>2418</v>
      </c>
      <c r="I122" s="409"/>
      <c r="J122" s="412" t="str">
        <f>IF(HLOOKUP(CaseName,CaseData,ROW()+161,FALSE)="","",HLOOKUP(CaseName,CaseData,ROW()+161,FALSE))</f>
        <v/>
      </c>
      <c r="K122" s="413">
        <f ca="1">kesc.aL+FRgas.aL*kdeg.air*(C.OHrad.aL/C.OHrad)*Tempfactor.aL</f>
        <v>3.663258818281463E-10</v>
      </c>
      <c r="L122" s="386">
        <f t="shared" ref="L122:L136" ca="1" si="7">IF(ISBLANK(I122),IF(ISNUMBER(J122)=FALSE,K122,J122),I122)</f>
        <v>3.663258818281463E-10</v>
      </c>
      <c r="M122" s="38" t="s">
        <v>1515</v>
      </c>
      <c r="N122" s="38"/>
      <c r="O122" s="42"/>
    </row>
    <row r="123" spans="1:15" ht="14.5" x14ac:dyDescent="0.3">
      <c r="A123" s="306" t="s">
        <v>245</v>
      </c>
      <c r="B123" s="384"/>
      <c r="C123" s="384"/>
      <c r="D123" s="384"/>
      <c r="E123" s="384"/>
      <c r="F123" s="384"/>
      <c r="G123" s="399" t="s">
        <v>2172</v>
      </c>
      <c r="H123" s="306" t="s">
        <v>2418</v>
      </c>
      <c r="I123" s="409"/>
      <c r="J123" s="412" t="str">
        <f>IF(HLOOKUP(CaseName,CaseData,ROW()+161,FALSE)="","",HLOOKUP(CaseName,CaseData,ROW()+161,FALSE))</f>
        <v/>
      </c>
      <c r="K123" s="413">
        <f ca="1">kdeg.water*Tempfactor.wsdsL*(BACT.wL/BACT.test)*FRw.wL</f>
        <v>3.6282415502792579E-21</v>
      </c>
      <c r="L123" s="386">
        <f t="shared" ca="1" si="7"/>
        <v>3.6282415502792579E-21</v>
      </c>
      <c r="M123" s="38" t="s">
        <v>1515</v>
      </c>
      <c r="N123" s="38"/>
      <c r="O123" s="331"/>
    </row>
    <row r="124" spans="1:15" s="351" customFormat="1" ht="14.5" x14ac:dyDescent="0.3">
      <c r="A124" s="713" t="s">
        <v>217</v>
      </c>
      <c r="B124" s="714"/>
      <c r="C124" s="714"/>
      <c r="D124" s="714"/>
      <c r="E124" s="714"/>
      <c r="F124" s="714"/>
      <c r="G124" s="715" t="s">
        <v>2568</v>
      </c>
      <c r="H124" s="713" t="s">
        <v>2418</v>
      </c>
      <c r="I124" s="671"/>
      <c r="J124" s="716"/>
      <c r="K124" s="709">
        <f ca="1">Tempfactor.wsdsL*kdeg.sed+NETsedrate.wL/DEPTH.sdL</f>
        <v>1.1867223804427003E-9</v>
      </c>
      <c r="L124" s="673">
        <f t="shared" ca="1" si="7"/>
        <v>1.1867223804427003E-9</v>
      </c>
      <c r="N124" s="669" t="s">
        <v>2582</v>
      </c>
      <c r="O124" s="675"/>
    </row>
    <row r="125" spans="1:15" ht="14.5" x14ac:dyDescent="0.3">
      <c r="A125" s="306" t="s">
        <v>838</v>
      </c>
      <c r="B125" s="384"/>
      <c r="C125" s="384"/>
      <c r="D125" s="384"/>
      <c r="E125" s="384"/>
      <c r="F125" s="384"/>
      <c r="G125" s="399" t="s">
        <v>2173</v>
      </c>
      <c r="H125" s="306" t="s">
        <v>2418</v>
      </c>
      <c r="I125" s="409"/>
      <c r="J125" s="412" t="str">
        <f>IF(HLOOKUP(CaseName,CaseData,ROW()+161,FALSE)="","",HLOOKUP(CaseName,CaseData,ROW()+161,FALSE))</f>
        <v/>
      </c>
      <c r="K125" s="413">
        <f ca="1">Tempfactor.wsdsL*kdeg.soil+FRACinf.sL*RAINrate.L/Ksw.L*CORRleach.sl*SYSTEMAREA.L*AREAFRAC.sL/VOLUME.sL</f>
        <v>3.4275854189211698E-14</v>
      </c>
      <c r="L125" s="386">
        <f t="shared" ca="1" si="7"/>
        <v>3.4275854189211698E-14</v>
      </c>
      <c r="M125" s="38" t="s">
        <v>1515</v>
      </c>
      <c r="N125" s="38"/>
      <c r="O125" s="331"/>
    </row>
    <row r="126" spans="1:15" ht="14.5" x14ac:dyDescent="0.3">
      <c r="A126" s="306"/>
      <c r="B126" s="380" t="s">
        <v>791</v>
      </c>
      <c r="C126" s="383"/>
      <c r="D126" s="379"/>
      <c r="E126" s="379"/>
      <c r="F126" s="379"/>
      <c r="G126" s="382" t="s">
        <v>2174</v>
      </c>
      <c r="H126" s="380" t="s">
        <v>2426</v>
      </c>
      <c r="I126" s="409"/>
      <c r="J126" s="385"/>
      <c r="K126" s="385">
        <f>LN(2)/(60*365*24*3600)</f>
        <v>3.663258818281463E-10</v>
      </c>
      <c r="L126" s="386">
        <f t="shared" si="7"/>
        <v>3.663258818281463E-10</v>
      </c>
      <c r="M126" s="42" t="s">
        <v>2175</v>
      </c>
      <c r="N126" s="331"/>
      <c r="O126" s="331"/>
    </row>
    <row r="127" spans="1:15" ht="14.5" x14ac:dyDescent="0.3">
      <c r="A127" s="306"/>
      <c r="B127" s="380" t="s">
        <v>792</v>
      </c>
      <c r="C127" s="379"/>
      <c r="D127" s="379"/>
      <c r="E127" s="379"/>
      <c r="F127" s="379"/>
      <c r="G127" s="381" t="s">
        <v>2176</v>
      </c>
      <c r="H127" s="380" t="s">
        <v>2426</v>
      </c>
      <c r="I127" s="409"/>
      <c r="J127" s="385"/>
      <c r="K127" s="385">
        <f ca="1">FRgas.aL*kdeg.air*(C.OHrad.aL/C.OHrad)*Tempfactor.aL</f>
        <v>8.7458890757023033E-31</v>
      </c>
      <c r="L127" s="386">
        <f t="shared" ca="1" si="7"/>
        <v>8.7458890757023033E-31</v>
      </c>
      <c r="M127" s="42" t="s">
        <v>2175</v>
      </c>
      <c r="N127" s="331"/>
      <c r="O127" s="331"/>
    </row>
    <row r="128" spans="1:15" ht="14.5" x14ac:dyDescent="0.3">
      <c r="A128" s="306"/>
      <c r="B128" s="383"/>
      <c r="C128" s="380" t="s">
        <v>2177</v>
      </c>
      <c r="D128" s="379"/>
      <c r="E128" s="379"/>
      <c r="F128" s="379"/>
      <c r="G128" s="381" t="s">
        <v>2178</v>
      </c>
      <c r="H128" s="380" t="s">
        <v>2427</v>
      </c>
      <c r="I128" s="409"/>
      <c r="J128" s="385"/>
      <c r="K128" s="385">
        <v>500000</v>
      </c>
      <c r="L128" s="386">
        <f t="shared" si="7"/>
        <v>500000</v>
      </c>
      <c r="M128" s="42" t="s">
        <v>2179</v>
      </c>
      <c r="N128" s="331"/>
      <c r="O128" s="331"/>
    </row>
    <row r="129" spans="1:15" s="351" customFormat="1" x14ac:dyDescent="0.3">
      <c r="A129" s="713"/>
      <c r="B129" s="703"/>
      <c r="C129" s="670" t="s">
        <v>26</v>
      </c>
      <c r="D129" s="669"/>
      <c r="E129" s="669"/>
      <c r="F129" s="669"/>
      <c r="G129" s="702" t="s">
        <v>2180</v>
      </c>
      <c r="H129" s="670" t="s">
        <v>28</v>
      </c>
      <c r="I129" s="671"/>
      <c r="J129" s="672"/>
      <c r="K129" s="672">
        <f ca="1">EXP((Ea.OHrad/8.314)*(TEMP.L-298)/298^2)</f>
        <v>0.90542325578526384</v>
      </c>
      <c r="L129" s="673">
        <f t="shared" ca="1" si="7"/>
        <v>0.90542325578526384</v>
      </c>
      <c r="M129" s="674" t="s">
        <v>477</v>
      </c>
      <c r="N129" s="675" t="s">
        <v>2601</v>
      </c>
      <c r="O129" s="675"/>
    </row>
    <row r="130" spans="1:15" ht="14.5" x14ac:dyDescent="0.3">
      <c r="A130" s="306"/>
      <c r="B130" s="380" t="s">
        <v>793</v>
      </c>
      <c r="C130" s="379"/>
      <c r="D130" s="379"/>
      <c r="E130" s="379"/>
      <c r="F130" s="379"/>
      <c r="G130" s="381" t="s">
        <v>2181</v>
      </c>
      <c r="H130" s="380" t="s">
        <v>2426</v>
      </c>
      <c r="I130" s="409"/>
      <c r="J130" s="385"/>
      <c r="K130" s="385">
        <f ca="1">kdeg.water*Tempfactor.wsdsL*(BACT.wL/BACT.test)*FRw.wL</f>
        <v>3.6282415502792579E-21</v>
      </c>
      <c r="L130" s="386">
        <f t="shared" ca="1" si="7"/>
        <v>3.6282415502792579E-21</v>
      </c>
      <c r="M130" s="42" t="s">
        <v>2175</v>
      </c>
      <c r="N130" s="331"/>
      <c r="O130" s="331"/>
    </row>
    <row r="131" spans="1:15" ht="14.5" x14ac:dyDescent="0.3">
      <c r="A131" s="306"/>
      <c r="B131" s="380"/>
      <c r="C131" s="380" t="s">
        <v>579</v>
      </c>
      <c r="D131" s="379"/>
      <c r="E131" s="379"/>
      <c r="F131" s="379"/>
      <c r="G131" s="382" t="s">
        <v>2182</v>
      </c>
      <c r="H131" s="380" t="s">
        <v>724</v>
      </c>
      <c r="I131" s="409"/>
      <c r="J131" s="385"/>
      <c r="K131" s="385">
        <v>40000</v>
      </c>
      <c r="L131" s="386">
        <f t="shared" si="7"/>
        <v>40000</v>
      </c>
      <c r="M131" s="42" t="s">
        <v>2183</v>
      </c>
      <c r="N131" s="331"/>
      <c r="O131" s="331"/>
    </row>
    <row r="132" spans="1:15" x14ac:dyDescent="0.3">
      <c r="A132" s="306"/>
      <c r="B132" s="383"/>
      <c r="C132" s="380" t="s">
        <v>760</v>
      </c>
      <c r="D132" s="379"/>
      <c r="E132" s="379"/>
      <c r="F132" s="379"/>
      <c r="G132" s="381" t="s">
        <v>2184</v>
      </c>
      <c r="H132" s="380" t="s">
        <v>28</v>
      </c>
      <c r="I132" s="409"/>
      <c r="J132" s="385"/>
      <c r="K132" s="385">
        <f ca="1">Q.10^((TEMP.L-298)/10)</f>
        <v>0.42852077543119726</v>
      </c>
      <c r="L132" s="386">
        <f t="shared" ca="1" si="7"/>
        <v>0.42852077543119726</v>
      </c>
      <c r="M132" s="42" t="s">
        <v>477</v>
      </c>
      <c r="N132" s="331"/>
      <c r="O132" s="331"/>
    </row>
    <row r="133" spans="1:15" s="351" customFormat="1" ht="14.5" x14ac:dyDescent="0.3">
      <c r="A133" s="713"/>
      <c r="B133" s="670" t="s">
        <v>421</v>
      </c>
      <c r="C133" s="669"/>
      <c r="D133" s="669"/>
      <c r="E133" s="669"/>
      <c r="F133" s="669"/>
      <c r="G133" s="702" t="s">
        <v>2185</v>
      </c>
      <c r="H133" s="670" t="s">
        <v>2426</v>
      </c>
      <c r="I133" s="671"/>
      <c r="J133" s="672"/>
      <c r="K133" s="672">
        <f ca="1">Tempfactor.wsdsL*kdeg.soil</f>
        <v>4.2852077543119722E-21</v>
      </c>
      <c r="L133" s="673">
        <f t="shared" ca="1" si="7"/>
        <v>4.2852077543119722E-21</v>
      </c>
      <c r="M133" s="674" t="s">
        <v>2175</v>
      </c>
      <c r="N133" s="675" t="s">
        <v>2601</v>
      </c>
      <c r="O133" s="675"/>
    </row>
    <row r="134" spans="1:15" ht="14.5" x14ac:dyDescent="0.3">
      <c r="A134" s="306"/>
      <c r="B134" s="379" t="s">
        <v>2186</v>
      </c>
      <c r="C134" s="379"/>
      <c r="D134" s="379"/>
      <c r="E134" s="379"/>
      <c r="F134" s="379"/>
      <c r="G134" s="381" t="s">
        <v>2187</v>
      </c>
      <c r="H134" s="380" t="s">
        <v>2419</v>
      </c>
      <c r="I134" s="409"/>
      <c r="J134" s="385"/>
      <c r="K134" s="385">
        <f ca="1">FRACinf.sL*RAINrate.L/Ksw.L*SYSTEMAREA.L*AREAFRAC.sL</f>
        <v>4.7333472576609617E-6</v>
      </c>
      <c r="L134" s="386">
        <f t="shared" ca="1" si="7"/>
        <v>4.7333472576609617E-6</v>
      </c>
      <c r="M134" s="42" t="s">
        <v>2057</v>
      </c>
      <c r="N134" s="331"/>
      <c r="O134" s="331"/>
    </row>
    <row r="135" spans="1:15" x14ac:dyDescent="0.3">
      <c r="A135" s="306"/>
      <c r="B135" s="306"/>
      <c r="C135" s="384" t="s">
        <v>177</v>
      </c>
      <c r="D135" s="384"/>
      <c r="E135" s="397"/>
      <c r="F135" s="397"/>
      <c r="G135" s="399" t="s">
        <v>2188</v>
      </c>
      <c r="H135" s="384" t="s">
        <v>28</v>
      </c>
      <c r="I135" s="411"/>
      <c r="J135" s="412" t="str">
        <f>IF(HLOOKUP(CaseName,CaseData,ROW()+161,FALSE)="","",HLOOKUP(CaseName,CaseData,ROW()+161,FALSE))</f>
        <v/>
      </c>
      <c r="K135" s="413">
        <f>(EXP((-1/0.1)*DEPTHdrain.sL)*(1/0.1)*DEPTH.sL/(1-EXP((-1/0.1)*DEPTH.sL)))</f>
        <v>1.065927520467329E-2</v>
      </c>
      <c r="L135" s="386">
        <f t="shared" si="7"/>
        <v>1.065927520467329E-2</v>
      </c>
      <c r="M135" s="38" t="s">
        <v>477</v>
      </c>
      <c r="N135" s="331"/>
      <c r="O135" s="331"/>
    </row>
    <row r="136" spans="1:15" x14ac:dyDescent="0.3">
      <c r="A136" s="306"/>
      <c r="B136" s="380"/>
      <c r="C136" s="380" t="s">
        <v>1051</v>
      </c>
      <c r="D136" s="379"/>
      <c r="E136" s="379"/>
      <c r="F136" s="379"/>
      <c r="G136" s="382" t="s">
        <v>2189</v>
      </c>
      <c r="H136" s="380" t="s">
        <v>28</v>
      </c>
      <c r="I136" s="409" cm="1">
        <f t="array" aca="1" ref="I136" ca="1">_xll.RiskTriang(0,0.25,0.5,_xll.RiskName(G136))</f>
        <v>0.25346595867713073</v>
      </c>
      <c r="J136" s="385"/>
      <c r="K136" s="385">
        <v>0.25</v>
      </c>
      <c r="L136" s="386">
        <f t="shared" ca="1" si="7"/>
        <v>0.25346595867713073</v>
      </c>
      <c r="M136" s="42" t="s">
        <v>477</v>
      </c>
      <c r="N136" s="331"/>
      <c r="O136" s="331"/>
    </row>
    <row r="137" spans="1:15" x14ac:dyDescent="0.3">
      <c r="A137" s="367"/>
      <c r="B137" s="367"/>
      <c r="C137" s="367"/>
      <c r="D137" s="367"/>
      <c r="E137" s="367"/>
      <c r="F137" s="367"/>
      <c r="G137" s="368"/>
      <c r="H137" s="368"/>
      <c r="I137" s="369"/>
      <c r="J137" s="370"/>
      <c r="K137" s="371"/>
      <c r="L137" s="372"/>
      <c r="M137" s="367"/>
      <c r="N137" s="367"/>
      <c r="O137" s="352"/>
    </row>
    <row r="138" spans="1:15" x14ac:dyDescent="0.3">
      <c r="A138" s="331"/>
      <c r="B138" s="331"/>
      <c r="C138" s="331"/>
      <c r="D138" s="331"/>
      <c r="E138" s="331"/>
      <c r="F138" s="331"/>
      <c r="G138" s="352"/>
      <c r="H138" s="352"/>
      <c r="I138" s="373"/>
      <c r="J138" s="354"/>
      <c r="K138" s="374"/>
      <c r="L138" s="353"/>
      <c r="M138" s="331"/>
      <c r="N138" s="331"/>
      <c r="O138" s="352"/>
    </row>
  </sheetData>
  <phoneticPr fontId="76" type="noConversion"/>
  <conditionalFormatting sqref="J25 J34 J47:J48">
    <cfRule type="expression" dxfId="170" priority="43" stopIfTrue="1">
      <formula>"if(isnumber(HLOOKUP(CaseName,CaseData,ROW()+161,FALSE))"</formula>
    </cfRule>
  </conditionalFormatting>
  <conditionalFormatting sqref="J30">
    <cfRule type="expression" dxfId="169" priority="42" stopIfTrue="1">
      <formula>"if(isnumber(HLOOKUP(CaseName,CaseData,ROW()+161,FALSE))"</formula>
    </cfRule>
  </conditionalFormatting>
  <conditionalFormatting sqref="J31">
    <cfRule type="expression" dxfId="168" priority="41" stopIfTrue="1">
      <formula>"if(isnumber(HLOOKUP(CaseName,CaseData,ROW()+161,FALSE))"</formula>
    </cfRule>
  </conditionalFormatting>
  <conditionalFormatting sqref="J66">
    <cfRule type="expression" dxfId="167" priority="40" stopIfTrue="1">
      <formula>"if(isnumber(HLOOKUP(CaseName,CaseData,ROW()+161,FALSE))"</formula>
    </cfRule>
  </conditionalFormatting>
  <conditionalFormatting sqref="J67">
    <cfRule type="expression" dxfId="166" priority="39" stopIfTrue="1">
      <formula>"if(isnumber(HLOOKUP(CaseName,CaseData,ROW()+161,FALSE))"</formula>
    </cfRule>
  </conditionalFormatting>
  <conditionalFormatting sqref="J68">
    <cfRule type="expression" dxfId="165" priority="38" stopIfTrue="1">
      <formula>"if(isnumber(HLOOKUP(CaseName,CaseData,ROW()+161,FALSE))"</formula>
    </cfRule>
  </conditionalFormatting>
  <conditionalFormatting sqref="J69">
    <cfRule type="expression" dxfId="164" priority="37" stopIfTrue="1">
      <formula>"if(isnumber(HLOOKUP(CaseName,CaseData,ROW()+161,FALSE))"</formula>
    </cfRule>
  </conditionalFormatting>
  <conditionalFormatting sqref="J113">
    <cfRule type="expression" dxfId="163" priority="36" stopIfTrue="1">
      <formula>"if(isnumber(HLOOKUP(CaseName,CaseData,ROW()+161,FALSE))"</formula>
    </cfRule>
  </conditionalFormatting>
  <conditionalFormatting sqref="J122">
    <cfRule type="expression" dxfId="162" priority="35" stopIfTrue="1">
      <formula>"if(isnumber(HLOOKUP(CaseName,CaseData,ROW()+161,FALSE))"</formula>
    </cfRule>
  </conditionalFormatting>
  <conditionalFormatting sqref="J123:J124">
    <cfRule type="expression" dxfId="161" priority="34" stopIfTrue="1">
      <formula>"if(isnumber(HLOOKUP(CaseName,CaseData,ROW()+161,FALSE))"</formula>
    </cfRule>
  </conditionalFormatting>
  <conditionalFormatting sqref="J125">
    <cfRule type="expression" dxfId="160" priority="33" stopIfTrue="1">
      <formula>"if(isnumber(HLOOKUP(CaseName,CaseData,ROW()+161,FALSE))"</formula>
    </cfRule>
  </conditionalFormatting>
  <conditionalFormatting sqref="J72:J75">
    <cfRule type="expression" dxfId="159" priority="32" stopIfTrue="1">
      <formula>"if(isnumber(HLOOKUP(CaseName,CaseData,ROW()+161,FALSE))"</formula>
    </cfRule>
  </conditionalFormatting>
  <conditionalFormatting sqref="J90">
    <cfRule type="expression" dxfId="158" priority="31" stopIfTrue="1">
      <formula>"if(isnumber(HLOOKUP(CaseName,CaseData,ROW()+161,FALSE))"</formula>
    </cfRule>
  </conditionalFormatting>
  <conditionalFormatting sqref="J115">
    <cfRule type="expression" dxfId="157" priority="30" stopIfTrue="1">
      <formula>"if(isnumber(HLOOKUP(CaseName,CaseData,ROW()+161,FALSE))"</formula>
    </cfRule>
  </conditionalFormatting>
  <conditionalFormatting sqref="J135">
    <cfRule type="expression" dxfId="156" priority="29" stopIfTrue="1">
      <formula>"if(isnumber(HLOOKUP(CaseName,CaseData,ROW()+161,FALSE))"</formula>
    </cfRule>
  </conditionalFormatting>
  <conditionalFormatting sqref="J42:J43">
    <cfRule type="expression" dxfId="155" priority="28" stopIfTrue="1">
      <formula>"if(isnumber(HLOOKUP(CaseName,CaseData,ROW()+161,FALSE))"</formula>
    </cfRule>
  </conditionalFormatting>
  <conditionalFormatting sqref="J53:J57">
    <cfRule type="expression" dxfId="154" priority="27" stopIfTrue="1">
      <formula>"if(isnumber(HLOOKUP(CaseName,CaseData,ROW()+161,FALSE))"</formula>
    </cfRule>
  </conditionalFormatting>
  <conditionalFormatting sqref="J17:J18">
    <cfRule type="expression" dxfId="153" priority="26" stopIfTrue="1">
      <formula>"if(isnumber(HLOOKUP(CaseName,CaseData,ROW()+161,FALSE))"</formula>
    </cfRule>
  </conditionalFormatting>
  <conditionalFormatting sqref="J76:J77">
    <cfRule type="expression" dxfId="152" priority="25" stopIfTrue="1">
      <formula>"if(isnumber(HLOOKUP(CaseName,CaseData,ROW()+161,FALSE))"</formula>
    </cfRule>
  </conditionalFormatting>
  <conditionalFormatting sqref="J118">
    <cfRule type="expression" dxfId="151" priority="24" stopIfTrue="1">
      <formula>"if(isnumber(HLOOKUP(CaseName,CaseData,ROW()+161,FALSE))"</formula>
    </cfRule>
  </conditionalFormatting>
  <conditionalFormatting sqref="I99:I109 I112">
    <cfRule type="cellIs" dxfId="150" priority="22" operator="equal">
      <formula>0</formula>
    </cfRule>
  </conditionalFormatting>
  <conditionalFormatting sqref="J99:J112">
    <cfRule type="expression" dxfId="149" priority="44">
      <formula>"HLOOKUP(CaseName,CaseData,ROW()+157,FALSE)&lt;&gt;"""""</formula>
    </cfRule>
  </conditionalFormatting>
  <conditionalFormatting sqref="I28">
    <cfRule type="cellIs" dxfId="148" priority="9" operator="equal">
      <formula>0</formula>
    </cfRule>
  </conditionalFormatting>
  <conditionalFormatting sqref="I28">
    <cfRule type="cellIs" dxfId="147" priority="8" operator="equal">
      <formula>0</formula>
    </cfRule>
  </conditionalFormatting>
  <conditionalFormatting sqref="I116">
    <cfRule type="cellIs" dxfId="146" priority="4" operator="equal">
      <formula>0</formula>
    </cfRule>
  </conditionalFormatting>
  <conditionalFormatting sqref="I15 I20 I22 I51:I52 I57 I62 I81 I83 I105 I107 I110:I111 I116:I117 I136">
    <cfRule type="expression" dxfId="145" priority="45" stopIfTrue="1">
      <formula>RiskColorCellsSimOutput</formula>
    </cfRule>
    <cfRule type="expression" dxfId="144" priority="46" stopIfTrue="1">
      <formula>RiskColorCellsSimInput</formula>
    </cfRule>
    <cfRule type="expression" dxfId="143" priority="47" stopIfTrue="1">
      <formula>RiskColorCellsSimStatistics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43" transitionEvaluation="1" transitionEntry="1" codeName="Sheet2"/>
  <dimension ref="A1:P218"/>
  <sheetViews>
    <sheetView topLeftCell="A43" zoomScale="85" zoomScaleNormal="85" workbookViewId="0">
      <selection activeCell="I60" sqref="I60"/>
    </sheetView>
  </sheetViews>
  <sheetFormatPr defaultColWidth="10.59765625" defaultRowHeight="12.75" customHeight="1" x14ac:dyDescent="0.3"/>
  <cols>
    <col min="1" max="5" width="1.59765625" customWidth="1"/>
    <col min="6" max="6" width="60.59765625" customWidth="1"/>
    <col min="7" max="7" width="22.59765625" style="58" customWidth="1"/>
    <col min="8" max="8" width="10.59765625" style="58" customWidth="1"/>
    <col min="9" max="9" width="9.09765625" style="179" customWidth="1"/>
    <col min="10" max="10" width="9.09765625" style="332" customWidth="1"/>
    <col min="11" max="12" width="9.09765625" style="180" customWidth="1"/>
    <col min="13" max="13" width="9.09765625" customWidth="1"/>
    <col min="14" max="14" width="79.8984375" style="58" customWidth="1"/>
    <col min="15" max="15" width="2.59765625" customWidth="1"/>
    <col min="16" max="16384" width="10.59765625" style="36"/>
  </cols>
  <sheetData>
    <row r="1" spans="1:16" ht="12.75" customHeight="1" x14ac:dyDescent="0.3">
      <c r="A1" s="52" t="s">
        <v>456</v>
      </c>
      <c r="B1" s="38"/>
      <c r="C1" s="38"/>
      <c r="D1" s="38"/>
      <c r="E1" s="38"/>
      <c r="F1" s="38"/>
      <c r="G1" s="42"/>
      <c r="H1" s="42"/>
      <c r="I1" s="162"/>
      <c r="J1" s="188"/>
      <c r="K1" s="175"/>
      <c r="L1" s="175"/>
      <c r="M1" s="38"/>
      <c r="N1" s="42"/>
      <c r="O1" s="38"/>
    </row>
    <row r="2" spans="1:16" ht="12.75" customHeight="1" x14ac:dyDescent="0.3">
      <c r="A2" s="38"/>
      <c r="B2" s="38"/>
      <c r="C2" s="38"/>
      <c r="D2" s="38"/>
      <c r="E2" s="38"/>
      <c r="F2" s="38"/>
      <c r="G2" s="42"/>
      <c r="H2" s="42"/>
      <c r="I2" s="162"/>
      <c r="J2" s="188"/>
      <c r="K2" s="175"/>
      <c r="L2" s="175"/>
      <c r="M2" s="39"/>
      <c r="N2" s="42"/>
      <c r="O2" s="42"/>
    </row>
    <row r="3" spans="1:16" ht="12.75" customHeight="1" x14ac:dyDescent="0.3">
      <c r="A3" s="66" t="s">
        <v>1305</v>
      </c>
      <c r="B3" s="66"/>
      <c r="C3" s="66"/>
      <c r="D3" s="66"/>
      <c r="E3" s="66"/>
      <c r="F3" s="66"/>
      <c r="G3" s="67" t="s">
        <v>969</v>
      </c>
      <c r="H3" s="67" t="s">
        <v>929</v>
      </c>
      <c r="I3" s="189" t="s">
        <v>748</v>
      </c>
      <c r="J3" s="190" t="s">
        <v>29</v>
      </c>
      <c r="K3" s="163" t="s">
        <v>747</v>
      </c>
      <c r="L3" s="163" t="s">
        <v>1353</v>
      </c>
      <c r="M3" s="66"/>
      <c r="N3" s="67" t="s">
        <v>1366</v>
      </c>
      <c r="O3" s="42"/>
    </row>
    <row r="4" spans="1:16" ht="12.75" customHeight="1" x14ac:dyDescent="0.3">
      <c r="A4" s="38"/>
      <c r="B4" s="38"/>
      <c r="C4" s="38"/>
      <c r="D4" s="38"/>
      <c r="E4" s="38"/>
      <c r="F4" s="38"/>
      <c r="G4" s="42"/>
      <c r="H4" s="43"/>
      <c r="I4" s="162"/>
      <c r="J4" s="188"/>
      <c r="K4" s="175"/>
      <c r="L4" s="175"/>
      <c r="M4" s="38"/>
      <c r="N4" s="42"/>
      <c r="O4" s="42"/>
    </row>
    <row r="5" spans="1:16" ht="12.75" customHeight="1" x14ac:dyDescent="0.3">
      <c r="A5" s="42" t="s">
        <v>1082</v>
      </c>
      <c r="B5" s="38"/>
      <c r="C5" s="38"/>
      <c r="D5" s="38"/>
      <c r="E5" s="38"/>
      <c r="F5" s="38"/>
      <c r="G5" s="43" t="s">
        <v>521</v>
      </c>
      <c r="H5" s="42" t="s">
        <v>1583</v>
      </c>
      <c r="I5" s="255"/>
      <c r="J5" s="192" t="str">
        <f t="shared" ref="J5:J42" si="0">IF(HLOOKUP(CaseName,CaseData,ROW()+158,FALSE)="","",HLOOKUP(CaseName,CaseData,ROW()+158,FALSE))</f>
        <v/>
      </c>
      <c r="K5" s="174">
        <f ca="1">L14*L21</f>
        <v>119593324254.29425</v>
      </c>
      <c r="L5" s="193">
        <f ca="1">IF(ISBLANK(I5),IF(ISNUMBER(J5)=FALSE,K5,J5),I5)</f>
        <v>119593324254.29425</v>
      </c>
      <c r="M5" s="42" t="s">
        <v>1523</v>
      </c>
      <c r="N5" s="42"/>
      <c r="O5" s="42"/>
    </row>
    <row r="6" spans="1:16" ht="12.75" customHeight="1" x14ac:dyDescent="0.3">
      <c r="A6" s="42" t="s">
        <v>276</v>
      </c>
      <c r="B6" s="38"/>
      <c r="C6" s="38"/>
      <c r="D6" s="38"/>
      <c r="E6" s="38"/>
      <c r="F6" s="38"/>
      <c r="G6" s="43" t="s">
        <v>277</v>
      </c>
      <c r="H6" s="42" t="s">
        <v>1583</v>
      </c>
      <c r="I6" s="255"/>
      <c r="J6" s="192" t="str">
        <f t="shared" si="0"/>
        <v/>
      </c>
      <c r="K6" s="174">
        <f>L14*L15*L22</f>
        <v>2.1999999999999999E-10</v>
      </c>
      <c r="L6" s="193">
        <f>IF(ISBLANK(I6),IF(ISNUMBER(J6)=FALSE,K6,J6),I6)</f>
        <v>2.1999999999999999E-10</v>
      </c>
      <c r="M6" s="42" t="s">
        <v>1523</v>
      </c>
      <c r="N6" s="42" t="s">
        <v>317</v>
      </c>
      <c r="O6" s="42"/>
    </row>
    <row r="7" spans="1:16" ht="12.75" customHeight="1" x14ac:dyDescent="0.3">
      <c r="A7" s="42" t="s">
        <v>702</v>
      </c>
      <c r="B7" s="38"/>
      <c r="C7" s="38"/>
      <c r="D7" s="38"/>
      <c r="E7" s="38"/>
      <c r="F7" s="38"/>
      <c r="G7" s="43" t="s">
        <v>522</v>
      </c>
      <c r="H7" s="42" t="s">
        <v>1583</v>
      </c>
      <c r="I7" s="255"/>
      <c r="J7" s="192" t="str">
        <f t="shared" si="0"/>
        <v/>
      </c>
      <c r="K7" s="174">
        <f ca="1">L14*L16*L23</f>
        <v>117031868.65249604</v>
      </c>
      <c r="L7" s="193">
        <f t="shared" ref="L7:L42" ca="1" si="1">IF(ISBLANK(I7),IF(ISNUMBER(J7)=FALSE,K7,J7),I7)</f>
        <v>117031868.65249604</v>
      </c>
      <c r="M7" s="42" t="s">
        <v>1523</v>
      </c>
      <c r="N7" s="42"/>
      <c r="O7" s="42"/>
    </row>
    <row r="8" spans="1:16" ht="12.75" customHeight="1" x14ac:dyDescent="0.3">
      <c r="A8" s="42" t="s">
        <v>703</v>
      </c>
      <c r="B8" s="38"/>
      <c r="C8" s="38"/>
      <c r="D8" s="38"/>
      <c r="E8" s="38"/>
      <c r="F8" s="38"/>
      <c r="G8" s="43" t="s">
        <v>1236</v>
      </c>
      <c r="H8" s="42" t="s">
        <v>1583</v>
      </c>
      <c r="I8" s="255"/>
      <c r="J8" s="192" t="str">
        <f t="shared" si="0"/>
        <v/>
      </c>
      <c r="K8" s="174">
        <f>L14*L20*L24</f>
        <v>1E-13</v>
      </c>
      <c r="L8" s="193">
        <f t="shared" si="1"/>
        <v>1E-13</v>
      </c>
      <c r="M8" s="42" t="s">
        <v>1523</v>
      </c>
      <c r="N8" s="42"/>
      <c r="O8" s="42"/>
    </row>
    <row r="9" spans="1:16" ht="12.75" customHeight="1" x14ac:dyDescent="0.3">
      <c r="A9" s="42" t="s">
        <v>704</v>
      </c>
      <c r="B9" s="38"/>
      <c r="C9" s="38"/>
      <c r="D9" s="38"/>
      <c r="E9" s="38"/>
      <c r="F9" s="38"/>
      <c r="G9" s="43" t="s">
        <v>1237</v>
      </c>
      <c r="H9" s="42" t="s">
        <v>1583</v>
      </c>
      <c r="I9" s="255"/>
      <c r="J9" s="192" t="str">
        <f t="shared" si="0"/>
        <v/>
      </c>
      <c r="K9" s="174">
        <f ca="1">L14*L16*L25</f>
        <v>3743137.4045845298</v>
      </c>
      <c r="L9" s="193">
        <f t="shared" ca="1" si="1"/>
        <v>3743137.4045845298</v>
      </c>
      <c r="M9" s="42" t="s">
        <v>1523</v>
      </c>
      <c r="N9" s="42"/>
      <c r="O9" s="42"/>
    </row>
    <row r="10" spans="1:16" ht="12.75" customHeight="1" x14ac:dyDescent="0.3">
      <c r="A10" s="42" t="s">
        <v>705</v>
      </c>
      <c r="B10" s="38"/>
      <c r="C10" s="38"/>
      <c r="D10" s="38"/>
      <c r="E10" s="38"/>
      <c r="F10" s="38"/>
      <c r="G10" s="43" t="s">
        <v>1238</v>
      </c>
      <c r="H10" s="42" t="s">
        <v>1583</v>
      </c>
      <c r="I10" s="255"/>
      <c r="J10" s="192" t="str">
        <f t="shared" si="0"/>
        <v/>
      </c>
      <c r="K10" s="174">
        <f>L14*L20*L26</f>
        <v>2.9999999999999999E-16</v>
      </c>
      <c r="L10" s="193">
        <f t="shared" si="1"/>
        <v>2.9999999999999999E-16</v>
      </c>
      <c r="M10" s="42" t="s">
        <v>1523</v>
      </c>
      <c r="N10" s="42"/>
      <c r="O10" s="42"/>
    </row>
    <row r="11" spans="1:16" ht="12.75" customHeight="1" x14ac:dyDescent="0.3">
      <c r="A11" s="42" t="s">
        <v>706</v>
      </c>
      <c r="B11" s="38"/>
      <c r="C11" s="38"/>
      <c r="D11" s="38"/>
      <c r="E11" s="38"/>
      <c r="F11" s="38"/>
      <c r="G11" s="43" t="s">
        <v>1239</v>
      </c>
      <c r="H11" s="42" t="s">
        <v>1583</v>
      </c>
      <c r="I11" s="255"/>
      <c r="J11" s="192" t="str">
        <f t="shared" si="0"/>
        <v/>
      </c>
      <c r="K11" s="174">
        <f>L14*L17*L27</f>
        <v>1.1E-13</v>
      </c>
      <c r="L11" s="193">
        <f t="shared" si="1"/>
        <v>1.1E-13</v>
      </c>
      <c r="M11" s="42" t="s">
        <v>1523</v>
      </c>
      <c r="N11" s="42"/>
      <c r="O11" s="42"/>
    </row>
    <row r="12" spans="1:16" ht="12.75" customHeight="1" x14ac:dyDescent="0.3">
      <c r="A12" s="42" t="s">
        <v>707</v>
      </c>
      <c r="B12" s="38"/>
      <c r="C12" s="38"/>
      <c r="D12" s="38"/>
      <c r="E12" s="38"/>
      <c r="F12" s="38"/>
      <c r="G12" s="43" t="s">
        <v>1240</v>
      </c>
      <c r="H12" s="42" t="s">
        <v>1583</v>
      </c>
      <c r="I12" s="255"/>
      <c r="J12" s="192" t="str">
        <f t="shared" si="0"/>
        <v/>
      </c>
      <c r="K12" s="174">
        <f>L14*L18*L28</f>
        <v>7920000</v>
      </c>
      <c r="L12" s="193">
        <f t="shared" si="1"/>
        <v>7920000</v>
      </c>
      <c r="M12" s="42" t="s">
        <v>1523</v>
      </c>
      <c r="N12" s="42"/>
      <c r="O12" s="42"/>
    </row>
    <row r="13" spans="1:16" ht="12.75" customHeight="1" x14ac:dyDescent="0.3">
      <c r="A13" s="42" t="s">
        <v>202</v>
      </c>
      <c r="B13" s="38"/>
      <c r="C13" s="38"/>
      <c r="D13" s="38"/>
      <c r="E13" s="38"/>
      <c r="F13" s="38"/>
      <c r="G13" s="43" t="s">
        <v>1241</v>
      </c>
      <c r="H13" s="42" t="s">
        <v>1583</v>
      </c>
      <c r="I13" s="255"/>
      <c r="J13" s="192" t="str">
        <f t="shared" si="0"/>
        <v/>
      </c>
      <c r="K13" s="174">
        <f>L14*L19*L29</f>
        <v>6380000</v>
      </c>
      <c r="L13" s="193">
        <f t="shared" si="1"/>
        <v>6380000</v>
      </c>
      <c r="M13" s="42" t="s">
        <v>1523</v>
      </c>
      <c r="N13" s="42"/>
      <c r="O13" s="42"/>
    </row>
    <row r="14" spans="1:16" ht="12.75" customHeight="1" x14ac:dyDescent="0.3">
      <c r="A14" s="42"/>
      <c r="B14" s="42" t="s">
        <v>1083</v>
      </c>
      <c r="C14" s="38"/>
      <c r="D14" s="38"/>
      <c r="E14" s="38"/>
      <c r="F14" s="38"/>
      <c r="G14" s="43" t="s">
        <v>661</v>
      </c>
      <c r="H14" s="42" t="s">
        <v>1581</v>
      </c>
      <c r="I14" s="255"/>
      <c r="J14" s="192" t="str">
        <f t="shared" si="0"/>
        <v/>
      </c>
      <c r="K14" s="174">
        <f>(AREAland.R+AREAsea.R)/1000000</f>
        <v>220</v>
      </c>
      <c r="L14" s="193">
        <f>IF(ISBLANK(I14),IF(ISNUMBER(J14)=FALSE,K14*1000000,J14*1000000),I14*1000000)</f>
        <v>220000000</v>
      </c>
      <c r="M14" s="42" t="s">
        <v>1519</v>
      </c>
      <c r="N14" s="42"/>
      <c r="O14" s="42"/>
    </row>
    <row r="15" spans="1:16" ht="12.75" customHeight="1" x14ac:dyDescent="0.3">
      <c r="A15" s="42"/>
      <c r="B15" s="42" t="s">
        <v>278</v>
      </c>
      <c r="C15" s="38"/>
      <c r="D15" s="38"/>
      <c r="E15" s="38"/>
      <c r="F15" s="38"/>
      <c r="G15" s="63" t="s">
        <v>279</v>
      </c>
      <c r="H15" s="42" t="s">
        <v>28</v>
      </c>
      <c r="I15" s="255"/>
      <c r="J15" s="192" t="str">
        <f t="shared" si="0"/>
        <v/>
      </c>
      <c r="K15" s="174">
        <f>AREAland.R*FRAClake.R/L14</f>
        <v>9.9999999999999995E-21</v>
      </c>
      <c r="L15" s="193">
        <f>IF(ISBLANK(I15),IF(ISNUMBER(J15)=FALSE,K15,J15),I15)</f>
        <v>9.9999999999999995E-21</v>
      </c>
      <c r="M15" s="38" t="s">
        <v>477</v>
      </c>
      <c r="N15" s="42" t="s">
        <v>317</v>
      </c>
      <c r="O15" s="42"/>
      <c r="P15" s="224"/>
    </row>
    <row r="16" spans="1:16" ht="12.75" customHeight="1" x14ac:dyDescent="0.3">
      <c r="A16" s="42"/>
      <c r="B16" s="42" t="s">
        <v>1084</v>
      </c>
      <c r="C16" s="38"/>
      <c r="D16" s="38"/>
      <c r="E16" s="38"/>
      <c r="F16" s="38"/>
      <c r="G16" s="63" t="s">
        <v>1183</v>
      </c>
      <c r="H16" s="42" t="s">
        <v>28</v>
      </c>
      <c r="I16" s="255"/>
      <c r="J16" s="192" t="str">
        <f t="shared" si="0"/>
        <v/>
      </c>
      <c r="K16" s="174">
        <f>AREAland.R*FRACfresh.R/L14</f>
        <v>0.24</v>
      </c>
      <c r="L16" s="193">
        <f t="shared" si="1"/>
        <v>0.24</v>
      </c>
      <c r="M16" s="38" t="s">
        <v>477</v>
      </c>
      <c r="N16" s="42"/>
      <c r="O16" s="42"/>
    </row>
    <row r="17" spans="1:15" ht="12.75" customHeight="1" x14ac:dyDescent="0.3">
      <c r="A17" s="42"/>
      <c r="B17" s="42" t="s">
        <v>1086</v>
      </c>
      <c r="C17" s="38"/>
      <c r="D17" s="38"/>
      <c r="E17" s="38"/>
      <c r="F17" s="38"/>
      <c r="G17" s="63" t="s">
        <v>1185</v>
      </c>
      <c r="H17" s="42" t="s">
        <v>28</v>
      </c>
      <c r="I17" s="255"/>
      <c r="J17" s="192" t="str">
        <f t="shared" si="0"/>
        <v/>
      </c>
      <c r="K17" s="174">
        <f>AREAland.R*FRACnatsoil.R/L14</f>
        <v>9.9999999999999995E-21</v>
      </c>
      <c r="L17" s="193">
        <f t="shared" si="1"/>
        <v>9.9999999999999995E-21</v>
      </c>
      <c r="M17" s="38" t="s">
        <v>477</v>
      </c>
      <c r="N17" s="42"/>
      <c r="O17" s="42"/>
    </row>
    <row r="18" spans="1:15" ht="12.75" customHeight="1" x14ac:dyDescent="0.3">
      <c r="A18" s="42"/>
      <c r="B18" s="42" t="s">
        <v>858</v>
      </c>
      <c r="C18" s="38"/>
      <c r="D18" s="38"/>
      <c r="E18" s="38"/>
      <c r="F18" s="38"/>
      <c r="G18" s="63" t="s">
        <v>1186</v>
      </c>
      <c r="H18" s="42" t="s">
        <v>28</v>
      </c>
      <c r="I18" s="255"/>
      <c r="J18" s="192" t="str">
        <f t="shared" si="0"/>
        <v/>
      </c>
      <c r="K18" s="174">
        <f>AREAland.R*FRACagsoil.R/L14</f>
        <v>0.18</v>
      </c>
      <c r="L18" s="193">
        <f t="shared" si="1"/>
        <v>0.18</v>
      </c>
      <c r="M18" s="38" t="s">
        <v>477</v>
      </c>
      <c r="N18" s="42"/>
      <c r="O18" s="42"/>
    </row>
    <row r="19" spans="1:15" ht="12.75" customHeight="1" x14ac:dyDescent="0.3">
      <c r="A19" s="42"/>
      <c r="B19" s="42" t="s">
        <v>859</v>
      </c>
      <c r="C19" s="38"/>
      <c r="D19" s="38"/>
      <c r="E19" s="38"/>
      <c r="F19" s="38"/>
      <c r="G19" s="63" t="s">
        <v>1187</v>
      </c>
      <c r="H19" s="42" t="s">
        <v>28</v>
      </c>
      <c r="I19" s="255"/>
      <c r="J19" s="192" t="str">
        <f t="shared" si="0"/>
        <v/>
      </c>
      <c r="K19" s="174">
        <f>AREAland.R*FRACothersoil.R/L14</f>
        <v>0.57999999999999996</v>
      </c>
      <c r="L19" s="193">
        <f t="shared" si="1"/>
        <v>0.57999999999999996</v>
      </c>
      <c r="M19" s="38" t="s">
        <v>477</v>
      </c>
      <c r="N19" s="42"/>
      <c r="O19" s="42"/>
    </row>
    <row r="20" spans="1:15" ht="12.75" customHeight="1" x14ac:dyDescent="0.3">
      <c r="A20" s="42"/>
      <c r="B20" s="42" t="s">
        <v>1085</v>
      </c>
      <c r="C20" s="38"/>
      <c r="D20" s="38"/>
      <c r="E20" s="38"/>
      <c r="F20" s="38"/>
      <c r="G20" s="63" t="s">
        <v>1184</v>
      </c>
      <c r="H20" s="42" t="s">
        <v>28</v>
      </c>
      <c r="I20" s="254"/>
      <c r="J20" s="192" t="str">
        <f t="shared" si="0"/>
        <v/>
      </c>
      <c r="K20" s="303">
        <f>AREAsea.R/L14</f>
        <v>4.5454545454545455E-23</v>
      </c>
      <c r="L20" s="193">
        <f t="shared" si="1"/>
        <v>4.5454545454545455E-23</v>
      </c>
      <c r="M20" s="38" t="s">
        <v>477</v>
      </c>
      <c r="N20" s="42"/>
      <c r="O20" s="42"/>
    </row>
    <row r="21" spans="1:15" ht="12.75" customHeight="1" x14ac:dyDescent="0.3">
      <c r="A21" s="42"/>
      <c r="B21" s="38"/>
      <c r="C21" s="42" t="s">
        <v>761</v>
      </c>
      <c r="D21" s="64"/>
      <c r="E21" s="64"/>
      <c r="F21" s="38"/>
      <c r="G21" s="63" t="s">
        <v>1188</v>
      </c>
      <c r="H21" s="42" t="s">
        <v>713</v>
      </c>
      <c r="I21" s="254">
        <f ca="1">Correlations!B4</f>
        <v>543.60601933770113</v>
      </c>
      <c r="J21" s="192" t="str">
        <f t="shared" si="0"/>
        <v/>
      </c>
      <c r="K21" s="174">
        <v>1000</v>
      </c>
      <c r="L21" s="193">
        <f t="shared" ca="1" si="1"/>
        <v>543.60601933770113</v>
      </c>
      <c r="M21" s="42" t="s">
        <v>714</v>
      </c>
      <c r="N21" s="42"/>
      <c r="O21" s="42"/>
    </row>
    <row r="22" spans="1:15" ht="12.75" customHeight="1" x14ac:dyDescent="0.3">
      <c r="A22" s="42"/>
      <c r="B22" s="38"/>
      <c r="C22" s="42" t="s">
        <v>280</v>
      </c>
      <c r="D22" s="64"/>
      <c r="E22" s="64"/>
      <c r="F22" s="38"/>
      <c r="G22" s="63" t="s">
        <v>281</v>
      </c>
      <c r="H22" s="42" t="s">
        <v>713</v>
      </c>
      <c r="I22" s="255"/>
      <c r="J22" s="192" t="str">
        <f t="shared" si="0"/>
        <v/>
      </c>
      <c r="K22" s="174">
        <f>DEPTHlake.R</f>
        <v>100</v>
      </c>
      <c r="L22" s="193">
        <f>IF(ISBLANK(I22),IF(ISNUMBER(J22)=FALSE,K22,J22),I22)</f>
        <v>100</v>
      </c>
      <c r="M22" s="42" t="s">
        <v>714</v>
      </c>
      <c r="N22" s="42" t="s">
        <v>317</v>
      </c>
      <c r="O22" s="42"/>
    </row>
    <row r="23" spans="1:15" ht="12.75" customHeight="1" x14ac:dyDescent="0.3">
      <c r="A23" s="42"/>
      <c r="B23" s="38"/>
      <c r="C23" s="42" t="s">
        <v>762</v>
      </c>
      <c r="D23" s="64"/>
      <c r="E23" s="64"/>
      <c r="F23" s="38"/>
      <c r="G23" s="63" t="s">
        <v>1189</v>
      </c>
      <c r="H23" s="42" t="s">
        <v>713</v>
      </c>
      <c r="I23" s="255"/>
      <c r="J23" s="192" t="str">
        <f t="shared" si="0"/>
        <v/>
      </c>
      <c r="K23" s="174">
        <f ca="1">DEPTHfreshwater.R</f>
        <v>2.216512663873031</v>
      </c>
      <c r="L23" s="193">
        <f t="shared" ca="1" si="1"/>
        <v>2.216512663873031</v>
      </c>
      <c r="M23" s="42" t="s">
        <v>714</v>
      </c>
      <c r="N23" s="42"/>
      <c r="O23" s="42"/>
    </row>
    <row r="24" spans="1:15" ht="12.75" customHeight="1" x14ac:dyDescent="0.3">
      <c r="A24" s="42"/>
      <c r="B24" s="38"/>
      <c r="C24" s="42" t="s">
        <v>763</v>
      </c>
      <c r="D24" s="64"/>
      <c r="E24" s="64"/>
      <c r="F24" s="38"/>
      <c r="G24" s="63" t="s">
        <v>1190</v>
      </c>
      <c r="H24" s="42" t="s">
        <v>713</v>
      </c>
      <c r="I24" s="255"/>
      <c r="J24" s="192" t="str">
        <f t="shared" si="0"/>
        <v/>
      </c>
      <c r="K24" s="174">
        <v>10</v>
      </c>
      <c r="L24" s="193">
        <f t="shared" si="1"/>
        <v>10</v>
      </c>
      <c r="M24" s="42" t="s">
        <v>714</v>
      </c>
      <c r="N24" s="42"/>
      <c r="O24" s="42"/>
    </row>
    <row r="25" spans="1:15" ht="12.75" customHeight="1" x14ac:dyDescent="0.3">
      <c r="A25" s="42"/>
      <c r="B25" s="38"/>
      <c r="C25" s="42" t="s">
        <v>764</v>
      </c>
      <c r="D25" s="64"/>
      <c r="E25" s="64"/>
      <c r="F25" s="38"/>
      <c r="G25" s="63" t="s">
        <v>1191</v>
      </c>
      <c r="H25" s="42" t="s">
        <v>715</v>
      </c>
      <c r="I25" s="255" cm="1">
        <f t="array" aca="1" ref="I25" ca="1">_xll.RiskTriang(1,3,10,_xll.RiskName(G25))</f>
        <v>7.0892753874706997</v>
      </c>
      <c r="J25" s="192" t="str">
        <f t="shared" si="0"/>
        <v/>
      </c>
      <c r="K25" s="174">
        <v>3</v>
      </c>
      <c r="L25" s="193">
        <f ca="1">IF(ISBLANK(I25),IF(ISNUMBER(J25)=FALSE,K25/100,J25/100),I25/100)</f>
        <v>7.0892753874707004E-2</v>
      </c>
      <c r="M25" s="38" t="s">
        <v>714</v>
      </c>
      <c r="N25" s="42"/>
      <c r="O25" s="42"/>
    </row>
    <row r="26" spans="1:15" ht="12.75" customHeight="1" x14ac:dyDescent="0.3">
      <c r="A26" s="42"/>
      <c r="B26" s="38"/>
      <c r="C26" s="42" t="s">
        <v>568</v>
      </c>
      <c r="D26" s="64"/>
      <c r="E26" s="64"/>
      <c r="F26" s="38"/>
      <c r="G26" s="63" t="s">
        <v>1192</v>
      </c>
      <c r="H26" s="42" t="s">
        <v>715</v>
      </c>
      <c r="I26" s="255"/>
      <c r="J26" s="192" t="str">
        <f t="shared" si="0"/>
        <v/>
      </c>
      <c r="K26" s="174">
        <v>3</v>
      </c>
      <c r="L26" s="193">
        <f>IF(ISBLANK(I26),IF(ISNUMBER(J26)=FALSE,K26/100,J26/100),I26/100)</f>
        <v>0.03</v>
      </c>
      <c r="M26" s="38" t="s">
        <v>714</v>
      </c>
      <c r="N26" s="42"/>
      <c r="O26" s="42"/>
    </row>
    <row r="27" spans="1:15" ht="12.75" customHeight="1" x14ac:dyDescent="0.3">
      <c r="A27" s="42"/>
      <c r="B27" s="38"/>
      <c r="C27" s="42" t="s">
        <v>1938</v>
      </c>
      <c r="D27" s="64"/>
      <c r="E27" s="64"/>
      <c r="F27" s="38"/>
      <c r="G27" s="63" t="s">
        <v>1193</v>
      </c>
      <c r="H27" s="42" t="s">
        <v>713</v>
      </c>
      <c r="I27" s="255"/>
      <c r="J27" s="192" t="str">
        <f t="shared" si="0"/>
        <v/>
      </c>
      <c r="K27" s="168">
        <v>0.05</v>
      </c>
      <c r="L27" s="193">
        <f t="shared" si="1"/>
        <v>0.05</v>
      </c>
      <c r="M27" s="38" t="s">
        <v>714</v>
      </c>
      <c r="N27" s="42"/>
      <c r="O27" s="42"/>
    </row>
    <row r="28" spans="1:15" ht="12.75" customHeight="1" x14ac:dyDescent="0.3">
      <c r="A28" s="42"/>
      <c r="B28" s="38"/>
      <c r="C28" s="42" t="s">
        <v>1939</v>
      </c>
      <c r="D28" s="64"/>
      <c r="E28" s="64"/>
      <c r="F28" s="38"/>
      <c r="G28" s="63" t="s">
        <v>49</v>
      </c>
      <c r="H28" s="42" t="s">
        <v>713</v>
      </c>
      <c r="I28" s="255"/>
      <c r="J28" s="192" t="str">
        <f t="shared" si="0"/>
        <v/>
      </c>
      <c r="K28" s="168">
        <v>0.2</v>
      </c>
      <c r="L28" s="193">
        <f t="shared" si="1"/>
        <v>0.2</v>
      </c>
      <c r="M28" s="38" t="s">
        <v>714</v>
      </c>
      <c r="N28" s="42"/>
      <c r="O28" s="42"/>
    </row>
    <row r="29" spans="1:15" ht="12.75" customHeight="1" x14ac:dyDescent="0.3">
      <c r="A29" s="42"/>
      <c r="B29" s="38"/>
      <c r="C29" s="42" t="s">
        <v>1940</v>
      </c>
      <c r="D29" s="64"/>
      <c r="E29" s="64"/>
      <c r="F29" s="38"/>
      <c r="G29" s="63" t="s">
        <v>50</v>
      </c>
      <c r="H29" s="42" t="s">
        <v>713</v>
      </c>
      <c r="I29" s="255"/>
      <c r="J29" s="192" t="str">
        <f t="shared" si="0"/>
        <v/>
      </c>
      <c r="K29" s="168">
        <v>0.05</v>
      </c>
      <c r="L29" s="193">
        <f t="shared" si="1"/>
        <v>0.05</v>
      </c>
      <c r="M29" s="38" t="s">
        <v>714</v>
      </c>
      <c r="N29" s="42"/>
      <c r="O29" s="42"/>
    </row>
    <row r="30" spans="1:15" ht="12.75" customHeight="1" x14ac:dyDescent="0.3">
      <c r="A30" s="38"/>
      <c r="B30" s="38"/>
      <c r="C30" s="38" t="s">
        <v>208</v>
      </c>
      <c r="D30" s="38"/>
      <c r="E30" s="38"/>
      <c r="F30" s="38"/>
      <c r="G30" s="42" t="s">
        <v>1941</v>
      </c>
      <c r="H30" s="42" t="s">
        <v>716</v>
      </c>
      <c r="I30" s="252"/>
      <c r="J30" s="192" t="str">
        <f t="shared" si="0"/>
        <v/>
      </c>
      <c r="K30" s="174">
        <v>1.9999999999999999E-11</v>
      </c>
      <c r="L30" s="193">
        <f t="shared" si="1"/>
        <v>1.9999999999999999E-11</v>
      </c>
      <c r="M30" s="42" t="s">
        <v>477</v>
      </c>
      <c r="N30" s="42" t="s">
        <v>1771</v>
      </c>
      <c r="O30" s="42"/>
    </row>
    <row r="31" spans="1:15" ht="12.75" customHeight="1" x14ac:dyDescent="0.3">
      <c r="A31" s="38"/>
      <c r="B31" s="38"/>
      <c r="C31" s="38" t="s">
        <v>209</v>
      </c>
      <c r="D31" s="38"/>
      <c r="E31" s="38"/>
      <c r="F31" s="38"/>
      <c r="G31" s="42" t="s">
        <v>1942</v>
      </c>
      <c r="H31" s="42" t="s">
        <v>716</v>
      </c>
      <c r="I31" s="252"/>
      <c r="J31" s="192" t="str">
        <f t="shared" si="0"/>
        <v/>
      </c>
      <c r="K31" s="174">
        <v>1.9999999999999999E-11</v>
      </c>
      <c r="L31" s="193">
        <f t="shared" si="1"/>
        <v>1.9999999999999999E-11</v>
      </c>
      <c r="M31" s="42" t="s">
        <v>477</v>
      </c>
      <c r="N31" s="42" t="s">
        <v>1771</v>
      </c>
      <c r="O31" s="42"/>
    </row>
    <row r="32" spans="1:15" ht="12.75" customHeight="1" x14ac:dyDescent="0.3">
      <c r="A32" s="42"/>
      <c r="B32" s="38"/>
      <c r="C32" s="42" t="s">
        <v>528</v>
      </c>
      <c r="D32" s="64"/>
      <c r="E32" s="64"/>
      <c r="F32" s="38"/>
      <c r="G32" s="63" t="s">
        <v>864</v>
      </c>
      <c r="H32" s="42" t="s">
        <v>716</v>
      </c>
      <c r="I32" s="255"/>
      <c r="J32" s="192" t="str">
        <f t="shared" si="0"/>
        <v/>
      </c>
      <c r="K32" s="174">
        <v>0.2</v>
      </c>
      <c r="L32" s="193">
        <f t="shared" si="1"/>
        <v>0.2</v>
      </c>
      <c r="M32" s="42" t="s">
        <v>477</v>
      </c>
      <c r="N32" s="42"/>
      <c r="O32" s="42"/>
    </row>
    <row r="33" spans="1:15" ht="12.75" customHeight="1" x14ac:dyDescent="0.3">
      <c r="A33" s="42"/>
      <c r="B33" s="38"/>
      <c r="C33" s="42" t="s">
        <v>413</v>
      </c>
      <c r="D33" s="64"/>
      <c r="E33" s="64"/>
      <c r="F33" s="38"/>
      <c r="G33" s="63" t="s">
        <v>9</v>
      </c>
      <c r="H33" s="42" t="s">
        <v>716</v>
      </c>
      <c r="I33" s="255" cm="1">
        <f t="array" aca="1" ref="I33" ca="1">_xll.RiskTriang(0.003,0.2,0.67,_xll.RiskName(G33))</f>
        <v>0.39410999460422808</v>
      </c>
      <c r="J33" s="192" t="str">
        <f t="shared" si="0"/>
        <v/>
      </c>
      <c r="K33" s="174">
        <v>0.2</v>
      </c>
      <c r="L33" s="193">
        <f t="shared" ca="1" si="1"/>
        <v>0.39410999460422808</v>
      </c>
      <c r="M33" s="42" t="s">
        <v>477</v>
      </c>
      <c r="N33" s="42"/>
      <c r="O33" s="42"/>
    </row>
    <row r="34" spans="1:15" ht="12.75" customHeight="1" x14ac:dyDescent="0.3">
      <c r="A34" s="42"/>
      <c r="B34" s="38"/>
      <c r="C34" s="42" t="s">
        <v>789</v>
      </c>
      <c r="D34" s="64"/>
      <c r="E34" s="64"/>
      <c r="F34" s="38"/>
      <c r="G34" s="63" t="s">
        <v>861</v>
      </c>
      <c r="H34" s="42" t="s">
        <v>716</v>
      </c>
      <c r="I34" s="255"/>
      <c r="J34" s="192" t="str">
        <f t="shared" si="0"/>
        <v/>
      </c>
      <c r="K34" s="174">
        <f ca="1">1-L32-L33</f>
        <v>0.40589000539577197</v>
      </c>
      <c r="L34" s="193">
        <f t="shared" ca="1" si="1"/>
        <v>0.40589000539577197</v>
      </c>
      <c r="M34" s="42" t="s">
        <v>477</v>
      </c>
      <c r="N34" s="42"/>
      <c r="O34" s="42"/>
    </row>
    <row r="35" spans="1:15" ht="12.75" customHeight="1" x14ac:dyDescent="0.3">
      <c r="A35" s="42"/>
      <c r="B35" s="38"/>
      <c r="C35" s="42" t="s">
        <v>790</v>
      </c>
      <c r="D35" s="64"/>
      <c r="E35" s="64"/>
      <c r="F35" s="38"/>
      <c r="G35" s="63" t="s">
        <v>7</v>
      </c>
      <c r="H35" s="42" t="s">
        <v>716</v>
      </c>
      <c r="I35" s="255"/>
      <c r="J35" s="192" t="str">
        <f t="shared" si="0"/>
        <v/>
      </c>
      <c r="K35" s="174">
        <v>0.2</v>
      </c>
      <c r="L35" s="193">
        <f t="shared" si="1"/>
        <v>0.2</v>
      </c>
      <c r="M35" s="42" t="s">
        <v>477</v>
      </c>
      <c r="N35" s="42"/>
      <c r="O35" s="42"/>
    </row>
    <row r="36" spans="1:15" ht="12.75" customHeight="1" x14ac:dyDescent="0.3">
      <c r="A36" s="42"/>
      <c r="B36" s="38"/>
      <c r="C36" s="42" t="s">
        <v>526</v>
      </c>
      <c r="D36" s="64"/>
      <c r="E36" s="64"/>
      <c r="F36" s="38"/>
      <c r="G36" s="63" t="s">
        <v>10</v>
      </c>
      <c r="H36" s="42" t="s">
        <v>716</v>
      </c>
      <c r="I36" s="255" cm="1">
        <f t="array" aca="1" ref="I36" ca="1">_xll.RiskTriang(0.003,0.2,0.67,_xll.RiskName(G36))</f>
        <v>0.45499955485123705</v>
      </c>
      <c r="J36" s="192" t="str">
        <f t="shared" si="0"/>
        <v/>
      </c>
      <c r="K36" s="174">
        <v>0.2</v>
      </c>
      <c r="L36" s="193">
        <f t="shared" ca="1" si="1"/>
        <v>0.45499955485123705</v>
      </c>
      <c r="M36" s="42" t="s">
        <v>477</v>
      </c>
      <c r="N36" s="42"/>
      <c r="O36" s="42"/>
    </row>
    <row r="37" spans="1:15" ht="12.75" customHeight="1" x14ac:dyDescent="0.3">
      <c r="A37" s="42"/>
      <c r="B37" s="38"/>
      <c r="C37" s="42" t="s">
        <v>527</v>
      </c>
      <c r="D37" s="64"/>
      <c r="E37" s="64"/>
      <c r="F37" s="38"/>
      <c r="G37" s="63" t="s">
        <v>862</v>
      </c>
      <c r="H37" s="42" t="s">
        <v>716</v>
      </c>
      <c r="I37" s="255"/>
      <c r="J37" s="192" t="str">
        <f t="shared" si="0"/>
        <v/>
      </c>
      <c r="K37" s="174">
        <f ca="1">1-L35-L36</f>
        <v>0.34500044514876299</v>
      </c>
      <c r="L37" s="193">
        <f t="shared" ca="1" si="1"/>
        <v>0.34500044514876299</v>
      </c>
      <c r="M37" s="42" t="s">
        <v>477</v>
      </c>
      <c r="N37" s="42"/>
      <c r="O37" s="42"/>
    </row>
    <row r="38" spans="1:15" ht="12.75" customHeight="1" x14ac:dyDescent="0.3">
      <c r="A38" s="42"/>
      <c r="B38" s="38"/>
      <c r="C38" s="42" t="s">
        <v>1352</v>
      </c>
      <c r="D38" s="64"/>
      <c r="E38" s="64"/>
      <c r="F38" s="38"/>
      <c r="G38" s="63" t="s">
        <v>8</v>
      </c>
      <c r="H38" s="42" t="s">
        <v>716</v>
      </c>
      <c r="I38" s="255"/>
      <c r="J38" s="192" t="str">
        <f t="shared" si="0"/>
        <v/>
      </c>
      <c r="K38" s="174">
        <v>0.2</v>
      </c>
      <c r="L38" s="193">
        <f t="shared" si="1"/>
        <v>0.2</v>
      </c>
      <c r="M38" s="42" t="s">
        <v>477</v>
      </c>
      <c r="N38" s="42"/>
      <c r="O38" s="42"/>
    </row>
    <row r="39" spans="1:15" ht="12.75" customHeight="1" x14ac:dyDescent="0.3">
      <c r="A39" s="42"/>
      <c r="B39" s="38"/>
      <c r="C39" s="42" t="s">
        <v>529</v>
      </c>
      <c r="D39" s="64"/>
      <c r="E39" s="64"/>
      <c r="F39" s="38"/>
      <c r="G39" s="63" t="s">
        <v>11</v>
      </c>
      <c r="H39" s="42" t="s">
        <v>716</v>
      </c>
      <c r="I39" s="255" cm="1">
        <f t="array" aca="1" ref="I39" ca="1">_xll.RiskTriang(0.003,0.2,0.67,_xll.RiskName(G39))</f>
        <v>9.8550878122712196E-2</v>
      </c>
      <c r="J39" s="192" t="str">
        <f t="shared" si="0"/>
        <v/>
      </c>
      <c r="K39" s="174">
        <v>0.2</v>
      </c>
      <c r="L39" s="193">
        <f t="shared" ca="1" si="1"/>
        <v>9.8550878122712196E-2</v>
      </c>
      <c r="M39" s="42" t="s">
        <v>477</v>
      </c>
      <c r="N39" s="42"/>
      <c r="O39" s="42"/>
    </row>
    <row r="40" spans="1:15" ht="12.75" customHeight="1" x14ac:dyDescent="0.3">
      <c r="A40" s="42"/>
      <c r="B40" s="38"/>
      <c r="C40" s="42" t="s">
        <v>14</v>
      </c>
      <c r="D40" s="64"/>
      <c r="E40" s="64"/>
      <c r="F40" s="38"/>
      <c r="G40" s="63" t="s">
        <v>863</v>
      </c>
      <c r="H40" s="42" t="s">
        <v>716</v>
      </c>
      <c r="I40" s="255"/>
      <c r="J40" s="192" t="str">
        <f t="shared" si="0"/>
        <v/>
      </c>
      <c r="K40" s="174">
        <f ca="1">1-L38-L39</f>
        <v>0.70144912187728781</v>
      </c>
      <c r="L40" s="193">
        <f t="shared" ca="1" si="1"/>
        <v>0.70144912187728781</v>
      </c>
      <c r="M40" s="42" t="s">
        <v>477</v>
      </c>
      <c r="N40" s="42"/>
      <c r="O40" s="42"/>
    </row>
    <row r="41" spans="1:15" ht="12.75" customHeight="1" x14ac:dyDescent="0.3">
      <c r="A41" s="42"/>
      <c r="B41" s="38"/>
      <c r="C41" s="42" t="s">
        <v>429</v>
      </c>
      <c r="D41" s="64"/>
      <c r="E41" s="64"/>
      <c r="F41" s="38"/>
      <c r="G41" s="63" t="s">
        <v>865</v>
      </c>
      <c r="H41" s="42" t="s">
        <v>716</v>
      </c>
      <c r="I41" s="255" cm="1">
        <f t="array" aca="1" ref="I41" ca="1">_xll.RiskTriang(0.5,0.8,0.999,_xll.RiskName(G41))</f>
        <v>0.80626760107255535</v>
      </c>
      <c r="J41" s="192" t="str">
        <f t="shared" si="0"/>
        <v/>
      </c>
      <c r="K41" s="174">
        <v>0.8</v>
      </c>
      <c r="L41" s="193">
        <f t="shared" ca="1" si="1"/>
        <v>0.80626760107255535</v>
      </c>
      <c r="M41" s="42" t="s">
        <v>477</v>
      </c>
      <c r="N41" s="42"/>
      <c r="O41" s="42"/>
    </row>
    <row r="42" spans="1:15" ht="12.75" customHeight="1" x14ac:dyDescent="0.3">
      <c r="A42" s="42"/>
      <c r="B42" s="38"/>
      <c r="C42" s="42" t="s">
        <v>860</v>
      </c>
      <c r="D42" s="64"/>
      <c r="E42" s="64"/>
      <c r="F42" s="38"/>
      <c r="G42" s="63" t="s">
        <v>866</v>
      </c>
      <c r="H42" s="42" t="s">
        <v>716</v>
      </c>
      <c r="I42" s="255"/>
      <c r="J42" s="192" t="str">
        <f t="shared" si="0"/>
        <v/>
      </c>
      <c r="K42" s="174">
        <f ca="1">1-L41</f>
        <v>0.19373239892744465</v>
      </c>
      <c r="L42" s="193">
        <f t="shared" ca="1" si="1"/>
        <v>0.19373239892744465</v>
      </c>
      <c r="M42" s="42" t="s">
        <v>477</v>
      </c>
      <c r="N42" s="42"/>
      <c r="O42" s="42"/>
    </row>
    <row r="43" spans="1:15" ht="12.75" customHeight="1" x14ac:dyDescent="0.3">
      <c r="A43" s="42"/>
      <c r="B43" s="38"/>
      <c r="C43" s="38"/>
      <c r="D43" s="38"/>
      <c r="E43" s="38"/>
      <c r="F43" s="38"/>
      <c r="G43" s="63"/>
      <c r="H43" s="42"/>
      <c r="I43" s="162"/>
      <c r="J43" s="188"/>
      <c r="K43" s="175"/>
      <c r="L43" s="175"/>
      <c r="M43" s="38"/>
      <c r="N43" s="42"/>
      <c r="O43" s="42"/>
    </row>
    <row r="44" spans="1:15" ht="12.75" customHeight="1" x14ac:dyDescent="0.3">
      <c r="A44" s="42" t="s">
        <v>55</v>
      </c>
      <c r="B44" s="38"/>
      <c r="C44" s="38"/>
      <c r="D44" s="38"/>
      <c r="E44" s="38"/>
      <c r="F44" s="38"/>
      <c r="G44" s="42" t="s">
        <v>219</v>
      </c>
      <c r="H44" s="42" t="s">
        <v>1579</v>
      </c>
      <c r="I44" s="253"/>
      <c r="J44" s="192" t="str">
        <f>IF(HLOOKUP(CaseName,CaseData,ROW()+158,FALSE)="","",HLOOKUP(CaseName,CaseData,ROW()+158,FALSE))</f>
        <v/>
      </c>
      <c r="K44" s="174">
        <f ca="1">1/L45</f>
        <v>1.0262131010952738E-4</v>
      </c>
      <c r="L44" s="193">
        <f ca="1">IF(ISBLANK(I44),IF(ISNUMBER(J44)=FALSE,K44,J44),I44)</f>
        <v>1.0262131010952738E-4</v>
      </c>
      <c r="M44" s="38" t="s">
        <v>1515</v>
      </c>
      <c r="N44" s="42"/>
      <c r="O44" s="42"/>
    </row>
    <row r="45" spans="1:15" ht="12.75" customHeight="1" x14ac:dyDescent="0.3">
      <c r="A45" s="42"/>
      <c r="B45" s="42" t="s">
        <v>698</v>
      </c>
      <c r="C45" s="42"/>
      <c r="D45" s="64"/>
      <c r="E45" s="38"/>
      <c r="F45" s="38"/>
      <c r="G45" s="43" t="s">
        <v>100</v>
      </c>
      <c r="H45" s="42" t="s">
        <v>717</v>
      </c>
      <c r="I45" s="255"/>
      <c r="J45" s="192" t="str">
        <f>IF(HLOOKUP(CaseName,CaseData,ROW()+158,FALSE)="","",HLOOKUP(CaseName,CaseData,ROW()+158,FALSE))</f>
        <v/>
      </c>
      <c r="K45" s="174">
        <f ca="1">(SQRT(L14*PI()/4)/WINDspeed.R)/(3600*24)</f>
        <v>0.11278431411293721</v>
      </c>
      <c r="L45" s="193">
        <f ca="1">IF(ISBLANK(I45),IF(ISNUMBER(J45)=FALSE,K45*(3600*24),J45*(3600*24)),I45*(3600*24))</f>
        <v>9744.5647393577747</v>
      </c>
      <c r="M45" s="42" t="s">
        <v>107</v>
      </c>
      <c r="N45" s="42"/>
      <c r="O45" s="42"/>
    </row>
    <row r="46" spans="1:15" ht="12.75" customHeight="1" x14ac:dyDescent="0.3">
      <c r="A46" s="42"/>
      <c r="B46" s="38"/>
      <c r="C46" s="38"/>
      <c r="D46" s="38"/>
      <c r="E46" s="38"/>
      <c r="F46" s="38"/>
      <c r="G46" s="63"/>
      <c r="H46" s="42"/>
      <c r="I46" s="162"/>
      <c r="J46" s="188"/>
      <c r="K46" s="175"/>
      <c r="L46" s="175"/>
      <c r="M46" s="38"/>
      <c r="N46" s="42"/>
      <c r="O46" s="42"/>
    </row>
    <row r="47" spans="1:15" ht="12.75" customHeight="1" x14ac:dyDescent="0.3">
      <c r="A47" s="42" t="s">
        <v>313</v>
      </c>
      <c r="B47" s="38"/>
      <c r="C47" s="38"/>
      <c r="D47" s="38"/>
      <c r="E47" s="38"/>
      <c r="F47" s="38"/>
      <c r="G47" s="42" t="s">
        <v>282</v>
      </c>
      <c r="H47" s="42" t="s">
        <v>1579</v>
      </c>
      <c r="I47" s="706">
        <v>9.9999999999999995E-21</v>
      </c>
      <c r="J47" s="192" t="str">
        <f t="shared" ref="J47:J56" si="2">IF(HLOOKUP(CaseName,CaseData,ROW()+158,FALSE)="","",HLOOKUP(CaseName,CaseData,ROW()+158,FALSE))</f>
        <v/>
      </c>
      <c r="K47" s="174">
        <f ca="1">L52/L6</f>
        <v>24188834616.785709</v>
      </c>
      <c r="L47" s="193">
        <f t="shared" ref="L47:L56" si="3">IF(ISBLANK(I47),IF(ISNUMBER(J47)=FALSE,K47,J47),I47)</f>
        <v>9.9999999999999995E-21</v>
      </c>
      <c r="M47" s="38" t="s">
        <v>1515</v>
      </c>
      <c r="N47" s="42"/>
      <c r="O47" s="42"/>
    </row>
    <row r="48" spans="1:15" ht="12.75" customHeight="1" x14ac:dyDescent="0.3">
      <c r="A48" s="42" t="s">
        <v>314</v>
      </c>
      <c r="B48" s="38"/>
      <c r="C48" s="38"/>
      <c r="D48" s="38"/>
      <c r="E48" s="38"/>
      <c r="F48" s="38"/>
      <c r="G48" s="42" t="s">
        <v>284</v>
      </c>
      <c r="H48" s="42" t="s">
        <v>1579</v>
      </c>
      <c r="I48" s="253"/>
      <c r="J48" s="192" t="str">
        <f t="shared" si="2"/>
        <v/>
      </c>
      <c r="K48" s="174">
        <f>L53/L6</f>
        <v>0</v>
      </c>
      <c r="L48" s="193">
        <f t="shared" si="3"/>
        <v>0</v>
      </c>
      <c r="M48" s="38" t="s">
        <v>1515</v>
      </c>
      <c r="N48" s="42"/>
      <c r="O48" s="42"/>
    </row>
    <row r="49" spans="1:15" ht="12.75" customHeight="1" x14ac:dyDescent="0.3">
      <c r="A49" s="42" t="s">
        <v>312</v>
      </c>
      <c r="B49" s="38"/>
      <c r="C49" s="38"/>
      <c r="D49" s="38"/>
      <c r="E49" s="38"/>
      <c r="F49" s="38"/>
      <c r="G49" s="42" t="s">
        <v>283</v>
      </c>
      <c r="H49" s="42" t="s">
        <v>1579</v>
      </c>
      <c r="I49" s="253"/>
      <c r="J49" s="192" t="str">
        <f t="shared" si="2"/>
        <v/>
      </c>
      <c r="K49" s="174">
        <f ca="1">L54/L7</f>
        <v>0</v>
      </c>
      <c r="L49" s="193">
        <f t="shared" ca="1" si="3"/>
        <v>0</v>
      </c>
      <c r="M49" s="38" t="s">
        <v>1515</v>
      </c>
      <c r="N49" s="42"/>
      <c r="O49" s="42"/>
    </row>
    <row r="50" spans="1:15" ht="12.75" customHeight="1" x14ac:dyDescent="0.3">
      <c r="A50" s="42" t="s">
        <v>56</v>
      </c>
      <c r="B50" s="38"/>
      <c r="C50" s="38"/>
      <c r="D50" s="38"/>
      <c r="E50" s="38"/>
      <c r="F50" s="38"/>
      <c r="G50" s="42" t="s">
        <v>220</v>
      </c>
      <c r="H50" s="42" t="s">
        <v>1579</v>
      </c>
      <c r="I50" s="253"/>
      <c r="J50" s="192" t="str">
        <f t="shared" si="2"/>
        <v/>
      </c>
      <c r="K50" s="174">
        <f ca="1">L55/L7</f>
        <v>4.5470893329868736E-8</v>
      </c>
      <c r="L50" s="193">
        <f t="shared" ca="1" si="3"/>
        <v>4.5470893329868736E-8</v>
      </c>
      <c r="M50" s="38" t="s">
        <v>1515</v>
      </c>
      <c r="N50" s="42"/>
      <c r="O50" s="42"/>
    </row>
    <row r="51" spans="1:15" ht="12.75" customHeight="1" x14ac:dyDescent="0.3">
      <c r="A51" s="42" t="s">
        <v>57</v>
      </c>
      <c r="B51" s="38"/>
      <c r="C51" s="38"/>
      <c r="D51" s="38"/>
      <c r="E51" s="38"/>
      <c r="F51" s="38"/>
      <c r="G51" s="42" t="s">
        <v>221</v>
      </c>
      <c r="H51" s="42" t="s">
        <v>1579</v>
      </c>
      <c r="I51" s="706">
        <v>9.9999999999999995E-21</v>
      </c>
      <c r="J51" s="192" t="str">
        <f t="shared" si="2"/>
        <v/>
      </c>
      <c r="K51" s="174">
        <f ca="1">L56/L8</f>
        <v>532154361569285.5</v>
      </c>
      <c r="L51" s="193">
        <f t="shared" si="3"/>
        <v>9.9999999999999995E-21</v>
      </c>
      <c r="M51" s="38" t="s">
        <v>1515</v>
      </c>
      <c r="N51" s="305"/>
      <c r="O51" s="42"/>
    </row>
    <row r="52" spans="1:15" ht="12.75" customHeight="1" x14ac:dyDescent="0.3">
      <c r="A52" s="42"/>
      <c r="B52" s="42" t="s">
        <v>308</v>
      </c>
      <c r="C52" s="38"/>
      <c r="D52" s="38"/>
      <c r="E52" s="64"/>
      <c r="F52" s="64"/>
      <c r="G52" s="63" t="s">
        <v>310</v>
      </c>
      <c r="H52" s="42" t="s">
        <v>1584</v>
      </c>
      <c r="I52" s="254"/>
      <c r="J52" s="192" t="str">
        <f t="shared" si="2"/>
        <v/>
      </c>
      <c r="K52" s="174">
        <f ca="1">0.1*L56</f>
        <v>5.3215436156928559</v>
      </c>
      <c r="L52" s="193">
        <f ca="1">IF(ISBLANK(I52),IF(ISNUMBER(J52)=FALSE,K52,J52),I52)</f>
        <v>5.3215436156928559</v>
      </c>
      <c r="M52" s="38" t="s">
        <v>1596</v>
      </c>
      <c r="N52" s="42" t="s">
        <v>317</v>
      </c>
      <c r="O52" s="42"/>
    </row>
    <row r="53" spans="1:15" ht="12.75" customHeight="1" x14ac:dyDescent="0.3">
      <c r="A53" s="42"/>
      <c r="B53" s="42" t="s">
        <v>311</v>
      </c>
      <c r="C53" s="38"/>
      <c r="D53" s="38"/>
      <c r="E53" s="64"/>
      <c r="F53" s="64"/>
      <c r="G53" s="63" t="s">
        <v>309</v>
      </c>
      <c r="H53" s="42" t="s">
        <v>1584</v>
      </c>
      <c r="I53" s="254"/>
      <c r="J53" s="192" t="str">
        <f t="shared" si="2"/>
        <v/>
      </c>
      <c r="K53" s="174">
        <v>0</v>
      </c>
      <c r="L53" s="193">
        <f>IF(ISBLANK(I53),IF(ISNUMBER(J53)=FALSE,K53,J53),I53)</f>
        <v>0</v>
      </c>
      <c r="M53" s="38" t="s">
        <v>1596</v>
      </c>
      <c r="N53" s="42" t="s">
        <v>317</v>
      </c>
      <c r="O53" s="42"/>
    </row>
    <row r="54" spans="1:15" ht="12.75" customHeight="1" x14ac:dyDescent="0.3">
      <c r="A54" s="42"/>
      <c r="B54" s="42" t="s">
        <v>315</v>
      </c>
      <c r="C54" s="38"/>
      <c r="D54" s="38"/>
      <c r="E54" s="64"/>
      <c r="F54" s="64"/>
      <c r="G54" s="63" t="s">
        <v>316</v>
      </c>
      <c r="H54" s="42" t="s">
        <v>1584</v>
      </c>
      <c r="I54" s="254"/>
      <c r="J54" s="192" t="str">
        <f t="shared" si="2"/>
        <v/>
      </c>
      <c r="K54" s="174">
        <v>0</v>
      </c>
      <c r="L54" s="193">
        <f>IF(ISBLANK(I54),IF(ISNUMBER(J54)=FALSE,K54,J54),I54)</f>
        <v>0</v>
      </c>
      <c r="M54" s="38" t="s">
        <v>1596</v>
      </c>
      <c r="N54" s="42" t="s">
        <v>317</v>
      </c>
      <c r="O54" s="42"/>
    </row>
    <row r="55" spans="1:15" ht="12.75" customHeight="1" x14ac:dyDescent="0.3">
      <c r="A55" s="42"/>
      <c r="B55" s="42" t="s">
        <v>1159</v>
      </c>
      <c r="C55" s="38"/>
      <c r="D55" s="38"/>
      <c r="E55" s="64"/>
      <c r="F55" s="64"/>
      <c r="G55" s="63" t="s">
        <v>110</v>
      </c>
      <c r="H55" s="42" t="s">
        <v>1584</v>
      </c>
      <c r="I55" s="254"/>
      <c r="J55" s="192" t="str">
        <f t="shared" si="2"/>
        <v/>
      </c>
      <c r="K55" s="174">
        <f ca="1">((L16+L17*L177+L18*L178+L19*L179)*RAINrate.R*L14+WATERflow.w1C.w1R)*(1-FRAC.w1R.w1C)</f>
        <v>5.3215436156928559</v>
      </c>
      <c r="L55" s="193">
        <f t="shared" ca="1" si="3"/>
        <v>5.3215436156928559</v>
      </c>
      <c r="M55" s="38" t="s">
        <v>1596</v>
      </c>
      <c r="N55" s="42"/>
      <c r="O55" s="42"/>
    </row>
    <row r="56" spans="1:15" ht="12.75" customHeight="1" x14ac:dyDescent="0.3">
      <c r="A56" s="42"/>
      <c r="B56" s="42" t="s">
        <v>1160</v>
      </c>
      <c r="C56" s="42"/>
      <c r="D56" s="38"/>
      <c r="E56" s="64"/>
      <c r="F56" s="64"/>
      <c r="G56" s="63" t="s">
        <v>111</v>
      </c>
      <c r="H56" s="42" t="s">
        <v>1584</v>
      </c>
      <c r="I56" s="255"/>
      <c r="J56" s="192" t="str">
        <f t="shared" si="2"/>
        <v/>
      </c>
      <c r="K56" s="174">
        <f ca="1">L55+WATERflow.w2C.w2R</f>
        <v>53.215436156928554</v>
      </c>
      <c r="L56" s="193">
        <f t="shared" ca="1" si="3"/>
        <v>53.215436156928554</v>
      </c>
      <c r="M56" s="38" t="s">
        <v>1596</v>
      </c>
      <c r="N56" s="42"/>
      <c r="O56" s="42"/>
    </row>
    <row r="57" spans="1:15" ht="12.75" customHeight="1" x14ac:dyDescent="0.3">
      <c r="A57" s="38"/>
      <c r="B57" s="38"/>
      <c r="C57" s="38"/>
      <c r="D57" s="38"/>
      <c r="E57" s="38"/>
      <c r="F57" s="38"/>
      <c r="G57" s="42"/>
      <c r="H57" s="42"/>
      <c r="I57" s="162"/>
      <c r="J57" s="188"/>
      <c r="K57" s="175"/>
      <c r="L57" s="175"/>
      <c r="M57" s="38"/>
      <c r="N57" s="42"/>
      <c r="O57" s="42"/>
    </row>
    <row r="58" spans="1:15" customFormat="1" ht="12.75" customHeight="1" x14ac:dyDescent="0.3">
      <c r="A58" s="67" t="s">
        <v>1836</v>
      </c>
      <c r="B58" s="66"/>
      <c r="C58" s="66"/>
      <c r="D58" s="66"/>
      <c r="E58" s="66"/>
      <c r="F58" s="66"/>
      <c r="G58" s="67" t="s">
        <v>969</v>
      </c>
      <c r="H58" s="67" t="s">
        <v>929</v>
      </c>
      <c r="I58" s="189" t="s">
        <v>748</v>
      </c>
      <c r="J58" s="194" t="s">
        <v>29</v>
      </c>
      <c r="K58" s="163" t="s">
        <v>747</v>
      </c>
      <c r="L58" s="163" t="s">
        <v>1353</v>
      </c>
      <c r="M58" s="66"/>
      <c r="N58" s="67" t="s">
        <v>1366</v>
      </c>
      <c r="O58" s="42"/>
    </row>
    <row r="59" spans="1:15" ht="12.75" customHeight="1" x14ac:dyDescent="0.3">
      <c r="A59" s="42"/>
      <c r="B59" s="42"/>
      <c r="C59" s="42"/>
      <c r="D59" s="42"/>
      <c r="E59" s="42"/>
      <c r="F59" s="42"/>
      <c r="G59" s="42"/>
      <c r="H59" s="42"/>
      <c r="I59" s="162"/>
      <c r="J59" s="188"/>
      <c r="K59" s="175"/>
      <c r="L59" s="175"/>
      <c r="M59" s="38"/>
      <c r="N59" s="42"/>
      <c r="O59" s="42"/>
    </row>
    <row r="60" spans="1:15" s="748" customFormat="1" ht="12.75" customHeight="1" x14ac:dyDescent="0.3">
      <c r="A60" s="351"/>
      <c r="B60" s="351" t="s">
        <v>1944</v>
      </c>
      <c r="C60" s="351"/>
      <c r="D60" s="351"/>
      <c r="E60" s="351"/>
      <c r="F60" s="351"/>
      <c r="G60" s="351" t="s">
        <v>1945</v>
      </c>
      <c r="H60" s="351" t="s">
        <v>28</v>
      </c>
      <c r="I60" s="676">
        <f ca="1">IF(K60&lt;0,0,K60)</f>
        <v>2.3531998571968415E-10</v>
      </c>
      <c r="J60" s="707" t="str">
        <f t="shared" ref="J60:J104" si="4">IF(HLOOKUP(CaseName,CaseData,ROW()+158,FALSE)="","",HLOOKUP(CaseName,CaseData,ROW()+158,FALSE))</f>
        <v/>
      </c>
      <c r="K60" s="746">
        <f ca="1">1-L61-L62</f>
        <v>2.3531998571968415E-10</v>
      </c>
      <c r="L60" s="747">
        <f t="shared" ref="L60:L65" ca="1" si="5">IF(ISBLANK(I60),IF(ISNUMBER(J60)=FALSE,K60,J60),I60)</f>
        <v>2.3531998571968415E-10</v>
      </c>
      <c r="M60" s="674" t="s">
        <v>477</v>
      </c>
      <c r="N60" s="674" t="s">
        <v>2662</v>
      </c>
      <c r="O60" s="674"/>
    </row>
    <row r="61" spans="1:15" ht="12.75" customHeight="1" x14ac:dyDescent="0.3">
      <c r="A61" s="38"/>
      <c r="B61" s="38" t="s">
        <v>609</v>
      </c>
      <c r="C61" s="38"/>
      <c r="D61" s="38"/>
      <c r="E61" s="38"/>
      <c r="F61" s="38"/>
      <c r="G61" s="38" t="s">
        <v>603</v>
      </c>
      <c r="H61" s="38" t="s">
        <v>28</v>
      </c>
      <c r="I61" s="255"/>
      <c r="J61" s="192" t="str">
        <f t="shared" si="4"/>
        <v/>
      </c>
      <c r="K61" s="302">
        <f ca="1">L31*L64/(1+L31*L64+L30*L65)</f>
        <v>0.41640397812987945</v>
      </c>
      <c r="L61" s="193">
        <f t="shared" ca="1" si="5"/>
        <v>0.41640397812987945</v>
      </c>
      <c r="M61" s="42" t="s">
        <v>477</v>
      </c>
      <c r="N61" s="42" t="s">
        <v>1772</v>
      </c>
      <c r="O61" s="42"/>
    </row>
    <row r="62" spans="1:15" ht="12.75" customHeight="1" x14ac:dyDescent="0.3">
      <c r="A62" s="38"/>
      <c r="B62" s="38" t="s">
        <v>610</v>
      </c>
      <c r="C62" s="38"/>
      <c r="D62" s="38"/>
      <c r="E62" s="38"/>
      <c r="F62" s="38"/>
      <c r="G62" s="38" t="s">
        <v>604</v>
      </c>
      <c r="H62" s="38" t="s">
        <v>28</v>
      </c>
      <c r="I62" s="252"/>
      <c r="J62" s="192" t="str">
        <f t="shared" si="4"/>
        <v/>
      </c>
      <c r="K62" s="195">
        <f ca="1">L30*L65/(1+L31*L64+L30*L65)</f>
        <v>0.58359602163480062</v>
      </c>
      <c r="L62" s="193">
        <f t="shared" ca="1" si="5"/>
        <v>0.58359602163480062</v>
      </c>
      <c r="M62" s="42" t="s">
        <v>477</v>
      </c>
      <c r="N62" s="42" t="s">
        <v>1772</v>
      </c>
      <c r="O62" s="42"/>
    </row>
    <row r="63" spans="1:15" ht="12.75" customHeight="1" x14ac:dyDescent="0.4">
      <c r="A63" s="38"/>
      <c r="B63" s="38"/>
      <c r="C63" s="38" t="s">
        <v>1946</v>
      </c>
      <c r="D63" s="38"/>
      <c r="E63" s="38"/>
      <c r="F63" s="38"/>
      <c r="G63" s="118" t="s">
        <v>1947</v>
      </c>
      <c r="H63" s="38" t="s">
        <v>1585</v>
      </c>
      <c r="I63" s="255"/>
      <c r="J63" s="192" t="str">
        <f t="shared" si="4"/>
        <v/>
      </c>
      <c r="K63" s="195">
        <f ca="1">Kaw*EXP((H0vap/8.314)*(1/298-1/TEMP.R))*EXP(-(H0sol/8.314)*(1/298-1/TEMP.R))*(298/TEMP.R)</f>
        <v>1.1302478699978729E-20</v>
      </c>
      <c r="L63" s="193">
        <f t="shared" ca="1" si="5"/>
        <v>1.1302478699978729E-20</v>
      </c>
      <c r="M63" s="42" t="s">
        <v>477</v>
      </c>
      <c r="N63" s="42"/>
      <c r="O63" s="42"/>
    </row>
    <row r="64" spans="1:15" ht="12.75" customHeight="1" x14ac:dyDescent="0.4">
      <c r="A64" s="38"/>
      <c r="B64" s="38"/>
      <c r="C64" s="38" t="s">
        <v>606</v>
      </c>
      <c r="D64" s="38"/>
      <c r="E64" s="38"/>
      <c r="F64" s="38"/>
      <c r="G64" s="38" t="s">
        <v>605</v>
      </c>
      <c r="H64" s="38" t="s">
        <v>1586</v>
      </c>
      <c r="I64" s="255"/>
      <c r="J64" s="192" t="str">
        <f t="shared" si="4"/>
        <v/>
      </c>
      <c r="K64" s="302">
        <f ca="1">1/(L63*FRorig.aerw)</f>
        <v>8.8476167621698945E+19</v>
      </c>
      <c r="L64" s="193">
        <f t="shared" ca="1" si="5"/>
        <v>8.8476167621698945E+19</v>
      </c>
      <c r="M64" s="42" t="s">
        <v>477</v>
      </c>
      <c r="N64" s="42"/>
      <c r="O64" s="42"/>
    </row>
    <row r="65" spans="1:15" ht="12.75" customHeight="1" x14ac:dyDescent="0.4">
      <c r="A65" s="38"/>
      <c r="B65" s="38"/>
      <c r="C65" s="38" t="s">
        <v>607</v>
      </c>
      <c r="D65" s="38"/>
      <c r="E65" s="38"/>
      <c r="F65" s="38"/>
      <c r="G65" s="38" t="s">
        <v>608</v>
      </c>
      <c r="H65" s="38" t="s">
        <v>1587</v>
      </c>
      <c r="I65" s="255"/>
      <c r="J65" s="192" t="str">
        <f t="shared" si="4"/>
        <v/>
      </c>
      <c r="K65" s="302">
        <f>0.54*(Kow/Kaw)*CORGaers*(RHOaers/1000)</f>
        <v>1.2400059112166343E+20</v>
      </c>
      <c r="L65" s="193">
        <f t="shared" si="5"/>
        <v>1.2400059112166343E+20</v>
      </c>
      <c r="M65" s="42" t="s">
        <v>477</v>
      </c>
      <c r="N65" s="42" t="s">
        <v>885</v>
      </c>
      <c r="O65" s="42"/>
    </row>
    <row r="66" spans="1:15" ht="12.75" customHeight="1" x14ac:dyDescent="0.3">
      <c r="A66" s="42"/>
      <c r="B66" s="42" t="s">
        <v>285</v>
      </c>
      <c r="C66" s="64"/>
      <c r="D66" s="38"/>
      <c r="E66" s="38"/>
      <c r="F66" s="38"/>
      <c r="G66" s="63" t="s">
        <v>286</v>
      </c>
      <c r="H66" s="42" t="s">
        <v>28</v>
      </c>
      <c r="I66" s="252"/>
      <c r="J66" s="192" t="str">
        <f t="shared" si="4"/>
        <v/>
      </c>
      <c r="K66" s="302">
        <f ca="1">1/(1+L67*L69/1000+L70*L71/1000)</f>
        <v>0.99671269431501808</v>
      </c>
      <c r="L66" s="193">
        <f ca="1">IF(ISBLANK(I66),IF(ISNUMBER(J66)=FALSE,K66,J66),I66)</f>
        <v>0.99671269431501808</v>
      </c>
      <c r="M66" s="42" t="s">
        <v>477</v>
      </c>
      <c r="N66" s="42"/>
      <c r="O66" s="42"/>
    </row>
    <row r="67" spans="1:15" ht="12.75" customHeight="1" x14ac:dyDescent="0.3">
      <c r="A67" s="42"/>
      <c r="B67" s="38"/>
      <c r="C67" s="42" t="s">
        <v>700</v>
      </c>
      <c r="D67" s="38"/>
      <c r="E67" s="38"/>
      <c r="F67" s="38"/>
      <c r="G67" s="63" t="s">
        <v>287</v>
      </c>
      <c r="H67" s="42" t="s">
        <v>1588</v>
      </c>
      <c r="I67" s="255"/>
      <c r="J67" s="192" t="str">
        <f t="shared" si="4"/>
        <v/>
      </c>
      <c r="K67" s="196">
        <f ca="1">(FRorig.w1*Ksw+(1-FRorig.w1)*Ksw.alt)*(1000/RHOsolid/CORG)*L68</f>
        <v>6594.4583635681238</v>
      </c>
      <c r="L67" s="193">
        <f ca="1">IF(ISBLANK(I67),IF(ISNUMBER(J67)=FALSE,K67,J67),I67)</f>
        <v>6594.4583635681238</v>
      </c>
      <c r="M67" s="42" t="s">
        <v>1525</v>
      </c>
      <c r="N67" s="42"/>
      <c r="O67" s="42"/>
    </row>
    <row r="68" spans="1:15" ht="12.75" customHeight="1" x14ac:dyDescent="0.3">
      <c r="A68" s="42"/>
      <c r="B68" s="38"/>
      <c r="C68" s="42" t="s">
        <v>1091</v>
      </c>
      <c r="D68" s="38"/>
      <c r="E68" s="38"/>
      <c r="F68" s="38"/>
      <c r="G68" s="63" t="s">
        <v>288</v>
      </c>
      <c r="H68" s="42" t="s">
        <v>28</v>
      </c>
      <c r="I68" s="255"/>
      <c r="J68" s="192" t="str">
        <f t="shared" si="4"/>
        <v/>
      </c>
      <c r="K68" s="196">
        <v>0.1</v>
      </c>
      <c r="L68" s="193">
        <f>IF(ISBLANK(I68),IF(ISNUMBER(J68)=FALSE,K68,J68),I68)</f>
        <v>0.1</v>
      </c>
      <c r="M68" s="42" t="s">
        <v>477</v>
      </c>
      <c r="N68" s="42"/>
      <c r="O68" s="42"/>
    </row>
    <row r="69" spans="1:15" ht="12.75" customHeight="1" x14ac:dyDescent="0.3">
      <c r="A69" s="42"/>
      <c r="B69" s="38"/>
      <c r="C69" s="42" t="s">
        <v>701</v>
      </c>
      <c r="D69" s="38"/>
      <c r="E69" s="38"/>
      <c r="F69" s="38"/>
      <c r="G69" s="63" t="s">
        <v>289</v>
      </c>
      <c r="H69" s="42" t="s">
        <v>1578</v>
      </c>
      <c r="I69" s="255"/>
      <c r="J69" s="192" t="str">
        <f t="shared" si="4"/>
        <v/>
      </c>
      <c r="K69" s="196">
        <v>0.5</v>
      </c>
      <c r="L69" s="193">
        <f>IF(ISBLANK(I69),IF(ISNUMBER(J69)=FALSE,K69/1000,J69/1000),I69/1000)</f>
        <v>5.0000000000000001E-4</v>
      </c>
      <c r="M69" s="42" t="s">
        <v>1524</v>
      </c>
      <c r="N69" s="42" t="s">
        <v>317</v>
      </c>
      <c r="O69" s="42"/>
    </row>
    <row r="70" spans="1:15" ht="12.75" customHeight="1" x14ac:dyDescent="0.3">
      <c r="A70" s="42"/>
      <c r="B70" s="38"/>
      <c r="C70" s="42" t="s">
        <v>541</v>
      </c>
      <c r="D70" s="38"/>
      <c r="E70" s="38"/>
      <c r="F70" s="38"/>
      <c r="G70" s="63" t="s">
        <v>290</v>
      </c>
      <c r="H70" s="42" t="s">
        <v>1000</v>
      </c>
      <c r="I70" s="255"/>
      <c r="J70" s="192" t="str">
        <f t="shared" si="4"/>
        <v/>
      </c>
      <c r="K70" s="196">
        <f>0.08*D</f>
        <v>0.91852289719750679</v>
      </c>
      <c r="L70" s="193">
        <f>IF(ISBLANK(I70),IF(ISNUMBER(J70)=FALSE,K70,J70),I70)</f>
        <v>0.91852289719750679</v>
      </c>
      <c r="M70" s="42" t="s">
        <v>1525</v>
      </c>
      <c r="N70" s="42"/>
      <c r="O70" s="42"/>
    </row>
    <row r="71" spans="1:15" ht="12.75" customHeight="1" x14ac:dyDescent="0.3">
      <c r="A71" s="42"/>
      <c r="B71" s="38"/>
      <c r="C71" s="42" t="s">
        <v>543</v>
      </c>
      <c r="D71" s="38"/>
      <c r="E71" s="38"/>
      <c r="F71" s="38"/>
      <c r="G71" s="63" t="s">
        <v>291</v>
      </c>
      <c r="H71" s="42" t="s">
        <v>999</v>
      </c>
      <c r="I71" s="255"/>
      <c r="J71" s="192" t="str">
        <f t="shared" si="4"/>
        <v/>
      </c>
      <c r="K71" s="196">
        <v>1</v>
      </c>
      <c r="L71" s="193">
        <f>IF(ISBLANK(I71),IF(ISNUMBER(J71)=FALSE,K71/1000,J71/1000),I71/1000)</f>
        <v>1E-3</v>
      </c>
      <c r="M71" s="42" t="s">
        <v>1524</v>
      </c>
      <c r="N71" s="42"/>
      <c r="O71" s="42"/>
    </row>
    <row r="72" spans="1:15" ht="12.75" customHeight="1" x14ac:dyDescent="0.3">
      <c r="A72" s="42"/>
      <c r="B72" s="42" t="s">
        <v>1952</v>
      </c>
      <c r="C72" s="64"/>
      <c r="D72" s="38"/>
      <c r="E72" s="38"/>
      <c r="F72" s="38"/>
      <c r="G72" s="63" t="s">
        <v>530</v>
      </c>
      <c r="H72" s="42" t="s">
        <v>28</v>
      </c>
      <c r="I72" s="252"/>
      <c r="J72" s="192" t="str">
        <f t="shared" si="4"/>
        <v/>
      </c>
      <c r="K72" s="302">
        <f ca="1">1/(1+L73*L75/1000+L76*L77/1000)</f>
        <v>0.93500825455603809</v>
      </c>
      <c r="L72" s="193">
        <f t="shared" ref="L72:L104" ca="1" si="6">IF(ISBLANK(I72),IF(ISNUMBER(J72)=FALSE,K72,J72),I72)</f>
        <v>0.93500825455603809</v>
      </c>
      <c r="M72" s="42" t="s">
        <v>477</v>
      </c>
      <c r="N72" s="42"/>
      <c r="O72" s="42"/>
    </row>
    <row r="73" spans="1:15" ht="12.75" customHeight="1" x14ac:dyDescent="0.3">
      <c r="A73" s="42"/>
      <c r="B73" s="38"/>
      <c r="C73" s="42" t="s">
        <v>700</v>
      </c>
      <c r="D73" s="38"/>
      <c r="E73" s="38"/>
      <c r="F73" s="38"/>
      <c r="G73" s="63" t="s">
        <v>174</v>
      </c>
      <c r="H73" s="42" t="s">
        <v>1588</v>
      </c>
      <c r="I73" s="255"/>
      <c r="J73" s="192" t="str">
        <f t="shared" si="4"/>
        <v/>
      </c>
      <c r="K73" s="196">
        <f ca="1">(FRorig.w1*Ksw+(1-FRorig.w1)*Ksw.alt)*(1000/RHOsolid/CORG)*L74</f>
        <v>4334.6124245569554</v>
      </c>
      <c r="L73" s="193">
        <f t="shared" ca="1" si="6"/>
        <v>4334.6124245569554</v>
      </c>
      <c r="M73" s="42" t="s">
        <v>1525</v>
      </c>
      <c r="N73" s="42"/>
      <c r="O73" s="42"/>
    </row>
    <row r="74" spans="1:15" ht="12.75" customHeight="1" x14ac:dyDescent="0.3">
      <c r="A74" s="42"/>
      <c r="B74" s="38"/>
      <c r="C74" s="42" t="s">
        <v>1091</v>
      </c>
      <c r="D74" s="38"/>
      <c r="E74" s="38"/>
      <c r="F74" s="38"/>
      <c r="G74" s="63" t="s">
        <v>1451</v>
      </c>
      <c r="H74" s="42" t="s">
        <v>28</v>
      </c>
      <c r="I74" s="255" cm="1">
        <f t="array" aca="1" ref="I74" ca="1">_xll.RiskLognorm(0.1,0.04,_xll.RiskName(G74))</f>
        <v>6.5731136441834884E-2</v>
      </c>
      <c r="J74" s="192" t="str">
        <f t="shared" si="4"/>
        <v/>
      </c>
      <c r="K74" s="196">
        <v>0.1</v>
      </c>
      <c r="L74" s="193">
        <f t="shared" ca="1" si="6"/>
        <v>6.5731136441834884E-2</v>
      </c>
      <c r="M74" s="42" t="s">
        <v>477</v>
      </c>
      <c r="N74" s="42"/>
      <c r="O74" s="42"/>
    </row>
    <row r="75" spans="1:15" ht="12.75" customHeight="1" x14ac:dyDescent="0.3">
      <c r="A75" s="42"/>
      <c r="B75" s="38"/>
      <c r="C75" s="42" t="s">
        <v>701</v>
      </c>
      <c r="D75" s="38"/>
      <c r="E75" s="38"/>
      <c r="F75" s="38"/>
      <c r="G75" s="63" t="s">
        <v>205</v>
      </c>
      <c r="H75" s="42" t="s">
        <v>1578</v>
      </c>
      <c r="I75" s="255" cm="1">
        <f t="array" aca="1" ref="I75" ca="1">_xll.RiskLognorm(24.4,23.5,_xll.RiskName(G75))</f>
        <v>16.035656522102265</v>
      </c>
      <c r="J75" s="192" t="str">
        <f t="shared" si="4"/>
        <v/>
      </c>
      <c r="K75" s="196">
        <v>15</v>
      </c>
      <c r="L75" s="193">
        <f ca="1">IF(ISBLANK(I75),IF(ISNUMBER(J75)=FALSE,K75/1000,J75/1000),I75/1000)</f>
        <v>1.6035656522102266E-2</v>
      </c>
      <c r="M75" s="42" t="s">
        <v>1524</v>
      </c>
      <c r="N75" s="42"/>
      <c r="O75" s="42"/>
    </row>
    <row r="76" spans="1:15" ht="12.75" customHeight="1" x14ac:dyDescent="0.3">
      <c r="A76" s="42"/>
      <c r="B76" s="38"/>
      <c r="C76" s="42" t="s">
        <v>541</v>
      </c>
      <c r="D76" s="38"/>
      <c r="E76" s="38"/>
      <c r="F76" s="38"/>
      <c r="G76" s="63" t="s">
        <v>542</v>
      </c>
      <c r="H76" s="42" t="s">
        <v>1000</v>
      </c>
      <c r="I76" s="255"/>
      <c r="J76" s="192" t="str">
        <f t="shared" si="4"/>
        <v/>
      </c>
      <c r="K76" s="196">
        <f>0.08*D</f>
        <v>0.91852289719750679</v>
      </c>
      <c r="L76" s="193">
        <f t="shared" si="6"/>
        <v>0.91852289719750679</v>
      </c>
      <c r="M76" s="42" t="s">
        <v>1525</v>
      </c>
      <c r="N76" s="306"/>
      <c r="O76" s="42"/>
    </row>
    <row r="77" spans="1:15" ht="12.75" customHeight="1" x14ac:dyDescent="0.3">
      <c r="A77" s="42"/>
      <c r="B77" s="38"/>
      <c r="C77" s="42" t="s">
        <v>543</v>
      </c>
      <c r="D77" s="38"/>
      <c r="E77" s="38"/>
      <c r="F77" s="38"/>
      <c r="G77" s="63" t="s">
        <v>544</v>
      </c>
      <c r="H77" s="42" t="s">
        <v>999</v>
      </c>
      <c r="I77" s="255"/>
      <c r="J77" s="192" t="str">
        <f t="shared" si="4"/>
        <v/>
      </c>
      <c r="K77" s="196">
        <v>1</v>
      </c>
      <c r="L77" s="193">
        <f>IF(ISBLANK(I77),IF(ISNUMBER(J77)=FALSE,K77/1000,J77/1000),I77/1000)</f>
        <v>1E-3</v>
      </c>
      <c r="M77" s="42" t="s">
        <v>1524</v>
      </c>
      <c r="N77" s="42"/>
      <c r="O77" s="42"/>
    </row>
    <row r="78" spans="1:15" ht="12.75" customHeight="1" x14ac:dyDescent="0.3">
      <c r="A78" s="42"/>
      <c r="B78" s="42" t="s">
        <v>1953</v>
      </c>
      <c r="C78" s="64"/>
      <c r="D78" s="38"/>
      <c r="E78" s="38"/>
      <c r="F78" s="38"/>
      <c r="G78" s="63" t="s">
        <v>531</v>
      </c>
      <c r="H78" s="42" t="s">
        <v>28</v>
      </c>
      <c r="I78" s="252"/>
      <c r="J78" s="192" t="str">
        <f t="shared" si="4"/>
        <v/>
      </c>
      <c r="K78" s="196">
        <f ca="1">1/(1+L79*L81/1000+L82*L83/1000)</f>
        <v>0.96807931705231609</v>
      </c>
      <c r="L78" s="193">
        <f t="shared" ca="1" si="6"/>
        <v>0.96807931705231609</v>
      </c>
      <c r="M78" s="42" t="s">
        <v>477</v>
      </c>
      <c r="N78" s="42"/>
      <c r="O78" s="42"/>
    </row>
    <row r="79" spans="1:15" ht="12.75" customHeight="1" x14ac:dyDescent="0.3">
      <c r="A79" s="42"/>
      <c r="B79" s="38"/>
      <c r="C79" s="42" t="s">
        <v>700</v>
      </c>
      <c r="D79" s="38"/>
      <c r="E79" s="38"/>
      <c r="F79" s="38"/>
      <c r="G79" s="63" t="s">
        <v>176</v>
      </c>
      <c r="H79" s="42" t="s">
        <v>1588</v>
      </c>
      <c r="I79" s="255"/>
      <c r="J79" s="192" t="str">
        <f t="shared" si="4"/>
        <v/>
      </c>
      <c r="K79" s="196">
        <f ca="1">(FRorig.w2*Ksw+(1-FRorig.w2)*Ksw.alt)*(1000/RHOsolid/CORG)*L80</f>
        <v>6594.4583635681238</v>
      </c>
      <c r="L79" s="193">
        <f t="shared" ca="1" si="6"/>
        <v>6594.4583635681238</v>
      </c>
      <c r="M79" s="42" t="s">
        <v>1525</v>
      </c>
      <c r="N79" s="42"/>
      <c r="O79" s="42"/>
    </row>
    <row r="80" spans="1:15" ht="12.75" customHeight="1" x14ac:dyDescent="0.3">
      <c r="A80" s="42"/>
      <c r="B80" s="38"/>
      <c r="C80" s="42" t="s">
        <v>1091</v>
      </c>
      <c r="D80" s="38"/>
      <c r="E80" s="38"/>
      <c r="F80" s="38"/>
      <c r="G80" s="63" t="s">
        <v>1452</v>
      </c>
      <c r="H80" s="42" t="s">
        <v>28</v>
      </c>
      <c r="I80" s="255"/>
      <c r="J80" s="192" t="str">
        <f t="shared" si="4"/>
        <v/>
      </c>
      <c r="K80" s="196">
        <v>0.1</v>
      </c>
      <c r="L80" s="193">
        <f t="shared" si="6"/>
        <v>0.1</v>
      </c>
      <c r="M80" s="42" t="s">
        <v>477</v>
      </c>
      <c r="N80" s="42"/>
      <c r="O80" s="42"/>
    </row>
    <row r="81" spans="1:15" ht="12.75" customHeight="1" x14ac:dyDescent="0.3">
      <c r="A81" s="42"/>
      <c r="B81" s="38"/>
      <c r="C81" s="42" t="s">
        <v>1531</v>
      </c>
      <c r="D81" s="38"/>
      <c r="E81" s="38"/>
      <c r="F81" s="38"/>
      <c r="G81" s="63" t="s">
        <v>206</v>
      </c>
      <c r="H81" s="42" t="s">
        <v>1578</v>
      </c>
      <c r="I81" s="255"/>
      <c r="J81" s="192" t="str">
        <f t="shared" si="4"/>
        <v/>
      </c>
      <c r="K81" s="196">
        <v>5</v>
      </c>
      <c r="L81" s="193">
        <f>IF(ISBLANK(I81),IF(ISNUMBER(J81)=FALSE,K81/1000,J81/1000),I81/1000)</f>
        <v>5.0000000000000001E-3</v>
      </c>
      <c r="M81" s="42" t="s">
        <v>1524</v>
      </c>
      <c r="N81" s="42"/>
      <c r="O81" s="42"/>
    </row>
    <row r="82" spans="1:15" ht="12.75" customHeight="1" x14ac:dyDescent="0.3">
      <c r="A82" s="42"/>
      <c r="B82" s="38"/>
      <c r="C82" s="42" t="s">
        <v>541</v>
      </c>
      <c r="D82" s="38"/>
      <c r="E82" s="38"/>
      <c r="F82" s="38"/>
      <c r="G82" s="63" t="s">
        <v>545</v>
      </c>
      <c r="H82" s="42" t="s">
        <v>1000</v>
      </c>
      <c r="I82" s="255"/>
      <c r="J82" s="192" t="str">
        <f t="shared" si="4"/>
        <v/>
      </c>
      <c r="K82" s="196">
        <f>0.08*D</f>
        <v>0.91852289719750679</v>
      </c>
      <c r="L82" s="193">
        <f t="shared" si="6"/>
        <v>0.91852289719750679</v>
      </c>
      <c r="M82" s="42" t="s">
        <v>1525</v>
      </c>
      <c r="N82" s="42"/>
      <c r="O82" s="42"/>
    </row>
    <row r="83" spans="1:15" ht="12.75" customHeight="1" x14ac:dyDescent="0.3">
      <c r="A83" s="42"/>
      <c r="B83" s="38"/>
      <c r="C83" s="42" t="s">
        <v>543</v>
      </c>
      <c r="D83" s="38"/>
      <c r="E83" s="38"/>
      <c r="F83" s="38"/>
      <c r="G83" s="63" t="s">
        <v>546</v>
      </c>
      <c r="H83" s="42" t="s">
        <v>999</v>
      </c>
      <c r="I83" s="255"/>
      <c r="J83" s="192" t="str">
        <f t="shared" si="4"/>
        <v/>
      </c>
      <c r="K83" s="196">
        <v>1</v>
      </c>
      <c r="L83" s="193">
        <f>IF(ISBLANK(I83),IF(ISNUMBER(J83)=FALSE,K83/1000,J83/1000),I83/1000)</f>
        <v>1E-3</v>
      </c>
      <c r="M83" s="42" t="s">
        <v>1524</v>
      </c>
      <c r="N83" s="42"/>
      <c r="O83" s="42"/>
    </row>
    <row r="84" spans="1:15" ht="12.75" customHeight="1" x14ac:dyDescent="0.3">
      <c r="A84" s="42"/>
      <c r="B84" s="42" t="s">
        <v>726</v>
      </c>
      <c r="C84" s="64"/>
      <c r="D84" s="38"/>
      <c r="E84" s="38"/>
      <c r="F84" s="38"/>
      <c r="G84" s="63" t="s">
        <v>457</v>
      </c>
      <c r="H84" s="42" t="s">
        <v>28</v>
      </c>
      <c r="I84" s="255"/>
      <c r="J84" s="192" t="str">
        <f t="shared" si="4"/>
        <v/>
      </c>
      <c r="K84" s="196">
        <f ca="1">L41+L42*L85*RHOsolid/1000</f>
        <v>3513.2980603176538</v>
      </c>
      <c r="L84" s="193">
        <f t="shared" ca="1" si="6"/>
        <v>3513.2980603176538</v>
      </c>
      <c r="M84" s="42" t="s">
        <v>477</v>
      </c>
      <c r="N84" s="42"/>
      <c r="O84" s="42"/>
    </row>
    <row r="85" spans="1:15" ht="12.75" customHeight="1" x14ac:dyDescent="0.3">
      <c r="A85" s="42"/>
      <c r="B85" s="38"/>
      <c r="C85" s="42" t="s">
        <v>1428</v>
      </c>
      <c r="D85" s="38"/>
      <c r="E85" s="38"/>
      <c r="F85" s="38"/>
      <c r="G85" s="63" t="s">
        <v>165</v>
      </c>
      <c r="H85" s="42" t="s">
        <v>1588</v>
      </c>
      <c r="I85" s="255"/>
      <c r="J85" s="192" t="str">
        <f t="shared" si="4"/>
        <v/>
      </c>
      <c r="K85" s="196">
        <f ca="1">(FRorig.sd1*Ksw+(1-FRorig.sd1)*Ksw.alt)*(1000/RHOsolid/CORG)*L86</f>
        <v>7132.0668109683857</v>
      </c>
      <c r="L85" s="193">
        <f t="shared" ca="1" si="6"/>
        <v>7132.0668109683857</v>
      </c>
      <c r="M85" s="42" t="s">
        <v>1525</v>
      </c>
      <c r="N85" s="42"/>
      <c r="O85" s="42"/>
    </row>
    <row r="86" spans="1:15" ht="12.75" customHeight="1" x14ac:dyDescent="0.3">
      <c r="A86" s="42"/>
      <c r="B86" s="38"/>
      <c r="C86" s="42" t="s">
        <v>1271</v>
      </c>
      <c r="D86" s="38"/>
      <c r="E86" s="38"/>
      <c r="F86" s="38"/>
      <c r="G86" s="63" t="s">
        <v>1059</v>
      </c>
      <c r="H86" s="42" t="s">
        <v>28</v>
      </c>
      <c r="I86" s="255" cm="1">
        <f t="array" aca="1" ref="I86" ca="1">_xll.RiskLognorm(0.05,0.04,_xll.RiskName(G86))</f>
        <v>0.10815242765608081</v>
      </c>
      <c r="J86" s="192" t="str">
        <f t="shared" si="4"/>
        <v/>
      </c>
      <c r="K86" s="196">
        <v>0.05</v>
      </c>
      <c r="L86" s="193">
        <f t="shared" ca="1" si="6"/>
        <v>0.10815242765608081</v>
      </c>
      <c r="M86" s="38" t="s">
        <v>477</v>
      </c>
      <c r="N86" s="42"/>
      <c r="O86" s="42"/>
    </row>
    <row r="87" spans="1:15" ht="12.75" customHeight="1" x14ac:dyDescent="0.3">
      <c r="A87" s="42"/>
      <c r="B87" s="42" t="s">
        <v>1429</v>
      </c>
      <c r="C87" s="64"/>
      <c r="D87" s="38"/>
      <c r="E87" s="38"/>
      <c r="F87" s="38"/>
      <c r="G87" s="63" t="s">
        <v>1060</v>
      </c>
      <c r="H87" s="42" t="s">
        <v>28</v>
      </c>
      <c r="I87" s="255"/>
      <c r="J87" s="192" t="str">
        <f t="shared" si="4"/>
        <v/>
      </c>
      <c r="K87" s="196">
        <f ca="1">L41+L42*L88*RHOsolid/1000</f>
        <v>1624.6680101622869</v>
      </c>
      <c r="L87" s="193">
        <f t="shared" ca="1" si="6"/>
        <v>1624.6680101622869</v>
      </c>
      <c r="M87" s="38" t="s">
        <v>477</v>
      </c>
      <c r="N87" s="42"/>
      <c r="O87" s="42"/>
    </row>
    <row r="88" spans="1:15" ht="12.75" customHeight="1" x14ac:dyDescent="0.3">
      <c r="A88" s="42"/>
      <c r="B88" s="38"/>
      <c r="C88" s="42" t="s">
        <v>1430</v>
      </c>
      <c r="D88" s="38"/>
      <c r="E88" s="38"/>
      <c r="F88" s="38"/>
      <c r="G88" s="63" t="s">
        <v>167</v>
      </c>
      <c r="H88" s="42" t="s">
        <v>1588</v>
      </c>
      <c r="I88" s="255"/>
      <c r="J88" s="192" t="str">
        <f t="shared" si="4"/>
        <v/>
      </c>
      <c r="K88" s="196">
        <f ca="1">(FRorig.sd2*Ksw+(1-FRorig.sd2)*Ksw.alt)*(1000/RHOsolid/CORG)*L89</f>
        <v>3297.2291817840619</v>
      </c>
      <c r="L88" s="193">
        <f t="shared" ca="1" si="6"/>
        <v>3297.2291817840619</v>
      </c>
      <c r="M88" s="42" t="s">
        <v>1525</v>
      </c>
      <c r="N88" s="42"/>
      <c r="O88" s="42"/>
    </row>
    <row r="89" spans="1:15" ht="12.75" customHeight="1" x14ac:dyDescent="0.3">
      <c r="A89" s="42"/>
      <c r="B89" s="38"/>
      <c r="C89" s="42" t="s">
        <v>1270</v>
      </c>
      <c r="D89" s="38"/>
      <c r="E89" s="38"/>
      <c r="F89" s="38"/>
      <c r="G89" s="63" t="s">
        <v>1061</v>
      </c>
      <c r="H89" s="42" t="s">
        <v>28</v>
      </c>
      <c r="I89" s="255"/>
      <c r="J89" s="192" t="str">
        <f t="shared" si="4"/>
        <v/>
      </c>
      <c r="K89" s="196">
        <v>0.05</v>
      </c>
      <c r="L89" s="193">
        <f t="shared" si="6"/>
        <v>0.05</v>
      </c>
      <c r="M89" s="38" t="s">
        <v>477</v>
      </c>
      <c r="N89" s="42"/>
      <c r="O89" s="42"/>
    </row>
    <row r="90" spans="1:15" ht="12.75" customHeight="1" x14ac:dyDescent="0.3">
      <c r="A90" s="42"/>
      <c r="B90" s="42" t="s">
        <v>1431</v>
      </c>
      <c r="C90" s="64"/>
      <c r="D90" s="38"/>
      <c r="E90" s="38"/>
      <c r="F90" s="38"/>
      <c r="G90" s="63" t="s">
        <v>1062</v>
      </c>
      <c r="H90" s="42" t="s">
        <v>28</v>
      </c>
      <c r="I90" s="255"/>
      <c r="J90" s="192" t="str">
        <f t="shared" si="4"/>
        <v/>
      </c>
      <c r="K90" s="196">
        <f ca="1">L32*(L63*FRorig.s1w)+L33+L34*L93*RHOsolid/1000</f>
        <v>1779.1339040114367</v>
      </c>
      <c r="L90" s="193">
        <f t="shared" ca="1" si="6"/>
        <v>1779.1339040114367</v>
      </c>
      <c r="M90" s="38" t="s">
        <v>477</v>
      </c>
      <c r="N90" s="42"/>
      <c r="O90" s="42"/>
    </row>
    <row r="91" spans="1:15" ht="12.75" customHeight="1" x14ac:dyDescent="0.3">
      <c r="A91" s="42"/>
      <c r="B91" s="42" t="s">
        <v>507</v>
      </c>
      <c r="C91" s="64"/>
      <c r="D91" s="38"/>
      <c r="E91" s="38"/>
      <c r="F91" s="38"/>
      <c r="G91" s="63" t="s">
        <v>986</v>
      </c>
      <c r="H91" s="42" t="s">
        <v>28</v>
      </c>
      <c r="I91" s="255"/>
      <c r="J91" s="192" t="str">
        <f t="shared" si="4"/>
        <v/>
      </c>
      <c r="K91" s="302">
        <f ca="1">L33/(L32*(L63*FRorig.s1w)+L33+L34*L93*RHOsolid/1000)</f>
        <v>2.2151789346244432E-4</v>
      </c>
      <c r="L91" s="193">
        <f t="shared" ca="1" si="6"/>
        <v>2.2151789346244432E-4</v>
      </c>
      <c r="M91" s="38"/>
      <c r="N91" s="42"/>
      <c r="O91" s="42"/>
    </row>
    <row r="92" spans="1:15" ht="12.75" customHeight="1" x14ac:dyDescent="0.3">
      <c r="A92" s="42"/>
      <c r="B92" s="42" t="s">
        <v>948</v>
      </c>
      <c r="C92" s="64"/>
      <c r="D92" s="38"/>
      <c r="E92" s="38"/>
      <c r="F92" s="38"/>
      <c r="G92" s="63" t="s">
        <v>990</v>
      </c>
      <c r="H92" s="42" t="s">
        <v>28</v>
      </c>
      <c r="I92" s="255"/>
      <c r="J92" s="192" t="str">
        <f t="shared" si="4"/>
        <v/>
      </c>
      <c r="K92" s="302">
        <f ca="1">L34 / (L32*L63*FRorig.s1w/(L93*RHOsolid/1000)+L33 /(L93*RHOsolid/1000)+L34 )</f>
        <v>0.99977848210653752</v>
      </c>
      <c r="L92" s="193">
        <f t="shared" ca="1" si="6"/>
        <v>0.99977848210653752</v>
      </c>
      <c r="M92" s="38"/>
      <c r="N92" s="42"/>
      <c r="O92" s="42"/>
    </row>
    <row r="93" spans="1:15" ht="12.75" customHeight="1" x14ac:dyDescent="0.3">
      <c r="A93" s="42"/>
      <c r="B93" s="38"/>
      <c r="C93" s="42" t="s">
        <v>1323</v>
      </c>
      <c r="D93" s="38"/>
      <c r="E93" s="38"/>
      <c r="F93" s="38"/>
      <c r="G93" s="63" t="s">
        <v>118</v>
      </c>
      <c r="H93" s="42" t="s">
        <v>1588</v>
      </c>
      <c r="I93" s="255"/>
      <c r="J93" s="192" t="str">
        <f t="shared" si="4"/>
        <v/>
      </c>
      <c r="K93" s="196">
        <f ca="1">(FRorig.s1*Ksw+(1-FRorig.s1)*Ksw.alt)*(1000/RHOsolid/CORG)*L94</f>
        <v>1723.8775137035775</v>
      </c>
      <c r="L93" s="193">
        <f t="shared" ca="1" si="6"/>
        <v>1723.8775137035775</v>
      </c>
      <c r="M93" s="42" t="s">
        <v>1525</v>
      </c>
      <c r="N93" s="42"/>
      <c r="O93" s="42"/>
    </row>
    <row r="94" spans="1:15" ht="12.75" customHeight="1" x14ac:dyDescent="0.3">
      <c r="A94" s="42"/>
      <c r="B94" s="38"/>
      <c r="C94" s="42" t="s">
        <v>1269</v>
      </c>
      <c r="D94" s="38"/>
      <c r="E94" s="38"/>
      <c r="F94" s="38"/>
      <c r="G94" s="63" t="s">
        <v>1063</v>
      </c>
      <c r="H94" s="42" t="s">
        <v>28</v>
      </c>
      <c r="I94" s="255" cm="1">
        <f t="array" aca="1" ref="I94" ca="1">_xll.RiskLognorm(0.05,0.04,_xll.RiskName(G94))</f>
        <v>2.6141305603313014E-2</v>
      </c>
      <c r="J94" s="192" t="str">
        <f t="shared" si="4"/>
        <v/>
      </c>
      <c r="K94" s="196">
        <v>0.02</v>
      </c>
      <c r="L94" s="193">
        <f t="shared" ca="1" si="6"/>
        <v>2.6141305603313014E-2</v>
      </c>
      <c r="M94" s="38" t="s">
        <v>477</v>
      </c>
      <c r="N94" s="42"/>
      <c r="O94" s="42"/>
    </row>
    <row r="95" spans="1:15" ht="12.75" customHeight="1" x14ac:dyDescent="0.3">
      <c r="A95" s="42"/>
      <c r="B95" s="42" t="s">
        <v>776</v>
      </c>
      <c r="C95" s="64"/>
      <c r="D95" s="38"/>
      <c r="E95" s="38"/>
      <c r="F95" s="38"/>
      <c r="G95" s="63" t="s">
        <v>1064</v>
      </c>
      <c r="H95" s="42" t="s">
        <v>28</v>
      </c>
      <c r="I95" s="255"/>
      <c r="J95" s="192" t="str">
        <f t="shared" si="4"/>
        <v/>
      </c>
      <c r="K95" s="196">
        <f ca="1">L35*(L63*FRorig.s2w)+L36+L37*L98*RHOsolid/1000</f>
        <v>1402.8606642194129</v>
      </c>
      <c r="L95" s="193">
        <f t="shared" ca="1" si="6"/>
        <v>1402.8606642194129</v>
      </c>
      <c r="M95" s="38" t="s">
        <v>477</v>
      </c>
      <c r="N95" s="42"/>
      <c r="O95" s="42"/>
    </row>
    <row r="96" spans="1:15" ht="12.75" customHeight="1" x14ac:dyDescent="0.3">
      <c r="A96" s="42"/>
      <c r="B96" s="42" t="s">
        <v>508</v>
      </c>
      <c r="C96" s="64"/>
      <c r="D96" s="38"/>
      <c r="E96" s="38"/>
      <c r="F96" s="38"/>
      <c r="G96" s="63" t="s">
        <v>987</v>
      </c>
      <c r="H96" s="42" t="s">
        <v>28</v>
      </c>
      <c r="I96" s="255"/>
      <c r="J96" s="192" t="str">
        <f t="shared" si="4"/>
        <v/>
      </c>
      <c r="K96" s="302">
        <f ca="1">L36/(L35*(L63*FRorig.s2w)+L36+L37*L98*RHOsolid/1000)</f>
        <v>3.2433695409401922E-4</v>
      </c>
      <c r="L96" s="193">
        <f t="shared" ca="1" si="6"/>
        <v>3.2433695409401922E-4</v>
      </c>
      <c r="M96" s="38" t="s">
        <v>477</v>
      </c>
      <c r="N96" s="42"/>
      <c r="O96" s="42"/>
    </row>
    <row r="97" spans="1:16" ht="12.75" customHeight="1" x14ac:dyDescent="0.3">
      <c r="A97" s="42"/>
      <c r="B97" s="42" t="s">
        <v>1095</v>
      </c>
      <c r="C97" s="64"/>
      <c r="D97" s="38"/>
      <c r="E97" s="38"/>
      <c r="F97" s="38"/>
      <c r="G97" s="63" t="s">
        <v>991</v>
      </c>
      <c r="H97" s="42" t="s">
        <v>28</v>
      </c>
      <c r="I97" s="255"/>
      <c r="J97" s="192" t="str">
        <f t="shared" si="4"/>
        <v/>
      </c>
      <c r="K97" s="302">
        <f ca="1">L37/(L35*(L63*FRorig.s2w)/(L98*RHOsolid/1000)+L36/(L98*RHOsolid/1000)+L37)</f>
        <v>0.99967566304590594</v>
      </c>
      <c r="L97" s="193">
        <f t="shared" ca="1" si="6"/>
        <v>0.99967566304590594</v>
      </c>
      <c r="M97" s="4" t="s">
        <v>477</v>
      </c>
      <c r="N97" s="42"/>
      <c r="O97" s="42"/>
    </row>
    <row r="98" spans="1:16" ht="12.75" customHeight="1" x14ac:dyDescent="0.3">
      <c r="A98" s="42"/>
      <c r="B98" s="38"/>
      <c r="C98" s="42" t="s">
        <v>1228</v>
      </c>
      <c r="D98" s="38"/>
      <c r="E98" s="38"/>
      <c r="F98" s="38"/>
      <c r="G98" s="63" t="s">
        <v>160</v>
      </c>
      <c r="H98" s="42" t="s">
        <v>1588</v>
      </c>
      <c r="I98" s="255"/>
      <c r="J98" s="192" t="str">
        <f t="shared" si="4"/>
        <v/>
      </c>
      <c r="K98" s="196">
        <f ca="1">(FRorig.s2*Ksw+(1-FRorig.s2)*Ksw.alt)*(1000/RHOsolid/CORG)*L99</f>
        <v>1599.0290097075867</v>
      </c>
      <c r="L98" s="193">
        <f t="shared" ca="1" si="6"/>
        <v>1599.0290097075867</v>
      </c>
      <c r="M98" s="42" t="s">
        <v>1525</v>
      </c>
      <c r="N98" s="42"/>
      <c r="O98" s="42"/>
    </row>
    <row r="99" spans="1:16" ht="12.75" customHeight="1" x14ac:dyDescent="0.3">
      <c r="A99" s="42"/>
      <c r="B99" s="38"/>
      <c r="C99" s="42" t="s">
        <v>1268</v>
      </c>
      <c r="D99" s="38"/>
      <c r="E99" s="38"/>
      <c r="F99" s="38"/>
      <c r="G99" s="63" t="s">
        <v>1065</v>
      </c>
      <c r="H99" s="42" t="s">
        <v>28</v>
      </c>
      <c r="I99" s="255" cm="1">
        <f t="array" aca="1" ref="I99" ca="1">_xll.RiskLognorm(0.05,0.04,_xll.RiskName(G99))</f>
        <v>2.4248071965115654E-2</v>
      </c>
      <c r="J99" s="192" t="str">
        <f t="shared" si="4"/>
        <v/>
      </c>
      <c r="K99" s="196">
        <v>0.02</v>
      </c>
      <c r="L99" s="193">
        <f t="shared" ca="1" si="6"/>
        <v>2.4248071965115654E-2</v>
      </c>
      <c r="M99" s="38" t="s">
        <v>477</v>
      </c>
      <c r="N99" s="42"/>
      <c r="O99" s="42"/>
    </row>
    <row r="100" spans="1:16" ht="12.75" customHeight="1" x14ac:dyDescent="0.3">
      <c r="A100" s="42"/>
      <c r="B100" s="42" t="s">
        <v>780</v>
      </c>
      <c r="C100" s="64"/>
      <c r="D100" s="38"/>
      <c r="E100" s="38"/>
      <c r="F100" s="38"/>
      <c r="G100" s="63" t="s">
        <v>1066</v>
      </c>
      <c r="H100" s="42" t="s">
        <v>28</v>
      </c>
      <c r="I100" s="255"/>
      <c r="J100" s="192" t="str">
        <f t="shared" si="4"/>
        <v/>
      </c>
      <c r="K100" s="196">
        <f ca="1">L38*(L63*FRorig.s3w)+L39+L40*L103*RHOsolid/1000</f>
        <v>6162.0232265279292</v>
      </c>
      <c r="L100" s="193">
        <f t="shared" ca="1" si="6"/>
        <v>6162.0232265279292</v>
      </c>
      <c r="M100" s="38" t="s">
        <v>477</v>
      </c>
      <c r="N100" s="42"/>
      <c r="O100" s="42"/>
    </row>
    <row r="101" spans="1:16" ht="12.75" customHeight="1" x14ac:dyDescent="0.3">
      <c r="A101" s="42"/>
      <c r="B101" s="42" t="s">
        <v>509</v>
      </c>
      <c r="C101" s="64"/>
      <c r="D101" s="38"/>
      <c r="E101" s="38"/>
      <c r="F101" s="38"/>
      <c r="G101" s="63" t="s">
        <v>988</v>
      </c>
      <c r="H101" s="42" t="s">
        <v>28</v>
      </c>
      <c r="I101" s="255"/>
      <c r="J101" s="192" t="str">
        <f t="shared" si="4"/>
        <v/>
      </c>
      <c r="K101" s="302">
        <f ca="1">L39/(L38*(L63*FRorig.s3w)+L39+L40*L103*RHOsolid/1000)</f>
        <v>1.599326625359735E-5</v>
      </c>
      <c r="L101" s="193">
        <f t="shared" ca="1" si="6"/>
        <v>1.599326625359735E-5</v>
      </c>
      <c r="M101" s="38" t="s">
        <v>477</v>
      </c>
      <c r="N101" s="42"/>
      <c r="O101" s="42"/>
    </row>
    <row r="102" spans="1:16" ht="12.75" customHeight="1" x14ac:dyDescent="0.3">
      <c r="A102" s="42"/>
      <c r="B102" s="42" t="s">
        <v>894</v>
      </c>
      <c r="C102" s="64"/>
      <c r="D102" s="38"/>
      <c r="E102" s="38"/>
      <c r="F102" s="38"/>
      <c r="G102" s="63" t="s">
        <v>1100</v>
      </c>
      <c r="H102" s="42" t="s">
        <v>28</v>
      </c>
      <c r="I102" s="255"/>
      <c r="J102" s="192" t="str">
        <f t="shared" si="4"/>
        <v/>
      </c>
      <c r="K102" s="302">
        <f ca="1">L40/(L38*(L63*FRorig.s3w)/(L103*RHOsolid/1000)+L39/(L103*RHOsolid/1000)+L40)</f>
        <v>0.99998400673374643</v>
      </c>
      <c r="L102" s="193">
        <f t="shared" ca="1" si="6"/>
        <v>0.99998400673374643</v>
      </c>
      <c r="M102" s="4" t="s">
        <v>477</v>
      </c>
      <c r="N102" s="42"/>
      <c r="O102" s="42"/>
    </row>
    <row r="103" spans="1:16" ht="12.75" customHeight="1" x14ac:dyDescent="0.3">
      <c r="A103" s="42"/>
      <c r="B103" s="38"/>
      <c r="C103" s="42" t="s">
        <v>1058</v>
      </c>
      <c r="D103" s="38"/>
      <c r="E103" s="38"/>
      <c r="F103" s="38"/>
      <c r="G103" s="63" t="s">
        <v>162</v>
      </c>
      <c r="H103" s="42" t="s">
        <v>1588</v>
      </c>
      <c r="I103" s="255"/>
      <c r="J103" s="192" t="str">
        <f t="shared" si="4"/>
        <v/>
      </c>
      <c r="K103" s="196">
        <f ca="1">(FRorig.s3*Ksw+(1-FRorig.s3)*Ksw.alt)*(1000/RHOsolid/CORG)*L104</f>
        <v>3455.5927184363982</v>
      </c>
      <c r="L103" s="193">
        <f t="shared" ca="1" si="6"/>
        <v>3455.5927184363982</v>
      </c>
      <c r="M103" s="42" t="s">
        <v>1525</v>
      </c>
      <c r="N103" s="42"/>
      <c r="O103" s="42"/>
    </row>
    <row r="104" spans="1:16" ht="12.75" customHeight="1" x14ac:dyDescent="0.3">
      <c r="A104" s="42"/>
      <c r="B104" s="38"/>
      <c r="C104" s="42" t="s">
        <v>1400</v>
      </c>
      <c r="D104" s="38"/>
      <c r="E104" s="38"/>
      <c r="F104" s="38"/>
      <c r="G104" s="63" t="s">
        <v>1067</v>
      </c>
      <c r="H104" s="42" t="s">
        <v>28</v>
      </c>
      <c r="I104" s="255" cm="1">
        <f t="array" aca="1" ref="I104" ca="1">_xll.RiskLognorm(0.05,0.04,_xll.RiskName(G104))</f>
        <v>5.240146389470339E-2</v>
      </c>
      <c r="J104" s="192" t="str">
        <f t="shared" si="4"/>
        <v/>
      </c>
      <c r="K104" s="196">
        <v>0.02</v>
      </c>
      <c r="L104" s="193">
        <f t="shared" ca="1" si="6"/>
        <v>5.240146389470339E-2</v>
      </c>
      <c r="M104" s="38" t="s">
        <v>477</v>
      </c>
      <c r="N104" s="42"/>
      <c r="O104" s="42"/>
    </row>
    <row r="105" spans="1:16" ht="12.75" customHeight="1" x14ac:dyDescent="0.3">
      <c r="A105" s="42"/>
      <c r="B105" s="38"/>
      <c r="C105" s="38"/>
      <c r="D105" s="42"/>
      <c r="E105" s="38"/>
      <c r="F105" s="38"/>
      <c r="G105" s="63"/>
      <c r="H105" s="42"/>
      <c r="I105" s="162"/>
      <c r="J105" s="188"/>
      <c r="K105" s="175"/>
      <c r="L105" s="175"/>
      <c r="M105" s="38"/>
      <c r="N105" s="42"/>
      <c r="O105" s="42"/>
    </row>
    <row r="106" spans="1:16" customFormat="1" ht="12.75" customHeight="1" x14ac:dyDescent="0.3">
      <c r="A106" s="67" t="s">
        <v>1306</v>
      </c>
      <c r="B106" s="66"/>
      <c r="C106" s="66"/>
      <c r="D106" s="66"/>
      <c r="E106" s="66"/>
      <c r="F106" s="66"/>
      <c r="G106" s="67" t="s">
        <v>969</v>
      </c>
      <c r="H106" s="67" t="s">
        <v>929</v>
      </c>
      <c r="I106" s="189" t="s">
        <v>748</v>
      </c>
      <c r="J106" s="194" t="s">
        <v>29</v>
      </c>
      <c r="K106" s="163" t="s">
        <v>747</v>
      </c>
      <c r="L106" s="163" t="s">
        <v>1353</v>
      </c>
      <c r="M106" s="66"/>
      <c r="N106" s="67" t="s">
        <v>1366</v>
      </c>
      <c r="O106" s="42"/>
    </row>
    <row r="107" spans="1:16" ht="12.75" customHeight="1" x14ac:dyDescent="0.3">
      <c r="A107" s="38"/>
      <c r="B107" s="38"/>
      <c r="C107" s="38"/>
      <c r="D107" s="38"/>
      <c r="E107" s="38"/>
      <c r="F107" s="38"/>
      <c r="G107" s="42"/>
      <c r="H107" s="42"/>
      <c r="I107" s="162"/>
      <c r="J107" s="188"/>
      <c r="K107" s="175"/>
      <c r="L107" s="175"/>
      <c r="M107" s="38"/>
      <c r="N107" s="42"/>
      <c r="O107" s="42"/>
    </row>
    <row r="108" spans="1:16" ht="12.75" customHeight="1" x14ac:dyDescent="0.3">
      <c r="A108" s="42" t="s">
        <v>292</v>
      </c>
      <c r="B108" s="38"/>
      <c r="C108" s="38"/>
      <c r="D108" s="38"/>
      <c r="E108" s="38"/>
      <c r="F108" s="38"/>
      <c r="G108" s="42" t="s">
        <v>293</v>
      </c>
      <c r="H108" s="42" t="s">
        <v>1579</v>
      </c>
      <c r="I108" s="254"/>
      <c r="J108" s="192" t="str">
        <f t="shared" ref="J108:J145" si="7">IF(HLOOKUP(CaseName,CaseData,ROW()+158,FALSE)="","",HLOOKUP(CaseName,CaseData,ROW()+158,FALSE))</f>
        <v/>
      </c>
      <c r="K108" s="303">
        <f ca="1">(L120+L131/L21)*L15</f>
        <v>1.2343051366522081E-25</v>
      </c>
      <c r="L108" s="193">
        <f ca="1">IF(ISBLANK(I108),IF(ISNUMBER(J108)=FALSE,K108,J108),I108)</f>
        <v>1.2343051366522081E-25</v>
      </c>
      <c r="M108" s="38" t="s">
        <v>1515</v>
      </c>
      <c r="N108" s="305"/>
      <c r="O108" s="42"/>
    </row>
    <row r="109" spans="1:16" ht="12.75" customHeight="1" x14ac:dyDescent="0.3">
      <c r="A109" s="42" t="s">
        <v>58</v>
      </c>
      <c r="B109" s="38"/>
      <c r="C109" s="38"/>
      <c r="D109" s="38"/>
      <c r="E109" s="38"/>
      <c r="F109" s="38"/>
      <c r="G109" s="42" t="s">
        <v>222</v>
      </c>
      <c r="H109" s="42" t="s">
        <v>1579</v>
      </c>
      <c r="I109" s="254"/>
      <c r="J109" s="192" t="str">
        <f t="shared" si="7"/>
        <v/>
      </c>
      <c r="K109" s="303">
        <f ca="1">(L120+L131/L21)*L16</f>
        <v>2.9623323279652996E-6</v>
      </c>
      <c r="L109" s="193">
        <f t="shared" ref="L109:L137" ca="1" si="8">IF(ISBLANK(I109),IF(ISNUMBER(J109)=FALSE,K109,J109),I109)</f>
        <v>2.9623323279652996E-6</v>
      </c>
      <c r="M109" s="38" t="s">
        <v>1515</v>
      </c>
      <c r="N109" s="305"/>
      <c r="O109" s="42"/>
      <c r="P109" s="36">
        <f ca="1">engine!H110</f>
        <v>1.4971969087209801E-21</v>
      </c>
    </row>
    <row r="110" spans="1:16" ht="12.75" customHeight="1" x14ac:dyDescent="0.3">
      <c r="A110" s="42" t="s">
        <v>59</v>
      </c>
      <c r="B110" s="38"/>
      <c r="C110" s="38"/>
      <c r="D110" s="38"/>
      <c r="E110" s="38"/>
      <c r="F110" s="38"/>
      <c r="G110" s="42" t="s">
        <v>223</v>
      </c>
      <c r="H110" s="42" t="s">
        <v>1579</v>
      </c>
      <c r="I110" s="254"/>
      <c r="J110" s="192" t="str">
        <f t="shared" si="7"/>
        <v/>
      </c>
      <c r="K110" s="303">
        <f ca="1">(L120+L131/L21)*L20</f>
        <v>5.6104778938736741E-28</v>
      </c>
      <c r="L110" s="193">
        <f t="shared" ca="1" si="8"/>
        <v>5.6104778938736741E-28</v>
      </c>
      <c r="M110" s="38" t="s">
        <v>1515</v>
      </c>
      <c r="N110" s="305"/>
      <c r="O110" s="42"/>
    </row>
    <row r="111" spans="1:16" ht="12.75" customHeight="1" x14ac:dyDescent="0.3">
      <c r="A111" s="42" t="s">
        <v>60</v>
      </c>
      <c r="B111" s="38"/>
      <c r="C111" s="38"/>
      <c r="D111" s="38"/>
      <c r="E111" s="38"/>
      <c r="F111" s="38"/>
      <c r="G111" s="42" t="s">
        <v>224</v>
      </c>
      <c r="H111" s="42" t="s">
        <v>1579</v>
      </c>
      <c r="I111" s="254"/>
      <c r="J111" s="192" t="str">
        <f t="shared" si="7"/>
        <v/>
      </c>
      <c r="K111" s="303">
        <f ca="1">(L120+L132/L21)*L17</f>
        <v>1.2343051365445921E-25</v>
      </c>
      <c r="L111" s="193">
        <f t="shared" ca="1" si="8"/>
        <v>1.2343051365445921E-25</v>
      </c>
      <c r="M111" s="38" t="s">
        <v>1515</v>
      </c>
      <c r="N111" s="305"/>
      <c r="O111" s="42"/>
    </row>
    <row r="112" spans="1:16" ht="12.75" customHeight="1" x14ac:dyDescent="0.3">
      <c r="A112" s="42" t="s">
        <v>61</v>
      </c>
      <c r="B112" s="38"/>
      <c r="C112" s="38"/>
      <c r="D112" s="38"/>
      <c r="E112" s="38"/>
      <c r="F112" s="38"/>
      <c r="G112" s="42" t="s">
        <v>225</v>
      </c>
      <c r="H112" s="42" t="s">
        <v>1579</v>
      </c>
      <c r="I112" s="254"/>
      <c r="J112" s="192" t="str">
        <f t="shared" si="7"/>
        <v/>
      </c>
      <c r="K112" s="303">
        <f ca="1">(L120+L132/L21)*L18</f>
        <v>2.2217492457802661E-6</v>
      </c>
      <c r="L112" s="193">
        <f t="shared" ca="1" si="8"/>
        <v>2.2217492457802661E-6</v>
      </c>
      <c r="M112" s="38" t="s">
        <v>1515</v>
      </c>
      <c r="N112" s="305"/>
      <c r="O112" s="42"/>
    </row>
    <row r="113" spans="1:15" ht="12.75" customHeight="1" x14ac:dyDescent="0.3">
      <c r="A113" s="42" t="s">
        <v>62</v>
      </c>
      <c r="B113" s="38"/>
      <c r="C113" s="38"/>
      <c r="D113" s="38"/>
      <c r="E113" s="38"/>
      <c r="F113" s="38"/>
      <c r="G113" s="42" t="s">
        <v>226</v>
      </c>
      <c r="H113" s="42" t="s">
        <v>1579</v>
      </c>
      <c r="I113" s="254"/>
      <c r="J113" s="192" t="str">
        <f t="shared" si="7"/>
        <v/>
      </c>
      <c r="K113" s="303">
        <f ca="1">(L120+L132/L21)*L19</f>
        <v>7.1589697919586344E-6</v>
      </c>
      <c r="L113" s="193">
        <f t="shared" ca="1" si="8"/>
        <v>7.1589697919586344E-6</v>
      </c>
      <c r="M113" s="38" t="s">
        <v>1515</v>
      </c>
      <c r="N113" s="305"/>
      <c r="O113" s="42"/>
    </row>
    <row r="114" spans="1:15" ht="12.75" customHeight="1" x14ac:dyDescent="0.3">
      <c r="A114" s="42" t="s">
        <v>63</v>
      </c>
      <c r="B114" s="38"/>
      <c r="C114" s="38"/>
      <c r="D114" s="38"/>
      <c r="E114" s="38"/>
      <c r="F114" s="38"/>
      <c r="G114" s="42" t="s">
        <v>294</v>
      </c>
      <c r="H114" s="42" t="s">
        <v>1579</v>
      </c>
      <c r="I114" s="254"/>
      <c r="J114" s="192" t="str">
        <f t="shared" si="7"/>
        <v/>
      </c>
      <c r="K114" s="303">
        <f ca="1">L133/L22</f>
        <v>3.98089281641639E-25</v>
      </c>
      <c r="L114" s="193">
        <f ca="1">IF(ISBLANK(I114),IF(ISNUMBER(J114)=FALSE,K114,J114),I114)</f>
        <v>3.98089281641639E-25</v>
      </c>
      <c r="M114" s="38" t="s">
        <v>1515</v>
      </c>
      <c r="N114" s="160"/>
      <c r="O114" s="42"/>
    </row>
    <row r="115" spans="1:15" ht="12.75" customHeight="1" x14ac:dyDescent="0.3">
      <c r="A115" s="42" t="s">
        <v>63</v>
      </c>
      <c r="B115" s="38"/>
      <c r="C115" s="38"/>
      <c r="D115" s="38"/>
      <c r="E115" s="38"/>
      <c r="F115" s="38"/>
      <c r="G115" s="42" t="s">
        <v>227</v>
      </c>
      <c r="H115" s="42" t="s">
        <v>1579</v>
      </c>
      <c r="I115" s="254"/>
      <c r="J115" s="192" t="str">
        <f t="shared" si="7"/>
        <v/>
      </c>
      <c r="K115" s="303">
        <f ca="1">L134/L23</f>
        <v>1.6848285883455214E-23</v>
      </c>
      <c r="L115" s="193">
        <f t="shared" ca="1" si="8"/>
        <v>1.6848285883455214E-23</v>
      </c>
      <c r="M115" s="38" t="s">
        <v>1515</v>
      </c>
      <c r="N115" s="160"/>
      <c r="O115" s="42"/>
    </row>
    <row r="116" spans="1:15" ht="12.75" customHeight="1" x14ac:dyDescent="0.3">
      <c r="A116" s="42" t="s">
        <v>64</v>
      </c>
      <c r="B116" s="38"/>
      <c r="C116" s="38"/>
      <c r="D116" s="38"/>
      <c r="E116" s="38"/>
      <c r="F116" s="38"/>
      <c r="G116" s="42" t="s">
        <v>228</v>
      </c>
      <c r="H116" s="42" t="s">
        <v>1579</v>
      </c>
      <c r="I116" s="254"/>
      <c r="J116" s="192" t="str">
        <f t="shared" si="7"/>
        <v/>
      </c>
      <c r="K116" s="303">
        <f ca="1">L135/L24</f>
        <v>3.8665304665587252E-24</v>
      </c>
      <c r="L116" s="193">
        <f t="shared" ca="1" si="8"/>
        <v>3.8665304665587252E-24</v>
      </c>
      <c r="M116" s="38" t="s">
        <v>1515</v>
      </c>
      <c r="N116" s="305"/>
      <c r="O116" s="42"/>
    </row>
    <row r="117" spans="1:15" ht="12.75" customHeight="1" x14ac:dyDescent="0.3">
      <c r="A117" s="42" t="s">
        <v>65</v>
      </c>
      <c r="B117" s="38"/>
      <c r="C117" s="38"/>
      <c r="D117" s="38"/>
      <c r="E117" s="38"/>
      <c r="F117" s="38"/>
      <c r="G117" s="42" t="s">
        <v>229</v>
      </c>
      <c r="H117" s="42" t="s">
        <v>1579</v>
      </c>
      <c r="I117" s="254"/>
      <c r="J117" s="192" t="str">
        <f t="shared" si="7"/>
        <v/>
      </c>
      <c r="K117" s="303">
        <f ca="1">L138/L27</f>
        <v>1.6916581188164461E-25</v>
      </c>
      <c r="L117" s="193">
        <f t="shared" ca="1" si="8"/>
        <v>1.6916581188164461E-25</v>
      </c>
      <c r="M117" s="38" t="s">
        <v>1515</v>
      </c>
      <c r="N117" s="305"/>
      <c r="O117" s="42"/>
    </row>
    <row r="118" spans="1:15" ht="12.75" customHeight="1" x14ac:dyDescent="0.3">
      <c r="A118" s="42" t="s">
        <v>66</v>
      </c>
      <c r="B118" s="38"/>
      <c r="C118" s="38"/>
      <c r="D118" s="38"/>
      <c r="E118" s="38"/>
      <c r="F118" s="38"/>
      <c r="G118" s="42" t="s">
        <v>230</v>
      </c>
      <c r="H118" s="42" t="s">
        <v>1579</v>
      </c>
      <c r="I118" s="254"/>
      <c r="J118" s="192" t="str">
        <f t="shared" si="7"/>
        <v/>
      </c>
      <c r="K118" s="303">
        <f ca="1">L139/L28</f>
        <v>9.7626818962264233E-26</v>
      </c>
      <c r="L118" s="193">
        <f t="shared" ca="1" si="8"/>
        <v>9.7626818962264233E-26</v>
      </c>
      <c r="M118" s="38" t="s">
        <v>1515</v>
      </c>
      <c r="N118" s="305"/>
      <c r="O118" s="42"/>
    </row>
    <row r="119" spans="1:15" ht="12.75" customHeight="1" x14ac:dyDescent="0.3">
      <c r="A119" s="42" t="s">
        <v>67</v>
      </c>
      <c r="B119" s="38"/>
      <c r="C119" s="38"/>
      <c r="D119" s="38"/>
      <c r="E119" s="38"/>
      <c r="F119" s="38"/>
      <c r="G119" s="42" t="s">
        <v>231</v>
      </c>
      <c r="H119" s="42" t="s">
        <v>1579</v>
      </c>
      <c r="I119" s="254"/>
      <c r="J119" s="192" t="str">
        <f t="shared" si="7"/>
        <v/>
      </c>
      <c r="K119" s="303">
        <f ca="1">L140/L29</f>
        <v>4.8842715532881497E-26</v>
      </c>
      <c r="L119" s="193">
        <f t="shared" ca="1" si="8"/>
        <v>4.8842715532881497E-26</v>
      </c>
      <c r="M119" s="38" t="s">
        <v>1515</v>
      </c>
      <c r="N119" s="305"/>
      <c r="O119" s="42"/>
    </row>
    <row r="120" spans="1:15" ht="12.75" customHeight="1" x14ac:dyDescent="0.3">
      <c r="A120" s="42"/>
      <c r="B120" s="42" t="s">
        <v>1954</v>
      </c>
      <c r="C120" s="38"/>
      <c r="D120" s="38"/>
      <c r="E120" s="38"/>
      <c r="F120" s="38"/>
      <c r="G120" s="43" t="s">
        <v>1871</v>
      </c>
      <c r="H120" s="42" t="s">
        <v>1801</v>
      </c>
      <c r="I120" s="254"/>
      <c r="J120" s="192" t="str">
        <f t="shared" si="7"/>
        <v/>
      </c>
      <c r="K120" s="304">
        <f ca="1">L121-SUM((L131*(L15+L16+L20)+L132*(L17+L18+L19))/L21,L196,L44)</f>
        <v>1.2343051364992365E-5</v>
      </c>
      <c r="L120" s="193">
        <f t="shared" ca="1" si="8"/>
        <v>1.2343051364992365E-5</v>
      </c>
      <c r="M120" s="38" t="s">
        <v>1515</v>
      </c>
      <c r="N120" s="42"/>
      <c r="O120" s="42"/>
    </row>
    <row r="121" spans="1:15" ht="12.75" customHeight="1" x14ac:dyDescent="0.3">
      <c r="A121" s="42"/>
      <c r="B121" s="42"/>
      <c r="C121" s="38" t="s">
        <v>1955</v>
      </c>
      <c r="D121" s="38"/>
      <c r="E121" s="38"/>
      <c r="F121" s="38"/>
      <c r="G121" s="43" t="s">
        <v>1870</v>
      </c>
      <c r="H121" s="42" t="s">
        <v>1801</v>
      </c>
      <c r="I121" s="254"/>
      <c r="J121" s="192" t="str">
        <f t="shared" si="7"/>
        <v/>
      </c>
      <c r="K121" s="196">
        <f ca="1">((1/L122)*L124/(L124+L125)+(1/L123)*L125/(L124+L125)-((1/L123-1/L122)^2/(L124+L125))*(1-EXP(-L122*L124))*(1-EXP(-L123*L125))/(1-EXP(-L122*L124-L123*L125)))^-1</f>
        <v>1.1496436147523158E-4</v>
      </c>
      <c r="L121" s="193">
        <f t="shared" ca="1" si="8"/>
        <v>1.1496436147523158E-4</v>
      </c>
      <c r="M121" s="38" t="s">
        <v>1515</v>
      </c>
      <c r="N121" s="42"/>
      <c r="O121" s="42"/>
    </row>
    <row r="122" spans="1:15" ht="12.75" customHeight="1" x14ac:dyDescent="0.3">
      <c r="A122" s="42"/>
      <c r="B122" s="42"/>
      <c r="C122" s="42"/>
      <c r="D122" s="42" t="s">
        <v>1956</v>
      </c>
      <c r="E122" s="38"/>
      <c r="F122" s="38"/>
      <c r="G122" s="43" t="s">
        <v>888</v>
      </c>
      <c r="H122" s="42" t="s">
        <v>1801</v>
      </c>
      <c r="I122" s="254"/>
      <c r="J122" s="192" t="str">
        <f t="shared" si="7"/>
        <v/>
      </c>
      <c r="K122" s="304">
        <f ca="1">L126/L21  + SUM((L131*(L15+L16+L20)+L132*(L17+L18+L19))/L21,L196,L44)</f>
        <v>1.0443737700916316E-4</v>
      </c>
      <c r="L122" s="193">
        <f t="shared" ca="1" si="8"/>
        <v>1.0443737700916316E-4</v>
      </c>
      <c r="M122" s="38" t="s">
        <v>1515</v>
      </c>
      <c r="N122" s="42"/>
      <c r="O122" s="42"/>
    </row>
    <row r="123" spans="1:15" ht="12.75" customHeight="1" x14ac:dyDescent="0.3">
      <c r="A123" s="42"/>
      <c r="B123" s="42"/>
      <c r="C123" s="42"/>
      <c r="D123" s="42" t="s">
        <v>1957</v>
      </c>
      <c r="E123" s="38"/>
      <c r="F123" s="38"/>
      <c r="G123" s="43" t="s">
        <v>889</v>
      </c>
      <c r="H123" s="42" t="s">
        <v>1801</v>
      </c>
      <c r="I123" s="254"/>
      <c r="J123" s="192" t="str">
        <f t="shared" si="7"/>
        <v/>
      </c>
      <c r="K123" s="304">
        <f ca="1">(L127+L128)/L21 + SUM((L131*(L15+L16+L20)+L132*(L17+L18+L19))/L21,L196,L44)</f>
        <v>30.578444978046164</v>
      </c>
      <c r="L123" s="193">
        <f t="shared" ca="1" si="8"/>
        <v>30.578444978046164</v>
      </c>
      <c r="M123" s="38" t="s">
        <v>1515</v>
      </c>
      <c r="N123" s="42"/>
      <c r="O123" s="42"/>
    </row>
    <row r="124" spans="1:15" ht="12.75" customHeight="1" x14ac:dyDescent="0.3">
      <c r="A124" s="42"/>
      <c r="B124" s="42"/>
      <c r="C124" s="42"/>
      <c r="D124" s="38" t="s">
        <v>890</v>
      </c>
      <c r="E124" s="38"/>
      <c r="F124" s="38"/>
      <c r="G124" s="38" t="s">
        <v>891</v>
      </c>
      <c r="H124" s="38" t="s">
        <v>1779</v>
      </c>
      <c r="I124" s="254"/>
      <c r="J124" s="192" t="str">
        <f t="shared" si="7"/>
        <v/>
      </c>
      <c r="K124" s="174">
        <f>3.3*24</f>
        <v>79.199999999999989</v>
      </c>
      <c r="L124" s="193">
        <f>IF(ISBLANK(I124),IF(ISNUMBER(J124)=FALSE,K124*3600,J124*3600),I124*3600)</f>
        <v>285119.99999999994</v>
      </c>
      <c r="M124" s="38" t="s">
        <v>107</v>
      </c>
      <c r="N124" s="42"/>
      <c r="O124" s="42"/>
    </row>
    <row r="125" spans="1:15" ht="12.75" customHeight="1" x14ac:dyDescent="0.3">
      <c r="A125" s="42"/>
      <c r="B125" s="42"/>
      <c r="C125" s="42"/>
      <c r="D125" s="38" t="s">
        <v>892</v>
      </c>
      <c r="E125" s="38"/>
      <c r="F125" s="38"/>
      <c r="G125" s="38" t="s">
        <v>893</v>
      </c>
      <c r="H125" s="38" t="s">
        <v>1779</v>
      </c>
      <c r="I125" s="254"/>
      <c r="J125" s="192" t="str">
        <f t="shared" si="7"/>
        <v/>
      </c>
      <c r="K125" s="174">
        <f>3.3*24*(0.06/(1-0.06))</f>
        <v>5.0553191489361691</v>
      </c>
      <c r="L125" s="193">
        <f>IF(ISBLANK(I125),IF(ISNUMBER(J125)=FALSE,K125*3600,J125*3600),I125*3600)</f>
        <v>18199.148936170208</v>
      </c>
      <c r="M125" s="38" t="s">
        <v>107</v>
      </c>
      <c r="N125" s="42"/>
      <c r="O125" s="42"/>
    </row>
    <row r="126" spans="1:15" ht="12.75" customHeight="1" x14ac:dyDescent="0.3">
      <c r="A126" s="42"/>
      <c r="B126" s="42"/>
      <c r="C126" s="42" t="s">
        <v>484</v>
      </c>
      <c r="D126" s="38"/>
      <c r="E126" s="38"/>
      <c r="F126" s="38"/>
      <c r="G126" s="63" t="s">
        <v>112</v>
      </c>
      <c r="H126" s="64" t="s">
        <v>1802</v>
      </c>
      <c r="I126" s="254"/>
      <c r="J126" s="192" t="str">
        <f t="shared" si="7"/>
        <v/>
      </c>
      <c r="K126" s="196">
        <f ca="1">L129*(L61+L62)</f>
        <v>9.872248977750111E-4</v>
      </c>
      <c r="L126" s="193">
        <f t="shared" ca="1" si="8"/>
        <v>9.872248977750111E-4</v>
      </c>
      <c r="M126" s="38" t="s">
        <v>1517</v>
      </c>
      <c r="N126" s="42"/>
      <c r="O126" s="42"/>
    </row>
    <row r="127" spans="1:15" ht="12.75" customHeight="1" x14ac:dyDescent="0.3">
      <c r="A127" s="42"/>
      <c r="B127" s="42"/>
      <c r="C127" s="42" t="s">
        <v>739</v>
      </c>
      <c r="D127" s="38"/>
      <c r="E127" s="38"/>
      <c r="F127" s="38"/>
      <c r="G127" s="43" t="s">
        <v>580</v>
      </c>
      <c r="H127" s="64" t="s">
        <v>1589</v>
      </c>
      <c r="I127" s="254"/>
      <c r="J127" s="192" t="str">
        <f t="shared" si="7"/>
        <v/>
      </c>
      <c r="K127" s="196">
        <f ca="1">L62*(L124+L125)/L125*L130*RAINrate.R</f>
        <v>1.2898546873743652E-2</v>
      </c>
      <c r="L127" s="193">
        <f t="shared" ca="1" si="8"/>
        <v>1.2898546873743652E-2</v>
      </c>
      <c r="M127" s="38" t="s">
        <v>1517</v>
      </c>
      <c r="N127" s="42"/>
      <c r="O127" s="42"/>
    </row>
    <row r="128" spans="1:15" ht="12.75" customHeight="1" x14ac:dyDescent="0.3">
      <c r="A128" s="42"/>
      <c r="B128" s="42"/>
      <c r="C128" s="42" t="s">
        <v>740</v>
      </c>
      <c r="D128" s="38"/>
      <c r="E128" s="38"/>
      <c r="F128" s="38"/>
      <c r="G128" s="43" t="s">
        <v>581</v>
      </c>
      <c r="H128" s="64" t="s">
        <v>1589</v>
      </c>
      <c r="I128" s="254"/>
      <c r="J128" s="192" t="str">
        <f t="shared" si="7"/>
        <v/>
      </c>
      <c r="K128" s="196">
        <f ca="1">L60*(L124+L125)/L125*RAINrate.R/(L63*FRorig.aerw)</f>
        <v>16622.558067943832</v>
      </c>
      <c r="L128" s="193">
        <f t="shared" ca="1" si="8"/>
        <v>16622.558067943832</v>
      </c>
      <c r="M128" s="38" t="s">
        <v>1517</v>
      </c>
      <c r="N128" s="42"/>
      <c r="O128" s="42"/>
    </row>
    <row r="129" spans="1:15" ht="12.75" customHeight="1" x14ac:dyDescent="0.3">
      <c r="A129" s="42"/>
      <c r="B129" s="42"/>
      <c r="C129" s="38"/>
      <c r="D129" s="64" t="s">
        <v>741</v>
      </c>
      <c r="E129" s="64"/>
      <c r="F129" s="64"/>
      <c r="G129" s="63" t="s">
        <v>113</v>
      </c>
      <c r="H129" s="64" t="s">
        <v>1589</v>
      </c>
      <c r="I129" s="254" cm="1">
        <f t="array" aca="1" ref="I129" ca="1">_xll.RiskLognorm(0.001,0.001,_xll.RiskName(G129))</f>
        <v>9.8722489800732484E-4</v>
      </c>
      <c r="J129" s="192" t="str">
        <f t="shared" si="7"/>
        <v/>
      </c>
      <c r="K129" s="196">
        <v>1E-3</v>
      </c>
      <c r="L129" s="193">
        <f t="shared" ca="1" si="8"/>
        <v>9.8722489800732484E-4</v>
      </c>
      <c r="M129" s="38" t="s">
        <v>1517</v>
      </c>
      <c r="N129" s="42"/>
      <c r="O129" s="42"/>
    </row>
    <row r="130" spans="1:15" ht="12.75" customHeight="1" x14ac:dyDescent="0.3">
      <c r="A130" s="42"/>
      <c r="B130" s="42"/>
      <c r="C130" s="38"/>
      <c r="D130" s="42" t="s">
        <v>440</v>
      </c>
      <c r="E130" s="38"/>
      <c r="F130" s="38"/>
      <c r="G130" s="63" t="s">
        <v>115</v>
      </c>
      <c r="H130" s="42" t="s">
        <v>28</v>
      </c>
      <c r="I130" s="254" cm="1">
        <f t="array" aca="1" ref="I130" ca="1">_xll.RiskTriang(5000,20000,35000,_xll.RiskName(G130))</f>
        <v>27683.163704930834</v>
      </c>
      <c r="J130" s="192" t="str">
        <f t="shared" si="7"/>
        <v/>
      </c>
      <c r="K130" s="196">
        <v>200000</v>
      </c>
      <c r="L130" s="193">
        <f t="shared" ca="1" si="8"/>
        <v>27683.163704930834</v>
      </c>
      <c r="M130" s="42" t="s">
        <v>477</v>
      </c>
      <c r="N130" s="42"/>
      <c r="O130" s="42"/>
    </row>
    <row r="131" spans="1:15" ht="12.75" customHeight="1" x14ac:dyDescent="0.3">
      <c r="A131" s="42"/>
      <c r="B131" s="42" t="s">
        <v>1825</v>
      </c>
      <c r="C131" s="38"/>
      <c r="D131" s="38"/>
      <c r="E131" s="64"/>
      <c r="F131" s="64"/>
      <c r="G131" s="43" t="s">
        <v>1827</v>
      </c>
      <c r="H131" s="42" t="s">
        <v>1817</v>
      </c>
      <c r="I131" s="254"/>
      <c r="J131" s="192" t="str">
        <f t="shared" si="7"/>
        <v/>
      </c>
      <c r="K131" s="304">
        <f ca="1">L60*(L136*L137/(L136*(L63*FRorig.w1)+L137))</f>
        <v>8.315638688413189E-13</v>
      </c>
      <c r="L131" s="193">
        <f ca="1">IF(ISBLANK(I131),IF(ISNUMBER(J131)=FALSE,K131,J131),I131)</f>
        <v>8.315638688413189E-13</v>
      </c>
      <c r="M131" s="42" t="s">
        <v>1818</v>
      </c>
      <c r="N131" s="42"/>
      <c r="O131" s="42"/>
    </row>
    <row r="132" spans="1:15" ht="12.75" customHeight="1" x14ac:dyDescent="0.3">
      <c r="A132" s="42"/>
      <c r="B132" s="42" t="s">
        <v>1826</v>
      </c>
      <c r="C132" s="38"/>
      <c r="D132" s="38"/>
      <c r="E132" s="64"/>
      <c r="F132" s="64"/>
      <c r="G132" s="43" t="s">
        <v>1831</v>
      </c>
      <c r="H132" s="42" t="s">
        <v>1817</v>
      </c>
      <c r="I132" s="255"/>
      <c r="J132" s="192" t="str">
        <f t="shared" si="7"/>
        <v/>
      </c>
      <c r="K132" s="304">
        <f ca="1">L60*(L141*L142)/(L141*((L63*FRorig.s1w)/L90)+L142)</f>
        <v>2.4655694858320129E-13</v>
      </c>
      <c r="L132" s="193">
        <f ca="1">IF(ISBLANK(I132),IF(ISNUMBER(J132)=FALSE,K132,J132),I132)</f>
        <v>2.4655694858320129E-13</v>
      </c>
      <c r="M132" s="42" t="s">
        <v>1818</v>
      </c>
      <c r="N132" s="42"/>
      <c r="O132" s="42"/>
    </row>
    <row r="133" spans="1:15" ht="12.75" customHeight="1" x14ac:dyDescent="0.3">
      <c r="A133" s="42"/>
      <c r="B133" s="42" t="s">
        <v>1819</v>
      </c>
      <c r="C133" s="38"/>
      <c r="D133" s="38"/>
      <c r="E133" s="64"/>
      <c r="F133" s="64"/>
      <c r="G133" s="43" t="s">
        <v>1828</v>
      </c>
      <c r="H133" s="42" t="s">
        <v>1817</v>
      </c>
      <c r="I133" s="255"/>
      <c r="J133" s="192" t="str">
        <f t="shared" si="7"/>
        <v/>
      </c>
      <c r="K133" s="304">
        <f ca="1">(L136*L137/(L136*(L63*FRorig.w1)+L137))*(L63*FRorig.w1)*L66</f>
        <v>3.9808928164163902E-23</v>
      </c>
      <c r="L133" s="193">
        <f ca="1">IF(ISBLANK(I133),IF(ISNUMBER(J133)=FALSE,K133,J133),I133)</f>
        <v>3.9808928164163902E-23</v>
      </c>
      <c r="M133" s="42" t="s">
        <v>1818</v>
      </c>
      <c r="N133" s="42"/>
      <c r="O133" s="42"/>
    </row>
    <row r="134" spans="1:15" ht="12.75" customHeight="1" x14ac:dyDescent="0.3">
      <c r="A134" s="42"/>
      <c r="B134" s="42" t="s">
        <v>1820</v>
      </c>
      <c r="C134" s="38"/>
      <c r="D134" s="38"/>
      <c r="E134" s="64"/>
      <c r="F134" s="64"/>
      <c r="G134" s="43" t="s">
        <v>1829</v>
      </c>
      <c r="H134" s="42" t="s">
        <v>1817</v>
      </c>
      <c r="I134" s="255"/>
      <c r="J134" s="192" t="str">
        <f t="shared" si="7"/>
        <v/>
      </c>
      <c r="K134" s="304">
        <f ca="1">(L136*L137/(L136*(L63*FRorig.w1)+L137))*(L63*FRorig.w1)*L72</f>
        <v>3.7344439025231703E-23</v>
      </c>
      <c r="L134" s="193">
        <f ca="1">IF(ISBLANK(I134),IF(ISNUMBER(J134)=FALSE,K134,J134),I134)</f>
        <v>3.7344439025231703E-23</v>
      </c>
      <c r="M134" s="42" t="s">
        <v>1818</v>
      </c>
      <c r="N134" s="42"/>
      <c r="O134" s="42"/>
    </row>
    <row r="135" spans="1:15" ht="12.75" customHeight="1" x14ac:dyDescent="0.3">
      <c r="A135" s="42"/>
      <c r="B135" s="42" t="s">
        <v>1821</v>
      </c>
      <c r="C135" s="38"/>
      <c r="D135" s="38"/>
      <c r="E135" s="38"/>
      <c r="F135" s="38"/>
      <c r="G135" s="43" t="s">
        <v>1830</v>
      </c>
      <c r="H135" s="42" t="s">
        <v>1817</v>
      </c>
      <c r="I135" s="255"/>
      <c r="J135" s="192" t="str">
        <f t="shared" si="7"/>
        <v/>
      </c>
      <c r="K135" s="304">
        <f ca="1">(L136*L137/(L136*(L63*FRorig.w2)+L137))*(L63*FRorig.w2)*L78</f>
        <v>3.8665304665587249E-23</v>
      </c>
      <c r="L135" s="193">
        <f t="shared" ca="1" si="8"/>
        <v>3.8665304665587249E-23</v>
      </c>
      <c r="M135" s="42" t="s">
        <v>1818</v>
      </c>
      <c r="N135" s="42"/>
      <c r="O135" s="42"/>
    </row>
    <row r="136" spans="1:15" ht="12.75" customHeight="1" x14ac:dyDescent="0.3">
      <c r="A136" s="42"/>
      <c r="B136" s="42"/>
      <c r="C136" s="38" t="s">
        <v>1070</v>
      </c>
      <c r="D136" s="38"/>
      <c r="E136" s="64"/>
      <c r="F136" s="64"/>
      <c r="G136" s="38" t="s">
        <v>1960</v>
      </c>
      <c r="H136" s="64" t="s">
        <v>1589</v>
      </c>
      <c r="I136" s="255"/>
      <c r="J136" s="192" t="str">
        <f t="shared" si="7"/>
        <v/>
      </c>
      <c r="K136" s="196">
        <f ca="1">0.01*(0.3+0.2*WINDspeed.R)*((0.018/Molweight)^(0.67*0.5))</f>
        <v>3.5337579436703149E-3</v>
      </c>
      <c r="L136" s="193">
        <f t="shared" ca="1" si="8"/>
        <v>3.5337579436703149E-3</v>
      </c>
      <c r="M136" s="38" t="s">
        <v>1517</v>
      </c>
      <c r="N136" s="42"/>
      <c r="O136" s="42"/>
    </row>
    <row r="137" spans="1:15" ht="12.75" customHeight="1" x14ac:dyDescent="0.3">
      <c r="A137" s="42"/>
      <c r="B137" s="42"/>
      <c r="C137" s="38" t="s">
        <v>1009</v>
      </c>
      <c r="D137" s="38"/>
      <c r="E137" s="64"/>
      <c r="F137" s="64"/>
      <c r="G137" s="38" t="s">
        <v>1961</v>
      </c>
      <c r="H137" s="64" t="s">
        <v>1589</v>
      </c>
      <c r="I137" s="255"/>
      <c r="J137" s="192" t="str">
        <f t="shared" si="7"/>
        <v/>
      </c>
      <c r="K137" s="196">
        <f ca="1">0.01*(0.0004+0.00004*WINDspeed.R^2)*((0.032/Molweight)^(0.5*0.5))</f>
        <v>3.8220847460245637E-6</v>
      </c>
      <c r="L137" s="193">
        <f t="shared" ca="1" si="8"/>
        <v>3.8220847460245637E-6</v>
      </c>
      <c r="M137" s="38" t="s">
        <v>1517</v>
      </c>
      <c r="N137" s="42"/>
      <c r="O137" s="42"/>
    </row>
    <row r="138" spans="1:15" ht="12.75" customHeight="1" x14ac:dyDescent="0.3">
      <c r="A138" s="42"/>
      <c r="B138" s="42" t="s">
        <v>1822</v>
      </c>
      <c r="C138" s="38"/>
      <c r="D138" s="38"/>
      <c r="E138" s="64"/>
      <c r="F138" s="64"/>
      <c r="G138" s="43" t="s">
        <v>1832</v>
      </c>
      <c r="H138" s="42" t="s">
        <v>1817</v>
      </c>
      <c r="I138" s="255"/>
      <c r="J138" s="192" t="str">
        <f t="shared" si="7"/>
        <v/>
      </c>
      <c r="K138" s="304">
        <f ca="1">(L141*L142)/(L141+L142/((L63*FRorig.s1w)/L90))*L143</f>
        <v>8.4582905940822304E-27</v>
      </c>
      <c r="L138" s="193">
        <f t="shared" ref="L138:L145" ca="1" si="9">IF(ISBLANK(I138),IF(ISNUMBER(J138)=FALSE,K138,J138),I138)</f>
        <v>8.4582905940822304E-27</v>
      </c>
      <c r="M138" s="42" t="s">
        <v>1818</v>
      </c>
      <c r="N138" s="42"/>
      <c r="O138" s="42"/>
    </row>
    <row r="139" spans="1:15" ht="12.75" customHeight="1" x14ac:dyDescent="0.3">
      <c r="A139" s="42"/>
      <c r="B139" s="42" t="s">
        <v>1823</v>
      </c>
      <c r="C139" s="38"/>
      <c r="D139" s="38"/>
      <c r="E139" s="64"/>
      <c r="F139" s="64"/>
      <c r="G139" s="43" t="s">
        <v>1833</v>
      </c>
      <c r="H139" s="42" t="s">
        <v>1817</v>
      </c>
      <c r="I139" s="255"/>
      <c r="J139" s="192" t="str">
        <f t="shared" si="7"/>
        <v/>
      </c>
      <c r="K139" s="304">
        <f ca="1">(L141*L142)/(L141+L142/((L63*FRorig.s2w)/L95))*L144</f>
        <v>1.9525363792452847E-26</v>
      </c>
      <c r="L139" s="193">
        <f t="shared" ca="1" si="9"/>
        <v>1.9525363792452847E-26</v>
      </c>
      <c r="M139" s="42" t="s">
        <v>1818</v>
      </c>
      <c r="N139" s="42"/>
      <c r="O139" s="42"/>
    </row>
    <row r="140" spans="1:15" ht="12.75" customHeight="1" x14ac:dyDescent="0.3">
      <c r="A140" s="42"/>
      <c r="B140" s="42" t="s">
        <v>1824</v>
      </c>
      <c r="C140" s="38"/>
      <c r="D140" s="38"/>
      <c r="E140" s="64"/>
      <c r="F140" s="64"/>
      <c r="G140" s="43" t="s">
        <v>1834</v>
      </c>
      <c r="H140" s="42" t="s">
        <v>1817</v>
      </c>
      <c r="I140" s="255"/>
      <c r="J140" s="192" t="str">
        <f t="shared" si="7"/>
        <v/>
      </c>
      <c r="K140" s="304">
        <f ca="1">(L141*L142)/(L141+L142/((L63*FRorig.s3w)/L100))*L145</f>
        <v>2.4421357766440749E-27</v>
      </c>
      <c r="L140" s="193">
        <f t="shared" ca="1" si="9"/>
        <v>2.4421357766440749E-27</v>
      </c>
      <c r="M140" s="42" t="s">
        <v>1818</v>
      </c>
      <c r="N140" s="42"/>
      <c r="O140" s="42"/>
    </row>
    <row r="141" spans="1:15" ht="12.75" customHeight="1" x14ac:dyDescent="0.3">
      <c r="A141" s="42"/>
      <c r="B141" s="42"/>
      <c r="C141" s="38" t="s">
        <v>1010</v>
      </c>
      <c r="D141" s="38"/>
      <c r="E141" s="38"/>
      <c r="F141" s="64"/>
      <c r="G141" s="38" t="s">
        <v>1962</v>
      </c>
      <c r="H141" s="64" t="s">
        <v>1589</v>
      </c>
      <c r="I141" s="255"/>
      <c r="J141" s="192" t="str">
        <f t="shared" si="7"/>
        <v/>
      </c>
      <c r="K141" s="196">
        <f>0.43/(24*3600)/0.00475</f>
        <v>1.0477582846003899E-3</v>
      </c>
      <c r="L141" s="193">
        <f t="shared" si="9"/>
        <v>1.0477582846003899E-3</v>
      </c>
      <c r="M141" s="38" t="s">
        <v>1517</v>
      </c>
      <c r="N141" s="42"/>
      <c r="O141" s="42"/>
    </row>
    <row r="142" spans="1:15" ht="12.75" customHeight="1" x14ac:dyDescent="0.3">
      <c r="A142" s="42"/>
      <c r="B142" s="42"/>
      <c r="C142" s="38" t="s">
        <v>850</v>
      </c>
      <c r="D142" s="38"/>
      <c r="E142" s="64"/>
      <c r="F142" s="64"/>
      <c r="G142" s="38" t="s">
        <v>1963</v>
      </c>
      <c r="H142" s="64" t="s">
        <v>1589</v>
      </c>
      <c r="I142" s="255"/>
      <c r="J142" s="192" t="str">
        <f t="shared" si="7"/>
        <v/>
      </c>
      <c r="K142" s="196">
        <f ca="1">0.1*L208</f>
        <v>1.0825501797765104E-21</v>
      </c>
      <c r="L142" s="193">
        <f t="shared" ca="1" si="9"/>
        <v>1.0825501797765104E-21</v>
      </c>
      <c r="M142" s="38" t="s">
        <v>1517</v>
      </c>
      <c r="N142" s="42" t="s">
        <v>1410</v>
      </c>
      <c r="O142" s="42"/>
    </row>
    <row r="143" spans="1:15" ht="12.75" customHeight="1" x14ac:dyDescent="0.3">
      <c r="A143" s="42"/>
      <c r="B143" s="42"/>
      <c r="C143" s="38" t="s">
        <v>1835</v>
      </c>
      <c r="D143" s="38"/>
      <c r="E143" s="64"/>
      <c r="F143" s="64"/>
      <c r="G143" s="43" t="s">
        <v>1491</v>
      </c>
      <c r="H143" s="38" t="s">
        <v>28</v>
      </c>
      <c r="I143" s="253"/>
      <c r="J143" s="192" t="str">
        <f t="shared" si="7"/>
        <v/>
      </c>
      <c r="K143" s="196">
        <f>(EXP((-1/0.1)*0)*(1/0.1)*L27/(1-EXP((-1/0.1)*L27)))</f>
        <v>1.2707470412683992</v>
      </c>
      <c r="L143" s="193">
        <f t="shared" si="9"/>
        <v>1.2707470412683992</v>
      </c>
      <c r="M143" s="38" t="s">
        <v>477</v>
      </c>
      <c r="N143" s="42"/>
      <c r="O143" s="42"/>
    </row>
    <row r="144" spans="1:15" ht="12.75" customHeight="1" x14ac:dyDescent="0.3">
      <c r="A144" s="42"/>
      <c r="B144" s="42"/>
      <c r="C144" s="38" t="s">
        <v>1835</v>
      </c>
      <c r="D144" s="38"/>
      <c r="E144" s="64"/>
      <c r="F144" s="64"/>
      <c r="G144" s="43" t="s">
        <v>1492</v>
      </c>
      <c r="H144" s="38" t="s">
        <v>28</v>
      </c>
      <c r="I144" s="253"/>
      <c r="J144" s="192" t="str">
        <f t="shared" si="7"/>
        <v/>
      </c>
      <c r="K144" s="196">
        <f>(EXP((-1/0.1)*0)*(1/0.1)*L28/(1-EXP((-1/0.1)*L28)))</f>
        <v>2.3130352854993315</v>
      </c>
      <c r="L144" s="193">
        <f t="shared" si="9"/>
        <v>2.3130352854993315</v>
      </c>
      <c r="M144" s="38" t="s">
        <v>477</v>
      </c>
      <c r="N144" s="42"/>
      <c r="O144" s="42"/>
    </row>
    <row r="145" spans="1:16" ht="12.75" customHeight="1" x14ac:dyDescent="0.3">
      <c r="A145" s="42"/>
      <c r="B145" s="42"/>
      <c r="C145" s="38" t="s">
        <v>1835</v>
      </c>
      <c r="D145" s="38"/>
      <c r="E145" s="64"/>
      <c r="F145" s="64"/>
      <c r="G145" s="43" t="s">
        <v>1493</v>
      </c>
      <c r="H145" s="38" t="s">
        <v>28</v>
      </c>
      <c r="I145" s="253"/>
      <c r="J145" s="192" t="str">
        <f t="shared" si="7"/>
        <v/>
      </c>
      <c r="K145" s="196">
        <f>(EXP((-1/0.1)*0)*(1/0.1)*L29/(1-EXP((-1/0.1)*L29)))</f>
        <v>1.2707470412683992</v>
      </c>
      <c r="L145" s="193">
        <f t="shared" si="9"/>
        <v>1.2707470412683992</v>
      </c>
      <c r="M145" s="38" t="s">
        <v>477</v>
      </c>
      <c r="N145" s="42"/>
      <c r="O145" s="42"/>
    </row>
    <row r="146" spans="1:16" ht="12.75" customHeight="1" x14ac:dyDescent="0.3">
      <c r="A146" s="42"/>
      <c r="B146" s="38"/>
      <c r="C146" s="38"/>
      <c r="D146" s="38"/>
      <c r="E146" s="38"/>
      <c r="F146" s="38"/>
      <c r="G146" s="63"/>
      <c r="H146" s="42"/>
      <c r="I146" s="162"/>
      <c r="J146" s="188"/>
      <c r="K146" s="175"/>
      <c r="L146" s="175"/>
      <c r="M146" s="38"/>
      <c r="N146" s="42"/>
      <c r="O146" s="42"/>
    </row>
    <row r="147" spans="1:16" ht="12.75" customHeight="1" x14ac:dyDescent="0.3">
      <c r="A147" s="42" t="s">
        <v>68</v>
      </c>
      <c r="B147" s="38"/>
      <c r="C147" s="38"/>
      <c r="D147" s="38"/>
      <c r="E147" s="38"/>
      <c r="F147" s="38"/>
      <c r="G147" s="677" t="s">
        <v>232</v>
      </c>
      <c r="H147" s="42" t="s">
        <v>1579</v>
      </c>
      <c r="I147" s="253"/>
      <c r="J147" s="192" t="str">
        <f t="shared" ref="J147:J169" si="10">IF(HLOOKUP(CaseName,CaseData,ROW()+158,FALSE)="","",HLOOKUP(CaseName,CaseData,ROW()+158,FALSE))</f>
        <v/>
      </c>
      <c r="K147" s="303">
        <f ca="1">(L151+L164)/L23</f>
        <v>6.7303927986910655E-7</v>
      </c>
      <c r="L147" s="193">
        <f t="shared" ref="L147:L169" ca="1" si="11">IF(ISBLANK(I147),IF(ISNUMBER(J147)=FALSE,K147,J147),I147)</f>
        <v>6.7303927986910655E-7</v>
      </c>
      <c r="M147" s="38" t="s">
        <v>1515</v>
      </c>
      <c r="N147" s="42"/>
      <c r="O147" s="42"/>
      <c r="P147">
        <v>1.5621419846199016E-8</v>
      </c>
    </row>
    <row r="148" spans="1:16" ht="12.75" customHeight="1" x14ac:dyDescent="0.3">
      <c r="A148" s="42" t="s">
        <v>69</v>
      </c>
      <c r="B148" s="38"/>
      <c r="C148" s="38"/>
      <c r="D148" s="38"/>
      <c r="E148" s="38"/>
      <c r="F148" s="38"/>
      <c r="G148" s="43" t="s">
        <v>234</v>
      </c>
      <c r="H148" s="42" t="s">
        <v>1579</v>
      </c>
      <c r="I148" s="253"/>
      <c r="J148" s="192" t="str">
        <f t="shared" si="10"/>
        <v/>
      </c>
      <c r="K148" s="303">
        <f ca="1">(L153+L166)/L24</f>
        <v>7.4061046835619786E-8</v>
      </c>
      <c r="L148" s="193">
        <f t="shared" ca="1" si="11"/>
        <v>7.4061046835619786E-8</v>
      </c>
      <c r="M148" s="38" t="s">
        <v>1515</v>
      </c>
      <c r="N148" s="42"/>
      <c r="O148" s="42"/>
      <c r="P148" s="36">
        <v>3.3956904496794072E-9</v>
      </c>
    </row>
    <row r="149" spans="1:16" ht="12.75" customHeight="1" x14ac:dyDescent="0.3">
      <c r="A149" s="42" t="s">
        <v>70</v>
      </c>
      <c r="B149" s="38"/>
      <c r="C149" s="38"/>
      <c r="D149" s="38"/>
      <c r="E149" s="38"/>
      <c r="F149" s="38"/>
      <c r="G149" s="677" t="s">
        <v>233</v>
      </c>
      <c r="H149" s="42" t="s">
        <v>1579</v>
      </c>
      <c r="I149" s="253"/>
      <c r="J149" s="192" t="str">
        <f t="shared" si="10"/>
        <v/>
      </c>
      <c r="K149" s="303">
        <f ca="1">(L152+L165)/L25</f>
        <v>9.2768699408128474E-9</v>
      </c>
      <c r="L149" s="193">
        <f t="shared" ca="1" si="11"/>
        <v>9.2768699408128474E-9</v>
      </c>
      <c r="M149" s="38" t="s">
        <v>1515</v>
      </c>
      <c r="N149" s="42"/>
      <c r="O149" s="42"/>
      <c r="P149" s="36">
        <v>1.0260196166101951E-7</v>
      </c>
    </row>
    <row r="150" spans="1:16" ht="12.75" customHeight="1" x14ac:dyDescent="0.3">
      <c r="A150" s="42" t="s">
        <v>71</v>
      </c>
      <c r="B150" s="38"/>
      <c r="C150" s="38"/>
      <c r="D150" s="38"/>
      <c r="E150" s="38"/>
      <c r="F150" s="38"/>
      <c r="G150" s="43" t="s">
        <v>235</v>
      </c>
      <c r="H150" s="42" t="s">
        <v>1579</v>
      </c>
      <c r="I150" s="253"/>
      <c r="J150" s="192" t="str">
        <f t="shared" si="10"/>
        <v/>
      </c>
      <c r="K150" s="303">
        <f ca="1">(L154+L167)/L26</f>
        <v>7.0973415695852301E-9</v>
      </c>
      <c r="L150" s="193">
        <f t="shared" ca="1" si="11"/>
        <v>7.0973415695852301E-9</v>
      </c>
      <c r="M150" s="38" t="s">
        <v>1515</v>
      </c>
      <c r="N150" s="42"/>
      <c r="O150" s="42"/>
      <c r="P150" s="36">
        <v>8.5292913219027113E-8</v>
      </c>
    </row>
    <row r="151" spans="1:16" ht="12.75" customHeight="1" x14ac:dyDescent="0.3">
      <c r="A151" s="42"/>
      <c r="B151" s="42" t="s">
        <v>1837</v>
      </c>
      <c r="C151" s="38"/>
      <c r="D151" s="38"/>
      <c r="E151" s="38"/>
      <c r="F151" s="38"/>
      <c r="G151" s="677" t="s">
        <v>1862</v>
      </c>
      <c r="H151" s="42" t="s">
        <v>1817</v>
      </c>
      <c r="I151" s="255"/>
      <c r="J151" s="192" t="str">
        <f t="shared" si="10"/>
        <v/>
      </c>
      <c r="K151" s="303">
        <f ca="1">(L155*L42*RHOsolid/L75)*((L73*L75/1000)*L72)</f>
        <v>1.4772402148392352E-6</v>
      </c>
      <c r="L151" s="193">
        <f t="shared" ca="1" si="11"/>
        <v>1.4772402148392352E-6</v>
      </c>
      <c r="M151" s="42" t="s">
        <v>1818</v>
      </c>
      <c r="N151" s="42"/>
      <c r="O151" s="42"/>
    </row>
    <row r="152" spans="1:16" ht="12.75" customHeight="1" x14ac:dyDescent="0.3">
      <c r="A152" s="42"/>
      <c r="B152" s="42" t="s">
        <v>1838</v>
      </c>
      <c r="C152" s="38"/>
      <c r="D152" s="38"/>
      <c r="E152" s="38"/>
      <c r="F152" s="38"/>
      <c r="G152" s="677" t="s">
        <v>1863</v>
      </c>
      <c r="H152" s="42" t="s">
        <v>1817</v>
      </c>
      <c r="I152" s="255"/>
      <c r="J152" s="192" t="str">
        <f t="shared" si="10"/>
        <v/>
      </c>
      <c r="K152" s="303">
        <f ca="1">L156</f>
        <v>6.5323057809444824E-10</v>
      </c>
      <c r="L152" s="193">
        <f t="shared" ca="1" si="11"/>
        <v>6.5323057809444824E-10</v>
      </c>
      <c r="M152" s="42" t="s">
        <v>1818</v>
      </c>
      <c r="N152" s="42"/>
      <c r="O152" s="42"/>
    </row>
    <row r="153" spans="1:16" ht="12.75" customHeight="1" x14ac:dyDescent="0.3">
      <c r="A153" s="42"/>
      <c r="B153" s="42" t="s">
        <v>1839</v>
      </c>
      <c r="C153" s="38"/>
      <c r="D153" s="38"/>
      <c r="E153" s="38"/>
      <c r="F153" s="38"/>
      <c r="G153" s="43" t="s">
        <v>1864</v>
      </c>
      <c r="H153" s="42" t="s">
        <v>1817</v>
      </c>
      <c r="I153" s="255"/>
      <c r="J153" s="192" t="str">
        <f t="shared" si="10"/>
        <v/>
      </c>
      <c r="K153" s="303">
        <f ca="1">(L157*L42*RHOsolid/L81)*((L79*L81/1000)*L78)</f>
        <v>7.2553561619387102E-7</v>
      </c>
      <c r="L153" s="193">
        <f t="shared" ca="1" si="11"/>
        <v>7.2553561619387102E-7</v>
      </c>
      <c r="M153" s="42" t="s">
        <v>1818</v>
      </c>
      <c r="N153" s="42"/>
      <c r="O153" s="42"/>
    </row>
    <row r="154" spans="1:16" ht="12.75" customHeight="1" x14ac:dyDescent="0.3">
      <c r="A154" s="42"/>
      <c r="B154" s="42" t="s">
        <v>1840</v>
      </c>
      <c r="C154" s="38"/>
      <c r="D154" s="38"/>
      <c r="E154" s="38"/>
      <c r="F154" s="38"/>
      <c r="G154" s="43" t="s">
        <v>1865</v>
      </c>
      <c r="H154" s="42" t="s">
        <v>1817</v>
      </c>
      <c r="I154" s="255"/>
      <c r="J154" s="192" t="str">
        <f t="shared" si="10"/>
        <v/>
      </c>
      <c r="K154" s="303">
        <f ca="1">L158</f>
        <v>2.0333556988819766E-10</v>
      </c>
      <c r="L154" s="193">
        <f t="shared" ca="1" si="11"/>
        <v>2.0333556988819766E-10</v>
      </c>
      <c r="M154" s="42" t="s">
        <v>1818</v>
      </c>
      <c r="N154" s="42"/>
      <c r="O154" s="42"/>
    </row>
    <row r="155" spans="1:16" ht="12.75" customHeight="1" x14ac:dyDescent="0.3">
      <c r="A155" s="42"/>
      <c r="B155" s="42"/>
      <c r="C155" s="42" t="s">
        <v>1223</v>
      </c>
      <c r="D155" s="38"/>
      <c r="E155" s="38"/>
      <c r="F155" s="38"/>
      <c r="G155" s="678" t="s">
        <v>499</v>
      </c>
      <c r="H155" s="64" t="s">
        <v>1589</v>
      </c>
      <c r="I155" s="255"/>
      <c r="J155" s="192" t="str">
        <f t="shared" si="10"/>
        <v/>
      </c>
      <c r="K155" s="174">
        <f ca="1">IF(L159*L75/(L42*RHOsolid)&gt;L160,L159*L75/(L42*RHOsolid),L160)</f>
        <v>7.4009162578597541E-10</v>
      </c>
      <c r="L155" s="193">
        <f t="shared" ca="1" si="11"/>
        <v>7.4009162578597541E-10</v>
      </c>
      <c r="M155" s="38" t="s">
        <v>1517</v>
      </c>
      <c r="N155" s="42"/>
      <c r="O155" s="42"/>
    </row>
    <row r="156" spans="1:16" ht="12.75" customHeight="1" x14ac:dyDescent="0.3">
      <c r="A156" s="42"/>
      <c r="B156" s="42"/>
      <c r="C156" s="64" t="s">
        <v>574</v>
      </c>
      <c r="D156" s="38"/>
      <c r="E156" s="38"/>
      <c r="F156" s="38"/>
      <c r="G156" s="678" t="s">
        <v>409</v>
      </c>
      <c r="H156" s="64" t="s">
        <v>1589</v>
      </c>
      <c r="I156" s="255"/>
      <c r="J156" s="192" t="str">
        <f t="shared" si="10"/>
        <v/>
      </c>
      <c r="K156" s="174">
        <f ca="1">L155-L160</f>
        <v>6.5323057809444824E-10</v>
      </c>
      <c r="L156" s="193">
        <f t="shared" ca="1" si="11"/>
        <v>6.5323057809444824E-10</v>
      </c>
      <c r="M156" s="38" t="s">
        <v>1517</v>
      </c>
      <c r="N156" s="42"/>
      <c r="O156" s="42"/>
    </row>
    <row r="157" spans="1:16" ht="12.75" customHeight="1" x14ac:dyDescent="0.3">
      <c r="A157" s="42"/>
      <c r="B157" s="42"/>
      <c r="C157" s="42" t="s">
        <v>1224</v>
      </c>
      <c r="D157" s="38"/>
      <c r="E157" s="64"/>
      <c r="F157" s="64"/>
      <c r="G157" s="63" t="s">
        <v>410</v>
      </c>
      <c r="H157" s="64" t="s">
        <v>1589</v>
      </c>
      <c r="I157" s="255"/>
      <c r="J157" s="192" t="str">
        <f t="shared" si="10"/>
        <v/>
      </c>
      <c r="K157" s="174">
        <f ca="1">IF(L159*L81/(L42*RHOsolid)&gt;L161,L159*L81/(L42*RHOsolid),L161)</f>
        <v>2.3076436713579277E-10</v>
      </c>
      <c r="L157" s="193">
        <f t="shared" ca="1" si="11"/>
        <v>2.3076436713579277E-10</v>
      </c>
      <c r="M157" s="38" t="s">
        <v>1517</v>
      </c>
      <c r="N157" s="42"/>
      <c r="O157" s="42"/>
    </row>
    <row r="158" spans="1:16" ht="12.75" customHeight="1" x14ac:dyDescent="0.3">
      <c r="A158" s="42"/>
      <c r="B158" s="42"/>
      <c r="C158" s="64" t="s">
        <v>575</v>
      </c>
      <c r="D158" s="38"/>
      <c r="E158" s="64"/>
      <c r="F158" s="64"/>
      <c r="G158" s="63" t="s">
        <v>411</v>
      </c>
      <c r="H158" s="64" t="s">
        <v>1589</v>
      </c>
      <c r="I158" s="255"/>
      <c r="J158" s="192" t="str">
        <f t="shared" si="10"/>
        <v/>
      </c>
      <c r="K158" s="174">
        <f ca="1">L157-L161</f>
        <v>2.0333556988819766E-10</v>
      </c>
      <c r="L158" s="193">
        <f t="shared" ca="1" si="11"/>
        <v>2.0333556988819766E-10</v>
      </c>
      <c r="M158" s="38" t="s">
        <v>1517</v>
      </c>
      <c r="N158" s="42"/>
      <c r="O158" s="42"/>
    </row>
    <row r="159" spans="1:16" ht="12.75" customHeight="1" x14ac:dyDescent="0.3">
      <c r="A159" s="42"/>
      <c r="B159" s="42"/>
      <c r="C159" s="38"/>
      <c r="D159" s="42" t="s">
        <v>576</v>
      </c>
      <c r="E159" s="64"/>
      <c r="F159" s="64"/>
      <c r="G159" s="678" t="s">
        <v>412</v>
      </c>
      <c r="H159" s="64" t="s">
        <v>1589</v>
      </c>
      <c r="I159" s="708" cm="1">
        <f t="array" aca="1" ref="I159" ca="1">_xll.RiskTriang(0.000003,0.0000289,0.00003,_xll.RiskName(G159))</f>
        <v>2.2729959410064786E-5</v>
      </c>
      <c r="J159" s="192" t="str">
        <f t="shared" si="10"/>
        <v/>
      </c>
      <c r="K159" s="174">
        <f>2.5/(24*3600)</f>
        <v>2.8935185185185186E-5</v>
      </c>
      <c r="L159" s="193">
        <f t="shared" ca="1" si="11"/>
        <v>2.2729959410064786E-5</v>
      </c>
      <c r="M159" s="38" t="s">
        <v>1517</v>
      </c>
      <c r="N159" s="42"/>
      <c r="O159" s="42"/>
    </row>
    <row r="160" spans="1:16" ht="12.75" customHeight="1" x14ac:dyDescent="0.3">
      <c r="A160" s="42"/>
      <c r="B160" s="42"/>
      <c r="C160" s="38"/>
      <c r="D160" s="42" t="s">
        <v>1324</v>
      </c>
      <c r="E160" s="64"/>
      <c r="F160" s="42"/>
      <c r="G160" s="678" t="s">
        <v>1076</v>
      </c>
      <c r="H160" s="64" t="s">
        <v>1589</v>
      </c>
      <c r="I160" s="255"/>
      <c r="J160" s="192" t="str">
        <f t="shared" si="10"/>
        <v/>
      </c>
      <c r="K160" s="174">
        <v>8.6861047691527155E-11</v>
      </c>
      <c r="L160" s="193">
        <f t="shared" si="11"/>
        <v>8.6861047691527155E-11</v>
      </c>
      <c r="M160" s="38" t="s">
        <v>1517</v>
      </c>
      <c r="N160" s="42" t="s">
        <v>884</v>
      </c>
      <c r="O160" s="42"/>
    </row>
    <row r="161" spans="1:15" ht="12.75" customHeight="1" x14ac:dyDescent="0.3">
      <c r="A161" s="42"/>
      <c r="B161" s="42"/>
      <c r="C161" s="38"/>
      <c r="D161" s="42" t="s">
        <v>431</v>
      </c>
      <c r="E161" s="64"/>
      <c r="F161" s="42"/>
      <c r="G161" s="63" t="s">
        <v>1077</v>
      </c>
      <c r="H161" s="64" t="s">
        <v>1589</v>
      </c>
      <c r="I161" s="255"/>
      <c r="J161" s="192" t="str">
        <f t="shared" si="10"/>
        <v/>
      </c>
      <c r="K161" s="174">
        <v>2.74287972475951E-11</v>
      </c>
      <c r="L161" s="193">
        <f t="shared" si="11"/>
        <v>2.74287972475951E-11</v>
      </c>
      <c r="M161" s="38" t="s">
        <v>1517</v>
      </c>
      <c r="N161" s="42" t="s">
        <v>884</v>
      </c>
      <c r="O161" s="42"/>
    </row>
    <row r="162" spans="1:15" ht="12.75" customHeight="1" x14ac:dyDescent="0.3">
      <c r="A162" s="42"/>
      <c r="B162" s="42"/>
      <c r="C162" s="38"/>
      <c r="D162" s="38"/>
      <c r="E162" s="42" t="s">
        <v>436</v>
      </c>
      <c r="F162" s="64"/>
      <c r="G162" s="678" t="s">
        <v>1199</v>
      </c>
      <c r="H162" s="42" t="s">
        <v>1590</v>
      </c>
      <c r="I162" s="708" cm="1">
        <f t="array" aca="1" ref="I162" ca="1">_xll.RiskTriang(5,10,20,_xll.RiskName(G162))</f>
        <v>13.588172142245435</v>
      </c>
      <c r="J162" s="192" t="str">
        <f t="shared" si="10"/>
        <v/>
      </c>
      <c r="K162" s="174">
        <v>10</v>
      </c>
      <c r="L162" s="193">
        <f ca="1">IF(ISBLANK(I162),IF(ISNUMBER(J162)=FALSE,K162/(1000*3600*24*365)*L16*L14,J162/(1000*3600*24*365)*L16*L14),I162/(1000*3600*24*365)*L16*L14)</f>
        <v>2.2750364317305902E-2</v>
      </c>
      <c r="M162" s="38" t="s">
        <v>1526</v>
      </c>
      <c r="N162" s="305"/>
      <c r="O162" s="42"/>
    </row>
    <row r="163" spans="1:15" ht="12.75" customHeight="1" x14ac:dyDescent="0.3">
      <c r="A163" s="42"/>
      <c r="B163" s="42"/>
      <c r="C163" s="38"/>
      <c r="D163" s="38"/>
      <c r="E163" s="42" t="s">
        <v>1373</v>
      </c>
      <c r="F163" s="38"/>
      <c r="G163" s="63" t="s">
        <v>1200</v>
      </c>
      <c r="H163" s="42" t="s">
        <v>1590</v>
      </c>
      <c r="I163" s="255"/>
      <c r="J163" s="192" t="str">
        <f t="shared" si="10"/>
        <v/>
      </c>
      <c r="K163" s="174">
        <v>10</v>
      </c>
      <c r="L163" s="193">
        <f>IF(ISBLANK(I163),IF(ISNUMBER(J163)=FALSE,K163/(1000*3600*24*365)*L14*L20,J163/(1000*3600*24*365)*L14*L20),I163/(1000*3600*24*365)*L14*L20)</f>
        <v>3.1709791983764585E-24</v>
      </c>
      <c r="M163" s="38" t="s">
        <v>1526</v>
      </c>
      <c r="N163" s="305"/>
      <c r="O163" s="42"/>
    </row>
    <row r="164" spans="1:15" ht="12.75" customHeight="1" x14ac:dyDescent="0.3">
      <c r="A164" s="38"/>
      <c r="B164" s="38" t="s">
        <v>1841</v>
      </c>
      <c r="C164" s="64"/>
      <c r="D164" s="64"/>
      <c r="E164" s="38"/>
      <c r="F164" s="38"/>
      <c r="G164" s="677" t="s">
        <v>1866</v>
      </c>
      <c r="H164" s="42" t="s">
        <v>1817</v>
      </c>
      <c r="I164" s="255"/>
      <c r="J164" s="192" t="str">
        <f t="shared" si="10"/>
        <v/>
      </c>
      <c r="K164" s="303">
        <f ca="1">(L168*L169)/(L168+L169)*L72</f>
        <v>1.4559872274624663E-8</v>
      </c>
      <c r="L164" s="193">
        <f t="shared" ca="1" si="11"/>
        <v>1.4559872274624663E-8</v>
      </c>
      <c r="M164" s="42" t="s">
        <v>1818</v>
      </c>
      <c r="N164" s="42"/>
      <c r="O164" s="42"/>
    </row>
    <row r="165" spans="1:15" ht="12.75" customHeight="1" x14ac:dyDescent="0.3">
      <c r="A165" s="38"/>
      <c r="B165" s="38" t="s">
        <v>1842</v>
      </c>
      <c r="C165" s="64"/>
      <c r="D165" s="64"/>
      <c r="E165" s="38"/>
      <c r="F165" s="38"/>
      <c r="G165" s="677" t="s">
        <v>1867</v>
      </c>
      <c r="H165" s="42" t="s">
        <v>1817</v>
      </c>
      <c r="I165" s="255"/>
      <c r="J165" s="192" t="str">
        <f t="shared" si="10"/>
        <v/>
      </c>
      <c r="K165" s="303">
        <f ca="1">((L168*L169)/(L168+L169))/L84</f>
        <v>4.4322793472646343E-12</v>
      </c>
      <c r="L165" s="193">
        <f t="shared" ca="1" si="11"/>
        <v>4.4322793472646343E-12</v>
      </c>
      <c r="M165" s="42" t="s">
        <v>1818</v>
      </c>
      <c r="N165" s="42"/>
      <c r="O165" s="42"/>
    </row>
    <row r="166" spans="1:15" ht="12.75" customHeight="1" x14ac:dyDescent="0.3">
      <c r="A166" s="38"/>
      <c r="B166" s="38" t="s">
        <v>1843</v>
      </c>
      <c r="C166" s="64"/>
      <c r="D166" s="64"/>
      <c r="E166" s="38"/>
      <c r="F166" s="64"/>
      <c r="G166" s="43" t="s">
        <v>1868</v>
      </c>
      <c r="H166" s="42" t="s">
        <v>1817</v>
      </c>
      <c r="I166" s="255"/>
      <c r="J166" s="192" t="str">
        <f t="shared" si="10"/>
        <v/>
      </c>
      <c r="K166" s="303">
        <f ca="1">(L168*L169)/(L168+L169)*L78</f>
        <v>1.5074852162326906E-8</v>
      </c>
      <c r="L166" s="193">
        <f t="shared" ca="1" si="11"/>
        <v>1.5074852162326906E-8</v>
      </c>
      <c r="M166" s="42" t="s">
        <v>1818</v>
      </c>
      <c r="N166" s="42"/>
      <c r="O166" s="42"/>
    </row>
    <row r="167" spans="1:15" ht="12.75" customHeight="1" x14ac:dyDescent="0.3">
      <c r="A167" s="38"/>
      <c r="B167" s="38" t="s">
        <v>1844</v>
      </c>
      <c r="C167" s="64"/>
      <c r="D167" s="64"/>
      <c r="E167" s="38"/>
      <c r="F167" s="64"/>
      <c r="G167" s="43" t="s">
        <v>1869</v>
      </c>
      <c r="H167" s="42" t="s">
        <v>1817</v>
      </c>
      <c r="I167" s="255"/>
      <c r="J167" s="192" t="str">
        <f t="shared" si="10"/>
        <v/>
      </c>
      <c r="K167" s="303">
        <f ca="1">((L168*L169)/(L168+L169))/L87</f>
        <v>9.5846771993592528E-12</v>
      </c>
      <c r="L167" s="193">
        <f t="shared" ca="1" si="11"/>
        <v>9.5846771993592528E-12</v>
      </c>
      <c r="M167" s="42" t="s">
        <v>1818</v>
      </c>
      <c r="N167" s="42"/>
      <c r="O167" s="42"/>
    </row>
    <row r="168" spans="1:15" ht="12.75" customHeight="1" x14ac:dyDescent="0.3">
      <c r="A168" s="42"/>
      <c r="B168" s="42"/>
      <c r="C168" s="38" t="s">
        <v>1069</v>
      </c>
      <c r="D168" s="38"/>
      <c r="E168" s="64"/>
      <c r="F168" s="64"/>
      <c r="G168" s="679" t="s">
        <v>936</v>
      </c>
      <c r="H168" s="64" t="s">
        <v>1589</v>
      </c>
      <c r="I168" s="252" cm="1">
        <f t="array" aca="1" ref="I168" ca="1">_xll.RiskTriang((0.00000278/3),0.00000278,(0.00000278*3),_xll.RiskName(G168))</f>
        <v>4.5565913816614299E-6</v>
      </c>
      <c r="J168" s="192" t="str">
        <f t="shared" si="10"/>
        <v/>
      </c>
      <c r="K168" s="174">
        <v>2.7779999999999999E-6</v>
      </c>
      <c r="L168" s="193">
        <f t="shared" ca="1" si="11"/>
        <v>4.5565913816614299E-6</v>
      </c>
      <c r="M168" s="38" t="s">
        <v>1517</v>
      </c>
      <c r="N168" s="42"/>
      <c r="O168" s="42"/>
    </row>
    <row r="169" spans="1:15" ht="12.75" customHeight="1" x14ac:dyDescent="0.3">
      <c r="A169" s="42"/>
      <c r="B169" s="42"/>
      <c r="C169" s="38" t="s">
        <v>1225</v>
      </c>
      <c r="D169" s="38"/>
      <c r="E169" s="64"/>
      <c r="F169" s="38"/>
      <c r="G169" s="679" t="s">
        <v>937</v>
      </c>
      <c r="H169" s="64" t="s">
        <v>1589</v>
      </c>
      <c r="I169" s="252" cm="1">
        <f t="array" aca="1" ref="I169" ca="1">_xll.RiskTriang((0.0000000278/3),0.0000000278,(0.0000000278*3),_xll.RiskName(G169))</f>
        <v>1.5625317157245659E-8</v>
      </c>
      <c r="J169" s="192" t="str">
        <f t="shared" si="10"/>
        <v/>
      </c>
      <c r="K169" s="174">
        <v>2.7780000000000001E-8</v>
      </c>
      <c r="L169" s="193">
        <f t="shared" ca="1" si="11"/>
        <v>1.5625317157245659E-8</v>
      </c>
      <c r="M169" s="38" t="s">
        <v>1517</v>
      </c>
      <c r="N169" s="42"/>
      <c r="O169" s="42"/>
    </row>
    <row r="170" spans="1:15" ht="12.75" customHeight="1" x14ac:dyDescent="0.3">
      <c r="A170" s="42"/>
      <c r="B170" s="38"/>
      <c r="C170" s="38"/>
      <c r="D170" s="38"/>
      <c r="E170" s="38"/>
      <c r="F170" s="38"/>
      <c r="G170" s="63"/>
      <c r="H170" s="42"/>
      <c r="I170" s="162"/>
      <c r="J170" s="188"/>
      <c r="K170" s="175"/>
      <c r="L170" s="175"/>
      <c r="M170" s="38"/>
      <c r="N170" s="42"/>
      <c r="O170" s="42"/>
    </row>
    <row r="171" spans="1:15" ht="12.75" customHeight="1" x14ac:dyDescent="0.3">
      <c r="A171" s="42" t="s">
        <v>72</v>
      </c>
      <c r="B171" s="38"/>
      <c r="C171" s="38"/>
      <c r="D171" s="38"/>
      <c r="E171" s="38"/>
      <c r="F171" s="38"/>
      <c r="G171" s="43" t="s">
        <v>236</v>
      </c>
      <c r="H171" s="42" t="s">
        <v>1579</v>
      </c>
      <c r="I171" s="255"/>
      <c r="J171" s="192" t="str">
        <f t="shared" ref="J171:J182" si="12">IF(HLOOKUP(CaseName,CaseData,ROW()+158,FALSE)="","",HLOOKUP(CaseName,CaseData,ROW()+158,FALSE))</f>
        <v/>
      </c>
      <c r="K171" s="303">
        <f ca="1">(RAINrate.R*L177/L90+L174)*L180/L27</f>
        <v>2.0640929123321202E-10</v>
      </c>
      <c r="L171" s="193">
        <f ca="1">IF(ISBLANK(I171),IF(ISNUMBER(J171)=FALSE,K171,J171),I171)</f>
        <v>2.0640929123321202E-10</v>
      </c>
      <c r="M171" s="38" t="s">
        <v>1515</v>
      </c>
      <c r="N171" s="305"/>
      <c r="O171" s="42"/>
    </row>
    <row r="172" spans="1:15" ht="12.75" customHeight="1" x14ac:dyDescent="0.3">
      <c r="A172" s="42" t="s">
        <v>73</v>
      </c>
      <c r="B172" s="38"/>
      <c r="C172" s="38"/>
      <c r="D172" s="38"/>
      <c r="E172" s="38"/>
      <c r="F172" s="38"/>
      <c r="G172" s="43" t="s">
        <v>237</v>
      </c>
      <c r="H172" s="42" t="s">
        <v>1579</v>
      </c>
      <c r="I172" s="255"/>
      <c r="J172" s="192" t="str">
        <f t="shared" si="12"/>
        <v/>
      </c>
      <c r="K172" s="303">
        <f ca="1">(RAINrate.R*L177/L95+L175)*L181/L28</f>
        <v>1.0905050878128442E-10</v>
      </c>
      <c r="L172" s="193">
        <f ca="1">IF(ISBLANK(I172),IF(ISNUMBER(J172)=FALSE,K172,J172),I172)</f>
        <v>1.0905050878128442E-10</v>
      </c>
      <c r="M172" s="38" t="s">
        <v>1515</v>
      </c>
      <c r="N172" s="305"/>
      <c r="O172" s="42"/>
    </row>
    <row r="173" spans="1:15" ht="12.75" customHeight="1" x14ac:dyDescent="0.3">
      <c r="A173" s="42" t="s">
        <v>74</v>
      </c>
      <c r="B173" s="38"/>
      <c r="C173" s="38"/>
      <c r="D173" s="38"/>
      <c r="E173" s="38"/>
      <c r="F173" s="38"/>
      <c r="G173" s="43" t="s">
        <v>238</v>
      </c>
      <c r="H173" s="42" t="s">
        <v>1579</v>
      </c>
      <c r="I173" s="255"/>
      <c r="J173" s="192" t="str">
        <f t="shared" si="12"/>
        <v/>
      </c>
      <c r="K173" s="303">
        <f ca="1">(RAINrate.R*L179/L100+L176)*L182/L29</f>
        <v>1.0184255004126343E-10</v>
      </c>
      <c r="L173" s="193">
        <f ca="1">IF(ISBLANK(I173),IF(ISNUMBER(J173)=FALSE,K173,J173),I173)</f>
        <v>1.0184255004126343E-10</v>
      </c>
      <c r="M173" s="38" t="s">
        <v>1515</v>
      </c>
      <c r="N173" s="305"/>
      <c r="O173" s="42"/>
    </row>
    <row r="174" spans="1:15" ht="12.75" customHeight="1" x14ac:dyDescent="0.3">
      <c r="A174" s="42"/>
      <c r="B174" s="64" t="s">
        <v>1080</v>
      </c>
      <c r="C174" s="38"/>
      <c r="D174" s="38"/>
      <c r="E174" s="64"/>
      <c r="F174" s="64"/>
      <c r="G174" s="63" t="s">
        <v>940</v>
      </c>
      <c r="H174" s="64" t="s">
        <v>1591</v>
      </c>
      <c r="I174" s="255" cm="1">
        <f t="array" aca="1" ref="I174" ca="1">_xll.RiskTriang(0,0.03,0.06,_xll.RiskName(G174),_xll.RiskStatic(0.03))</f>
        <v>2.9309670512458121E-2</v>
      </c>
      <c r="J174" s="192" t="str">
        <f t="shared" si="12"/>
        <v/>
      </c>
      <c r="K174" s="174">
        <v>0.03</v>
      </c>
      <c r="L174" s="193">
        <f ca="1">IF(ISBLANK(I174),IF(ISNUMBER(J174)=FALSE,K174/(1000*3600*24*365),J174/(1000*3600*24*365)),I174/(1000*3600*24*365))</f>
        <v>9.2940355506272571E-13</v>
      </c>
      <c r="M174" s="38" t="s">
        <v>1517</v>
      </c>
      <c r="N174" s="42"/>
      <c r="O174" s="42"/>
    </row>
    <row r="175" spans="1:15" ht="12.75" customHeight="1" x14ac:dyDescent="0.3">
      <c r="A175" s="42"/>
      <c r="B175" s="64" t="s">
        <v>1081</v>
      </c>
      <c r="C175" s="38"/>
      <c r="D175" s="38"/>
      <c r="E175" s="64"/>
      <c r="F175" s="64"/>
      <c r="G175" s="63" t="s">
        <v>941</v>
      </c>
      <c r="H175" s="64" t="s">
        <v>1591</v>
      </c>
      <c r="I175" s="255" cm="1">
        <f t="array" aca="1" ref="I175" ca="1">_xll.RiskTriang(0,0.03,0.06,_xll.RiskName(G175),_xll.RiskStatic(0.03))</f>
        <v>9.7121542424122541E-3</v>
      </c>
      <c r="J175" s="192" t="str">
        <f t="shared" si="12"/>
        <v/>
      </c>
      <c r="K175" s="174">
        <v>0.03</v>
      </c>
      <c r="L175" s="193">
        <f ca="1">IF(ISBLANK(I175),IF(ISNUMBER(J175)=FALSE,K175/(1000*3600*24*365),J175/(1000*3600*24*365)),I175/(1000*3600*24*365))</f>
        <v>3.0797039074112933E-13</v>
      </c>
      <c r="M175" s="38" t="s">
        <v>1517</v>
      </c>
      <c r="N175" s="42"/>
      <c r="O175" s="42"/>
    </row>
    <row r="176" spans="1:15" ht="12.75" customHeight="1" x14ac:dyDescent="0.3">
      <c r="A176" s="42"/>
      <c r="B176" s="64" t="s">
        <v>452</v>
      </c>
      <c r="C176" s="38"/>
      <c r="D176" s="38"/>
      <c r="E176" s="64"/>
      <c r="F176" s="64"/>
      <c r="G176" s="63" t="s">
        <v>942</v>
      </c>
      <c r="H176" s="64" t="s">
        <v>1591</v>
      </c>
      <c r="I176" s="255" cm="1">
        <f t="array" aca="1" ref="I176" ca="1">_xll.RiskTriang(0,0.03,0.06,_xll.RiskName(G176),_xll.RiskStatic(0.03))</f>
        <v>3.4535855367439673E-2</v>
      </c>
      <c r="J176" s="192" t="str">
        <f t="shared" si="12"/>
        <v/>
      </c>
      <c r="K176" s="174">
        <v>0.03</v>
      </c>
      <c r="L176" s="193">
        <f ca="1">IF(ISBLANK(I176),IF(ISNUMBER(J176)=FALSE,K176/(1000*3600*24*365),J176/(1000*3600*24*365)),I176/(1000*3600*24*365))</f>
        <v>1.0951247896828917E-12</v>
      </c>
      <c r="M176" s="38" t="s">
        <v>1517</v>
      </c>
      <c r="N176" s="42"/>
      <c r="O176" s="42"/>
    </row>
    <row r="177" spans="1:15" ht="12.75" customHeight="1" x14ac:dyDescent="0.3">
      <c r="A177" s="42"/>
      <c r="B177" s="42" t="s">
        <v>16</v>
      </c>
      <c r="C177" s="38"/>
      <c r="D177" s="38"/>
      <c r="E177" s="64"/>
      <c r="F177" s="64"/>
      <c r="G177" s="63" t="s">
        <v>943</v>
      </c>
      <c r="H177" s="42" t="s">
        <v>28</v>
      </c>
      <c r="I177" s="409" cm="1">
        <f t="array" aca="1" ref="I177" ca="1">_xll.RiskTriang(0,0.25,0.5,_xll.RiskName(G177))</f>
        <v>0.26711885184164719</v>
      </c>
      <c r="J177" s="192" t="str">
        <f t="shared" si="12"/>
        <v/>
      </c>
      <c r="K177" s="174">
        <f>FRACrun.R</f>
        <v>0.25</v>
      </c>
      <c r="L177" s="193">
        <f t="shared" ref="L177:L182" ca="1" si="13">IF(ISBLANK(I177),IF(ISNUMBER(J177)=FALSE,K177,J177),I177)</f>
        <v>0.26711885184164719</v>
      </c>
      <c r="M177" s="38" t="s">
        <v>477</v>
      </c>
      <c r="N177" s="42"/>
      <c r="O177" s="42"/>
    </row>
    <row r="178" spans="1:15" ht="12.75" customHeight="1" x14ac:dyDescent="0.3">
      <c r="A178" s="42"/>
      <c r="B178" s="42" t="s">
        <v>727</v>
      </c>
      <c r="C178" s="38"/>
      <c r="D178" s="38"/>
      <c r="E178" s="64"/>
      <c r="F178" s="64"/>
      <c r="G178" s="63" t="s">
        <v>453</v>
      </c>
      <c r="H178" s="42" t="s">
        <v>28</v>
      </c>
      <c r="I178" s="409" cm="1">
        <f t="array" aca="1" ref="I178" ca="1">_xll.RiskTriang(0,0.25,0.5,_xll.RiskName(G178))</f>
        <v>0.26493616504197171</v>
      </c>
      <c r="J178" s="192" t="str">
        <f t="shared" si="12"/>
        <v/>
      </c>
      <c r="K178" s="174">
        <f>FRACrun.R</f>
        <v>0.25</v>
      </c>
      <c r="L178" s="193">
        <f t="shared" ca="1" si="13"/>
        <v>0.26493616504197171</v>
      </c>
      <c r="M178" s="38" t="s">
        <v>477</v>
      </c>
      <c r="N178" s="42"/>
      <c r="O178" s="42"/>
    </row>
    <row r="179" spans="1:15" ht="12.75" customHeight="1" x14ac:dyDescent="0.3">
      <c r="A179" s="42"/>
      <c r="B179" s="42" t="s">
        <v>847</v>
      </c>
      <c r="C179" s="38"/>
      <c r="D179" s="38"/>
      <c r="E179" s="64"/>
      <c r="F179" s="64"/>
      <c r="G179" s="63" t="s">
        <v>454</v>
      </c>
      <c r="H179" s="42" t="s">
        <v>28</v>
      </c>
      <c r="I179" s="409" cm="1">
        <f t="array" aca="1" ref="I179" ca="1">_xll.RiskTriang(0,0.25,0.5,_xll.RiskName(G179))</f>
        <v>0.37459393954348219</v>
      </c>
      <c r="J179" s="192" t="str">
        <f t="shared" si="12"/>
        <v/>
      </c>
      <c r="K179" s="174">
        <f>FRACrun.R</f>
        <v>0.25</v>
      </c>
      <c r="L179" s="193">
        <f t="shared" ca="1" si="13"/>
        <v>0.37459393954348219</v>
      </c>
      <c r="M179" s="38" t="s">
        <v>477</v>
      </c>
      <c r="N179" s="42"/>
      <c r="O179" s="42"/>
    </row>
    <row r="180" spans="1:15" ht="12.75" customHeight="1" x14ac:dyDescent="0.3">
      <c r="A180" s="42"/>
      <c r="B180" s="38" t="s">
        <v>1835</v>
      </c>
      <c r="C180" s="38"/>
      <c r="D180" s="38"/>
      <c r="E180" s="64"/>
      <c r="F180" s="64"/>
      <c r="G180" s="43" t="s">
        <v>1494</v>
      </c>
      <c r="H180" s="38" t="s">
        <v>28</v>
      </c>
      <c r="I180" s="255"/>
      <c r="J180" s="192" t="str">
        <f t="shared" si="12"/>
        <v/>
      </c>
      <c r="K180" s="174">
        <f>(EXP((-1/0.1)*0)*(1/0.1)*L27/(1-EXP((-1/0.1)*L27)))</f>
        <v>1.2707470412683992</v>
      </c>
      <c r="L180" s="193">
        <f t="shared" si="13"/>
        <v>1.2707470412683992</v>
      </c>
      <c r="M180" s="38" t="s">
        <v>477</v>
      </c>
      <c r="N180" s="42" t="s">
        <v>956</v>
      </c>
      <c r="O180" s="42"/>
    </row>
    <row r="181" spans="1:15" ht="12.75" customHeight="1" x14ac:dyDescent="0.3">
      <c r="A181" s="42"/>
      <c r="B181" s="38" t="s">
        <v>1835</v>
      </c>
      <c r="C181" s="38"/>
      <c r="D181" s="38"/>
      <c r="E181" s="64"/>
      <c r="F181" s="64"/>
      <c r="G181" s="43" t="s">
        <v>1495</v>
      </c>
      <c r="H181" s="38" t="s">
        <v>28</v>
      </c>
      <c r="I181" s="255"/>
      <c r="J181" s="192" t="str">
        <f t="shared" si="12"/>
        <v/>
      </c>
      <c r="K181" s="174">
        <f>(EXP((-1/0.1)*0)*(1/0.1)*L28/(1-EXP((-1/0.1)*L28)))</f>
        <v>2.3130352854993315</v>
      </c>
      <c r="L181" s="193">
        <f t="shared" si="13"/>
        <v>2.3130352854993315</v>
      </c>
      <c r="M181" s="38" t="s">
        <v>477</v>
      </c>
      <c r="N181" s="42" t="s">
        <v>956</v>
      </c>
      <c r="O181" s="42"/>
    </row>
    <row r="182" spans="1:15" ht="12.75" customHeight="1" x14ac:dyDescent="0.3">
      <c r="A182" s="42"/>
      <c r="B182" s="38" t="s">
        <v>1835</v>
      </c>
      <c r="C182" s="38"/>
      <c r="D182" s="38"/>
      <c r="E182" s="64"/>
      <c r="F182" s="64"/>
      <c r="G182" s="43" t="s">
        <v>1496</v>
      </c>
      <c r="H182" s="38" t="s">
        <v>28</v>
      </c>
      <c r="I182" s="255"/>
      <c r="J182" s="192" t="str">
        <f t="shared" si="12"/>
        <v/>
      </c>
      <c r="K182" s="174">
        <f>(EXP((-1/0.1)*0)*(1/0.1)*L29/(1-EXP((-1/0.1)*L29)))</f>
        <v>1.2707470412683992</v>
      </c>
      <c r="L182" s="193">
        <f t="shared" si="13"/>
        <v>1.2707470412683992</v>
      </c>
      <c r="M182" s="38" t="s">
        <v>477</v>
      </c>
      <c r="N182" s="42" t="s">
        <v>956</v>
      </c>
      <c r="O182" s="42"/>
    </row>
    <row r="183" spans="1:15" ht="12.75" customHeight="1" x14ac:dyDescent="0.3">
      <c r="A183" s="38"/>
      <c r="B183" s="38"/>
      <c r="C183" s="38"/>
      <c r="D183" s="38"/>
      <c r="E183" s="38"/>
      <c r="F183" s="38"/>
      <c r="G183" s="42"/>
      <c r="H183" s="42"/>
      <c r="I183" s="162"/>
      <c r="J183" s="188"/>
      <c r="K183" s="175"/>
      <c r="L183" s="175"/>
      <c r="M183" s="38"/>
      <c r="N183" s="42"/>
      <c r="O183" s="42"/>
    </row>
    <row r="184" spans="1:15" customFormat="1" ht="12.75" customHeight="1" x14ac:dyDescent="0.3">
      <c r="A184" s="67" t="s">
        <v>414</v>
      </c>
      <c r="B184" s="66"/>
      <c r="C184" s="66"/>
      <c r="D184" s="66"/>
      <c r="E184" s="66"/>
      <c r="F184" s="66"/>
      <c r="G184" s="67" t="s">
        <v>969</v>
      </c>
      <c r="H184" s="67" t="s">
        <v>929</v>
      </c>
      <c r="I184" s="189" t="s">
        <v>748</v>
      </c>
      <c r="J184" s="194" t="s">
        <v>29</v>
      </c>
      <c r="K184" s="163" t="s">
        <v>747</v>
      </c>
      <c r="L184" s="163" t="s">
        <v>1353</v>
      </c>
      <c r="M184" s="66"/>
      <c r="N184" s="67" t="s">
        <v>1366</v>
      </c>
      <c r="O184" s="42"/>
    </row>
    <row r="185" spans="1:15" ht="12.75" customHeight="1" x14ac:dyDescent="0.3">
      <c r="A185" s="42"/>
      <c r="B185" s="38"/>
      <c r="C185" s="38"/>
      <c r="D185" s="38"/>
      <c r="E185" s="38"/>
      <c r="F185" s="38"/>
      <c r="G185" s="42"/>
      <c r="H185" s="42"/>
      <c r="I185" s="162"/>
      <c r="J185" s="188"/>
      <c r="K185" s="175"/>
      <c r="L185" s="175"/>
      <c r="M185" s="38"/>
      <c r="N185" s="42"/>
      <c r="O185" s="42"/>
    </row>
    <row r="186" spans="1:15" ht="12.75" customHeight="1" x14ac:dyDescent="0.3">
      <c r="A186" s="42" t="s">
        <v>216</v>
      </c>
      <c r="B186" s="38"/>
      <c r="C186" s="38"/>
      <c r="D186" s="38"/>
      <c r="E186" s="38"/>
      <c r="F186" s="38"/>
      <c r="G186" s="43" t="s">
        <v>239</v>
      </c>
      <c r="H186" s="42" t="s">
        <v>1579</v>
      </c>
      <c r="I186" s="253"/>
      <c r="J186" s="192" t="str">
        <f t="shared" ref="J186:J216" si="14">IF(HLOOKUP(CaseName,CaseData,ROW()+158,FALSE)="","",HLOOKUP(CaseName,CaseData,ROW()+158,FALSE))</f>
        <v/>
      </c>
      <c r="K186" s="174">
        <f ca="1">L195+FRgas.aR*kdeg.air*(L197/C.OHrad)*L198</f>
        <v>3.663258818281463E-10</v>
      </c>
      <c r="L186" s="193">
        <f t="shared" ref="L186:L210" ca="1" si="15">IF(ISBLANK(I186),IF(ISNUMBER(J186)=FALSE,K186,J186),I186)</f>
        <v>3.663258818281463E-10</v>
      </c>
      <c r="M186" s="38" t="s">
        <v>1515</v>
      </c>
      <c r="N186" s="42"/>
      <c r="O186" s="42"/>
    </row>
    <row r="187" spans="1:15" ht="12.75" customHeight="1" x14ac:dyDescent="0.3">
      <c r="A187" s="42" t="s">
        <v>298</v>
      </c>
      <c r="B187" s="38"/>
      <c r="C187" s="38"/>
      <c r="D187" s="38"/>
      <c r="E187" s="38"/>
      <c r="F187" s="38"/>
      <c r="G187" s="43" t="s">
        <v>299</v>
      </c>
      <c r="H187" s="42" t="s">
        <v>1579</v>
      </c>
      <c r="I187" s="253"/>
      <c r="J187" s="192" t="str">
        <f t="shared" si="14"/>
        <v/>
      </c>
      <c r="K187" s="174">
        <f ca="1">kdeg.water*L205*(L202/BACT.test)*L66</f>
        <v>1.0789915064162529E-20</v>
      </c>
      <c r="L187" s="193">
        <f ca="1">IF(ISBLANK(I187),IF(ISNUMBER(J187)=FALSE,K187,J187),I187)</f>
        <v>1.0789915064162529E-20</v>
      </c>
      <c r="M187" s="38" t="s">
        <v>1515</v>
      </c>
      <c r="N187" s="42"/>
      <c r="O187" s="42"/>
    </row>
    <row r="188" spans="1:15" ht="12.75" customHeight="1" x14ac:dyDescent="0.3">
      <c r="A188" s="42" t="s">
        <v>245</v>
      </c>
      <c r="B188" s="38"/>
      <c r="C188" s="38"/>
      <c r="D188" s="38"/>
      <c r="E188" s="38"/>
      <c r="F188" s="38"/>
      <c r="G188" s="43" t="s">
        <v>240</v>
      </c>
      <c r="H188" s="42" t="s">
        <v>1579</v>
      </c>
      <c r="I188" s="253"/>
      <c r="J188" s="192" t="str">
        <f t="shared" si="14"/>
        <v/>
      </c>
      <c r="K188" s="174">
        <f ca="1">kdeg.water*L205*(L203/BACT.test)*L72</f>
        <v>1.0121933540621601E-20</v>
      </c>
      <c r="L188" s="193">
        <f t="shared" ca="1" si="15"/>
        <v>1.0121933540621601E-20</v>
      </c>
      <c r="M188" s="38" t="s">
        <v>1515</v>
      </c>
      <c r="N188" s="42"/>
      <c r="O188" s="42"/>
    </row>
    <row r="189" spans="1:15" ht="12.75" customHeight="1" x14ac:dyDescent="0.3">
      <c r="A189" s="42" t="s">
        <v>246</v>
      </c>
      <c r="B189" s="38"/>
      <c r="C189" s="38"/>
      <c r="D189" s="38"/>
      <c r="E189" s="38"/>
      <c r="F189" s="38"/>
      <c r="G189" s="43" t="s">
        <v>247</v>
      </c>
      <c r="H189" s="42" t="s">
        <v>1579</v>
      </c>
      <c r="I189" s="253"/>
      <c r="J189" s="192" t="str">
        <f t="shared" si="14"/>
        <v/>
      </c>
      <c r="K189" s="174">
        <f ca="1">kdeg.water*L205*(L203/BACT.test)*L78</f>
        <v>1.0479944387129061E-20</v>
      </c>
      <c r="L189" s="193">
        <f t="shared" ca="1" si="15"/>
        <v>1.0479944387129061E-20</v>
      </c>
      <c r="M189" s="38" t="s">
        <v>1515</v>
      </c>
      <c r="N189" s="42"/>
      <c r="O189" s="42"/>
    </row>
    <row r="190" spans="1:15" ht="12.75" customHeight="1" x14ac:dyDescent="0.3">
      <c r="A190" s="42" t="s">
        <v>248</v>
      </c>
      <c r="B190" s="38"/>
      <c r="C190" s="38"/>
      <c r="D190" s="38"/>
      <c r="E190" s="38"/>
      <c r="F190" s="38"/>
      <c r="G190" s="43" t="s">
        <v>241</v>
      </c>
      <c r="H190" s="42" t="s">
        <v>1579</v>
      </c>
      <c r="I190" s="253"/>
      <c r="J190" s="192" t="str">
        <f t="shared" si="14"/>
        <v/>
      </c>
      <c r="K190" s="303">
        <f ca="1">L205*kdeg.sed+L160/L25</f>
        <v>1.2252457824647258E-9</v>
      </c>
      <c r="L190" s="193">
        <f t="shared" ca="1" si="15"/>
        <v>1.2252457824647258E-9</v>
      </c>
      <c r="M190" s="38" t="s">
        <v>1515</v>
      </c>
      <c r="N190" s="42"/>
      <c r="O190" s="42"/>
    </row>
    <row r="191" spans="1:15" ht="12.75" customHeight="1" x14ac:dyDescent="0.3">
      <c r="A191" s="42" t="s">
        <v>249</v>
      </c>
      <c r="B191" s="38"/>
      <c r="C191" s="38"/>
      <c r="D191" s="38"/>
      <c r="E191" s="38"/>
      <c r="F191" s="38"/>
      <c r="G191" s="43" t="s">
        <v>250</v>
      </c>
      <c r="H191" s="42" t="s">
        <v>1579</v>
      </c>
      <c r="I191" s="253"/>
      <c r="J191" s="192" t="str">
        <f t="shared" si="14"/>
        <v/>
      </c>
      <c r="K191" s="303">
        <f ca="1">L205*kdeg.sed+L161/L26</f>
        <v>9.1429324159732889E-10</v>
      </c>
      <c r="L191" s="193">
        <f t="shared" ca="1" si="15"/>
        <v>9.1429324159732889E-10</v>
      </c>
      <c r="M191" s="38" t="s">
        <v>1515</v>
      </c>
      <c r="N191" s="42"/>
      <c r="O191" s="42"/>
    </row>
    <row r="192" spans="1:15" ht="12.75" customHeight="1" x14ac:dyDescent="0.3">
      <c r="A192" s="42" t="s">
        <v>218</v>
      </c>
      <c r="B192" s="38"/>
      <c r="C192" s="38"/>
      <c r="D192" s="38"/>
      <c r="E192" s="38"/>
      <c r="F192" s="38"/>
      <c r="G192" s="43" t="s">
        <v>242</v>
      </c>
      <c r="H192" s="42" t="s">
        <v>1579</v>
      </c>
      <c r="I192" s="253"/>
      <c r="J192" s="192" t="str">
        <f t="shared" si="14"/>
        <v/>
      </c>
      <c r="K192" s="303">
        <f ca="1">L205*kdeg.soil+L211*RAINrate.R/L90*L214/L27</f>
        <v>1.1367055550282926E-12</v>
      </c>
      <c r="L192" s="193">
        <f t="shared" ca="1" si="15"/>
        <v>1.1367055550282926E-12</v>
      </c>
      <c r="M192" s="38" t="s">
        <v>1515</v>
      </c>
      <c r="N192" s="42"/>
      <c r="O192" s="42"/>
    </row>
    <row r="193" spans="1:15" ht="12.75" customHeight="1" x14ac:dyDescent="0.3">
      <c r="A193" s="42" t="s">
        <v>358</v>
      </c>
      <c r="B193" s="38"/>
      <c r="C193" s="38"/>
      <c r="D193" s="38"/>
      <c r="E193" s="38"/>
      <c r="F193" s="38"/>
      <c r="G193" s="43" t="s">
        <v>243</v>
      </c>
      <c r="H193" s="42" t="s">
        <v>1579</v>
      </c>
      <c r="I193" s="253"/>
      <c r="J193" s="192" t="str">
        <f t="shared" si="14"/>
        <v/>
      </c>
      <c r="K193" s="303">
        <f ca="1">L205*kdeg.soil+L212*RAINrate.R/L95*L215/L28</f>
        <v>5.9055572856741937E-13</v>
      </c>
      <c r="L193" s="193">
        <f t="shared" ca="1" si="15"/>
        <v>5.9055572856741937E-13</v>
      </c>
      <c r="M193" s="38" t="s">
        <v>1515</v>
      </c>
      <c r="N193" s="42"/>
      <c r="O193" s="42"/>
    </row>
    <row r="194" spans="1:15" ht="12.75" customHeight="1" x14ac:dyDescent="0.3">
      <c r="A194" s="42" t="s">
        <v>359</v>
      </c>
      <c r="B194" s="38"/>
      <c r="C194" s="38"/>
      <c r="D194" s="38"/>
      <c r="E194" s="38"/>
      <c r="F194" s="38"/>
      <c r="G194" s="43" t="s">
        <v>244</v>
      </c>
      <c r="H194" s="42" t="s">
        <v>1579</v>
      </c>
      <c r="I194" s="253"/>
      <c r="J194" s="192" t="str">
        <f t="shared" si="14"/>
        <v/>
      </c>
      <c r="K194" s="303">
        <f ca="1">L205*kdeg.soil+L213*RAINrate.R/L100*L216/L29</f>
        <v>5.236198513928159E-13</v>
      </c>
      <c r="L194" s="193">
        <f t="shared" ca="1" si="15"/>
        <v>5.236198513928159E-13</v>
      </c>
      <c r="M194" s="38" t="s">
        <v>1515</v>
      </c>
      <c r="N194" s="42"/>
      <c r="O194" s="42"/>
    </row>
    <row r="195" spans="1:15" ht="12.75" customHeight="1" x14ac:dyDescent="0.3">
      <c r="A195" s="42"/>
      <c r="B195" s="42" t="s">
        <v>791</v>
      </c>
      <c r="C195" s="64"/>
      <c r="D195" s="38"/>
      <c r="E195" s="38"/>
      <c r="F195" s="38"/>
      <c r="G195" s="63" t="s">
        <v>187</v>
      </c>
      <c r="H195" s="42" t="s">
        <v>1579</v>
      </c>
      <c r="I195" s="255"/>
      <c r="J195" s="192" t="str">
        <f t="shared" si="14"/>
        <v/>
      </c>
      <c r="K195" s="174">
        <f>LN(2)/(60*365*24*3600)</f>
        <v>3.663258818281463E-10</v>
      </c>
      <c r="L195" s="193">
        <f t="shared" si="15"/>
        <v>3.663258818281463E-10</v>
      </c>
      <c r="M195" s="42" t="s">
        <v>1515</v>
      </c>
      <c r="N195" s="42"/>
      <c r="O195" s="42"/>
    </row>
    <row r="196" spans="1:15" ht="12.75" customHeight="1" x14ac:dyDescent="0.3">
      <c r="A196" s="42"/>
      <c r="B196" s="42" t="s">
        <v>792</v>
      </c>
      <c r="C196" s="38"/>
      <c r="D196" s="38"/>
      <c r="E196" s="38"/>
      <c r="F196" s="38"/>
      <c r="G196" s="43" t="s">
        <v>455</v>
      </c>
      <c r="H196" s="42" t="s">
        <v>1579</v>
      </c>
      <c r="I196" s="255"/>
      <c r="J196" s="192" t="str">
        <f t="shared" si="14"/>
        <v/>
      </c>
      <c r="K196" s="174">
        <f ca="1">FRgas.aR*kdeg.air*(L197/C.OHrad)*L198</f>
        <v>2.375185702041891E-30</v>
      </c>
      <c r="L196" s="193">
        <f t="shared" ca="1" si="15"/>
        <v>2.375185702041891E-30</v>
      </c>
      <c r="M196" s="42" t="s">
        <v>1515</v>
      </c>
      <c r="N196" s="42"/>
      <c r="O196" s="42"/>
    </row>
    <row r="197" spans="1:15" ht="12.75" customHeight="1" x14ac:dyDescent="0.3">
      <c r="A197" s="64"/>
      <c r="B197" s="64"/>
      <c r="C197" s="42" t="s">
        <v>989</v>
      </c>
      <c r="D197" s="38"/>
      <c r="E197" s="38"/>
      <c r="F197" s="38"/>
      <c r="G197" s="43" t="s">
        <v>933</v>
      </c>
      <c r="H197" s="42" t="s">
        <v>1580</v>
      </c>
      <c r="I197" s="255"/>
      <c r="J197" s="192" t="str">
        <f t="shared" si="14"/>
        <v/>
      </c>
      <c r="K197" s="174">
        <v>500000</v>
      </c>
      <c r="L197" s="193">
        <f t="shared" si="15"/>
        <v>500000</v>
      </c>
      <c r="M197" s="42" t="s">
        <v>1527</v>
      </c>
      <c r="N197" s="42"/>
      <c r="O197" s="42"/>
    </row>
    <row r="198" spans="1:15" ht="12.75" customHeight="1" x14ac:dyDescent="0.3">
      <c r="A198" s="64"/>
      <c r="B198" s="64"/>
      <c r="C198" s="42" t="s">
        <v>26</v>
      </c>
      <c r="D198" s="38"/>
      <c r="E198" s="38"/>
      <c r="F198" s="38"/>
      <c r="G198" s="43" t="s">
        <v>260</v>
      </c>
      <c r="H198" s="42" t="s">
        <v>28</v>
      </c>
      <c r="I198" s="255"/>
      <c r="J198" s="192" t="str">
        <f t="shared" si="14"/>
        <v/>
      </c>
      <c r="K198" s="174">
        <f ca="1">EXP((Ea.OHrad/8.314)*(TEMP.R-298)/298^2)</f>
        <v>1.0093429569009236</v>
      </c>
      <c r="L198" s="193">
        <f t="shared" ca="1" si="15"/>
        <v>1.0093429569009236</v>
      </c>
      <c r="M198" s="42" t="s">
        <v>477</v>
      </c>
      <c r="N198" s="42"/>
      <c r="O198" s="42"/>
    </row>
    <row r="199" spans="1:15" ht="12.75" customHeight="1" x14ac:dyDescent="0.3">
      <c r="A199" s="42"/>
      <c r="B199" s="42" t="s">
        <v>318</v>
      </c>
      <c r="C199" s="38"/>
      <c r="D199" s="38"/>
      <c r="E199" s="38"/>
      <c r="F199" s="38"/>
      <c r="G199" s="43" t="s">
        <v>300</v>
      </c>
      <c r="H199" s="42" t="s">
        <v>1579</v>
      </c>
      <c r="I199" s="255"/>
      <c r="J199" s="192" t="str">
        <f t="shared" si="14"/>
        <v/>
      </c>
      <c r="K199" s="174">
        <f ca="1">kdeg.water*L205*(L202/BACT.test)*L66</f>
        <v>1.0789915064162529E-20</v>
      </c>
      <c r="L199" s="193">
        <f ca="1">IF(ISBLANK(I199),IF(ISNUMBER(J199)=FALSE,K199,J199),I199)</f>
        <v>1.0789915064162529E-20</v>
      </c>
      <c r="M199" s="42" t="s">
        <v>1515</v>
      </c>
      <c r="N199" s="42"/>
      <c r="O199" s="42"/>
    </row>
    <row r="200" spans="1:15" ht="12.75" customHeight="1" x14ac:dyDescent="0.3">
      <c r="A200" s="42"/>
      <c r="B200" s="42" t="s">
        <v>793</v>
      </c>
      <c r="C200" s="38"/>
      <c r="D200" s="38"/>
      <c r="E200" s="38"/>
      <c r="F200" s="38"/>
      <c r="G200" s="43" t="s">
        <v>844</v>
      </c>
      <c r="H200" s="42" t="s">
        <v>1579</v>
      </c>
      <c r="I200" s="255"/>
      <c r="J200" s="192" t="str">
        <f t="shared" si="14"/>
        <v/>
      </c>
      <c r="K200" s="174">
        <f ca="1">kdeg.water*L205*(L203/BACT.test)*L72</f>
        <v>1.0121933540621601E-20</v>
      </c>
      <c r="L200" s="193">
        <f t="shared" ca="1" si="15"/>
        <v>1.0121933540621601E-20</v>
      </c>
      <c r="M200" s="42" t="s">
        <v>1515</v>
      </c>
      <c r="N200" s="42"/>
      <c r="O200" s="42"/>
    </row>
    <row r="201" spans="1:15" ht="12.75" customHeight="1" x14ac:dyDescent="0.3">
      <c r="A201" s="42"/>
      <c r="B201" s="42" t="s">
        <v>794</v>
      </c>
      <c r="C201" s="38"/>
      <c r="D201" s="38"/>
      <c r="E201" s="38"/>
      <c r="F201" s="38"/>
      <c r="G201" s="43" t="s">
        <v>845</v>
      </c>
      <c r="H201" s="42" t="s">
        <v>1579</v>
      </c>
      <c r="I201" s="255"/>
      <c r="J201" s="192" t="str">
        <f t="shared" si="14"/>
        <v/>
      </c>
      <c r="K201" s="174">
        <f ca="1">kdeg.water*L205*(L204/BACT.test)*L78</f>
        <v>1.0479944387129061E-20</v>
      </c>
      <c r="L201" s="193">
        <f t="shared" ca="1" si="15"/>
        <v>1.0479944387129061E-20</v>
      </c>
      <c r="M201" s="42" t="s">
        <v>1515</v>
      </c>
      <c r="N201" s="42"/>
      <c r="O201" s="42"/>
    </row>
    <row r="202" spans="1:15" ht="12.75" customHeight="1" x14ac:dyDescent="0.3">
      <c r="A202" s="42"/>
      <c r="B202" s="42"/>
      <c r="C202" s="42" t="s">
        <v>319</v>
      </c>
      <c r="D202" s="38"/>
      <c r="E202" s="38"/>
      <c r="F202" s="38"/>
      <c r="G202" s="63" t="s">
        <v>301</v>
      </c>
      <c r="H202" s="42" t="s">
        <v>724</v>
      </c>
      <c r="I202" s="255"/>
      <c r="J202" s="192" t="str">
        <f t="shared" si="14"/>
        <v/>
      </c>
      <c r="K202" s="174">
        <v>40000</v>
      </c>
      <c r="L202" s="193">
        <f>IF(ISBLANK(I202),IF(ISNUMBER(J202)=FALSE,K202,J202),I202)</f>
        <v>40000</v>
      </c>
      <c r="M202" s="42" t="s">
        <v>1528</v>
      </c>
      <c r="N202" s="42"/>
      <c r="O202" s="42"/>
    </row>
    <row r="203" spans="1:15" ht="12.75" customHeight="1" x14ac:dyDescent="0.3">
      <c r="A203" s="42"/>
      <c r="B203" s="42"/>
      <c r="C203" s="42" t="s">
        <v>579</v>
      </c>
      <c r="D203" s="38"/>
      <c r="E203" s="38"/>
      <c r="F203" s="38"/>
      <c r="G203" s="63" t="s">
        <v>682</v>
      </c>
      <c r="H203" s="42" t="s">
        <v>724</v>
      </c>
      <c r="I203" s="255"/>
      <c r="J203" s="192" t="str">
        <f t="shared" si="14"/>
        <v/>
      </c>
      <c r="K203" s="174">
        <v>40000</v>
      </c>
      <c r="L203" s="193">
        <f t="shared" si="15"/>
        <v>40000</v>
      </c>
      <c r="M203" s="42" t="s">
        <v>1528</v>
      </c>
      <c r="N203" s="42"/>
      <c r="O203" s="42"/>
    </row>
    <row r="204" spans="1:15" ht="12.75" customHeight="1" x14ac:dyDescent="0.3">
      <c r="A204" s="42"/>
      <c r="B204" s="42"/>
      <c r="C204" s="42" t="s">
        <v>1446</v>
      </c>
      <c r="D204" s="38"/>
      <c r="E204" s="38"/>
      <c r="F204" s="38"/>
      <c r="G204" s="63" t="s">
        <v>683</v>
      </c>
      <c r="H204" s="42" t="s">
        <v>724</v>
      </c>
      <c r="I204" s="255"/>
      <c r="J204" s="192" t="str">
        <f t="shared" si="14"/>
        <v/>
      </c>
      <c r="K204" s="174">
        <v>40000</v>
      </c>
      <c r="L204" s="193">
        <f t="shared" si="15"/>
        <v>40000</v>
      </c>
      <c r="M204" s="42" t="s">
        <v>1528</v>
      </c>
      <c r="N204" s="42"/>
      <c r="O204" s="42"/>
    </row>
    <row r="205" spans="1:15" ht="12.75" customHeight="1" x14ac:dyDescent="0.3">
      <c r="A205" s="64"/>
      <c r="B205" s="64"/>
      <c r="C205" s="42" t="s">
        <v>760</v>
      </c>
      <c r="D205" s="38"/>
      <c r="E205" s="38"/>
      <c r="F205" s="38"/>
      <c r="G205" s="43" t="s">
        <v>788</v>
      </c>
      <c r="H205" s="42" t="s">
        <v>28</v>
      </c>
      <c r="I205" s="255"/>
      <c r="J205" s="192" t="str">
        <f t="shared" si="14"/>
        <v/>
      </c>
      <c r="K205" s="174">
        <f ca="1">Q.10^((TEMP.R-298)/10)</f>
        <v>1.0825501797765105</v>
      </c>
      <c r="L205" s="193">
        <f t="shared" ca="1" si="15"/>
        <v>1.0825501797765105</v>
      </c>
      <c r="M205" s="42" t="s">
        <v>477</v>
      </c>
      <c r="N205" s="42"/>
      <c r="O205" s="42"/>
    </row>
    <row r="206" spans="1:15" ht="12.75" customHeight="1" x14ac:dyDescent="0.3">
      <c r="A206" s="42"/>
      <c r="B206" s="42" t="s">
        <v>795</v>
      </c>
      <c r="C206" s="38"/>
      <c r="D206" s="38"/>
      <c r="E206" s="38"/>
      <c r="F206" s="38"/>
      <c r="G206" s="43" t="s">
        <v>1328</v>
      </c>
      <c r="H206" s="42" t="s">
        <v>1579</v>
      </c>
      <c r="I206" s="255"/>
      <c r="J206" s="192" t="str">
        <f t="shared" si="14"/>
        <v/>
      </c>
      <c r="K206" s="174">
        <f ca="1">L205*kdeg.sed</f>
        <v>1.0825501797765103E-20</v>
      </c>
      <c r="L206" s="193">
        <f t="shared" ca="1" si="15"/>
        <v>1.0825501797765103E-20</v>
      </c>
      <c r="M206" s="42" t="s">
        <v>1515</v>
      </c>
      <c r="N206" s="42"/>
      <c r="O206" s="42"/>
    </row>
    <row r="207" spans="1:15" ht="12.75" customHeight="1" x14ac:dyDescent="0.3">
      <c r="A207" s="42"/>
      <c r="B207" s="42" t="s">
        <v>796</v>
      </c>
      <c r="C207" s="38"/>
      <c r="D207" s="38"/>
      <c r="E207" s="38"/>
      <c r="F207" s="38"/>
      <c r="G207" s="43" t="s">
        <v>1329</v>
      </c>
      <c r="H207" s="42" t="s">
        <v>1579</v>
      </c>
      <c r="I207" s="255"/>
      <c r="J207" s="192" t="str">
        <f t="shared" si="14"/>
        <v/>
      </c>
      <c r="K207" s="174">
        <f ca="1">L205*kdeg.sed</f>
        <v>1.0825501797765103E-20</v>
      </c>
      <c r="L207" s="193">
        <f t="shared" ca="1" si="15"/>
        <v>1.0825501797765103E-20</v>
      </c>
      <c r="M207" s="42" t="s">
        <v>1515</v>
      </c>
      <c r="N207" s="42"/>
      <c r="O207" s="42"/>
    </row>
    <row r="208" spans="1:15" ht="12.75" customHeight="1" x14ac:dyDescent="0.3">
      <c r="A208" s="42"/>
      <c r="B208" s="42" t="s">
        <v>797</v>
      </c>
      <c r="C208" s="38"/>
      <c r="D208" s="38"/>
      <c r="E208" s="38"/>
      <c r="F208" s="38"/>
      <c r="G208" s="43" t="s">
        <v>1330</v>
      </c>
      <c r="H208" s="42" t="s">
        <v>1579</v>
      </c>
      <c r="I208" s="255"/>
      <c r="J208" s="192" t="str">
        <f t="shared" si="14"/>
        <v/>
      </c>
      <c r="K208" s="174">
        <f ca="1">L205*kdeg.soil</f>
        <v>1.0825501797765103E-20</v>
      </c>
      <c r="L208" s="193">
        <f t="shared" ca="1" si="15"/>
        <v>1.0825501797765103E-20</v>
      </c>
      <c r="M208" s="42" t="s">
        <v>1515</v>
      </c>
      <c r="N208" s="42"/>
      <c r="O208" s="42"/>
    </row>
    <row r="209" spans="1:15" ht="12.75" customHeight="1" x14ac:dyDescent="0.3">
      <c r="A209" s="42"/>
      <c r="B209" s="42" t="s">
        <v>421</v>
      </c>
      <c r="C209" s="38"/>
      <c r="D209" s="38"/>
      <c r="E209" s="38"/>
      <c r="F209" s="38"/>
      <c r="G209" s="43" t="s">
        <v>1331</v>
      </c>
      <c r="H209" s="42" t="s">
        <v>1579</v>
      </c>
      <c r="I209" s="255"/>
      <c r="J209" s="192" t="str">
        <f t="shared" si="14"/>
        <v/>
      </c>
      <c r="K209" s="174">
        <f ca="1">L205*kdeg.soil</f>
        <v>1.0825501797765103E-20</v>
      </c>
      <c r="L209" s="193">
        <f t="shared" ca="1" si="15"/>
        <v>1.0825501797765103E-20</v>
      </c>
      <c r="M209" s="42" t="s">
        <v>1515</v>
      </c>
      <c r="N209" s="42"/>
      <c r="O209" s="42"/>
    </row>
    <row r="210" spans="1:15" ht="12.75" customHeight="1" x14ac:dyDescent="0.3">
      <c r="A210" s="42"/>
      <c r="B210" s="42" t="s">
        <v>428</v>
      </c>
      <c r="C210" s="38"/>
      <c r="D210" s="38"/>
      <c r="E210" s="38"/>
      <c r="F210" s="38"/>
      <c r="G210" s="43" t="s">
        <v>1332</v>
      </c>
      <c r="H210" s="42" t="s">
        <v>1579</v>
      </c>
      <c r="I210" s="255"/>
      <c r="J210" s="192" t="str">
        <f t="shared" si="14"/>
        <v/>
      </c>
      <c r="K210" s="174">
        <f ca="1">L205*kdeg.soil</f>
        <v>1.0825501797765103E-20</v>
      </c>
      <c r="L210" s="193">
        <f t="shared" ca="1" si="15"/>
        <v>1.0825501797765103E-20</v>
      </c>
      <c r="M210" s="42" t="s">
        <v>1515</v>
      </c>
      <c r="N210" s="42"/>
      <c r="O210" s="42"/>
    </row>
    <row r="211" spans="1:15" ht="12.75" customHeight="1" x14ac:dyDescent="0.3">
      <c r="A211" s="42"/>
      <c r="B211" s="42" t="s">
        <v>1050</v>
      </c>
      <c r="C211" s="38"/>
      <c r="D211" s="38"/>
      <c r="E211" s="38"/>
      <c r="F211" s="38"/>
      <c r="G211" s="63" t="s">
        <v>1219</v>
      </c>
      <c r="H211" s="42" t="s">
        <v>28</v>
      </c>
      <c r="I211" s="409" cm="1">
        <f t="array" aca="1" ref="I211" ca="1">_xll.RiskTriang(0,0.25,0.5,_xll.RiskName(G211))</f>
        <v>0.24653349226413893</v>
      </c>
      <c r="J211" s="192" t="str">
        <f t="shared" si="14"/>
        <v/>
      </c>
      <c r="K211" s="174">
        <f>FRACinf.R</f>
        <v>0.25</v>
      </c>
      <c r="L211" s="193">
        <f t="shared" ref="L211:L216" ca="1" si="16">IF(ISBLANK(I211),IF(ISNUMBER(J211)=FALSE,K211,J211),I211)</f>
        <v>0.24653349226413893</v>
      </c>
      <c r="M211" s="42" t="s">
        <v>477</v>
      </c>
      <c r="N211" s="42"/>
      <c r="O211" s="42"/>
    </row>
    <row r="212" spans="1:15" ht="12.75" customHeight="1" x14ac:dyDescent="0.3">
      <c r="A212" s="42"/>
      <c r="B212" s="42" t="s">
        <v>1051</v>
      </c>
      <c r="C212" s="38"/>
      <c r="D212" s="38"/>
      <c r="E212" s="38"/>
      <c r="F212" s="38"/>
      <c r="G212" s="63" t="s">
        <v>1220</v>
      </c>
      <c r="H212" s="42" t="s">
        <v>28</v>
      </c>
      <c r="I212" s="409" cm="1">
        <f t="array" aca="1" ref="I212" ca="1">_xll.RiskTriang(0,0.25,0.5,_xll.RiskName(G212))</f>
        <v>0.22193795026150184</v>
      </c>
      <c r="J212" s="192" t="str">
        <f t="shared" si="14"/>
        <v/>
      </c>
      <c r="K212" s="174">
        <f>FRACinf.R</f>
        <v>0.25</v>
      </c>
      <c r="L212" s="193">
        <f t="shared" ca="1" si="16"/>
        <v>0.22193795026150184</v>
      </c>
      <c r="M212" s="42" t="s">
        <v>477</v>
      </c>
      <c r="N212" s="42"/>
      <c r="O212" s="42"/>
    </row>
    <row r="213" spans="1:15" ht="12.75" customHeight="1" x14ac:dyDescent="0.3">
      <c r="A213" s="38"/>
      <c r="B213" s="42" t="s">
        <v>578</v>
      </c>
      <c r="C213" s="38"/>
      <c r="D213" s="38"/>
      <c r="E213" s="38"/>
      <c r="F213" s="38"/>
      <c r="G213" s="63" t="s">
        <v>1221</v>
      </c>
      <c r="H213" s="42" t="s">
        <v>28</v>
      </c>
      <c r="I213" s="409" cm="1">
        <f t="array" aca="1" ref="I213" ca="1">_xll.RiskTriang(0,0.25,0.5,_xll.RiskName(G213))</f>
        <v>0.39333150940194711</v>
      </c>
      <c r="J213" s="192" t="str">
        <f t="shared" si="14"/>
        <v/>
      </c>
      <c r="K213" s="174">
        <f>FRACinf.R</f>
        <v>0.25</v>
      </c>
      <c r="L213" s="193">
        <f t="shared" ca="1" si="16"/>
        <v>0.39333150940194711</v>
      </c>
      <c r="M213" s="42" t="s">
        <v>477</v>
      </c>
      <c r="N213" s="42"/>
      <c r="O213" s="42"/>
    </row>
    <row r="214" spans="1:15" ht="12.75" customHeight="1" x14ac:dyDescent="0.3">
      <c r="A214" s="42"/>
      <c r="B214" s="38" t="s">
        <v>1835</v>
      </c>
      <c r="C214" s="38"/>
      <c r="D214" s="64"/>
      <c r="E214" s="64"/>
      <c r="F214" s="64"/>
      <c r="G214" s="43" t="s">
        <v>1497</v>
      </c>
      <c r="H214" s="38" t="s">
        <v>28</v>
      </c>
      <c r="I214" s="253"/>
      <c r="J214" s="192" t="str">
        <f t="shared" si="14"/>
        <v/>
      </c>
      <c r="K214" s="174">
        <f>(EXP((-1/0.1)*0.5)*(1/0.1)*L27/(1-EXP((-1/0.1)*L27)))</f>
        <v>8.5622262133111474E-3</v>
      </c>
      <c r="L214" s="193">
        <f t="shared" si="16"/>
        <v>8.5622262133111474E-3</v>
      </c>
      <c r="M214" s="38" t="s">
        <v>477</v>
      </c>
      <c r="N214" s="42" t="s">
        <v>956</v>
      </c>
      <c r="O214" s="42"/>
    </row>
    <row r="215" spans="1:15" ht="12.75" customHeight="1" x14ac:dyDescent="0.3">
      <c r="A215" s="42"/>
      <c r="B215" s="38" t="s">
        <v>1835</v>
      </c>
      <c r="C215" s="38"/>
      <c r="D215" s="64"/>
      <c r="E215" s="64"/>
      <c r="F215" s="64"/>
      <c r="G215" s="43" t="s">
        <v>1498</v>
      </c>
      <c r="H215" s="38" t="s">
        <v>28</v>
      </c>
      <c r="I215" s="253"/>
      <c r="J215" s="192" t="str">
        <f t="shared" si="14"/>
        <v/>
      </c>
      <c r="K215" s="174">
        <f>(EXP((-1/0.1)*0.5)*(1/0.1)*L28/(1-EXP((-1/0.1)*L28)))</f>
        <v>1.5585109160709019E-2</v>
      </c>
      <c r="L215" s="193">
        <f t="shared" si="16"/>
        <v>1.5585109160709019E-2</v>
      </c>
      <c r="M215" s="38" t="s">
        <v>477</v>
      </c>
      <c r="N215" s="42" t="s">
        <v>956</v>
      </c>
      <c r="O215" s="42"/>
    </row>
    <row r="216" spans="1:15" ht="12.75" customHeight="1" x14ac:dyDescent="0.3">
      <c r="A216" s="42"/>
      <c r="B216" s="38" t="s">
        <v>1835</v>
      </c>
      <c r="C216" s="38"/>
      <c r="D216" s="64"/>
      <c r="E216" s="64"/>
      <c r="F216" s="64"/>
      <c r="G216" s="43" t="s">
        <v>1499</v>
      </c>
      <c r="H216" s="38" t="s">
        <v>28</v>
      </c>
      <c r="I216" s="253"/>
      <c r="J216" s="192" t="str">
        <f t="shared" si="14"/>
        <v/>
      </c>
      <c r="K216" s="174">
        <f>(EXP((-1/0.1)*0.5)*(1/0.1)*L29/(1-EXP((-1/0.1)*L29)))</f>
        <v>8.5622262133111474E-3</v>
      </c>
      <c r="L216" s="193">
        <f t="shared" si="16"/>
        <v>8.5622262133111474E-3</v>
      </c>
      <c r="M216" s="38" t="s">
        <v>477</v>
      </c>
      <c r="N216" s="42" t="s">
        <v>956</v>
      </c>
      <c r="O216" s="42"/>
    </row>
    <row r="217" spans="1:15" ht="12.75" customHeight="1" x14ac:dyDescent="0.3">
      <c r="A217" s="76"/>
      <c r="B217" s="76"/>
      <c r="C217" s="76"/>
      <c r="D217" s="76"/>
      <c r="E217" s="76"/>
      <c r="F217" s="76"/>
      <c r="G217" s="71"/>
      <c r="H217" s="71"/>
      <c r="I217" s="178"/>
      <c r="J217" s="198"/>
      <c r="K217" s="199"/>
      <c r="L217" s="199"/>
      <c r="M217" s="76"/>
      <c r="N217" s="71"/>
      <c r="O217" s="42"/>
    </row>
    <row r="218" spans="1:15" ht="12.75" customHeight="1" x14ac:dyDescent="0.3">
      <c r="A218" s="38"/>
      <c r="B218" s="38"/>
      <c r="C218" s="38"/>
      <c r="D218" s="38"/>
      <c r="E218" s="38"/>
      <c r="F218" s="38"/>
      <c r="G218" s="42"/>
      <c r="H218" s="42"/>
      <c r="I218" s="162"/>
      <c r="J218" s="331"/>
      <c r="K218" s="175"/>
      <c r="L218" s="175"/>
      <c r="M218" s="38"/>
      <c r="N218" s="42"/>
      <c r="O218" s="42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:I29 I61 I63:I65 I67:I71 I73:I77 L124:L125 K126:L1048576 K1:L123 I160:I161 I163:I167 I170:I176 I180:I210 I214:I1048576 I79:I158 I32:I59">
    <cfRule type="cellIs" dxfId="142" priority="121" operator="equal">
      <formula>0</formula>
    </cfRule>
  </conditionalFormatting>
  <conditionalFormatting sqref="J1:J1048576">
    <cfRule type="expression" dxfId="141" priority="118">
      <formula>"HLOOKUP(CaseName,CaseData,ROW()+157,FALSE)&lt;&gt;"""""</formula>
    </cfRule>
  </conditionalFormatting>
  <conditionalFormatting sqref="I30:I31">
    <cfRule type="cellIs" dxfId="140" priority="117" operator="equal">
      <formula>0</formula>
    </cfRule>
  </conditionalFormatting>
  <conditionalFormatting sqref="I60">
    <cfRule type="cellIs" dxfId="139" priority="109" operator="equal">
      <formula>0</formula>
    </cfRule>
  </conditionalFormatting>
  <conditionalFormatting sqref="I62">
    <cfRule type="cellIs" dxfId="138" priority="108" operator="equal">
      <formula>0</formula>
    </cfRule>
  </conditionalFormatting>
  <conditionalFormatting sqref="I66">
    <cfRule type="cellIs" dxfId="137" priority="107" operator="equal">
      <formula>0</formula>
    </cfRule>
  </conditionalFormatting>
  <conditionalFormatting sqref="I72">
    <cfRule type="cellIs" dxfId="136" priority="106" operator="equal">
      <formula>0</formula>
    </cfRule>
  </conditionalFormatting>
  <conditionalFormatting sqref="I78">
    <cfRule type="cellIs" dxfId="135" priority="105" operator="equal">
      <formula>0</formula>
    </cfRule>
  </conditionalFormatting>
  <conditionalFormatting sqref="I121">
    <cfRule type="cellIs" dxfId="134" priority="104" operator="equal">
      <formula>0</formula>
    </cfRule>
  </conditionalFormatting>
  <conditionalFormatting sqref="I127:I128">
    <cfRule type="cellIs" dxfId="133" priority="103" operator="equal">
      <formula>0</formula>
    </cfRule>
  </conditionalFormatting>
  <conditionalFormatting sqref="I159">
    <cfRule type="cellIs" dxfId="132" priority="35" operator="equal">
      <formula>0</formula>
    </cfRule>
  </conditionalFormatting>
  <conditionalFormatting sqref="I162">
    <cfRule type="cellIs" dxfId="131" priority="31" operator="equal">
      <formula>0</formula>
    </cfRule>
  </conditionalFormatting>
  <conditionalFormatting sqref="I25 I33 I36 I39 I41 I74:I75 I86 I94 I99 I104 I129:I130 I159 I162 I168:I169 I174:I179 I211:I213">
    <cfRule type="expression" dxfId="130" priority="122" stopIfTrue="1">
      <formula>RiskColorCellsSimOutput</formula>
    </cfRule>
    <cfRule type="expression" dxfId="129" priority="123" stopIfTrue="1">
      <formula>RiskColorCellsSimInput</formula>
    </cfRule>
    <cfRule type="expression" dxfId="128" priority="124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7" transitionEvaluation="1" transitionEntry="1" codeName="Sheet3"/>
  <dimension ref="A1:Q224"/>
  <sheetViews>
    <sheetView topLeftCell="A17" zoomScale="85" zoomScaleNormal="85" workbookViewId="0">
      <selection activeCell="I25" sqref="I25"/>
    </sheetView>
  </sheetViews>
  <sheetFormatPr defaultColWidth="10.59765625" defaultRowHeight="12.75" customHeight="1" x14ac:dyDescent="0.3"/>
  <cols>
    <col min="1" max="5" width="1.59765625" customWidth="1"/>
    <col min="6" max="6" width="60.59765625" customWidth="1"/>
    <col min="7" max="7" width="22.59765625" customWidth="1"/>
    <col min="8" max="8" width="10.59765625" customWidth="1"/>
    <col min="9" max="9" width="9.09765625" style="201" customWidth="1"/>
    <col min="10" max="12" width="9.09765625" style="180" customWidth="1"/>
    <col min="13" max="13" width="9.09765625" customWidth="1"/>
    <col min="14" max="14" width="83" bestFit="1" customWidth="1"/>
    <col min="15" max="15" width="2.59765625" customWidth="1"/>
    <col min="16" max="17" width="10.59765625" style="307"/>
    <col min="18" max="16384" width="10.59765625" style="36"/>
  </cols>
  <sheetData>
    <row r="1" spans="1:17" ht="12.75" customHeight="1" x14ac:dyDescent="0.3">
      <c r="A1" s="52" t="s">
        <v>441</v>
      </c>
      <c r="B1" s="38"/>
      <c r="C1" s="38"/>
      <c r="D1" s="38"/>
      <c r="E1" s="38"/>
      <c r="F1" s="38"/>
      <c r="G1" s="42"/>
      <c r="H1" s="38"/>
      <c r="I1" s="200"/>
      <c r="J1" s="175"/>
      <c r="K1" s="175"/>
      <c r="L1" s="175"/>
      <c r="M1" s="38"/>
      <c r="N1" s="38"/>
      <c r="O1" s="38"/>
    </row>
    <row r="2" spans="1:17" ht="12.75" customHeight="1" x14ac:dyDescent="0.3">
      <c r="A2" s="65"/>
      <c r="B2" s="38"/>
      <c r="C2" s="38"/>
      <c r="D2" s="38"/>
      <c r="E2" s="38"/>
      <c r="F2" s="38"/>
      <c r="G2" s="38"/>
      <c r="H2" s="38"/>
      <c r="I2" s="200"/>
      <c r="J2" s="175"/>
      <c r="K2" s="175"/>
      <c r="L2" s="175"/>
      <c r="M2" s="38"/>
      <c r="N2" s="38"/>
      <c r="O2" s="42"/>
    </row>
    <row r="3" spans="1:17" customFormat="1" ht="12.75" customHeight="1" x14ac:dyDescent="0.3">
      <c r="A3" s="66" t="s">
        <v>1305</v>
      </c>
      <c r="B3" s="66"/>
      <c r="C3" s="66"/>
      <c r="D3" s="66"/>
      <c r="E3" s="66"/>
      <c r="F3" s="66"/>
      <c r="G3" s="67" t="s">
        <v>969</v>
      </c>
      <c r="H3" s="67" t="s">
        <v>929</v>
      </c>
      <c r="I3" s="189" t="s">
        <v>748</v>
      </c>
      <c r="J3" s="163" t="s">
        <v>29</v>
      </c>
      <c r="K3" s="163" t="s">
        <v>747</v>
      </c>
      <c r="L3" s="163" t="s">
        <v>1353</v>
      </c>
      <c r="M3" s="66"/>
      <c r="N3" s="67" t="s">
        <v>1366</v>
      </c>
      <c r="O3" s="42"/>
      <c r="P3" s="308"/>
      <c r="Q3" s="308"/>
    </row>
    <row r="4" spans="1:17" ht="12.75" customHeight="1" x14ac:dyDescent="0.3">
      <c r="A4" s="38"/>
      <c r="B4" s="38"/>
      <c r="C4" s="42"/>
      <c r="D4" s="42"/>
      <c r="E4" s="38"/>
      <c r="F4" s="38"/>
      <c r="G4" s="38"/>
      <c r="H4" s="38"/>
      <c r="I4" s="309"/>
      <c r="J4" s="175"/>
      <c r="K4" s="175"/>
      <c r="L4" s="175"/>
      <c r="M4" s="38"/>
      <c r="N4" s="38"/>
      <c r="O4" s="42"/>
    </row>
    <row r="5" spans="1:17" ht="12.75" customHeight="1" x14ac:dyDescent="0.3">
      <c r="A5" s="42" t="s">
        <v>1082</v>
      </c>
      <c r="B5" s="38"/>
      <c r="C5" s="38"/>
      <c r="D5" s="38"/>
      <c r="E5" s="38"/>
      <c r="F5" s="38"/>
      <c r="G5" s="43" t="s">
        <v>1432</v>
      </c>
      <c r="H5" s="38" t="s">
        <v>1804</v>
      </c>
      <c r="I5" s="252"/>
      <c r="J5" s="296" t="str">
        <f t="shared" ref="J5:J42" si="0">IF(HLOOKUP(CaseName,CaseData,ROW()+376,FALSE)="","",HLOOKUP(CaseName,CaseData,ROW()+376,FALSE))</f>
        <v/>
      </c>
      <c r="K5" s="174">
        <f ca="1">L14*L21</f>
        <v>2132506253807144</v>
      </c>
      <c r="L5" s="193">
        <f ca="1">IF(ISBLANK(I5),IF(ISNUMBER(J5)=FALSE,K5,J5),I5)</f>
        <v>2132506253807144</v>
      </c>
      <c r="M5" s="42" t="s">
        <v>1523</v>
      </c>
      <c r="N5" s="38"/>
      <c r="O5" s="42"/>
    </row>
    <row r="6" spans="1:17" ht="12.75" customHeight="1" x14ac:dyDescent="0.3">
      <c r="A6" s="42" t="s">
        <v>276</v>
      </c>
      <c r="B6" s="38"/>
      <c r="C6" s="38"/>
      <c r="D6" s="38"/>
      <c r="E6" s="38"/>
      <c r="F6" s="38"/>
      <c r="G6" s="43" t="s">
        <v>320</v>
      </c>
      <c r="H6" s="42" t="s">
        <v>1804</v>
      </c>
      <c r="I6" s="255"/>
      <c r="J6" s="296" t="str">
        <f t="shared" si="0"/>
        <v/>
      </c>
      <c r="K6" s="174">
        <f>L14*L15*L22</f>
        <v>1058313750000</v>
      </c>
      <c r="L6" s="193">
        <f>IF(ISBLANK(I6),IF(ISNUMBER(J6)=FALSE,K6,J6),I6)</f>
        <v>1058313750000</v>
      </c>
      <c r="M6" s="42" t="s">
        <v>1523</v>
      </c>
      <c r="N6" s="38"/>
      <c r="O6" s="42"/>
    </row>
    <row r="7" spans="1:17" ht="12.75" customHeight="1" x14ac:dyDescent="0.3">
      <c r="A7" s="42" t="s">
        <v>702</v>
      </c>
      <c r="B7" s="38"/>
      <c r="C7" s="38"/>
      <c r="D7" s="38"/>
      <c r="E7" s="38"/>
      <c r="F7" s="38"/>
      <c r="G7" s="43" t="s">
        <v>1433</v>
      </c>
      <c r="H7" s="38" t="s">
        <v>1804</v>
      </c>
      <c r="I7" s="252"/>
      <c r="J7" s="296" t="str">
        <f t="shared" si="0"/>
        <v/>
      </c>
      <c r="K7" s="174">
        <f ca="1">L14*L16*L23</f>
        <v>359572981277.32349</v>
      </c>
      <c r="L7" s="193">
        <f t="shared" ref="L7:L42" ca="1" si="1">IF(ISBLANK(I7),IF(ISNUMBER(J7)=FALSE,K7,J7),I7)</f>
        <v>359572981277.32349</v>
      </c>
      <c r="M7" s="42" t="s">
        <v>1523</v>
      </c>
      <c r="N7" s="38"/>
      <c r="O7" s="42"/>
    </row>
    <row r="8" spans="1:17" ht="12.75" customHeight="1" x14ac:dyDescent="0.3">
      <c r="A8" s="42" t="s">
        <v>703</v>
      </c>
      <c r="B8" s="38"/>
      <c r="C8" s="38"/>
      <c r="D8" s="38"/>
      <c r="E8" s="38"/>
      <c r="F8" s="38"/>
      <c r="G8" s="43" t="s">
        <v>1434</v>
      </c>
      <c r="H8" s="38" t="s">
        <v>1804</v>
      </c>
      <c r="I8" s="252"/>
      <c r="J8" s="296" t="str">
        <f t="shared" si="0"/>
        <v/>
      </c>
      <c r="K8" s="174">
        <f>L14*L20*L24</f>
        <v>846607000000000.13</v>
      </c>
      <c r="L8" s="193">
        <f t="shared" si="1"/>
        <v>846607000000000.13</v>
      </c>
      <c r="M8" s="42" t="s">
        <v>1523</v>
      </c>
      <c r="N8" s="38"/>
      <c r="O8" s="42"/>
    </row>
    <row r="9" spans="1:17" ht="12.75" customHeight="1" x14ac:dyDescent="0.3">
      <c r="A9" s="42" t="s">
        <v>704</v>
      </c>
      <c r="B9" s="38"/>
      <c r="C9" s="38"/>
      <c r="D9" s="38"/>
      <c r="E9" s="38"/>
      <c r="F9" s="38"/>
      <c r="G9" s="43" t="s">
        <v>1435</v>
      </c>
      <c r="H9" s="38" t="s">
        <v>1804</v>
      </c>
      <c r="I9" s="252"/>
      <c r="J9" s="296" t="str">
        <f t="shared" si="0"/>
        <v/>
      </c>
      <c r="K9" s="174">
        <f ca="1">L14*L16*L25</f>
        <v>4470106284.6100712</v>
      </c>
      <c r="L9" s="193">
        <f t="shared" ca="1" si="1"/>
        <v>4470106284.6100712</v>
      </c>
      <c r="M9" s="42" t="s">
        <v>1523</v>
      </c>
      <c r="N9" s="38"/>
      <c r="O9" s="42"/>
    </row>
    <row r="10" spans="1:17" ht="12.75" customHeight="1" x14ac:dyDescent="0.3">
      <c r="A10" s="42" t="s">
        <v>705</v>
      </c>
      <c r="B10" s="38"/>
      <c r="C10" s="38"/>
      <c r="D10" s="38"/>
      <c r="E10" s="38"/>
      <c r="F10" s="38"/>
      <c r="G10" s="43" t="s">
        <v>1436</v>
      </c>
      <c r="H10" s="38" t="s">
        <v>1804</v>
      </c>
      <c r="I10" s="252"/>
      <c r="J10" s="296" t="str">
        <f t="shared" si="0"/>
        <v/>
      </c>
      <c r="K10" s="174">
        <f ca="1">L14*L20*L26</f>
        <v>202417612343.00949</v>
      </c>
      <c r="L10" s="193">
        <f t="shared" ca="1" si="1"/>
        <v>202417612343.00949</v>
      </c>
      <c r="M10" s="42" t="s">
        <v>1523</v>
      </c>
      <c r="N10" s="38"/>
      <c r="O10" s="42"/>
    </row>
    <row r="11" spans="1:17" ht="12.75" customHeight="1" x14ac:dyDescent="0.3">
      <c r="A11" s="42" t="s">
        <v>706</v>
      </c>
      <c r="B11" s="38"/>
      <c r="C11" s="38"/>
      <c r="D11" s="38"/>
      <c r="E11" s="38"/>
      <c r="F11" s="38"/>
      <c r="G11" s="43" t="s">
        <v>1437</v>
      </c>
      <c r="H11" s="38" t="s">
        <v>1804</v>
      </c>
      <c r="I11" s="252"/>
      <c r="J11" s="296" t="str">
        <f t="shared" si="0"/>
        <v/>
      </c>
      <c r="K11" s="174">
        <f>L14*L17*L27</f>
        <v>57148942500</v>
      </c>
      <c r="L11" s="193">
        <f t="shared" si="1"/>
        <v>57148942500</v>
      </c>
      <c r="M11" s="42" t="s">
        <v>1523</v>
      </c>
      <c r="N11" s="38"/>
      <c r="O11" s="42"/>
    </row>
    <row r="12" spans="1:17" ht="12.75" customHeight="1" x14ac:dyDescent="0.3">
      <c r="A12" s="42" t="s">
        <v>707</v>
      </c>
      <c r="B12" s="38"/>
      <c r="C12" s="38"/>
      <c r="D12" s="38"/>
      <c r="E12" s="38"/>
      <c r="F12" s="38"/>
      <c r="G12" s="43" t="s">
        <v>1438</v>
      </c>
      <c r="H12" s="38" t="s">
        <v>1804</v>
      </c>
      <c r="I12" s="252"/>
      <c r="J12" s="296" t="str">
        <f t="shared" si="0"/>
        <v/>
      </c>
      <c r="K12" s="174">
        <f>L14*L18*L28</f>
        <v>507990600000</v>
      </c>
      <c r="L12" s="193">
        <f t="shared" si="1"/>
        <v>507990600000</v>
      </c>
      <c r="M12" s="42" t="s">
        <v>1523</v>
      </c>
      <c r="N12" s="38"/>
      <c r="O12" s="42"/>
    </row>
    <row r="13" spans="1:17" ht="12.75" customHeight="1" x14ac:dyDescent="0.3">
      <c r="A13" s="42" t="s">
        <v>202</v>
      </c>
      <c r="B13" s="38"/>
      <c r="C13" s="38"/>
      <c r="D13" s="38"/>
      <c r="E13" s="38"/>
      <c r="F13" s="38"/>
      <c r="G13" s="43" t="s">
        <v>1439</v>
      </c>
      <c r="H13" s="38" t="s">
        <v>1804</v>
      </c>
      <c r="I13" s="252"/>
      <c r="J13" s="296" t="str">
        <f t="shared" si="0"/>
        <v/>
      </c>
      <c r="K13" s="174">
        <f>L14*L19*L29</f>
        <v>21166275000</v>
      </c>
      <c r="L13" s="193">
        <f t="shared" si="1"/>
        <v>21166275000</v>
      </c>
      <c r="M13" s="42" t="s">
        <v>1523</v>
      </c>
      <c r="N13" s="38"/>
      <c r="O13" s="42"/>
    </row>
    <row r="14" spans="1:17" ht="12.75" customHeight="1" x14ac:dyDescent="0.3">
      <c r="A14" s="42"/>
      <c r="B14" s="64" t="s">
        <v>1351</v>
      </c>
      <c r="C14" s="38"/>
      <c r="D14" s="38"/>
      <c r="E14" s="38"/>
      <c r="F14" s="38"/>
      <c r="G14" s="43" t="s">
        <v>1392</v>
      </c>
      <c r="H14" s="38" t="s">
        <v>1805</v>
      </c>
      <c r="I14" s="252"/>
      <c r="J14" s="296" t="str">
        <f t="shared" si="0"/>
        <v/>
      </c>
      <c r="K14" s="174">
        <f>(AREAland.C+AREAsea.C-SYSTEMAREA.R)/1000000</f>
        <v>8466290</v>
      </c>
      <c r="L14" s="193">
        <f>IF(ISBLANK(I14),IF(ISNUMBER(J14)=FALSE,K14*1000000,J14*1000000),I14*1000000)</f>
        <v>8466290000000</v>
      </c>
      <c r="M14" s="42" t="s">
        <v>1519</v>
      </c>
      <c r="N14" s="38"/>
      <c r="O14" s="42"/>
    </row>
    <row r="15" spans="1:17" ht="12.75" customHeight="1" x14ac:dyDescent="0.3">
      <c r="A15" s="42"/>
      <c r="B15" s="42" t="s">
        <v>278</v>
      </c>
      <c r="C15" s="38"/>
      <c r="D15" s="38"/>
      <c r="E15" s="38"/>
      <c r="F15" s="38"/>
      <c r="G15" s="63" t="s">
        <v>321</v>
      </c>
      <c r="H15" s="42" t="s">
        <v>28</v>
      </c>
      <c r="I15" s="252"/>
      <c r="J15" s="296" t="str">
        <f t="shared" si="0"/>
        <v/>
      </c>
      <c r="K15" s="174">
        <f>AREAland.C*FRAClake.C/L14</f>
        <v>1.2500324817600152E-3</v>
      </c>
      <c r="L15" s="193">
        <f>IF(ISBLANK(I15),IF(ISNUMBER(J15)=FALSE,K15,J15),I15)</f>
        <v>1.2500324817600152E-3</v>
      </c>
      <c r="M15" s="38" t="s">
        <v>477</v>
      </c>
      <c r="N15" s="38"/>
      <c r="O15" s="42"/>
    </row>
    <row r="16" spans="1:17" ht="12.75" customHeight="1" x14ac:dyDescent="0.3">
      <c r="A16" s="42"/>
      <c r="B16" s="42" t="s">
        <v>1084</v>
      </c>
      <c r="C16" s="38"/>
      <c r="D16" s="38"/>
      <c r="E16" s="38"/>
      <c r="F16" s="38"/>
      <c r="G16" s="63" t="s">
        <v>1442</v>
      </c>
      <c r="H16" s="38" t="s">
        <v>28</v>
      </c>
      <c r="I16" s="252"/>
      <c r="J16" s="296" t="str">
        <f t="shared" si="0"/>
        <v/>
      </c>
      <c r="K16" s="174">
        <f>AREAland.C*FRACfresh.C/L14</f>
        <v>1.3750357299360168E-2</v>
      </c>
      <c r="L16" s="193">
        <f t="shared" si="1"/>
        <v>1.3750357299360168E-2</v>
      </c>
      <c r="M16" s="38" t="s">
        <v>477</v>
      </c>
      <c r="N16" s="38"/>
      <c r="O16" s="42"/>
    </row>
    <row r="17" spans="1:15" ht="12.75" customHeight="1" x14ac:dyDescent="0.3">
      <c r="A17" s="42"/>
      <c r="B17" s="42" t="s">
        <v>1086</v>
      </c>
      <c r="C17" s="38"/>
      <c r="D17" s="38"/>
      <c r="E17" s="38"/>
      <c r="F17" s="38"/>
      <c r="G17" s="63" t="s">
        <v>1444</v>
      </c>
      <c r="H17" s="38" t="s">
        <v>28</v>
      </c>
      <c r="I17" s="252"/>
      <c r="J17" s="296" t="str">
        <f t="shared" si="0"/>
        <v/>
      </c>
      <c r="K17" s="174">
        <f>AREAland.C*FRACnatsoil.C/L14</f>
        <v>0.13500350803008165</v>
      </c>
      <c r="L17" s="193">
        <f t="shared" si="1"/>
        <v>0.13500350803008165</v>
      </c>
      <c r="M17" s="38" t="s">
        <v>477</v>
      </c>
      <c r="N17" s="38"/>
      <c r="O17" s="42"/>
    </row>
    <row r="18" spans="1:15" ht="12.75" customHeight="1" x14ac:dyDescent="0.3">
      <c r="A18" s="42"/>
      <c r="B18" s="42" t="s">
        <v>858</v>
      </c>
      <c r="C18" s="38"/>
      <c r="D18" s="38"/>
      <c r="E18" s="38"/>
      <c r="F18" s="38"/>
      <c r="G18" s="63" t="s">
        <v>1292</v>
      </c>
      <c r="H18" s="38" t="s">
        <v>28</v>
      </c>
      <c r="I18" s="252"/>
      <c r="J18" s="296" t="str">
        <f t="shared" si="0"/>
        <v/>
      </c>
      <c r="K18" s="174">
        <f>AREAland.C*FRACagsoil.C/L14</f>
        <v>0.30000779562240365</v>
      </c>
      <c r="L18" s="193">
        <f t="shared" si="1"/>
        <v>0.30000779562240365</v>
      </c>
      <c r="M18" s="38" t="s">
        <v>477</v>
      </c>
      <c r="N18" s="38"/>
      <c r="O18" s="42"/>
    </row>
    <row r="19" spans="1:15" ht="12.75" customHeight="1" x14ac:dyDescent="0.3">
      <c r="A19" s="42"/>
      <c r="B19" s="42" t="s">
        <v>859</v>
      </c>
      <c r="C19" s="38"/>
      <c r="D19" s="38"/>
      <c r="E19" s="38"/>
      <c r="F19" s="38"/>
      <c r="G19" s="63" t="s">
        <v>843</v>
      </c>
      <c r="H19" s="38" t="s">
        <v>28</v>
      </c>
      <c r="I19" s="252"/>
      <c r="J19" s="296" t="str">
        <f t="shared" si="0"/>
        <v/>
      </c>
      <c r="K19" s="174">
        <f>AREAland.C*FRACothersoil.C/L14</f>
        <v>5.0001299270400611E-2</v>
      </c>
      <c r="L19" s="193">
        <f t="shared" si="1"/>
        <v>5.0001299270400611E-2</v>
      </c>
      <c r="M19" s="38" t="s">
        <v>477</v>
      </c>
      <c r="N19" s="38"/>
      <c r="O19" s="42"/>
    </row>
    <row r="20" spans="1:15" ht="12.75" customHeight="1" x14ac:dyDescent="0.3">
      <c r="A20" s="42"/>
      <c r="B20" s="42" t="s">
        <v>1085</v>
      </c>
      <c r="C20" s="38"/>
      <c r="D20" s="38"/>
      <c r="E20" s="38"/>
      <c r="F20" s="38"/>
      <c r="G20" s="63" t="s">
        <v>1443</v>
      </c>
      <c r="H20" s="38" t="s">
        <v>28</v>
      </c>
      <c r="I20" s="252"/>
      <c r="J20" s="296" t="str">
        <f t="shared" si="0"/>
        <v/>
      </c>
      <c r="K20" s="174">
        <f>1-L15-L16-L17-L18-L19</f>
        <v>0.49998700729599393</v>
      </c>
      <c r="L20" s="193">
        <f t="shared" si="1"/>
        <v>0.49998700729599393</v>
      </c>
      <c r="M20" s="38" t="s">
        <v>477</v>
      </c>
      <c r="N20" s="38"/>
      <c r="O20" s="42"/>
    </row>
    <row r="21" spans="1:15" ht="12.75" customHeight="1" x14ac:dyDescent="0.3">
      <c r="A21" s="42"/>
      <c r="B21" s="38"/>
      <c r="C21" s="42" t="s">
        <v>761</v>
      </c>
      <c r="D21" s="64"/>
      <c r="E21" s="64"/>
      <c r="F21" s="38"/>
      <c r="G21" s="63" t="s">
        <v>103</v>
      </c>
      <c r="H21" s="38" t="s">
        <v>713</v>
      </c>
      <c r="I21" s="252">
        <f ca="1">Correlations!B5</f>
        <v>251.88202315384237</v>
      </c>
      <c r="J21" s="296" t="str">
        <f t="shared" si="0"/>
        <v/>
      </c>
      <c r="K21" s="174">
        <v>1000</v>
      </c>
      <c r="L21" s="193">
        <f t="shared" ca="1" si="1"/>
        <v>251.88202315384237</v>
      </c>
      <c r="M21" s="42" t="s">
        <v>714</v>
      </c>
      <c r="N21" s="38"/>
      <c r="O21" s="42"/>
    </row>
    <row r="22" spans="1:15" ht="12.75" customHeight="1" x14ac:dyDescent="0.3">
      <c r="A22" s="42"/>
      <c r="B22" s="38"/>
      <c r="C22" s="42" t="s">
        <v>280</v>
      </c>
      <c r="D22" s="64"/>
      <c r="E22" s="64"/>
      <c r="F22" s="38"/>
      <c r="G22" s="63" t="s">
        <v>322</v>
      </c>
      <c r="H22" s="42" t="s">
        <v>713</v>
      </c>
      <c r="I22" s="252"/>
      <c r="J22" s="296" t="str">
        <f t="shared" si="0"/>
        <v/>
      </c>
      <c r="K22" s="174">
        <f>DEPTHlake.C</f>
        <v>100</v>
      </c>
      <c r="L22" s="193">
        <f>IF(ISBLANK(I22),IF(ISNUMBER(J22)=FALSE,K22,J22),I22)</f>
        <v>100</v>
      </c>
      <c r="M22" s="42" t="s">
        <v>714</v>
      </c>
      <c r="N22" s="38"/>
      <c r="O22" s="42"/>
    </row>
    <row r="23" spans="1:15" ht="12.75" customHeight="1" x14ac:dyDescent="0.3">
      <c r="A23" s="42"/>
      <c r="B23" s="38"/>
      <c r="C23" s="42" t="s">
        <v>762</v>
      </c>
      <c r="D23" s="64"/>
      <c r="E23" s="64"/>
      <c r="F23" s="38"/>
      <c r="G23" s="63" t="s">
        <v>104</v>
      </c>
      <c r="H23" s="38" t="s">
        <v>713</v>
      </c>
      <c r="I23" s="252"/>
      <c r="J23" s="296" t="str">
        <f t="shared" si="0"/>
        <v/>
      </c>
      <c r="K23" s="174">
        <f ca="1">DEPTHfreshwater.C</f>
        <v>3.0887298632747657</v>
      </c>
      <c r="L23" s="193">
        <f t="shared" ca="1" si="1"/>
        <v>3.0887298632747657</v>
      </c>
      <c r="M23" s="42" t="s">
        <v>714</v>
      </c>
      <c r="N23" s="38"/>
      <c r="O23" s="42"/>
    </row>
    <row r="24" spans="1:15" ht="12.75" customHeight="1" x14ac:dyDescent="0.3">
      <c r="A24" s="42"/>
      <c r="B24" s="38"/>
      <c r="C24" s="42" t="s">
        <v>763</v>
      </c>
      <c r="D24" s="64"/>
      <c r="E24" s="64"/>
      <c r="F24" s="38"/>
      <c r="G24" s="63" t="s">
        <v>460</v>
      </c>
      <c r="H24" s="38" t="s">
        <v>713</v>
      </c>
      <c r="I24" s="252"/>
      <c r="J24" s="296" t="str">
        <f t="shared" si="0"/>
        <v/>
      </c>
      <c r="K24" s="174">
        <v>200</v>
      </c>
      <c r="L24" s="193">
        <f t="shared" si="1"/>
        <v>200</v>
      </c>
      <c r="M24" s="42" t="s">
        <v>714</v>
      </c>
      <c r="N24" s="38"/>
      <c r="O24" s="42"/>
    </row>
    <row r="25" spans="1:15" ht="12.75" customHeight="1" x14ac:dyDescent="0.3">
      <c r="A25" s="42"/>
      <c r="B25" s="38"/>
      <c r="C25" s="42" t="s">
        <v>764</v>
      </c>
      <c r="D25" s="64"/>
      <c r="E25" s="64"/>
      <c r="F25" s="38"/>
      <c r="G25" s="63" t="s">
        <v>461</v>
      </c>
      <c r="H25" s="38" t="s">
        <v>715</v>
      </c>
      <c r="I25" s="252" cm="1">
        <f t="array" aca="1" ref="I25" ca="1">_xll.RiskTriang(1,3,10,_xll.RiskName(G25))</f>
        <v>3.8398187550801031</v>
      </c>
      <c r="J25" s="296" t="str">
        <f t="shared" si="0"/>
        <v/>
      </c>
      <c r="K25" s="174">
        <v>3</v>
      </c>
      <c r="L25" s="193">
        <f ca="1">IF(ISBLANK(I25),IF(ISNUMBER(J25)=FALSE,K25/100,J25/100),I25/100)</f>
        <v>3.839818755080103E-2</v>
      </c>
      <c r="M25" s="38" t="s">
        <v>714</v>
      </c>
      <c r="N25" s="38"/>
      <c r="O25" s="42"/>
    </row>
    <row r="26" spans="1:15" ht="12.75" customHeight="1" x14ac:dyDescent="0.3">
      <c r="A26" s="42"/>
      <c r="B26" s="38"/>
      <c r="C26" s="42" t="s">
        <v>568</v>
      </c>
      <c r="D26" s="64"/>
      <c r="E26" s="64"/>
      <c r="F26" s="38"/>
      <c r="G26" s="63" t="s">
        <v>462</v>
      </c>
      <c r="H26" s="38" t="s">
        <v>715</v>
      </c>
      <c r="I26" s="252" cm="1">
        <f t="array" aca="1" ref="I26" ca="1">_xll.RiskTriang(1,3,10,_xll.RiskName(G26))</f>
        <v>4.7818553908250099</v>
      </c>
      <c r="J26" s="296" t="str">
        <f t="shared" si="0"/>
        <v/>
      </c>
      <c r="K26" s="174">
        <v>3</v>
      </c>
      <c r="L26" s="193">
        <f ca="1">IF(ISBLANK(I26),IF(ISNUMBER(J26)=FALSE,K26/100,J26/100),I26/100)</f>
        <v>4.78185539082501E-2</v>
      </c>
      <c r="M26" s="38" t="s">
        <v>714</v>
      </c>
      <c r="N26" s="38"/>
      <c r="O26" s="42"/>
    </row>
    <row r="27" spans="1:15" ht="12.75" customHeight="1" x14ac:dyDescent="0.3">
      <c r="A27" s="42"/>
      <c r="B27" s="38"/>
      <c r="C27" s="42" t="s">
        <v>1938</v>
      </c>
      <c r="D27" s="64"/>
      <c r="E27" s="64"/>
      <c r="F27" s="38"/>
      <c r="G27" s="63" t="s">
        <v>1350</v>
      </c>
      <c r="H27" s="38" t="s">
        <v>713</v>
      </c>
      <c r="I27" s="255"/>
      <c r="J27" s="296" t="str">
        <f t="shared" si="0"/>
        <v/>
      </c>
      <c r="K27" s="174">
        <v>0.05</v>
      </c>
      <c r="L27" s="193">
        <f t="shared" si="1"/>
        <v>0.05</v>
      </c>
      <c r="M27" s="38" t="s">
        <v>714</v>
      </c>
      <c r="N27" s="38"/>
      <c r="O27" s="42"/>
    </row>
    <row r="28" spans="1:15" ht="12.75" customHeight="1" x14ac:dyDescent="0.3">
      <c r="A28" s="42"/>
      <c r="B28" s="38"/>
      <c r="C28" s="42" t="s">
        <v>1966</v>
      </c>
      <c r="D28" s="64"/>
      <c r="E28" s="64"/>
      <c r="F28" s="38"/>
      <c r="G28" s="63" t="s">
        <v>463</v>
      </c>
      <c r="H28" s="38" t="s">
        <v>713</v>
      </c>
      <c r="I28" s="255"/>
      <c r="J28" s="296" t="str">
        <f t="shared" si="0"/>
        <v/>
      </c>
      <c r="K28" s="174">
        <v>0.2</v>
      </c>
      <c r="L28" s="193">
        <f t="shared" si="1"/>
        <v>0.2</v>
      </c>
      <c r="M28" s="38" t="s">
        <v>714</v>
      </c>
      <c r="N28" s="38"/>
      <c r="O28" s="42"/>
    </row>
    <row r="29" spans="1:15" ht="12.75" customHeight="1" x14ac:dyDescent="0.3">
      <c r="A29" s="42"/>
      <c r="B29" s="38"/>
      <c r="C29" s="42" t="s">
        <v>1940</v>
      </c>
      <c r="D29" s="64"/>
      <c r="E29" s="64"/>
      <c r="F29" s="38"/>
      <c r="G29" s="63" t="s">
        <v>769</v>
      </c>
      <c r="H29" s="38" t="s">
        <v>713</v>
      </c>
      <c r="I29" s="255"/>
      <c r="J29" s="296" t="str">
        <f t="shared" si="0"/>
        <v/>
      </c>
      <c r="K29" s="174">
        <v>0.05</v>
      </c>
      <c r="L29" s="193">
        <f t="shared" si="1"/>
        <v>0.05</v>
      </c>
      <c r="M29" s="38" t="s">
        <v>714</v>
      </c>
      <c r="N29" s="38"/>
      <c r="O29" s="42"/>
    </row>
    <row r="30" spans="1:15" ht="12.75" customHeight="1" x14ac:dyDescent="0.3">
      <c r="A30" s="38"/>
      <c r="B30" s="38"/>
      <c r="C30" s="38" t="s">
        <v>208</v>
      </c>
      <c r="D30" s="38"/>
      <c r="E30" s="38"/>
      <c r="F30" s="38"/>
      <c r="G30" s="42" t="s">
        <v>1967</v>
      </c>
      <c r="H30" s="42" t="s">
        <v>716</v>
      </c>
      <c r="I30" s="252"/>
      <c r="J30" s="296" t="str">
        <f t="shared" si="0"/>
        <v/>
      </c>
      <c r="K30" s="174">
        <v>1.9999999999999999E-11</v>
      </c>
      <c r="L30" s="193">
        <f t="shared" si="1"/>
        <v>1.9999999999999999E-11</v>
      </c>
      <c r="M30" s="42" t="s">
        <v>477</v>
      </c>
      <c r="N30" s="38" t="s">
        <v>1771</v>
      </c>
      <c r="O30" s="42"/>
    </row>
    <row r="31" spans="1:15" ht="12.75" customHeight="1" x14ac:dyDescent="0.3">
      <c r="A31" s="38"/>
      <c r="B31" s="38"/>
      <c r="C31" s="38" t="s">
        <v>209</v>
      </c>
      <c r="D31" s="38"/>
      <c r="E31" s="38"/>
      <c r="F31" s="38"/>
      <c r="G31" s="42" t="s">
        <v>1968</v>
      </c>
      <c r="H31" s="42" t="s">
        <v>716</v>
      </c>
      <c r="I31" s="252"/>
      <c r="J31" s="296" t="str">
        <f t="shared" si="0"/>
        <v/>
      </c>
      <c r="K31" s="174">
        <v>1.9999999999999999E-11</v>
      </c>
      <c r="L31" s="193">
        <f t="shared" si="1"/>
        <v>1.9999999999999999E-11</v>
      </c>
      <c r="M31" s="42" t="s">
        <v>477</v>
      </c>
      <c r="N31" s="38" t="s">
        <v>1771</v>
      </c>
      <c r="O31" s="42"/>
    </row>
    <row r="32" spans="1:15" ht="12.75" customHeight="1" x14ac:dyDescent="0.3">
      <c r="A32" s="42"/>
      <c r="B32" s="38"/>
      <c r="C32" s="42" t="s">
        <v>528</v>
      </c>
      <c r="D32" s="64"/>
      <c r="E32" s="64"/>
      <c r="F32" s="38"/>
      <c r="G32" s="63" t="s">
        <v>35</v>
      </c>
      <c r="H32" s="38" t="s">
        <v>716</v>
      </c>
      <c r="I32" s="252"/>
      <c r="J32" s="296" t="str">
        <f t="shared" si="0"/>
        <v/>
      </c>
      <c r="K32" s="174">
        <v>0.2</v>
      </c>
      <c r="L32" s="193">
        <f t="shared" si="1"/>
        <v>0.2</v>
      </c>
      <c r="M32" s="42" t="s">
        <v>477</v>
      </c>
      <c r="N32" s="38"/>
      <c r="O32" s="42"/>
    </row>
    <row r="33" spans="1:15" ht="12.75" customHeight="1" x14ac:dyDescent="0.3">
      <c r="A33" s="42"/>
      <c r="B33" s="38"/>
      <c r="C33" s="42" t="s">
        <v>413</v>
      </c>
      <c r="D33" s="64"/>
      <c r="E33" s="64"/>
      <c r="F33" s="38"/>
      <c r="G33" s="63" t="s">
        <v>437</v>
      </c>
      <c r="H33" s="38" t="s">
        <v>716</v>
      </c>
      <c r="I33" s="252" cm="1">
        <f t="array" aca="1" ref="I33" ca="1">_xll.RiskTriang(0.003,0.2,0.67,_xll.RiskName(G33))</f>
        <v>0.30883931274642684</v>
      </c>
      <c r="J33" s="296" t="str">
        <f t="shared" si="0"/>
        <v/>
      </c>
      <c r="K33" s="174">
        <v>0.2</v>
      </c>
      <c r="L33" s="193">
        <f t="shared" ca="1" si="1"/>
        <v>0.30883931274642684</v>
      </c>
      <c r="M33" s="42" t="s">
        <v>477</v>
      </c>
      <c r="N33" s="38"/>
      <c r="O33" s="42"/>
    </row>
    <row r="34" spans="1:15" ht="12.75" customHeight="1" x14ac:dyDescent="0.3">
      <c r="A34" s="42"/>
      <c r="B34" s="38"/>
      <c r="C34" s="42" t="s">
        <v>789</v>
      </c>
      <c r="D34" s="64"/>
      <c r="E34" s="64"/>
      <c r="F34" s="38"/>
      <c r="G34" s="63" t="s">
        <v>438</v>
      </c>
      <c r="H34" s="38" t="s">
        <v>716</v>
      </c>
      <c r="I34" s="252"/>
      <c r="J34" s="296" t="str">
        <f t="shared" si="0"/>
        <v/>
      </c>
      <c r="K34" s="174">
        <f ca="1">1-L32-L33</f>
        <v>0.4911606872535732</v>
      </c>
      <c r="L34" s="193">
        <f t="shared" ca="1" si="1"/>
        <v>0.4911606872535732</v>
      </c>
      <c r="M34" s="42" t="s">
        <v>477</v>
      </c>
      <c r="N34" s="38"/>
      <c r="O34" s="42"/>
    </row>
    <row r="35" spans="1:15" ht="12.75" customHeight="1" x14ac:dyDescent="0.3">
      <c r="A35" s="42"/>
      <c r="B35" s="38"/>
      <c r="C35" s="42" t="s">
        <v>790</v>
      </c>
      <c r="D35" s="64"/>
      <c r="E35" s="64"/>
      <c r="F35" s="38"/>
      <c r="G35" s="63" t="s">
        <v>439</v>
      </c>
      <c r="H35" s="38" t="s">
        <v>716</v>
      </c>
      <c r="I35" s="252"/>
      <c r="J35" s="296" t="str">
        <f t="shared" si="0"/>
        <v/>
      </c>
      <c r="K35" s="174">
        <v>0.2</v>
      </c>
      <c r="L35" s="193">
        <f t="shared" si="1"/>
        <v>0.2</v>
      </c>
      <c r="M35" s="42" t="s">
        <v>477</v>
      </c>
      <c r="N35" s="38"/>
      <c r="O35" s="42"/>
    </row>
    <row r="36" spans="1:15" ht="12.75" customHeight="1" x14ac:dyDescent="0.3">
      <c r="A36" s="42"/>
      <c r="B36" s="38"/>
      <c r="C36" s="42" t="s">
        <v>526</v>
      </c>
      <c r="D36" s="64"/>
      <c r="E36" s="64"/>
      <c r="F36" s="38"/>
      <c r="G36" s="63" t="s">
        <v>190</v>
      </c>
      <c r="H36" s="38" t="s">
        <v>716</v>
      </c>
      <c r="I36" s="252" cm="1">
        <f t="array" aca="1" ref="I36" ca="1">_xll.RiskTriang(0.003,0.2,0.67,_xll.RiskName(G36))</f>
        <v>0.51104136013320545</v>
      </c>
      <c r="J36" s="296" t="str">
        <f t="shared" si="0"/>
        <v/>
      </c>
      <c r="K36" s="174">
        <v>0.2</v>
      </c>
      <c r="L36" s="193">
        <f t="shared" ca="1" si="1"/>
        <v>0.51104136013320545</v>
      </c>
      <c r="M36" s="42" t="s">
        <v>477</v>
      </c>
      <c r="N36" s="38"/>
      <c r="O36" s="42"/>
    </row>
    <row r="37" spans="1:15" ht="12.75" customHeight="1" x14ac:dyDescent="0.3">
      <c r="A37" s="42"/>
      <c r="B37" s="38"/>
      <c r="C37" s="42" t="s">
        <v>527</v>
      </c>
      <c r="D37" s="64"/>
      <c r="E37" s="64"/>
      <c r="F37" s="38"/>
      <c r="G37" s="63" t="s">
        <v>191</v>
      </c>
      <c r="H37" s="38" t="s">
        <v>716</v>
      </c>
      <c r="I37" s="252"/>
      <c r="J37" s="296" t="str">
        <f t="shared" si="0"/>
        <v/>
      </c>
      <c r="K37" s="174">
        <f ca="1">1-L35-L36</f>
        <v>0.2889586398667946</v>
      </c>
      <c r="L37" s="193">
        <f t="shared" ca="1" si="1"/>
        <v>0.2889586398667946</v>
      </c>
      <c r="M37" s="42" t="s">
        <v>477</v>
      </c>
      <c r="N37" s="38"/>
      <c r="O37" s="42"/>
    </row>
    <row r="38" spans="1:15" ht="12.75" customHeight="1" x14ac:dyDescent="0.3">
      <c r="A38" s="42"/>
      <c r="B38" s="38"/>
      <c r="C38" s="42" t="s">
        <v>1352</v>
      </c>
      <c r="D38" s="64"/>
      <c r="E38" s="64"/>
      <c r="F38" s="38"/>
      <c r="G38" s="63" t="s">
        <v>30</v>
      </c>
      <c r="H38" s="38" t="s">
        <v>716</v>
      </c>
      <c r="I38" s="252"/>
      <c r="J38" s="296" t="str">
        <f t="shared" si="0"/>
        <v/>
      </c>
      <c r="K38" s="174">
        <v>0.2</v>
      </c>
      <c r="L38" s="193">
        <f t="shared" si="1"/>
        <v>0.2</v>
      </c>
      <c r="M38" s="42" t="s">
        <v>477</v>
      </c>
      <c r="N38" s="38"/>
      <c r="O38" s="42"/>
    </row>
    <row r="39" spans="1:15" ht="12.75" customHeight="1" x14ac:dyDescent="0.3">
      <c r="A39" s="42"/>
      <c r="B39" s="38"/>
      <c r="C39" s="42" t="s">
        <v>529</v>
      </c>
      <c r="D39" s="64"/>
      <c r="E39" s="64"/>
      <c r="F39" s="38"/>
      <c r="G39" s="63" t="s">
        <v>31</v>
      </c>
      <c r="H39" s="38" t="s">
        <v>716</v>
      </c>
      <c r="I39" s="252" cm="1">
        <f t="array" aca="1" ref="I39" ca="1">_xll.RiskTriang(0.003,0.2,0.67,_xll.RiskName(G39))</f>
        <v>0.50886883714435682</v>
      </c>
      <c r="J39" s="296" t="str">
        <f t="shared" si="0"/>
        <v/>
      </c>
      <c r="K39" s="174">
        <v>0.2</v>
      </c>
      <c r="L39" s="193">
        <f t="shared" ca="1" si="1"/>
        <v>0.50886883714435682</v>
      </c>
      <c r="M39" s="42" t="s">
        <v>477</v>
      </c>
      <c r="N39" s="38"/>
      <c r="O39" s="42"/>
    </row>
    <row r="40" spans="1:15" ht="12.75" customHeight="1" x14ac:dyDescent="0.3">
      <c r="A40" s="42"/>
      <c r="B40" s="38"/>
      <c r="C40" s="42" t="s">
        <v>14</v>
      </c>
      <c r="D40" s="64"/>
      <c r="E40" s="64"/>
      <c r="F40" s="38"/>
      <c r="G40" s="63" t="s">
        <v>32</v>
      </c>
      <c r="H40" s="38" t="s">
        <v>716</v>
      </c>
      <c r="I40" s="252"/>
      <c r="J40" s="296" t="str">
        <f t="shared" si="0"/>
        <v/>
      </c>
      <c r="K40" s="174">
        <f ca="1">1-L38-L39</f>
        <v>0.29113116285564322</v>
      </c>
      <c r="L40" s="193">
        <f t="shared" ca="1" si="1"/>
        <v>0.29113116285564322</v>
      </c>
      <c r="M40" s="42" t="s">
        <v>477</v>
      </c>
      <c r="N40" s="38"/>
      <c r="O40" s="42"/>
    </row>
    <row r="41" spans="1:15" ht="12.75" customHeight="1" x14ac:dyDescent="0.3">
      <c r="A41" s="42"/>
      <c r="B41" s="38"/>
      <c r="C41" s="42" t="s">
        <v>429</v>
      </c>
      <c r="D41" s="64"/>
      <c r="E41" s="64"/>
      <c r="F41" s="38"/>
      <c r="G41" s="63" t="s">
        <v>33</v>
      </c>
      <c r="H41" s="38" t="s">
        <v>716</v>
      </c>
      <c r="I41" s="252" cm="1">
        <f t="array" aca="1" ref="I41" ca="1">_xll.RiskTriang(0.5,0.8,0.999,_xll.RiskName(G41))</f>
        <v>0.86144426606337632</v>
      </c>
      <c r="J41" s="296" t="str">
        <f t="shared" si="0"/>
        <v/>
      </c>
      <c r="K41" s="174">
        <v>0.8</v>
      </c>
      <c r="L41" s="193">
        <f t="shared" ca="1" si="1"/>
        <v>0.86144426606337632</v>
      </c>
      <c r="M41" s="42" t="s">
        <v>477</v>
      </c>
      <c r="N41" s="38"/>
      <c r="O41" s="42"/>
    </row>
    <row r="42" spans="1:15" ht="12.75" customHeight="1" x14ac:dyDescent="0.3">
      <c r="A42" s="42"/>
      <c r="B42" s="38"/>
      <c r="C42" s="42" t="s">
        <v>860</v>
      </c>
      <c r="D42" s="64"/>
      <c r="E42" s="64"/>
      <c r="F42" s="38"/>
      <c r="G42" s="63" t="s">
        <v>34</v>
      </c>
      <c r="H42" s="38" t="s">
        <v>716</v>
      </c>
      <c r="I42" s="252"/>
      <c r="J42" s="296" t="str">
        <f t="shared" si="0"/>
        <v/>
      </c>
      <c r="K42" s="174">
        <f ca="1">1-L41</f>
        <v>0.13855573393662368</v>
      </c>
      <c r="L42" s="193">
        <f t="shared" ca="1" si="1"/>
        <v>0.13855573393662368</v>
      </c>
      <c r="M42" s="42" t="s">
        <v>477</v>
      </c>
      <c r="N42" s="38"/>
      <c r="O42" s="42"/>
    </row>
    <row r="43" spans="1:15" ht="12.75" customHeight="1" x14ac:dyDescent="0.3">
      <c r="A43" s="42"/>
      <c r="B43" s="38"/>
      <c r="C43" s="42"/>
      <c r="D43" s="64"/>
      <c r="E43" s="64"/>
      <c r="F43" s="38"/>
      <c r="G43" s="63"/>
      <c r="H43" s="63"/>
      <c r="I43" s="309"/>
      <c r="J43" s="175"/>
      <c r="K43" s="175"/>
      <c r="L43" s="175"/>
      <c r="M43" s="38"/>
      <c r="N43" s="38"/>
      <c r="O43" s="42"/>
    </row>
    <row r="44" spans="1:15" ht="12.75" customHeight="1" x14ac:dyDescent="0.3">
      <c r="A44" s="42" t="s">
        <v>76</v>
      </c>
      <c r="B44" s="38"/>
      <c r="C44" s="38"/>
      <c r="D44" s="38"/>
      <c r="E44" s="38"/>
      <c r="F44" s="38"/>
      <c r="G44" s="42" t="s">
        <v>252</v>
      </c>
      <c r="H44" s="42" t="s">
        <v>1801</v>
      </c>
      <c r="I44" s="253"/>
      <c r="J44" s="296" t="str">
        <f>IF(HLOOKUP(CaseName,CaseData,ROW()+376,FALSE)="","",HLOOKUP(CaseName,CaseData,ROW()+376,FALSE))</f>
        <v/>
      </c>
      <c r="K44" s="301">
        <f ca="1">k.aR.aC*VOLUME.aR/L5</f>
        <v>5.755117291411752E-9</v>
      </c>
      <c r="L44" s="193">
        <f t="shared" ref="L44:L61" ca="1" si="2">IF(ISBLANK(I44),IF(ISNUMBER(J44)=FALSE,K44,J44),I44)</f>
        <v>5.755117291411752E-9</v>
      </c>
      <c r="M44" s="38" t="s">
        <v>1515</v>
      </c>
      <c r="N44" s="38"/>
      <c r="O44" s="42"/>
    </row>
    <row r="45" spans="1:15" ht="12.75" customHeight="1" x14ac:dyDescent="0.3">
      <c r="A45" s="42" t="s">
        <v>75</v>
      </c>
      <c r="B45" s="38"/>
      <c r="C45" s="38"/>
      <c r="D45" s="38"/>
      <c r="E45" s="38"/>
      <c r="F45" s="38"/>
      <c r="G45" s="42" t="s">
        <v>251</v>
      </c>
      <c r="H45" s="42" t="s">
        <v>1801</v>
      </c>
      <c r="I45" s="253"/>
      <c r="J45" s="296" t="str">
        <f>IF(HLOOKUP(CaseName,CaseData,ROW()+376,FALSE)="","",HLOOKUP(CaseName,CaseData,ROW()+376,FALSE))</f>
        <v/>
      </c>
      <c r="K45" s="301">
        <f ca="1">1/L46-L44</f>
        <v>2.5601954564560558E-6</v>
      </c>
      <c r="L45" s="193">
        <f t="shared" ca="1" si="2"/>
        <v>2.5601954564560558E-6</v>
      </c>
      <c r="M45" s="38" t="s">
        <v>1515</v>
      </c>
      <c r="N45" s="38"/>
      <c r="O45" s="42"/>
    </row>
    <row r="46" spans="1:15" ht="12.75" customHeight="1" x14ac:dyDescent="0.3">
      <c r="A46" s="42"/>
      <c r="B46" s="42" t="s">
        <v>1285</v>
      </c>
      <c r="C46" s="38"/>
      <c r="D46" s="38"/>
      <c r="E46" s="38"/>
      <c r="F46" s="38"/>
      <c r="G46" s="43" t="s">
        <v>781</v>
      </c>
      <c r="H46" s="38" t="s">
        <v>717</v>
      </c>
      <c r="I46" s="252"/>
      <c r="J46" s="296" t="str">
        <f>IF(HLOOKUP(CaseName,CaseData,ROW()+376,FALSE)="","",HLOOKUP(CaseName,CaseData,ROW()+376,FALSE))</f>
        <v/>
      </c>
      <c r="K46" s="174">
        <f ca="1">(SQRT(L14*PI()/4)/WINDspeed.C)/(3600*24)</f>
        <v>4.5106379649279864</v>
      </c>
      <c r="L46" s="193">
        <f ca="1">IF(ISBLANK(I46),IF(ISNUMBER(J46)=FALSE,K46*(3600*24),J46*(3600*24)),I46*(3600*24))</f>
        <v>389719.12016977801</v>
      </c>
      <c r="M46" s="42" t="s">
        <v>107</v>
      </c>
      <c r="N46" s="38"/>
      <c r="O46" s="42"/>
    </row>
    <row r="47" spans="1:15" ht="12.75" customHeight="1" x14ac:dyDescent="0.3">
      <c r="A47" s="42"/>
      <c r="B47" s="38"/>
      <c r="C47" s="42"/>
      <c r="D47" s="64"/>
      <c r="E47" s="64"/>
      <c r="F47" s="38"/>
      <c r="G47" s="63"/>
      <c r="H47" s="63"/>
      <c r="I47" s="309"/>
      <c r="J47" s="175"/>
      <c r="K47" s="175"/>
      <c r="L47" s="175"/>
      <c r="M47" s="38"/>
      <c r="N47" s="38"/>
      <c r="O47" s="42"/>
    </row>
    <row r="48" spans="1:15" ht="12.75" customHeight="1" x14ac:dyDescent="0.3">
      <c r="A48" s="42" t="s">
        <v>332</v>
      </c>
      <c r="B48" s="38"/>
      <c r="C48" s="38"/>
      <c r="D48" s="38"/>
      <c r="E48" s="38"/>
      <c r="F48" s="38"/>
      <c r="G48" s="42" t="s">
        <v>323</v>
      </c>
      <c r="H48" s="42" t="s">
        <v>1801</v>
      </c>
      <c r="I48" s="253"/>
      <c r="J48" s="296" t="str">
        <f t="shared" ref="J48:J62" si="3">IF(HLOOKUP(CaseName,CaseData,ROW()+376,FALSE)="","",HLOOKUP(CaseName,CaseData,ROW()+376,FALSE))</f>
        <v/>
      </c>
      <c r="K48" s="174">
        <f ca="1">L53/L6</f>
        <v>1.5179336290220084E-9</v>
      </c>
      <c r="L48" s="193">
        <f ca="1">IF(ISBLANK(I48),IF(ISNUMBER(J48)=FALSE,K48,J48),I48)</f>
        <v>1.5179336290220084E-9</v>
      </c>
      <c r="M48" s="38" t="s">
        <v>1515</v>
      </c>
      <c r="N48" s="38"/>
      <c r="O48" s="42"/>
    </row>
    <row r="49" spans="1:17" ht="12.75" customHeight="1" x14ac:dyDescent="0.3">
      <c r="A49" s="42" t="s">
        <v>333</v>
      </c>
      <c r="B49" s="38"/>
      <c r="C49" s="38"/>
      <c r="D49" s="38"/>
      <c r="E49" s="38"/>
      <c r="F49" s="38"/>
      <c r="G49" s="42" t="s">
        <v>324</v>
      </c>
      <c r="H49" s="42" t="s">
        <v>1801</v>
      </c>
      <c r="I49" s="253"/>
      <c r="J49" s="296" t="str">
        <f t="shared" si="3"/>
        <v/>
      </c>
      <c r="K49" s="174">
        <f>L54/L6</f>
        <v>0</v>
      </c>
      <c r="L49" s="193">
        <f>IF(ISBLANK(I49),IF(ISNUMBER(J49)=FALSE,K49,J49),I49)</f>
        <v>0</v>
      </c>
      <c r="M49" s="38" t="s">
        <v>1515</v>
      </c>
      <c r="N49" s="38"/>
      <c r="O49" s="42"/>
    </row>
    <row r="50" spans="1:17" ht="12.75" customHeight="1" x14ac:dyDescent="0.3">
      <c r="A50" s="42" t="s">
        <v>334</v>
      </c>
      <c r="B50" s="38"/>
      <c r="C50" s="38"/>
      <c r="D50" s="38"/>
      <c r="E50" s="38"/>
      <c r="F50" s="38"/>
      <c r="G50" s="42" t="s">
        <v>325</v>
      </c>
      <c r="H50" s="42" t="s">
        <v>1801</v>
      </c>
      <c r="I50" s="253"/>
      <c r="J50" s="296" t="str">
        <f t="shared" si="3"/>
        <v/>
      </c>
      <c r="K50" s="174">
        <f ca="1">L55/L7</f>
        <v>0</v>
      </c>
      <c r="L50" s="193">
        <f ca="1">IF(ISBLANK(I50),IF(ISNUMBER(J50)=FALSE,K50,J50),I50)</f>
        <v>0</v>
      </c>
      <c r="M50" s="38" t="s">
        <v>1515</v>
      </c>
      <c r="N50" s="38"/>
      <c r="O50" s="42"/>
    </row>
    <row r="51" spans="1:17" ht="12.75" customHeight="1" x14ac:dyDescent="0.3">
      <c r="A51" s="42" t="s">
        <v>77</v>
      </c>
      <c r="B51" s="38"/>
      <c r="C51" s="38"/>
      <c r="D51" s="38"/>
      <c r="E51" s="38"/>
      <c r="F51" s="38"/>
      <c r="G51" s="42" t="s">
        <v>253</v>
      </c>
      <c r="H51" s="42" t="s">
        <v>1801</v>
      </c>
      <c r="I51" s="253"/>
      <c r="J51" s="296" t="str">
        <f t="shared" si="3"/>
        <v/>
      </c>
      <c r="K51" s="174">
        <v>0</v>
      </c>
      <c r="L51" s="193">
        <f t="shared" si="2"/>
        <v>0</v>
      </c>
      <c r="M51" s="38" t="s">
        <v>1515</v>
      </c>
      <c r="N51" s="38"/>
      <c r="O51" s="42"/>
    </row>
    <row r="52" spans="1:17" ht="12.75" customHeight="1" x14ac:dyDescent="0.3">
      <c r="A52" s="42" t="s">
        <v>78</v>
      </c>
      <c r="B52" s="38"/>
      <c r="C52" s="38"/>
      <c r="D52" s="38"/>
      <c r="E52" s="38"/>
      <c r="F52" s="38"/>
      <c r="G52" s="42" t="s">
        <v>254</v>
      </c>
      <c r="H52" s="42" t="s">
        <v>1801</v>
      </c>
      <c r="I52" s="253"/>
      <c r="J52" s="296" t="str">
        <f t="shared" si="3"/>
        <v/>
      </c>
      <c r="K52" s="174">
        <f ca="1">L57*(1-FRAC.w1C.w1R)/L7</f>
        <v>4.4676605719226806E-8</v>
      </c>
      <c r="L52" s="193">
        <f t="shared" ca="1" si="2"/>
        <v>4.4676605719226806E-8</v>
      </c>
      <c r="M52" s="38" t="s">
        <v>1515</v>
      </c>
      <c r="N52" s="38"/>
      <c r="O52" s="42"/>
    </row>
    <row r="53" spans="1:17" ht="12.75" customHeight="1" x14ac:dyDescent="0.3">
      <c r="A53" s="42"/>
      <c r="B53" s="42" t="s">
        <v>329</v>
      </c>
      <c r="C53" s="38"/>
      <c r="D53" s="38"/>
      <c r="E53" s="64"/>
      <c r="F53" s="64"/>
      <c r="G53" s="63" t="s">
        <v>326</v>
      </c>
      <c r="H53" s="42" t="s">
        <v>1806</v>
      </c>
      <c r="I53" s="254"/>
      <c r="J53" s="296" t="str">
        <f t="shared" si="3"/>
        <v/>
      </c>
      <c r="K53" s="174">
        <f ca="1">0.1*L57</f>
        <v>1606.4500311813906</v>
      </c>
      <c r="L53" s="193">
        <f ca="1">IF(ISBLANK(I53),IF(ISNUMBER(J53)=FALSE,K53,J53),I53)</f>
        <v>1606.4500311813906</v>
      </c>
      <c r="M53" s="38" t="s">
        <v>1803</v>
      </c>
      <c r="N53" s="38"/>
      <c r="O53" s="42"/>
    </row>
    <row r="54" spans="1:17" ht="12.75" customHeight="1" x14ac:dyDescent="0.3">
      <c r="A54" s="42"/>
      <c r="B54" s="42" t="s">
        <v>330</v>
      </c>
      <c r="C54" s="38"/>
      <c r="D54" s="38"/>
      <c r="E54" s="64"/>
      <c r="F54" s="64"/>
      <c r="G54" s="63" t="s">
        <v>327</v>
      </c>
      <c r="H54" s="42" t="s">
        <v>1806</v>
      </c>
      <c r="I54" s="254"/>
      <c r="J54" s="296" t="str">
        <f t="shared" si="3"/>
        <v/>
      </c>
      <c r="K54" s="174">
        <v>0</v>
      </c>
      <c r="L54" s="193">
        <f>IF(ISBLANK(I54),IF(ISNUMBER(J54)=FALSE,K54,J54),I54)</f>
        <v>0</v>
      </c>
      <c r="M54" s="38" t="s">
        <v>1803</v>
      </c>
      <c r="N54" s="38"/>
      <c r="O54" s="42"/>
    </row>
    <row r="55" spans="1:17" ht="12.75" customHeight="1" x14ac:dyDescent="0.3">
      <c r="A55" s="42"/>
      <c r="B55" s="42" t="s">
        <v>331</v>
      </c>
      <c r="C55" s="38"/>
      <c r="D55" s="38"/>
      <c r="E55" s="64"/>
      <c r="F55" s="64"/>
      <c r="G55" s="63" t="s">
        <v>328</v>
      </c>
      <c r="H55" s="42" t="s">
        <v>1806</v>
      </c>
      <c r="I55" s="254"/>
      <c r="J55" s="296" t="str">
        <f t="shared" si="3"/>
        <v/>
      </c>
      <c r="K55" s="174">
        <v>0</v>
      </c>
      <c r="L55" s="193">
        <f>IF(ISBLANK(I55),IF(ISNUMBER(J55)=FALSE,K55,J55),I55)</f>
        <v>0</v>
      </c>
      <c r="M55" s="38" t="s">
        <v>1803</v>
      </c>
      <c r="N55" s="38"/>
      <c r="O55" s="42"/>
    </row>
    <row r="56" spans="1:17" ht="12.75" customHeight="1" x14ac:dyDescent="0.3">
      <c r="A56" s="42"/>
      <c r="B56" s="42" t="s">
        <v>1420</v>
      </c>
      <c r="C56" s="38"/>
      <c r="D56" s="38"/>
      <c r="E56" s="64"/>
      <c r="F56" s="64"/>
      <c r="G56" s="63" t="s">
        <v>1</v>
      </c>
      <c r="H56" s="38" t="s">
        <v>1806</v>
      </c>
      <c r="I56" s="252"/>
      <c r="J56" s="296" t="str">
        <f t="shared" si="3"/>
        <v/>
      </c>
      <c r="K56" s="174">
        <f ca="1">((AREAFRAC.w1C+AREAFRAC.s1C*FRACrun.s1C+AREAFRAC.s2C*FRACrun.s2C+AREAFRAC.s3C*FRACrun.s3C)*RAINrate.C*SYSTEMAREA.C+WATERflow.w0C.w1C)*FRAC.w1C.w1R</f>
        <v>0</v>
      </c>
      <c r="L56" s="193">
        <f t="shared" ca="1" si="2"/>
        <v>0</v>
      </c>
      <c r="M56" s="38" t="s">
        <v>1803</v>
      </c>
      <c r="N56" s="38"/>
      <c r="O56" s="42"/>
    </row>
    <row r="57" spans="1:17" ht="12.75" customHeight="1" x14ac:dyDescent="0.3">
      <c r="A57" s="42"/>
      <c r="B57" s="42" t="s">
        <v>1421</v>
      </c>
      <c r="C57" s="38"/>
      <c r="D57" s="38"/>
      <c r="E57" s="64"/>
      <c r="F57" s="64"/>
      <c r="G57" s="63" t="s">
        <v>783</v>
      </c>
      <c r="H57" s="38" t="s">
        <v>1806</v>
      </c>
      <c r="I57" s="252"/>
      <c r="J57" s="296" t="str">
        <f t="shared" si="3"/>
        <v/>
      </c>
      <c r="K57" s="174">
        <f ca="1">((L16+L17*L183+L18*L184+L19*L185)*RAINrate.C*L14)*(1-FRAC.w1C.w1R)</f>
        <v>16064.500311813905</v>
      </c>
      <c r="L57" s="193">
        <f t="shared" ca="1" si="2"/>
        <v>16064.500311813905</v>
      </c>
      <c r="M57" s="38" t="s">
        <v>1803</v>
      </c>
      <c r="N57" s="38"/>
      <c r="O57" s="42"/>
    </row>
    <row r="58" spans="1:17" ht="12.75" customHeight="1" x14ac:dyDescent="0.3">
      <c r="A58" s="42" t="s">
        <v>79</v>
      </c>
      <c r="B58" s="38"/>
      <c r="C58" s="38"/>
      <c r="D58" s="38"/>
      <c r="E58" s="38"/>
      <c r="F58" s="38"/>
      <c r="G58" s="42" t="s">
        <v>255</v>
      </c>
      <c r="H58" s="42" t="s">
        <v>1801</v>
      </c>
      <c r="I58" s="253"/>
      <c r="J58" s="296" t="str">
        <f t="shared" si="3"/>
        <v/>
      </c>
      <c r="K58" s="174">
        <f ca="1">L60/L8</f>
        <v>5.6571576352706387E-14</v>
      </c>
      <c r="L58" s="193">
        <f t="shared" ca="1" si="2"/>
        <v>5.6571576352706387E-14</v>
      </c>
      <c r="M58" s="38" t="s">
        <v>1515</v>
      </c>
      <c r="N58" s="38"/>
      <c r="O58" s="42"/>
    </row>
    <row r="59" spans="1:17" ht="12.75" customHeight="1" x14ac:dyDescent="0.3">
      <c r="A59" s="42" t="s">
        <v>80</v>
      </c>
      <c r="B59" s="38"/>
      <c r="C59" s="38"/>
      <c r="D59" s="38"/>
      <c r="E59" s="38"/>
      <c r="F59" s="38"/>
      <c r="G59" s="42" t="s">
        <v>1251</v>
      </c>
      <c r="H59" s="42" t="s">
        <v>1801</v>
      </c>
      <c r="I59" s="253"/>
      <c r="J59" s="296" t="str">
        <f t="shared" si="3"/>
        <v/>
      </c>
      <c r="K59" s="196">
        <f ca="1">L61/L8</f>
        <v>3.1709729126457526E-8</v>
      </c>
      <c r="L59" s="193">
        <f t="shared" ca="1" si="2"/>
        <v>3.1709729126457526E-8</v>
      </c>
      <c r="M59" s="38" t="s">
        <v>1515</v>
      </c>
      <c r="N59" s="38"/>
      <c r="O59" s="42"/>
    </row>
    <row r="60" spans="1:17" ht="12.75" customHeight="1" x14ac:dyDescent="0.3">
      <c r="A60" s="42"/>
      <c r="B60" s="42" t="s">
        <v>1423</v>
      </c>
      <c r="C60" s="38"/>
      <c r="D60" s="38"/>
      <c r="E60" s="38"/>
      <c r="F60" s="38"/>
      <c r="G60" s="63" t="s">
        <v>2</v>
      </c>
      <c r="H60" s="38" t="s">
        <v>1806</v>
      </c>
      <c r="I60" s="252"/>
      <c r="J60" s="296" t="str">
        <f t="shared" si="3"/>
        <v/>
      </c>
      <c r="K60" s="196">
        <f ca="1">(10-1)*WATERflow.w1R.w2R</f>
        <v>47.893892541235701</v>
      </c>
      <c r="L60" s="193">
        <f t="shared" ca="1" si="2"/>
        <v>47.893892541235701</v>
      </c>
      <c r="M60" s="38" t="s">
        <v>1803</v>
      </c>
      <c r="N60" s="38"/>
      <c r="O60" s="42"/>
    </row>
    <row r="61" spans="1:17" ht="12.75" customHeight="1" x14ac:dyDescent="0.3">
      <c r="A61" s="42"/>
      <c r="B61" s="42" t="s">
        <v>1424</v>
      </c>
      <c r="C61" s="38"/>
      <c r="D61" s="38"/>
      <c r="E61" s="64"/>
      <c r="F61" s="64"/>
      <c r="G61" s="63" t="s">
        <v>143</v>
      </c>
      <c r="H61" s="38" t="s">
        <v>1806</v>
      </c>
      <c r="I61" s="252"/>
      <c r="J61" s="296" t="str">
        <f t="shared" si="3"/>
        <v/>
      </c>
      <c r="K61" s="196">
        <f ca="1">(L8/L62)-WATERflow.w2R.w2C</f>
        <v>26845678.646562833</v>
      </c>
      <c r="L61" s="193">
        <f t="shared" ca="1" si="2"/>
        <v>26845678.646562833</v>
      </c>
      <c r="M61" s="38" t="s">
        <v>1803</v>
      </c>
      <c r="N61" s="38"/>
      <c r="O61" s="42"/>
    </row>
    <row r="62" spans="1:17" ht="12.75" customHeight="1" x14ac:dyDescent="0.3">
      <c r="A62" s="42"/>
      <c r="B62" s="42"/>
      <c r="C62" s="42" t="s">
        <v>1422</v>
      </c>
      <c r="D62" s="38"/>
      <c r="E62" s="38"/>
      <c r="F62" s="38"/>
      <c r="G62" s="43" t="s">
        <v>6</v>
      </c>
      <c r="H62" s="42" t="s">
        <v>717</v>
      </c>
      <c r="I62" s="310"/>
      <c r="J62" s="296" t="str">
        <f t="shared" si="3"/>
        <v/>
      </c>
      <c r="K62" s="174">
        <v>365</v>
      </c>
      <c r="L62" s="193">
        <f>IF(ISBLANK(I62),IF(ISNUMBER(J62)=FALSE,K62*(3600*24),J62*(3600*24)),I62*(3600*24))</f>
        <v>31536000</v>
      </c>
      <c r="M62" s="42" t="s">
        <v>107</v>
      </c>
      <c r="N62" s="38"/>
      <c r="O62" s="42"/>
    </row>
    <row r="63" spans="1:17" ht="12.75" customHeight="1" x14ac:dyDescent="0.3">
      <c r="A63" s="38"/>
      <c r="B63" s="38"/>
      <c r="C63" s="38"/>
      <c r="D63" s="38"/>
      <c r="E63" s="38"/>
      <c r="F63" s="38"/>
      <c r="G63" s="38"/>
      <c r="H63" s="38"/>
      <c r="I63" s="309"/>
      <c r="J63" s="175"/>
      <c r="K63" s="175"/>
      <c r="L63" s="175"/>
      <c r="M63" s="38"/>
      <c r="N63" s="38"/>
      <c r="O63" s="42"/>
    </row>
    <row r="64" spans="1:17" customFormat="1" ht="12.75" customHeight="1" x14ac:dyDescent="0.3">
      <c r="A64" s="67" t="s">
        <v>201</v>
      </c>
      <c r="B64" s="66"/>
      <c r="C64" s="66"/>
      <c r="D64" s="66"/>
      <c r="E64" s="66"/>
      <c r="F64" s="66"/>
      <c r="G64" s="67" t="s">
        <v>969</v>
      </c>
      <c r="H64" s="67" t="s">
        <v>929</v>
      </c>
      <c r="I64" s="189" t="s">
        <v>748</v>
      </c>
      <c r="J64" s="163" t="s">
        <v>29</v>
      </c>
      <c r="K64" s="163" t="s">
        <v>747</v>
      </c>
      <c r="L64" s="163" t="s">
        <v>1353</v>
      </c>
      <c r="M64" s="66"/>
      <c r="N64" s="67" t="s">
        <v>1366</v>
      </c>
      <c r="O64" s="42"/>
      <c r="P64" s="308"/>
      <c r="Q64" s="308"/>
    </row>
    <row r="65" spans="1:17" ht="12.75" customHeight="1" x14ac:dyDescent="0.3">
      <c r="A65" s="77"/>
      <c r="B65" s="78"/>
      <c r="C65" s="79"/>
      <c r="D65" s="79"/>
      <c r="E65" s="77"/>
      <c r="F65" s="77"/>
      <c r="G65" s="77"/>
      <c r="H65" s="79"/>
      <c r="I65" s="309"/>
      <c r="J65" s="175"/>
      <c r="K65" s="175"/>
      <c r="L65" s="175"/>
      <c r="M65" s="38"/>
      <c r="N65" s="38"/>
      <c r="O65" s="42"/>
    </row>
    <row r="66" spans="1:17" s="748" customFormat="1" ht="12.75" customHeight="1" x14ac:dyDescent="0.3">
      <c r="A66" s="749"/>
      <c r="B66" s="674" t="s">
        <v>617</v>
      </c>
      <c r="C66" s="674"/>
      <c r="D66" s="674"/>
      <c r="E66" s="674"/>
      <c r="F66" s="674"/>
      <c r="G66" s="674" t="s">
        <v>1969</v>
      </c>
      <c r="H66" s="674" t="s">
        <v>28</v>
      </c>
      <c r="I66" s="676">
        <f ca="1">IF(K66&lt;0,0,K66)</f>
        <v>6.8266003960815169E-11</v>
      </c>
      <c r="J66" s="750" t="str">
        <f t="shared" ref="J66:J110" si="4">IF(HLOOKUP(CaseName,CaseData,ROW()+376,FALSE)="","",HLOOKUP(CaseName,CaseData,ROW()+376,FALSE))</f>
        <v/>
      </c>
      <c r="K66" s="746">
        <f ca="1">1-L67-L68</f>
        <v>6.8266003960815169E-11</v>
      </c>
      <c r="L66" s="747">
        <f t="shared" ref="L66:L110" ca="1" si="5">IF(ISBLANK(I66),IF(ISNUMBER(J66)=FALSE,K66,J66),I66)</f>
        <v>6.8266003960815169E-11</v>
      </c>
      <c r="M66" s="751" t="s">
        <v>477</v>
      </c>
      <c r="N66" s="351" t="s">
        <v>2662</v>
      </c>
      <c r="O66" s="674"/>
      <c r="P66" s="752"/>
      <c r="Q66" s="752"/>
    </row>
    <row r="67" spans="1:17" ht="12.75" customHeight="1" x14ac:dyDescent="0.3">
      <c r="A67" s="38"/>
      <c r="B67" s="38" t="s">
        <v>609</v>
      </c>
      <c r="C67" s="38"/>
      <c r="D67" s="38"/>
      <c r="E67" s="38"/>
      <c r="F67" s="38"/>
      <c r="G67" s="38" t="s">
        <v>618</v>
      </c>
      <c r="H67" s="38" t="s">
        <v>28</v>
      </c>
      <c r="I67" s="256"/>
      <c r="J67" s="296" t="str">
        <f t="shared" si="4"/>
        <v/>
      </c>
      <c r="K67" s="302">
        <f ca="1">L31*L70/(1+L31*L70+L30*L71)</f>
        <v>0.83069933348894709</v>
      </c>
      <c r="L67" s="193">
        <f t="shared" ca="1" si="5"/>
        <v>0.83069933348894709</v>
      </c>
      <c r="M67" s="42" t="s">
        <v>477</v>
      </c>
      <c r="N67" s="38" t="s">
        <v>1772</v>
      </c>
      <c r="O67" s="42"/>
    </row>
    <row r="68" spans="1:17" ht="12.75" customHeight="1" x14ac:dyDescent="0.3">
      <c r="A68" s="38"/>
      <c r="B68" s="38" t="s">
        <v>610</v>
      </c>
      <c r="C68" s="38"/>
      <c r="D68" s="38"/>
      <c r="E68" s="38"/>
      <c r="F68" s="38"/>
      <c r="G68" s="38" t="s">
        <v>619</v>
      </c>
      <c r="H68" s="38" t="s">
        <v>28</v>
      </c>
      <c r="I68" s="252"/>
      <c r="J68" s="296" t="str">
        <f t="shared" si="4"/>
        <v/>
      </c>
      <c r="K68" s="302">
        <f ca="1">L30*L71/(1+L31*L70+L30*L71)</f>
        <v>0.16930066644278691</v>
      </c>
      <c r="L68" s="193">
        <f t="shared" ca="1" si="5"/>
        <v>0.16930066644278691</v>
      </c>
      <c r="M68" s="42" t="s">
        <v>477</v>
      </c>
      <c r="N68" s="38" t="s">
        <v>1772</v>
      </c>
      <c r="O68" s="42"/>
    </row>
    <row r="69" spans="1:17" ht="12.75" customHeight="1" x14ac:dyDescent="0.3">
      <c r="A69" s="38"/>
      <c r="B69" s="38"/>
      <c r="C69" s="42" t="s">
        <v>1004</v>
      </c>
      <c r="D69" s="42"/>
      <c r="E69" s="42"/>
      <c r="F69" s="42"/>
      <c r="G69" s="42" t="s">
        <v>1970</v>
      </c>
      <c r="H69" s="42" t="s">
        <v>28</v>
      </c>
      <c r="I69" s="252"/>
      <c r="J69" s="296" t="str">
        <f t="shared" si="4"/>
        <v/>
      </c>
      <c r="K69" s="302">
        <f ca="1">Kaw*EXP((H0vap/8.314)*(1/298-1/TEMP.C))*EXP(-(H0sol/8.314)*(1/298-1/TEMP.C))*(298/TEMP.C)</f>
        <v>1.6435807656322775E-21</v>
      </c>
      <c r="L69" s="193">
        <f ca="1">IF(ISBLANK(I69),IF(ISNUMBER(J69)=FALSE,K69,J69),I69)</f>
        <v>1.6435807656322775E-21</v>
      </c>
      <c r="M69" s="42" t="s">
        <v>477</v>
      </c>
      <c r="N69" s="38"/>
      <c r="O69" s="42"/>
    </row>
    <row r="70" spans="1:17" ht="12.75" customHeight="1" x14ac:dyDescent="0.4">
      <c r="A70" s="38"/>
      <c r="B70" s="38"/>
      <c r="C70" s="38" t="s">
        <v>606</v>
      </c>
      <c r="D70" s="38"/>
      <c r="E70" s="38"/>
      <c r="F70" s="38"/>
      <c r="G70" s="38" t="s">
        <v>621</v>
      </c>
      <c r="H70" s="38" t="s">
        <v>1807</v>
      </c>
      <c r="I70" s="256"/>
      <c r="J70" s="296" t="str">
        <f t="shared" si="4"/>
        <v/>
      </c>
      <c r="K70" s="302">
        <f ca="1">1/(L69*FRorig.aerw)</f>
        <v>6.0842766045348849E+20</v>
      </c>
      <c r="L70" s="193">
        <f ca="1">IF(ISBLANK(I70),IF(ISNUMBER(J70)=FALSE,K70,J70),I70)</f>
        <v>6.0842766045348849E+20</v>
      </c>
      <c r="M70" s="42" t="s">
        <v>477</v>
      </c>
      <c r="N70" s="38"/>
      <c r="O70" s="42"/>
    </row>
    <row r="71" spans="1:17" ht="12.75" customHeight="1" x14ac:dyDescent="0.4">
      <c r="A71" s="38"/>
      <c r="B71" s="38"/>
      <c r="C71" s="38" t="s">
        <v>607</v>
      </c>
      <c r="D71" s="38"/>
      <c r="E71" s="38"/>
      <c r="F71" s="38"/>
      <c r="G71" s="38" t="s">
        <v>622</v>
      </c>
      <c r="H71" s="38" t="s">
        <v>1808</v>
      </c>
      <c r="I71" s="256"/>
      <c r="J71" s="296" t="str">
        <f t="shared" si="4"/>
        <v/>
      </c>
      <c r="K71" s="302">
        <f>0.54*(Kow/Kaw)*CORGaers*(RHOaers/1000)</f>
        <v>1.2400059112166343E+20</v>
      </c>
      <c r="L71" s="193">
        <f>IF(ISBLANK(I71),IF(ISNUMBER(J71)=FALSE,K71,J71),I71)</f>
        <v>1.2400059112166343E+20</v>
      </c>
      <c r="M71" s="42" t="s">
        <v>477</v>
      </c>
      <c r="N71" s="38" t="s">
        <v>885</v>
      </c>
      <c r="O71" s="42"/>
    </row>
    <row r="72" spans="1:17" ht="12.75" customHeight="1" x14ac:dyDescent="0.3">
      <c r="A72" s="42"/>
      <c r="B72" s="42" t="s">
        <v>285</v>
      </c>
      <c r="C72" s="64"/>
      <c r="D72" s="38"/>
      <c r="E72" s="38"/>
      <c r="F72" s="38"/>
      <c r="G72" s="63" t="s">
        <v>335</v>
      </c>
      <c r="H72" s="42" t="s">
        <v>28</v>
      </c>
      <c r="I72" s="252"/>
      <c r="J72" s="296" t="str">
        <f t="shared" si="4"/>
        <v/>
      </c>
      <c r="K72" s="302">
        <f ca="1">1/(1+L73*L75/1000+L76*L77/1000)</f>
        <v>0.99671269431501808</v>
      </c>
      <c r="L72" s="193">
        <f t="shared" ca="1" si="5"/>
        <v>0.99671269431501808</v>
      </c>
      <c r="M72" s="42" t="s">
        <v>477</v>
      </c>
      <c r="N72" s="38"/>
      <c r="O72" s="42"/>
    </row>
    <row r="73" spans="1:17" ht="12.75" customHeight="1" x14ac:dyDescent="0.3">
      <c r="A73" s="42"/>
      <c r="B73" s="38"/>
      <c r="C73" s="42" t="s">
        <v>700</v>
      </c>
      <c r="D73" s="38"/>
      <c r="E73" s="38"/>
      <c r="F73" s="38"/>
      <c r="G73" s="63" t="s">
        <v>336</v>
      </c>
      <c r="H73" s="42" t="s">
        <v>1809</v>
      </c>
      <c r="I73" s="255"/>
      <c r="J73" s="296" t="str">
        <f t="shared" si="4"/>
        <v/>
      </c>
      <c r="K73" s="196">
        <f ca="1">(FRorig.w1*Ksw+(1-FRorig.w1)*Ksw.alt)*(1000/RHOsolid/CORG)*L74</f>
        <v>6594.4583635681238</v>
      </c>
      <c r="L73" s="193">
        <f t="shared" ca="1" si="5"/>
        <v>6594.4583635681238</v>
      </c>
      <c r="M73" s="42" t="s">
        <v>1525</v>
      </c>
      <c r="N73" s="38"/>
      <c r="O73" s="42"/>
    </row>
    <row r="74" spans="1:17" ht="12.75" customHeight="1" x14ac:dyDescent="0.3">
      <c r="A74" s="42"/>
      <c r="B74" s="38"/>
      <c r="C74" s="42" t="s">
        <v>1091</v>
      </c>
      <c r="D74" s="38"/>
      <c r="E74" s="38"/>
      <c r="F74" s="38"/>
      <c r="G74" s="63" t="s">
        <v>337</v>
      </c>
      <c r="H74" s="42" t="s">
        <v>28</v>
      </c>
      <c r="I74" s="255"/>
      <c r="J74" s="296" t="str">
        <f t="shared" si="4"/>
        <v/>
      </c>
      <c r="K74" s="196">
        <v>0.1</v>
      </c>
      <c r="L74" s="193">
        <f t="shared" si="5"/>
        <v>0.1</v>
      </c>
      <c r="M74" s="42" t="s">
        <v>477</v>
      </c>
      <c r="N74" s="38"/>
      <c r="O74" s="42"/>
    </row>
    <row r="75" spans="1:17" ht="12.75" customHeight="1" x14ac:dyDescent="0.3">
      <c r="A75" s="42"/>
      <c r="B75" s="38"/>
      <c r="C75" s="42" t="s">
        <v>701</v>
      </c>
      <c r="D75" s="38"/>
      <c r="E75" s="38"/>
      <c r="F75" s="38"/>
      <c r="G75" s="63" t="s">
        <v>338</v>
      </c>
      <c r="H75" s="42" t="s">
        <v>1810</v>
      </c>
      <c r="I75" s="255"/>
      <c r="J75" s="296" t="str">
        <f t="shared" si="4"/>
        <v/>
      </c>
      <c r="K75" s="196">
        <v>0.5</v>
      </c>
      <c r="L75" s="193">
        <f>IF(ISBLANK(I75),IF(ISNUMBER(J75)=FALSE,K75/1000,J75/1000),I75/1000)</f>
        <v>5.0000000000000001E-4</v>
      </c>
      <c r="M75" s="42" t="s">
        <v>1524</v>
      </c>
      <c r="N75" s="38"/>
      <c r="O75" s="42"/>
    </row>
    <row r="76" spans="1:17" ht="12.75" customHeight="1" x14ac:dyDescent="0.3">
      <c r="A76" s="42"/>
      <c r="B76" s="38"/>
      <c r="C76" s="42" t="s">
        <v>541</v>
      </c>
      <c r="D76" s="38"/>
      <c r="E76" s="38"/>
      <c r="F76" s="38"/>
      <c r="G76" s="63" t="s">
        <v>339</v>
      </c>
      <c r="H76" s="42" t="s">
        <v>1000</v>
      </c>
      <c r="I76" s="255"/>
      <c r="J76" s="296" t="str">
        <f t="shared" si="4"/>
        <v/>
      </c>
      <c r="K76" s="196">
        <f>0.08*D</f>
        <v>0.91852289719750679</v>
      </c>
      <c r="L76" s="193">
        <f>IF(ISBLANK(I76),IF(ISNUMBER(J76)=FALSE,K76,J76),I76)</f>
        <v>0.91852289719750679</v>
      </c>
      <c r="M76" s="42" t="s">
        <v>1525</v>
      </c>
      <c r="N76" s="38"/>
      <c r="O76" s="42"/>
    </row>
    <row r="77" spans="1:17" ht="12.75" customHeight="1" x14ac:dyDescent="0.3">
      <c r="A77" s="42"/>
      <c r="B77" s="38"/>
      <c r="C77" s="42" t="s">
        <v>543</v>
      </c>
      <c r="D77" s="38"/>
      <c r="E77" s="38"/>
      <c r="F77" s="38"/>
      <c r="G77" s="63" t="s">
        <v>340</v>
      </c>
      <c r="H77" s="42" t="s">
        <v>999</v>
      </c>
      <c r="I77" s="255"/>
      <c r="J77" s="296" t="str">
        <f t="shared" si="4"/>
        <v/>
      </c>
      <c r="K77" s="196">
        <v>1</v>
      </c>
      <c r="L77" s="193">
        <f>IF(ISBLANK(I77),IF(ISNUMBER(J77)=FALSE,K77/1000,J77/1000),I77/1000)</f>
        <v>1E-3</v>
      </c>
      <c r="M77" s="42" t="s">
        <v>1524</v>
      </c>
      <c r="N77" s="38"/>
      <c r="O77" s="42"/>
    </row>
    <row r="78" spans="1:17" ht="12.75" customHeight="1" x14ac:dyDescent="0.3">
      <c r="A78" s="42"/>
      <c r="B78" s="42" t="s">
        <v>1952</v>
      </c>
      <c r="C78" s="64"/>
      <c r="D78" s="38"/>
      <c r="E78" s="38"/>
      <c r="F78" s="38"/>
      <c r="G78" s="63" t="s">
        <v>564</v>
      </c>
      <c r="H78" s="42" t="s">
        <v>28</v>
      </c>
      <c r="I78" s="252"/>
      <c r="J78" s="296" t="str">
        <f t="shared" si="4"/>
        <v/>
      </c>
      <c r="K78" s="196">
        <f ca="1">1/(1+L79*L81/1000+L82*L83/1000)</f>
        <v>0.90795196740749706</v>
      </c>
      <c r="L78" s="193">
        <f t="shared" ca="1" si="5"/>
        <v>0.90795196740749706</v>
      </c>
      <c r="M78" s="42" t="s">
        <v>477</v>
      </c>
      <c r="N78" s="38"/>
      <c r="O78" s="42"/>
    </row>
    <row r="79" spans="1:17" ht="12.75" customHeight="1" x14ac:dyDescent="0.3">
      <c r="A79" s="42"/>
      <c r="B79" s="38"/>
      <c r="C79" s="42" t="s">
        <v>700</v>
      </c>
      <c r="D79" s="38"/>
      <c r="E79" s="38"/>
      <c r="F79" s="38"/>
      <c r="G79" s="63" t="s">
        <v>173</v>
      </c>
      <c r="H79" s="42" t="s">
        <v>1000</v>
      </c>
      <c r="I79" s="252"/>
      <c r="J79" s="296" t="str">
        <f t="shared" si="4"/>
        <v/>
      </c>
      <c r="K79" s="196">
        <f ca="1">(FRorig.w1*Ksw+(1-FRorig.w1)*Ksw.alt)*(1000/RHOsolid/CORG)*L80</f>
        <v>4297.3785552212494</v>
      </c>
      <c r="L79" s="193">
        <f t="shared" ca="1" si="5"/>
        <v>4297.3785552212494</v>
      </c>
      <c r="M79" s="42" t="s">
        <v>1525</v>
      </c>
      <c r="N79" s="38"/>
      <c r="O79" s="42"/>
    </row>
    <row r="80" spans="1:17" ht="12.75" customHeight="1" x14ac:dyDescent="0.3">
      <c r="A80" s="42"/>
      <c r="B80" s="38"/>
      <c r="C80" s="42" t="s">
        <v>1091</v>
      </c>
      <c r="D80" s="38"/>
      <c r="E80" s="38"/>
      <c r="F80" s="38"/>
      <c r="G80" s="63" t="s">
        <v>1449</v>
      </c>
      <c r="H80" s="42" t="s">
        <v>28</v>
      </c>
      <c r="I80" s="252" cm="1">
        <f t="array" aca="1" ref="I80" ca="1">_xll.RiskLognorm(0.1,0.04,_xll.RiskName(G80))</f>
        <v>6.5166512824808065E-2</v>
      </c>
      <c r="J80" s="296" t="str">
        <f t="shared" si="4"/>
        <v/>
      </c>
      <c r="K80" s="196">
        <v>0.1</v>
      </c>
      <c r="L80" s="193">
        <f t="shared" ca="1" si="5"/>
        <v>6.5166512824808065E-2</v>
      </c>
      <c r="M80" s="42" t="s">
        <v>477</v>
      </c>
      <c r="N80" s="38"/>
      <c r="O80" s="42"/>
    </row>
    <row r="81" spans="1:15" ht="12.75" customHeight="1" x14ac:dyDescent="0.3">
      <c r="A81" s="42"/>
      <c r="B81" s="38"/>
      <c r="C81" s="42" t="s">
        <v>701</v>
      </c>
      <c r="D81" s="38"/>
      <c r="E81" s="38"/>
      <c r="F81" s="38"/>
      <c r="G81" s="63" t="s">
        <v>1102</v>
      </c>
      <c r="H81" s="42" t="s">
        <v>999</v>
      </c>
      <c r="I81" s="252" cm="1">
        <f t="array" aca="1" ref="I81" ca="1">_xll.RiskLognorm(24.4,23.5,_xll.RiskName(G81))</f>
        <v>23.590877167221496</v>
      </c>
      <c r="J81" s="296" t="str">
        <f t="shared" si="4"/>
        <v/>
      </c>
      <c r="K81" s="196">
        <v>15</v>
      </c>
      <c r="L81" s="193">
        <f ca="1">IF(ISBLANK(I81),IF(ISNUMBER(J81)=FALSE,K81/1000,J81/1000),I81/1000)</f>
        <v>2.3590877167221497E-2</v>
      </c>
      <c r="M81" s="42" t="s">
        <v>1524</v>
      </c>
      <c r="N81" s="38"/>
      <c r="O81" s="42"/>
    </row>
    <row r="82" spans="1:15" ht="12.75" customHeight="1" x14ac:dyDescent="0.3">
      <c r="A82" s="42"/>
      <c r="B82" s="38"/>
      <c r="C82" s="42" t="s">
        <v>541</v>
      </c>
      <c r="D82" s="38"/>
      <c r="E82" s="38"/>
      <c r="F82" s="38"/>
      <c r="G82" s="63" t="s">
        <v>547</v>
      </c>
      <c r="H82" s="42" t="s">
        <v>1000</v>
      </c>
      <c r="I82" s="255"/>
      <c r="J82" s="296" t="str">
        <f t="shared" si="4"/>
        <v/>
      </c>
      <c r="K82" s="196">
        <f>0.08*D</f>
        <v>0.91852289719750679</v>
      </c>
      <c r="L82" s="193">
        <f t="shared" si="5"/>
        <v>0.91852289719750679</v>
      </c>
      <c r="M82" s="42" t="s">
        <v>1525</v>
      </c>
      <c r="N82" s="38"/>
      <c r="O82" s="42"/>
    </row>
    <row r="83" spans="1:15" ht="12.75" customHeight="1" x14ac:dyDescent="0.3">
      <c r="A83" s="42"/>
      <c r="B83" s="38"/>
      <c r="C83" s="42" t="s">
        <v>543</v>
      </c>
      <c r="D83" s="38"/>
      <c r="E83" s="38"/>
      <c r="F83" s="38"/>
      <c r="G83" s="63" t="s">
        <v>548</v>
      </c>
      <c r="H83" s="42" t="s">
        <v>999</v>
      </c>
      <c r="I83" s="255"/>
      <c r="J83" s="296" t="str">
        <f t="shared" si="4"/>
        <v/>
      </c>
      <c r="K83" s="196">
        <v>1</v>
      </c>
      <c r="L83" s="193">
        <f>IF(ISBLANK(I83),IF(ISNUMBER(J83)=FALSE,K83/1000,J83/1000),I83/1000)</f>
        <v>1E-3</v>
      </c>
      <c r="M83" s="42" t="s">
        <v>1524</v>
      </c>
      <c r="N83" s="38"/>
      <c r="O83" s="42"/>
    </row>
    <row r="84" spans="1:15" ht="12.75" customHeight="1" x14ac:dyDescent="0.3">
      <c r="A84" s="42"/>
      <c r="B84" s="42" t="s">
        <v>1953</v>
      </c>
      <c r="C84" s="64"/>
      <c r="D84" s="38"/>
      <c r="E84" s="38"/>
      <c r="F84" s="38"/>
      <c r="G84" s="63" t="s">
        <v>565</v>
      </c>
      <c r="H84" s="42" t="s">
        <v>28</v>
      </c>
      <c r="I84" s="252"/>
      <c r="J84" s="296" t="str">
        <f t="shared" si="4"/>
        <v/>
      </c>
      <c r="K84" s="196">
        <f ca="1">1/(1+L85*L87/1000+L88*L89/1000)</f>
        <v>0.96307223379410145</v>
      </c>
      <c r="L84" s="193">
        <f t="shared" ca="1" si="5"/>
        <v>0.96307223379410145</v>
      </c>
      <c r="M84" s="42" t="s">
        <v>477</v>
      </c>
      <c r="N84" s="38"/>
      <c r="O84" s="42"/>
    </row>
    <row r="85" spans="1:15" ht="12.75" customHeight="1" x14ac:dyDescent="0.3">
      <c r="A85" s="42"/>
      <c r="B85" s="38"/>
      <c r="C85" s="42" t="s">
        <v>700</v>
      </c>
      <c r="D85" s="38"/>
      <c r="E85" s="38"/>
      <c r="F85" s="38"/>
      <c r="G85" s="63" t="s">
        <v>175</v>
      </c>
      <c r="H85" s="42" t="s">
        <v>1000</v>
      </c>
      <c r="I85" s="252"/>
      <c r="J85" s="296" t="str">
        <f t="shared" si="4"/>
        <v/>
      </c>
      <c r="K85" s="196">
        <f ca="1">(FRorig.w2*Ksw+(1-FRorig.w2)*Ksw.alt)*(1000/RHOsolid/CORG)*L86</f>
        <v>2397.7532655716532</v>
      </c>
      <c r="L85" s="193">
        <f t="shared" ca="1" si="5"/>
        <v>2397.7532655716532</v>
      </c>
      <c r="M85" s="42" t="s">
        <v>1525</v>
      </c>
      <c r="N85" s="38"/>
      <c r="O85" s="42"/>
    </row>
    <row r="86" spans="1:15" ht="12.75" customHeight="1" x14ac:dyDescent="0.3">
      <c r="A86" s="42"/>
      <c r="B86" s="38"/>
      <c r="C86" s="42" t="s">
        <v>1091</v>
      </c>
      <c r="D86" s="38"/>
      <c r="E86" s="38"/>
      <c r="F86" s="38"/>
      <c r="G86" s="63" t="s">
        <v>1450</v>
      </c>
      <c r="H86" s="42" t="s">
        <v>28</v>
      </c>
      <c r="I86" s="252" cm="1">
        <f t="array" aca="1" ref="I86" ca="1">_xll.RiskLognorm(0.1,0.04,_xll.RiskName(G86))</f>
        <v>3.6360124416257272E-2</v>
      </c>
      <c r="J86" s="296" t="str">
        <f t="shared" si="4"/>
        <v/>
      </c>
      <c r="K86" s="196">
        <v>0.1</v>
      </c>
      <c r="L86" s="193">
        <f t="shared" ca="1" si="5"/>
        <v>3.6360124416257272E-2</v>
      </c>
      <c r="M86" s="42" t="s">
        <v>477</v>
      </c>
      <c r="N86" s="38"/>
      <c r="O86" s="42"/>
    </row>
    <row r="87" spans="1:15" ht="12.75" customHeight="1" x14ac:dyDescent="0.3">
      <c r="A87" s="42"/>
      <c r="B87" s="38"/>
      <c r="C87" s="42" t="s">
        <v>1531</v>
      </c>
      <c r="D87" s="38"/>
      <c r="E87" s="38"/>
      <c r="F87" s="38"/>
      <c r="G87" s="63" t="s">
        <v>1103</v>
      </c>
      <c r="H87" s="42" t="s">
        <v>999</v>
      </c>
      <c r="I87" s="252" cm="1">
        <f t="array" aca="1" ref="I87" ca="1">_xll.RiskLognorm(5,4,_xll.RiskName(G87))</f>
        <v>15.991134674376832</v>
      </c>
      <c r="J87" s="296" t="str">
        <f t="shared" si="4"/>
        <v/>
      </c>
      <c r="K87" s="196">
        <v>5</v>
      </c>
      <c r="L87" s="193">
        <f ca="1">IF(ISBLANK(I87),IF(ISNUMBER(J87)=FALSE,K87/1000,J87/1000),I87/1000)</f>
        <v>1.5991134674376833E-2</v>
      </c>
      <c r="M87" s="42" t="s">
        <v>1524</v>
      </c>
      <c r="N87" s="38"/>
      <c r="O87" s="42"/>
    </row>
    <row r="88" spans="1:15" ht="12.75" customHeight="1" x14ac:dyDescent="0.3">
      <c r="A88" s="42"/>
      <c r="B88" s="38"/>
      <c r="C88" s="42" t="s">
        <v>541</v>
      </c>
      <c r="D88" s="38"/>
      <c r="E88" s="38"/>
      <c r="F88" s="38"/>
      <c r="G88" s="63" t="s">
        <v>549</v>
      </c>
      <c r="H88" s="42" t="s">
        <v>1000</v>
      </c>
      <c r="I88" s="255"/>
      <c r="J88" s="296" t="str">
        <f t="shared" si="4"/>
        <v/>
      </c>
      <c r="K88" s="196">
        <f>0.08*D</f>
        <v>0.91852289719750679</v>
      </c>
      <c r="L88" s="193">
        <f t="shared" si="5"/>
        <v>0.91852289719750679</v>
      </c>
      <c r="M88" s="42" t="s">
        <v>1525</v>
      </c>
      <c r="N88" s="38"/>
      <c r="O88" s="42"/>
    </row>
    <row r="89" spans="1:15" ht="12.75" customHeight="1" x14ac:dyDescent="0.3">
      <c r="A89" s="42"/>
      <c r="B89" s="38"/>
      <c r="C89" s="42" t="s">
        <v>543</v>
      </c>
      <c r="D89" s="38"/>
      <c r="E89" s="38"/>
      <c r="F89" s="38"/>
      <c r="G89" s="63" t="s">
        <v>550</v>
      </c>
      <c r="H89" s="42" t="s">
        <v>999</v>
      </c>
      <c r="I89" s="255"/>
      <c r="J89" s="296" t="str">
        <f t="shared" si="4"/>
        <v/>
      </c>
      <c r="K89" s="196">
        <v>1</v>
      </c>
      <c r="L89" s="193">
        <f>IF(ISBLANK(I89),IF(ISNUMBER(J89)=FALSE,K89/1000,J89/1000),I89/1000)</f>
        <v>1E-3</v>
      </c>
      <c r="M89" s="42" t="s">
        <v>1524</v>
      </c>
      <c r="N89" s="38"/>
      <c r="O89" s="42"/>
    </row>
    <row r="90" spans="1:15" ht="12.75" customHeight="1" x14ac:dyDescent="0.3">
      <c r="A90" s="42"/>
      <c r="B90" s="42" t="s">
        <v>726</v>
      </c>
      <c r="C90" s="64"/>
      <c r="D90" s="38"/>
      <c r="E90" s="38"/>
      <c r="F90" s="38"/>
      <c r="G90" s="63" t="s">
        <v>1104</v>
      </c>
      <c r="H90" s="42" t="s">
        <v>28</v>
      </c>
      <c r="I90" s="252"/>
      <c r="J90" s="296" t="str">
        <f t="shared" si="4"/>
        <v/>
      </c>
      <c r="K90" s="196">
        <f ca="1">L41+L42*L91*RHOsolid/1000</f>
        <v>1377.3346771969443</v>
      </c>
      <c r="L90" s="193">
        <f t="shared" ca="1" si="5"/>
        <v>1377.3346771969443</v>
      </c>
      <c r="M90" s="42" t="s">
        <v>477</v>
      </c>
      <c r="N90" s="38"/>
      <c r="O90" s="42"/>
    </row>
    <row r="91" spans="1:15" ht="12.75" customHeight="1" x14ac:dyDescent="0.3">
      <c r="A91" s="42"/>
      <c r="B91" s="38"/>
      <c r="C91" s="42" t="s">
        <v>1428</v>
      </c>
      <c r="D91" s="38"/>
      <c r="E91" s="38"/>
      <c r="F91" s="38"/>
      <c r="G91" s="63" t="s">
        <v>164</v>
      </c>
      <c r="H91" s="42" t="s">
        <v>1000</v>
      </c>
      <c r="I91" s="252"/>
      <c r="J91" s="296" t="str">
        <f t="shared" si="4"/>
        <v/>
      </c>
      <c r="K91" s="196">
        <f ca="1">(FRorig.sd1*Ksw+(1-FRorig.sd1)*Ksw.alt)*(1000/RHOsolid/CORG)*L92</f>
        <v>3907.9194930498693</v>
      </c>
      <c r="L91" s="193">
        <f t="shared" ca="1" si="5"/>
        <v>3907.9194930498693</v>
      </c>
      <c r="M91" s="42" t="s">
        <v>1525</v>
      </c>
      <c r="N91" s="38"/>
      <c r="O91" s="42"/>
    </row>
    <row r="92" spans="1:15" ht="12.75" customHeight="1" x14ac:dyDescent="0.3">
      <c r="A92" s="42"/>
      <c r="B92" s="38"/>
      <c r="C92" s="42" t="s">
        <v>1271</v>
      </c>
      <c r="D92" s="38"/>
      <c r="E92" s="38"/>
      <c r="F92" s="38"/>
      <c r="G92" s="63" t="s">
        <v>1293</v>
      </c>
      <c r="H92" s="42" t="s">
        <v>28</v>
      </c>
      <c r="I92" s="252" cm="1">
        <f t="array" aca="1" ref="I92" ca="1">_xll.RiskLognorm(0.05,0.04,_xll.RiskName(G92))</f>
        <v>5.9260659141312337E-2</v>
      </c>
      <c r="J92" s="296" t="str">
        <f t="shared" si="4"/>
        <v/>
      </c>
      <c r="K92" s="196">
        <v>0.05</v>
      </c>
      <c r="L92" s="193">
        <f t="shared" ca="1" si="5"/>
        <v>5.9260659141312337E-2</v>
      </c>
      <c r="M92" s="38" t="s">
        <v>477</v>
      </c>
      <c r="N92" s="38"/>
      <c r="O92" s="42"/>
    </row>
    <row r="93" spans="1:15" ht="12.75" customHeight="1" x14ac:dyDescent="0.3">
      <c r="A93" s="42"/>
      <c r="B93" s="42" t="s">
        <v>1429</v>
      </c>
      <c r="C93" s="64"/>
      <c r="D93" s="38"/>
      <c r="E93" s="38"/>
      <c r="F93" s="38"/>
      <c r="G93" s="63" t="s">
        <v>1294</v>
      </c>
      <c r="H93" s="42" t="s">
        <v>28</v>
      </c>
      <c r="I93" s="252"/>
      <c r="J93" s="296" t="str">
        <f t="shared" si="4"/>
        <v/>
      </c>
      <c r="K93" s="196">
        <f ca="1">L41+L42*L94*RHOsolid/1000</f>
        <v>591.51397117620422</v>
      </c>
      <c r="L93" s="193">
        <f t="shared" ca="1" si="5"/>
        <v>591.51397117620422</v>
      </c>
      <c r="M93" s="38" t="s">
        <v>477</v>
      </c>
      <c r="N93" s="38"/>
      <c r="O93" s="42"/>
    </row>
    <row r="94" spans="1:15" ht="12.75" customHeight="1" x14ac:dyDescent="0.3">
      <c r="A94" s="42"/>
      <c r="B94" s="38"/>
      <c r="C94" s="42" t="s">
        <v>1430</v>
      </c>
      <c r="D94" s="38"/>
      <c r="E94" s="38"/>
      <c r="F94" s="38"/>
      <c r="G94" s="63" t="s">
        <v>166</v>
      </c>
      <c r="H94" s="42" t="s">
        <v>1000</v>
      </c>
      <c r="I94" s="252"/>
      <c r="J94" s="296" t="str">
        <f t="shared" si="4"/>
        <v/>
      </c>
      <c r="K94" s="196">
        <f ca="1">(FRorig.sd2*Ksw+(1-FRorig.sd2)*Ksw.alt)*(1000/RHOsolid/CORG)*L95</f>
        <v>1676.9105771976958</v>
      </c>
      <c r="L94" s="193">
        <f t="shared" ca="1" si="5"/>
        <v>1676.9105771976958</v>
      </c>
      <c r="M94" s="42" t="s">
        <v>1525</v>
      </c>
      <c r="N94" s="38"/>
      <c r="O94" s="42"/>
    </row>
    <row r="95" spans="1:15" ht="12.75" customHeight="1" x14ac:dyDescent="0.3">
      <c r="A95" s="42"/>
      <c r="B95" s="38"/>
      <c r="C95" s="42" t="s">
        <v>1270</v>
      </c>
      <c r="D95" s="38"/>
      <c r="E95" s="38"/>
      <c r="F95" s="38"/>
      <c r="G95" s="63" t="s">
        <v>1295</v>
      </c>
      <c r="H95" s="42" t="s">
        <v>28</v>
      </c>
      <c r="I95" s="252" cm="1">
        <f t="array" aca="1" ref="I95" ca="1">_xll.RiskLognorm(0.05,0.04,_xll.RiskName(G95))</f>
        <v>2.5429087344943892E-2</v>
      </c>
      <c r="J95" s="296" t="str">
        <f t="shared" si="4"/>
        <v/>
      </c>
      <c r="K95" s="196">
        <v>0.05</v>
      </c>
      <c r="L95" s="193">
        <f t="shared" ca="1" si="5"/>
        <v>2.5429087344943892E-2</v>
      </c>
      <c r="M95" s="38" t="s">
        <v>477</v>
      </c>
      <c r="N95" s="38"/>
      <c r="O95" s="42"/>
    </row>
    <row r="96" spans="1:15" ht="12.75" customHeight="1" x14ac:dyDescent="0.3">
      <c r="A96" s="42"/>
      <c r="B96" s="42" t="s">
        <v>1431</v>
      </c>
      <c r="C96" s="64"/>
      <c r="D96" s="38"/>
      <c r="E96" s="38"/>
      <c r="F96" s="38"/>
      <c r="G96" s="63" t="s">
        <v>470</v>
      </c>
      <c r="H96" s="42" t="s">
        <v>28</v>
      </c>
      <c r="I96" s="252"/>
      <c r="J96" s="296" t="str">
        <f t="shared" si="4"/>
        <v/>
      </c>
      <c r="K96" s="196">
        <f ca="1">L32*(L69*FRorig.s1w)+L33+L34*L99*RHOsolid/1000</f>
        <v>5009.6420740159574</v>
      </c>
      <c r="L96" s="193">
        <f t="shared" ca="1" si="5"/>
        <v>5009.6420740159574</v>
      </c>
      <c r="M96" s="38" t="s">
        <v>477</v>
      </c>
      <c r="N96" s="38"/>
      <c r="O96" s="42"/>
    </row>
    <row r="97" spans="1:17" ht="12.75" customHeight="1" x14ac:dyDescent="0.3">
      <c r="A97" s="42"/>
      <c r="B97" s="42" t="s">
        <v>507</v>
      </c>
      <c r="C97" s="64"/>
      <c r="D97" s="38"/>
      <c r="E97" s="38"/>
      <c r="F97" s="38"/>
      <c r="G97" s="63" t="s">
        <v>569</v>
      </c>
      <c r="H97" s="42" t="s">
        <v>28</v>
      </c>
      <c r="I97" s="252"/>
      <c r="J97" s="296" t="str">
        <f t="shared" si="4"/>
        <v/>
      </c>
      <c r="K97" s="196">
        <f ca="1">L33/(L32*(L69*FRorig.s1w)+L33+L34*L99*RHOsolid/1000)</f>
        <v>6.164897774799451E-5</v>
      </c>
      <c r="L97" s="193">
        <f t="shared" ca="1" si="5"/>
        <v>6.164897774799451E-5</v>
      </c>
      <c r="M97" s="38" t="s">
        <v>477</v>
      </c>
      <c r="N97" s="38"/>
      <c r="O97" s="42"/>
    </row>
    <row r="98" spans="1:17" ht="12.75" customHeight="1" x14ac:dyDescent="0.3">
      <c r="A98" s="42"/>
      <c r="B98" s="42" t="s">
        <v>948</v>
      </c>
      <c r="C98" s="64"/>
      <c r="D98" s="38"/>
      <c r="E98" s="38"/>
      <c r="F98" s="38"/>
      <c r="G98" s="63" t="s">
        <v>992</v>
      </c>
      <c r="H98" s="42" t="s">
        <v>28</v>
      </c>
      <c r="I98" s="252"/>
      <c r="J98" s="296" t="str">
        <f t="shared" si="4"/>
        <v/>
      </c>
      <c r="K98" s="196">
        <f ca="1">L34 / (L32*L69*FRorig.s1w/(L99*RHOsolid/1000)+L33 /(L99*RHOsolid/1000)+L34 )</f>
        <v>0.99993835102225204</v>
      </c>
      <c r="L98" s="193">
        <f t="shared" ca="1" si="5"/>
        <v>0.99993835102225204</v>
      </c>
      <c r="M98" s="4" t="s">
        <v>477</v>
      </c>
      <c r="N98" s="38"/>
      <c r="O98" s="42"/>
    </row>
    <row r="99" spans="1:17" ht="12.75" customHeight="1" x14ac:dyDescent="0.3">
      <c r="A99" s="42"/>
      <c r="B99" s="38"/>
      <c r="C99" s="42" t="s">
        <v>1323</v>
      </c>
      <c r="D99" s="38"/>
      <c r="E99" s="38"/>
      <c r="F99" s="38"/>
      <c r="G99" s="63" t="s">
        <v>117</v>
      </c>
      <c r="H99" s="42" t="s">
        <v>1000</v>
      </c>
      <c r="I99" s="252"/>
      <c r="J99" s="296" t="str">
        <f t="shared" si="4"/>
        <v/>
      </c>
      <c r="K99" s="196">
        <f ca="1">(FRorig.s1*Ksw+(1-FRorig.s1)*Ksw.alt)*(1000/RHOsolid/CORG)*L100</f>
        <v>4011.9791346313996</v>
      </c>
      <c r="L99" s="193">
        <f t="shared" ca="1" si="5"/>
        <v>4011.9791346313996</v>
      </c>
      <c r="M99" s="42" t="s">
        <v>1525</v>
      </c>
      <c r="N99" s="38"/>
      <c r="O99" s="42"/>
    </row>
    <row r="100" spans="1:17" ht="12.75" customHeight="1" x14ac:dyDescent="0.3">
      <c r="A100" s="42"/>
      <c r="B100" s="38"/>
      <c r="C100" s="42" t="s">
        <v>1269</v>
      </c>
      <c r="D100" s="38"/>
      <c r="E100" s="38"/>
      <c r="F100" s="38"/>
      <c r="G100" s="63" t="s">
        <v>471</v>
      </c>
      <c r="H100" s="42" t="s">
        <v>28</v>
      </c>
      <c r="I100" s="252" cm="1">
        <f t="array" aca="1" ref="I100" ca="1">_xll.RiskLognorm(0.05,0.04,_xll.RiskName(G100))</f>
        <v>6.0838645320684101E-2</v>
      </c>
      <c r="J100" s="296" t="str">
        <f t="shared" si="4"/>
        <v/>
      </c>
      <c r="K100" s="196">
        <v>0.02</v>
      </c>
      <c r="L100" s="193">
        <f t="shared" ca="1" si="5"/>
        <v>6.0838645320684101E-2</v>
      </c>
      <c r="M100" s="38" t="s">
        <v>477</v>
      </c>
      <c r="N100" s="38"/>
      <c r="O100" s="42"/>
    </row>
    <row r="101" spans="1:17" ht="12.75" customHeight="1" x14ac:dyDescent="0.3">
      <c r="A101" s="42"/>
      <c r="B101" s="42" t="s">
        <v>776</v>
      </c>
      <c r="C101" s="64"/>
      <c r="D101" s="38"/>
      <c r="E101" s="38"/>
      <c r="F101" s="38"/>
      <c r="G101" s="63" t="s">
        <v>472</v>
      </c>
      <c r="H101" s="42" t="s">
        <v>28</v>
      </c>
      <c r="I101" s="252"/>
      <c r="J101" s="296" t="str">
        <f t="shared" si="4"/>
        <v/>
      </c>
      <c r="K101" s="196">
        <f ca="1">L35*(L69*FRorig.s2w)+L36+L37*L104*RHOsolid/1000</f>
        <v>2903.5335250590128</v>
      </c>
      <c r="L101" s="193">
        <f t="shared" ca="1" si="5"/>
        <v>2903.5335250590128</v>
      </c>
      <c r="M101" s="38" t="s">
        <v>477</v>
      </c>
      <c r="N101" s="38"/>
      <c r="O101" s="42"/>
    </row>
    <row r="102" spans="1:17" ht="12.75" customHeight="1" x14ac:dyDescent="0.3">
      <c r="A102" s="42"/>
      <c r="B102" s="42" t="s">
        <v>508</v>
      </c>
      <c r="C102" s="64"/>
      <c r="D102" s="38"/>
      <c r="E102" s="38"/>
      <c r="F102" s="38"/>
      <c r="G102" s="63" t="s">
        <v>570</v>
      </c>
      <c r="H102" s="42" t="s">
        <v>28</v>
      </c>
      <c r="I102" s="252"/>
      <c r="J102" s="296" t="str">
        <f t="shared" si="4"/>
        <v/>
      </c>
      <c r="K102" s="196">
        <f ca="1">L36/(L35*(L69*FRorig.s2w)+L36+L37*L104*RHOsolid/1000)</f>
        <v>1.7600670208304855E-4</v>
      </c>
      <c r="L102" s="193">
        <f t="shared" ca="1" si="5"/>
        <v>1.7600670208304855E-4</v>
      </c>
      <c r="M102" s="38" t="s">
        <v>477</v>
      </c>
      <c r="N102" s="38"/>
      <c r="O102" s="42"/>
    </row>
    <row r="103" spans="1:17" ht="12.75" customHeight="1" x14ac:dyDescent="0.3">
      <c r="A103" s="42"/>
      <c r="B103" s="42" t="s">
        <v>1095</v>
      </c>
      <c r="C103" s="64"/>
      <c r="D103" s="38"/>
      <c r="E103" s="38"/>
      <c r="F103" s="38"/>
      <c r="G103" s="63" t="s">
        <v>993</v>
      </c>
      <c r="H103" s="42" t="s">
        <v>28</v>
      </c>
      <c r="I103" s="252"/>
      <c r="J103" s="296" t="str">
        <f t="shared" si="4"/>
        <v/>
      </c>
      <c r="K103" s="196">
        <f ca="1">L37 / (L35*L69*FRorig.s2w/(L104*RHOsolid/1000)+L36 /(L99*RHOsolid/1000)+L37 )</f>
        <v>0.9998266240960354</v>
      </c>
      <c r="L103" s="193">
        <f t="shared" ca="1" si="5"/>
        <v>0.9998266240960354</v>
      </c>
      <c r="M103" s="4" t="s">
        <v>477</v>
      </c>
      <c r="N103" s="38"/>
      <c r="O103" s="42"/>
    </row>
    <row r="104" spans="1:17" ht="12.75" customHeight="1" x14ac:dyDescent="0.3">
      <c r="A104" s="42"/>
      <c r="B104" s="38"/>
      <c r="C104" s="42" t="s">
        <v>1228</v>
      </c>
      <c r="D104" s="38"/>
      <c r="E104" s="38"/>
      <c r="F104" s="38"/>
      <c r="G104" s="63" t="s">
        <v>159</v>
      </c>
      <c r="H104" s="42" t="s">
        <v>1000</v>
      </c>
      <c r="I104" s="252"/>
      <c r="J104" s="296" t="str">
        <f t="shared" si="4"/>
        <v/>
      </c>
      <c r="K104" s="196">
        <f ca="1">(FRorig.s2*Ksw+(1-FRorig.s2)*Ksw.alt)*(1000/RHOsolid/CORG)*L105</f>
        <v>3952.0010924147232</v>
      </c>
      <c r="L104" s="193">
        <f t="shared" ca="1" si="5"/>
        <v>3952.0010924147232</v>
      </c>
      <c r="M104" s="42" t="s">
        <v>1525</v>
      </c>
      <c r="N104" s="38"/>
      <c r="O104" s="42"/>
    </row>
    <row r="105" spans="1:17" ht="12.75" customHeight="1" x14ac:dyDescent="0.3">
      <c r="A105" s="42"/>
      <c r="B105" s="38"/>
      <c r="C105" s="42" t="s">
        <v>1268</v>
      </c>
      <c r="D105" s="38"/>
      <c r="E105" s="38"/>
      <c r="F105" s="38"/>
      <c r="G105" s="63" t="s">
        <v>473</v>
      </c>
      <c r="H105" s="42" t="s">
        <v>28</v>
      </c>
      <c r="I105" s="252" cm="1">
        <f t="array" aca="1" ref="I105" ca="1">_xll.RiskLognorm(0.05,0.04,_xll.RiskName(G105))</f>
        <v>5.9929123432608616E-2</v>
      </c>
      <c r="J105" s="296" t="str">
        <f t="shared" si="4"/>
        <v/>
      </c>
      <c r="K105" s="196">
        <v>0.02</v>
      </c>
      <c r="L105" s="193">
        <f t="shared" ca="1" si="5"/>
        <v>5.9929123432608616E-2</v>
      </c>
      <c r="M105" s="38" t="s">
        <v>477</v>
      </c>
      <c r="N105" s="38"/>
      <c r="O105" s="42"/>
    </row>
    <row r="106" spans="1:17" ht="12.75" customHeight="1" x14ac:dyDescent="0.3">
      <c r="A106" s="42"/>
      <c r="B106" s="42" t="s">
        <v>780</v>
      </c>
      <c r="C106" s="64"/>
      <c r="D106" s="38"/>
      <c r="E106" s="38"/>
      <c r="F106" s="38"/>
      <c r="G106" s="63" t="s">
        <v>474</v>
      </c>
      <c r="H106" s="42" t="s">
        <v>28</v>
      </c>
      <c r="I106" s="252"/>
      <c r="J106" s="296" t="str">
        <f t="shared" si="4"/>
        <v/>
      </c>
      <c r="K106" s="196">
        <f ca="1">L38*(L69*FRorig.s3w)+L39+L40*L109*RHOsolid/1000</f>
        <v>2498.9289014616852</v>
      </c>
      <c r="L106" s="193">
        <f t="shared" ca="1" si="5"/>
        <v>2498.9289014616852</v>
      </c>
      <c r="M106" s="38" t="s">
        <v>477</v>
      </c>
      <c r="N106" s="38"/>
      <c r="O106" s="42"/>
    </row>
    <row r="107" spans="1:17" ht="12.75" customHeight="1" x14ac:dyDescent="0.3">
      <c r="A107" s="42"/>
      <c r="B107" s="42" t="s">
        <v>509</v>
      </c>
      <c r="C107" s="64"/>
      <c r="D107" s="38"/>
      <c r="E107" s="38"/>
      <c r="F107" s="38"/>
      <c r="G107" s="63" t="s">
        <v>571</v>
      </c>
      <c r="H107" s="42" t="s">
        <v>28</v>
      </c>
      <c r="I107" s="252"/>
      <c r="J107" s="296" t="str">
        <f t="shared" si="4"/>
        <v/>
      </c>
      <c r="K107" s="196">
        <f ca="1">L39/(L38*(L69*FRorig.s3w)+L39+L40*L109*RHOsolid/1000)</f>
        <v>2.0363478002383617E-4</v>
      </c>
      <c r="L107" s="193">
        <f t="shared" ca="1" si="5"/>
        <v>2.0363478002383617E-4</v>
      </c>
      <c r="M107" s="38" t="s">
        <v>477</v>
      </c>
      <c r="N107" s="38"/>
      <c r="O107" s="42"/>
    </row>
    <row r="108" spans="1:17" ht="12.75" customHeight="1" x14ac:dyDescent="0.3">
      <c r="A108" s="42"/>
      <c r="B108" s="42" t="s">
        <v>894</v>
      </c>
      <c r="C108" s="64"/>
      <c r="D108" s="38"/>
      <c r="E108" s="38"/>
      <c r="F108" s="38"/>
      <c r="G108" s="63" t="s">
        <v>994</v>
      </c>
      <c r="H108" s="42" t="s">
        <v>28</v>
      </c>
      <c r="I108" s="252"/>
      <c r="J108" s="296" t="str">
        <f t="shared" si="4"/>
        <v/>
      </c>
      <c r="K108" s="196">
        <f ca="1">L40 / (L38*L69*FRorig.s2w/(L109*RHOsolid/1000)+L39 /(L99*RHOsolid/1000)+L40 )</f>
        <v>0.99982864909095326</v>
      </c>
      <c r="L108" s="193">
        <f t="shared" ca="1" si="5"/>
        <v>0.99982864909095326</v>
      </c>
      <c r="M108" s="4" t="s">
        <v>477</v>
      </c>
      <c r="N108" s="38"/>
      <c r="O108" s="42"/>
    </row>
    <row r="109" spans="1:17" ht="12.75" customHeight="1" x14ac:dyDescent="0.3">
      <c r="A109" s="42"/>
      <c r="B109" s="38"/>
      <c r="C109" s="42" t="s">
        <v>1058</v>
      </c>
      <c r="D109" s="38"/>
      <c r="E109" s="38"/>
      <c r="F109" s="38"/>
      <c r="G109" s="63" t="s">
        <v>161</v>
      </c>
      <c r="H109" s="42" t="s">
        <v>1000</v>
      </c>
      <c r="I109" s="252"/>
      <c r="J109" s="296" t="str">
        <f t="shared" si="4"/>
        <v/>
      </c>
      <c r="K109" s="196">
        <f ca="1">(FRorig.s2*Ksw+(1-FRorig.s2)*Ksw.alt)*(1000/RHOsolid/CORG)*L110</f>
        <v>3375.8185814911017</v>
      </c>
      <c r="L109" s="193">
        <f t="shared" ca="1" si="5"/>
        <v>3375.8185814911017</v>
      </c>
      <c r="M109" s="42" t="s">
        <v>1525</v>
      </c>
      <c r="N109" s="38"/>
      <c r="O109" s="42"/>
    </row>
    <row r="110" spans="1:17" ht="12.75" customHeight="1" x14ac:dyDescent="0.3">
      <c r="A110" s="42"/>
      <c r="B110" s="38"/>
      <c r="C110" s="42" t="s">
        <v>1400</v>
      </c>
      <c r="D110" s="38"/>
      <c r="E110" s="38"/>
      <c r="F110" s="38"/>
      <c r="G110" s="63" t="s">
        <v>475</v>
      </c>
      <c r="H110" s="42" t="s">
        <v>28</v>
      </c>
      <c r="I110" s="252" cm="1">
        <f t="array" aca="1" ref="I110" ca="1">_xll.RiskLognorm(0.05,0.04,_xll.RiskName(G110))</f>
        <v>5.1191749122888035E-2</v>
      </c>
      <c r="J110" s="296" t="str">
        <f t="shared" si="4"/>
        <v/>
      </c>
      <c r="K110" s="196">
        <v>0.02</v>
      </c>
      <c r="L110" s="193">
        <f t="shared" ca="1" si="5"/>
        <v>5.1191749122888035E-2</v>
      </c>
      <c r="M110" s="38" t="s">
        <v>477</v>
      </c>
      <c r="N110" s="38"/>
      <c r="O110" s="42"/>
    </row>
    <row r="111" spans="1:17" ht="12.75" customHeight="1" x14ac:dyDescent="0.3">
      <c r="A111" s="38"/>
      <c r="B111" s="38"/>
      <c r="C111" s="38"/>
      <c r="D111" s="38"/>
      <c r="E111" s="38"/>
      <c r="F111" s="38"/>
      <c r="G111" s="38"/>
      <c r="H111" s="38"/>
      <c r="I111" s="309"/>
      <c r="J111" s="175"/>
      <c r="K111" s="175"/>
      <c r="L111" s="175"/>
      <c r="M111" s="38"/>
      <c r="N111" s="38"/>
      <c r="O111" s="42"/>
    </row>
    <row r="112" spans="1:17" customFormat="1" ht="12.75" customHeight="1" x14ac:dyDescent="0.3">
      <c r="A112" s="67" t="s">
        <v>1306</v>
      </c>
      <c r="B112" s="66"/>
      <c r="C112" s="66"/>
      <c r="D112" s="66"/>
      <c r="E112" s="66"/>
      <c r="F112" s="66"/>
      <c r="G112" s="67" t="s">
        <v>969</v>
      </c>
      <c r="H112" s="67" t="s">
        <v>929</v>
      </c>
      <c r="I112" s="189" t="s">
        <v>748</v>
      </c>
      <c r="J112" s="163" t="s">
        <v>29</v>
      </c>
      <c r="K112" s="163" t="s">
        <v>747</v>
      </c>
      <c r="L112" s="163" t="s">
        <v>1353</v>
      </c>
      <c r="M112" s="66"/>
      <c r="N112" s="67" t="s">
        <v>1366</v>
      </c>
      <c r="O112" s="42"/>
      <c r="P112" s="308"/>
      <c r="Q112" s="308"/>
    </row>
    <row r="113" spans="1:15" ht="12.75" customHeight="1" x14ac:dyDescent="0.3">
      <c r="A113" s="38"/>
      <c r="B113" s="38"/>
      <c r="C113" s="38"/>
      <c r="D113" s="38"/>
      <c r="E113" s="38"/>
      <c r="F113" s="38"/>
      <c r="G113" s="38"/>
      <c r="H113" s="38"/>
      <c r="I113" s="309"/>
      <c r="J113" s="175"/>
      <c r="K113" s="175"/>
      <c r="L113" s="175"/>
      <c r="M113" s="38"/>
      <c r="N113" s="38"/>
      <c r="O113" s="42"/>
    </row>
    <row r="114" spans="1:15" ht="12.75" customHeight="1" x14ac:dyDescent="0.3">
      <c r="A114" s="42" t="s">
        <v>292</v>
      </c>
      <c r="B114" s="38"/>
      <c r="C114" s="38"/>
      <c r="D114" s="38"/>
      <c r="E114" s="38"/>
      <c r="F114" s="38"/>
      <c r="G114" s="42" t="s">
        <v>341</v>
      </c>
      <c r="H114" s="42" t="s">
        <v>1801</v>
      </c>
      <c r="I114" s="255"/>
      <c r="J114" s="296" t="str">
        <f t="shared" ref="J114:J151" si="6">IF(HLOOKUP(CaseName,CaseData,ROW()+376,FALSE)="","",HLOOKUP(CaseName,CaseData,ROW()+376,FALSE))</f>
        <v/>
      </c>
      <c r="K114" s="303">
        <f ca="1">(L126+L137/L21)*L15</f>
        <v>2.2041144680396991E-8</v>
      </c>
      <c r="L114" s="193">
        <f ca="1">IF(ISBLANK(I114),IF(ISNUMBER(J114)=FALSE,K114,J114),I114)</f>
        <v>2.2041144680396991E-8</v>
      </c>
      <c r="M114" s="38" t="s">
        <v>1515</v>
      </c>
      <c r="N114" s="38"/>
      <c r="O114" s="42"/>
    </row>
    <row r="115" spans="1:15" ht="12.75" customHeight="1" x14ac:dyDescent="0.3">
      <c r="A115" s="42" t="s">
        <v>58</v>
      </c>
      <c r="B115" s="38"/>
      <c r="C115" s="38"/>
      <c r="D115" s="38"/>
      <c r="E115" s="38"/>
      <c r="F115" s="38"/>
      <c r="G115" s="42" t="s">
        <v>256</v>
      </c>
      <c r="H115" s="42" t="s">
        <v>1801</v>
      </c>
      <c r="I115" s="255"/>
      <c r="J115" s="296" t="str">
        <f t="shared" si="6"/>
        <v/>
      </c>
      <c r="K115" s="303">
        <f ca="1">(L126+L137/L21)*L16</f>
        <v>2.4245259148436693E-7</v>
      </c>
      <c r="L115" s="193">
        <f t="shared" ref="L115:L136" ca="1" si="7">IF(ISBLANK(I115),IF(ISNUMBER(J115)=FALSE,K115,J115),I115)</f>
        <v>2.4245259148436693E-7</v>
      </c>
      <c r="M115" s="38" t="s">
        <v>1515</v>
      </c>
      <c r="N115" s="38"/>
      <c r="O115" s="42"/>
    </row>
    <row r="116" spans="1:15" ht="12.75" customHeight="1" x14ac:dyDescent="0.3">
      <c r="A116" s="42" t="s">
        <v>59</v>
      </c>
      <c r="B116" s="38"/>
      <c r="C116" s="38"/>
      <c r="D116" s="38"/>
      <c r="E116" s="38"/>
      <c r="F116" s="38"/>
      <c r="G116" s="42" t="s">
        <v>257</v>
      </c>
      <c r="H116" s="42" t="s">
        <v>1801</v>
      </c>
      <c r="I116" s="255"/>
      <c r="J116" s="296" t="str">
        <f t="shared" si="6"/>
        <v/>
      </c>
      <c r="K116" s="303">
        <f ca="1">(L126+L137/L21)*L20</f>
        <v>8.8159996855549035E-6</v>
      </c>
      <c r="L116" s="193">
        <f t="shared" ca="1" si="7"/>
        <v>8.8159996855549035E-6</v>
      </c>
      <c r="M116" s="38" t="s">
        <v>1515</v>
      </c>
      <c r="N116" s="38"/>
      <c r="O116" s="42"/>
    </row>
    <row r="117" spans="1:15" ht="12.75" customHeight="1" x14ac:dyDescent="0.3">
      <c r="A117" s="42" t="s">
        <v>60</v>
      </c>
      <c r="B117" s="38"/>
      <c r="C117" s="38"/>
      <c r="D117" s="38"/>
      <c r="E117" s="38"/>
      <c r="F117" s="38"/>
      <c r="G117" s="42" t="s">
        <v>258</v>
      </c>
      <c r="H117" s="42" t="s">
        <v>1801</v>
      </c>
      <c r="I117" s="255"/>
      <c r="J117" s="296" t="str">
        <f t="shared" si="6"/>
        <v/>
      </c>
      <c r="K117" s="303">
        <f ca="1">(L126+L138/L21)*L17</f>
        <v>2.3804436251528423E-6</v>
      </c>
      <c r="L117" s="193">
        <f t="shared" ca="1" si="7"/>
        <v>2.3804436251528423E-6</v>
      </c>
      <c r="M117" s="38" t="s">
        <v>1515</v>
      </c>
      <c r="N117" s="38"/>
      <c r="O117" s="42"/>
    </row>
    <row r="118" spans="1:15" ht="12.75" customHeight="1" x14ac:dyDescent="0.3">
      <c r="A118" s="42" t="s">
        <v>61</v>
      </c>
      <c r="B118" s="38"/>
      <c r="C118" s="38"/>
      <c r="D118" s="38"/>
      <c r="E118" s="38"/>
      <c r="F118" s="38"/>
      <c r="G118" s="42" t="s">
        <v>810</v>
      </c>
      <c r="H118" s="42" t="s">
        <v>1801</v>
      </c>
      <c r="I118" s="255"/>
      <c r="J118" s="296" t="str">
        <f t="shared" si="6"/>
        <v/>
      </c>
      <c r="K118" s="303">
        <f ca="1">(L126+L138/L21)*L18</f>
        <v>5.2898747225618712E-6</v>
      </c>
      <c r="L118" s="193">
        <f t="shared" ca="1" si="7"/>
        <v>5.2898747225618712E-6</v>
      </c>
      <c r="M118" s="38" t="s">
        <v>1515</v>
      </c>
      <c r="N118" s="38"/>
      <c r="O118" s="42"/>
    </row>
    <row r="119" spans="1:15" ht="12.75" customHeight="1" x14ac:dyDescent="0.3">
      <c r="A119" s="42" t="s">
        <v>62</v>
      </c>
      <c r="B119" s="38"/>
      <c r="C119" s="38"/>
      <c r="D119" s="38"/>
      <c r="E119" s="38"/>
      <c r="F119" s="38"/>
      <c r="G119" s="42" t="s">
        <v>811</v>
      </c>
      <c r="H119" s="42" t="s">
        <v>1801</v>
      </c>
      <c r="I119" s="255"/>
      <c r="J119" s="296" t="str">
        <f t="shared" si="6"/>
        <v/>
      </c>
      <c r="K119" s="303">
        <f ca="1">(L126+L138/L21)*L19</f>
        <v>8.8164578709364524E-7</v>
      </c>
      <c r="L119" s="193">
        <f t="shared" ca="1" si="7"/>
        <v>8.8164578709364524E-7</v>
      </c>
      <c r="M119" s="38" t="s">
        <v>1515</v>
      </c>
      <c r="N119" s="38"/>
      <c r="O119" s="42"/>
    </row>
    <row r="120" spans="1:15" ht="12.75" customHeight="1" x14ac:dyDescent="0.3">
      <c r="A120" s="42" t="s">
        <v>63</v>
      </c>
      <c r="B120" s="38"/>
      <c r="C120" s="38"/>
      <c r="D120" s="38"/>
      <c r="E120" s="38"/>
      <c r="F120" s="38"/>
      <c r="G120" s="42" t="s">
        <v>342</v>
      </c>
      <c r="H120" s="42" t="s">
        <v>1801</v>
      </c>
      <c r="I120" s="255"/>
      <c r="J120" s="296" t="str">
        <f t="shared" si="6"/>
        <v/>
      </c>
      <c r="K120" s="303">
        <f ca="1">L139/L22</f>
        <v>1.6492713585253436E-25</v>
      </c>
      <c r="L120" s="193">
        <f ca="1">IF(ISBLANK(I120),IF(ISNUMBER(J120)=FALSE,K120,J120),I120)</f>
        <v>1.6492713585253436E-25</v>
      </c>
      <c r="M120" s="38" t="s">
        <v>1515</v>
      </c>
      <c r="N120" s="38"/>
      <c r="O120" s="42"/>
    </row>
    <row r="121" spans="1:15" ht="12.75" customHeight="1" x14ac:dyDescent="0.3">
      <c r="A121" s="42" t="s">
        <v>63</v>
      </c>
      <c r="B121" s="38"/>
      <c r="C121" s="38"/>
      <c r="D121" s="38"/>
      <c r="E121" s="38"/>
      <c r="F121" s="38"/>
      <c r="G121" s="42" t="s">
        <v>812</v>
      </c>
      <c r="H121" s="42" t="s">
        <v>1801</v>
      </c>
      <c r="I121" s="255"/>
      <c r="J121" s="296" t="str">
        <f t="shared" si="6"/>
        <v/>
      </c>
      <c r="K121" s="303">
        <f ca="1">L140/L23</f>
        <v>4.8641288905373166E-24</v>
      </c>
      <c r="L121" s="193">
        <f t="shared" ca="1" si="7"/>
        <v>4.8641288905373166E-24</v>
      </c>
      <c r="M121" s="38" t="s">
        <v>1515</v>
      </c>
      <c r="N121" s="38"/>
      <c r="O121" s="42"/>
    </row>
    <row r="122" spans="1:15" ht="12.75" customHeight="1" x14ac:dyDescent="0.3">
      <c r="A122" s="42" t="s">
        <v>64</v>
      </c>
      <c r="B122" s="38"/>
      <c r="C122" s="38"/>
      <c r="D122" s="38"/>
      <c r="E122" s="38"/>
      <c r="F122" s="38"/>
      <c r="G122" s="42" t="s">
        <v>813</v>
      </c>
      <c r="H122" s="42" t="s">
        <v>1801</v>
      </c>
      <c r="I122" s="255"/>
      <c r="J122" s="296" t="str">
        <f t="shared" si="6"/>
        <v/>
      </c>
      <c r="K122" s="303">
        <f ca="1">L141/L24</f>
        <v>7.9680306092580999E-26</v>
      </c>
      <c r="L122" s="193">
        <f t="shared" ca="1" si="7"/>
        <v>7.9680306092580999E-26</v>
      </c>
      <c r="M122" s="38" t="s">
        <v>1515</v>
      </c>
      <c r="N122" s="38"/>
      <c r="O122" s="42"/>
    </row>
    <row r="123" spans="1:15" ht="12.75" customHeight="1" x14ac:dyDescent="0.3">
      <c r="A123" s="42" t="s">
        <v>65</v>
      </c>
      <c r="B123" s="38"/>
      <c r="C123" s="38"/>
      <c r="D123" s="38"/>
      <c r="E123" s="38"/>
      <c r="F123" s="38"/>
      <c r="G123" s="42" t="s">
        <v>814</v>
      </c>
      <c r="H123" s="42" t="s">
        <v>1801</v>
      </c>
      <c r="I123" s="255"/>
      <c r="J123" s="296" t="str">
        <f t="shared" si="6"/>
        <v/>
      </c>
      <c r="K123" s="303">
        <f ca="1">L144/L27</f>
        <v>8.7364321685341359E-27</v>
      </c>
      <c r="L123" s="193">
        <f t="shared" ca="1" si="7"/>
        <v>8.7364321685341359E-27</v>
      </c>
      <c r="M123" s="38" t="s">
        <v>1515</v>
      </c>
      <c r="N123" s="38"/>
      <c r="O123" s="42"/>
    </row>
    <row r="124" spans="1:15" ht="12.75" customHeight="1" x14ac:dyDescent="0.3">
      <c r="A124" s="42" t="s">
        <v>66</v>
      </c>
      <c r="B124" s="38"/>
      <c r="C124" s="38"/>
      <c r="D124" s="38"/>
      <c r="E124" s="38"/>
      <c r="F124" s="38"/>
      <c r="G124" s="42" t="s">
        <v>815</v>
      </c>
      <c r="H124" s="42" t="s">
        <v>1801</v>
      </c>
      <c r="I124" s="255"/>
      <c r="J124" s="296" t="str">
        <f t="shared" si="6"/>
        <v/>
      </c>
      <c r="K124" s="303">
        <f ca="1">L145/L28</f>
        <v>3.9755504476761481E-27</v>
      </c>
      <c r="L124" s="193">
        <f t="shared" ca="1" si="7"/>
        <v>3.9755504476761481E-27</v>
      </c>
      <c r="M124" s="38" t="s">
        <v>1515</v>
      </c>
      <c r="N124" s="38"/>
      <c r="O124" s="42"/>
    </row>
    <row r="125" spans="1:15" ht="12.75" customHeight="1" x14ac:dyDescent="0.3">
      <c r="A125" s="42" t="s">
        <v>67</v>
      </c>
      <c r="B125" s="38"/>
      <c r="C125" s="38"/>
      <c r="D125" s="38"/>
      <c r="E125" s="38"/>
      <c r="F125" s="38"/>
      <c r="G125" s="42" t="s">
        <v>816</v>
      </c>
      <c r="H125" s="42" t="s">
        <v>1801</v>
      </c>
      <c r="I125" s="255"/>
      <c r="J125" s="296" t="str">
        <f t="shared" si="6"/>
        <v/>
      </c>
      <c r="K125" s="303">
        <f ca="1">L146/L29</f>
        <v>8.7364321685341359E-27</v>
      </c>
      <c r="L125" s="193">
        <f t="shared" ca="1" si="7"/>
        <v>8.7364321685341359E-27</v>
      </c>
      <c r="M125" s="38" t="s">
        <v>1515</v>
      </c>
      <c r="N125" s="38"/>
      <c r="O125" s="42"/>
    </row>
    <row r="126" spans="1:15" ht="12.75" customHeight="1" x14ac:dyDescent="0.3">
      <c r="A126" s="42"/>
      <c r="B126" s="42" t="s">
        <v>1954</v>
      </c>
      <c r="C126" s="38"/>
      <c r="D126" s="38"/>
      <c r="E126" s="38"/>
      <c r="F126" s="38"/>
      <c r="G126" s="43" t="s">
        <v>1872</v>
      </c>
      <c r="H126" s="42" t="s">
        <v>1801</v>
      </c>
      <c r="I126" s="255"/>
      <c r="J126" s="296" t="str">
        <f t="shared" si="6"/>
        <v/>
      </c>
      <c r="K126" s="303">
        <f ca="1">L127-SUM((L137*(L15+L16+L20)+L138*(L17+L18+L19))/L21,L202,L44,L45)</f>
        <v>1.7632457554985108E-5</v>
      </c>
      <c r="L126" s="193">
        <f t="shared" ca="1" si="7"/>
        <v>1.7632457554985108E-5</v>
      </c>
      <c r="M126" s="38" t="s">
        <v>1515</v>
      </c>
      <c r="N126" s="38"/>
      <c r="O126" s="42"/>
    </row>
    <row r="127" spans="1:15" ht="12.75" customHeight="1" x14ac:dyDescent="0.3">
      <c r="A127" s="42"/>
      <c r="B127" s="42"/>
      <c r="C127" s="38" t="s">
        <v>1955</v>
      </c>
      <c r="D127" s="38"/>
      <c r="E127" s="38"/>
      <c r="F127" s="38"/>
      <c r="G127" s="43" t="s">
        <v>1873</v>
      </c>
      <c r="H127" s="42" t="s">
        <v>1801</v>
      </c>
      <c r="I127" s="255"/>
      <c r="J127" s="296" t="str">
        <f t="shared" si="6"/>
        <v/>
      </c>
      <c r="K127" s="174">
        <f ca="1">((1/L128)*L130/(L130+L131)+(1/L129)*L131/(L130+L131)-((1/L129-1/L128)^2/(L130+L131))*(1-EXP(-L128*L130))*(1-EXP(-L129*L131))/(1-EXP(-L128*L130-L129*L131)))^-1</f>
        <v>2.0198408130275492E-5</v>
      </c>
      <c r="L127" s="193">
        <f t="shared" ca="1" si="7"/>
        <v>2.0198408130275492E-5</v>
      </c>
      <c r="M127" s="38" t="s">
        <v>1515</v>
      </c>
      <c r="N127" s="38"/>
      <c r="O127" s="42"/>
    </row>
    <row r="128" spans="1:15" ht="12.75" customHeight="1" x14ac:dyDescent="0.3">
      <c r="A128" s="42"/>
      <c r="B128" s="42"/>
      <c r="C128" s="42"/>
      <c r="D128" s="42" t="s">
        <v>1956</v>
      </c>
      <c r="E128" s="38"/>
      <c r="F128" s="38"/>
      <c r="G128" s="43" t="s">
        <v>959</v>
      </c>
      <c r="H128" s="42" t="s">
        <v>1801</v>
      </c>
      <c r="I128" s="255"/>
      <c r="J128" s="296" t="str">
        <f t="shared" si="6"/>
        <v/>
      </c>
      <c r="K128" s="303">
        <f ca="1">L132/L21 + SUM((L137*(L15+L16+L20)+L138*(L17+L18+L19))/L21,L202,L44,L45)</f>
        <v>1.4454204788181036E-5</v>
      </c>
      <c r="L128" s="193">
        <f t="shared" ca="1" si="7"/>
        <v>1.4454204788181036E-5</v>
      </c>
      <c r="M128" s="38" t="s">
        <v>1515</v>
      </c>
      <c r="N128" s="38"/>
      <c r="O128" s="42"/>
    </row>
    <row r="129" spans="1:15" ht="12.75" customHeight="1" x14ac:dyDescent="0.3">
      <c r="A129" s="42"/>
      <c r="B129" s="42"/>
      <c r="C129" s="42"/>
      <c r="D129" s="42" t="s">
        <v>1957</v>
      </c>
      <c r="E129" s="38"/>
      <c r="F129" s="38"/>
      <c r="G129" s="43" t="s">
        <v>960</v>
      </c>
      <c r="H129" s="42" t="s">
        <v>1801</v>
      </c>
      <c r="I129" s="255"/>
      <c r="J129" s="296" t="str">
        <f t="shared" si="6"/>
        <v/>
      </c>
      <c r="K129" s="303">
        <f ca="1">(L133+L134)/L21 + SUM((L137*(L15+L16+L20)+L138*(L17+L18+L19))/L21,L202,L44,L45)</f>
        <v>65.639459198483195</v>
      </c>
      <c r="L129" s="193">
        <f t="shared" ca="1" si="7"/>
        <v>65.639459198483195</v>
      </c>
      <c r="M129" s="38" t="s">
        <v>1515</v>
      </c>
      <c r="N129" s="38"/>
      <c r="O129" s="42"/>
    </row>
    <row r="130" spans="1:15" ht="12.75" customHeight="1" x14ac:dyDescent="0.3">
      <c r="A130" s="42"/>
      <c r="B130" s="38" t="s">
        <v>890</v>
      </c>
      <c r="C130" s="38"/>
      <c r="D130" s="38"/>
      <c r="E130" s="38"/>
      <c r="F130" s="38"/>
      <c r="G130" s="38" t="s">
        <v>961</v>
      </c>
      <c r="H130" s="38" t="s">
        <v>1779</v>
      </c>
      <c r="I130" s="255"/>
      <c r="J130" s="296" t="str">
        <f t="shared" si="6"/>
        <v/>
      </c>
      <c r="K130" s="174">
        <f>3.3*24</f>
        <v>79.199999999999989</v>
      </c>
      <c r="L130" s="193">
        <f>IF(ISBLANK(I130),IF(ISNUMBER(J130)=FALSE,K130*3600,J130*3600),I130*3600)</f>
        <v>285119.99999999994</v>
      </c>
      <c r="M130" s="38" t="s">
        <v>1515</v>
      </c>
      <c r="N130" s="38"/>
      <c r="O130" s="42"/>
    </row>
    <row r="131" spans="1:15" ht="12.75" customHeight="1" x14ac:dyDescent="0.3">
      <c r="A131" s="42"/>
      <c r="B131" s="38" t="s">
        <v>892</v>
      </c>
      <c r="C131" s="38"/>
      <c r="D131" s="38"/>
      <c r="E131" s="38"/>
      <c r="F131" s="38"/>
      <c r="G131" s="38" t="s">
        <v>962</v>
      </c>
      <c r="H131" s="38" t="s">
        <v>1779</v>
      </c>
      <c r="I131" s="255"/>
      <c r="J131" s="296" t="str">
        <f t="shared" si="6"/>
        <v/>
      </c>
      <c r="K131" s="174">
        <f>3.3*24*(0.06/(1-0.06))</f>
        <v>5.0553191489361691</v>
      </c>
      <c r="L131" s="193">
        <f>IF(ISBLANK(I131),IF(ISNUMBER(J131)=FALSE,K131*3600,J131*3600),I131*3600)</f>
        <v>18199.148936170208</v>
      </c>
      <c r="M131" s="38" t="s">
        <v>1515</v>
      </c>
      <c r="N131" s="38"/>
      <c r="O131" s="42"/>
    </row>
    <row r="132" spans="1:15" ht="12.75" customHeight="1" x14ac:dyDescent="0.3">
      <c r="A132" s="42"/>
      <c r="B132" s="42" t="s">
        <v>484</v>
      </c>
      <c r="C132" s="38"/>
      <c r="D132" s="38"/>
      <c r="E132" s="38"/>
      <c r="F132" s="38"/>
      <c r="G132" s="63" t="s">
        <v>450</v>
      </c>
      <c r="H132" s="64" t="s">
        <v>1802</v>
      </c>
      <c r="I132" s="255"/>
      <c r="J132" s="296" t="str">
        <f t="shared" si="6"/>
        <v/>
      </c>
      <c r="K132" s="174">
        <f ca="1">L135*(L67+L68)</f>
        <v>2.9944375229100867E-3</v>
      </c>
      <c r="L132" s="193">
        <f t="shared" ca="1" si="7"/>
        <v>2.9944375229100867E-3</v>
      </c>
      <c r="M132" s="38" t="s">
        <v>1517</v>
      </c>
      <c r="N132" s="38"/>
      <c r="O132" s="42"/>
    </row>
    <row r="133" spans="1:15" ht="12.75" customHeight="1" x14ac:dyDescent="0.3">
      <c r="A133" s="42"/>
      <c r="B133" s="42" t="s">
        <v>739</v>
      </c>
      <c r="C133" s="38"/>
      <c r="D133" s="38"/>
      <c r="E133" s="38"/>
      <c r="F133" s="38"/>
      <c r="G133" s="43" t="s">
        <v>1286</v>
      </c>
      <c r="H133" s="64" t="s">
        <v>1802</v>
      </c>
      <c r="I133" s="255"/>
      <c r="J133" s="296" t="str">
        <f t="shared" si="6"/>
        <v/>
      </c>
      <c r="K133" s="174">
        <f ca="1">L68*(L130+L131)/L131*RAINrate.C*L136</f>
        <v>1.2339226882896633E-3</v>
      </c>
      <c r="L133" s="193">
        <f t="shared" ca="1" si="7"/>
        <v>1.2339226882896633E-3</v>
      </c>
      <c r="M133" s="38" t="s">
        <v>1517</v>
      </c>
      <c r="N133" s="38"/>
      <c r="O133" s="42"/>
    </row>
    <row r="134" spans="1:15" ht="12.75" customHeight="1" x14ac:dyDescent="0.3">
      <c r="A134" s="42"/>
      <c r="B134" s="42" t="s">
        <v>740</v>
      </c>
      <c r="C134" s="38"/>
      <c r="D134" s="38"/>
      <c r="E134" s="38"/>
      <c r="F134" s="38"/>
      <c r="G134" s="43" t="s">
        <v>895</v>
      </c>
      <c r="H134" s="64" t="s">
        <v>1802</v>
      </c>
      <c r="I134" s="255"/>
      <c r="J134" s="296" t="str">
        <f t="shared" si="6"/>
        <v/>
      </c>
      <c r="K134" s="174">
        <f ca="1">L66*(L130+L131)/L131*RAINrate.C/(L69*FRorig.aerw)</f>
        <v>16533.397901398523</v>
      </c>
      <c r="L134" s="193">
        <f t="shared" ca="1" si="7"/>
        <v>16533.397901398523</v>
      </c>
      <c r="M134" s="38" t="s">
        <v>1517</v>
      </c>
      <c r="N134" s="38"/>
      <c r="O134" s="42"/>
    </row>
    <row r="135" spans="1:15" ht="12.75" customHeight="1" x14ac:dyDescent="0.3">
      <c r="A135" s="42"/>
      <c r="B135" s="38"/>
      <c r="C135" s="64" t="s">
        <v>741</v>
      </c>
      <c r="D135" s="64"/>
      <c r="E135" s="64"/>
      <c r="F135" s="64"/>
      <c r="G135" s="63" t="s">
        <v>451</v>
      </c>
      <c r="H135" s="64" t="s">
        <v>1802</v>
      </c>
      <c r="I135" s="255" cm="1">
        <f t="array" aca="1" ref="I135" ca="1">_xll.RiskLognorm(0.001,0.001,_xll.RiskName(G135))</f>
        <v>2.9944375231145052E-3</v>
      </c>
      <c r="J135" s="296" t="str">
        <f t="shared" si="6"/>
        <v/>
      </c>
      <c r="K135" s="174">
        <v>1E-3</v>
      </c>
      <c r="L135" s="193">
        <f t="shared" ca="1" si="7"/>
        <v>2.9944375231145052E-3</v>
      </c>
      <c r="M135" s="38" t="s">
        <v>1517</v>
      </c>
      <c r="N135" s="38"/>
      <c r="O135" s="42"/>
    </row>
    <row r="136" spans="1:15" ht="12.75" customHeight="1" x14ac:dyDescent="0.3">
      <c r="A136" s="42"/>
      <c r="B136" s="38"/>
      <c r="C136" s="42" t="s">
        <v>440</v>
      </c>
      <c r="D136" s="38"/>
      <c r="E136" s="38"/>
      <c r="F136" s="38"/>
      <c r="G136" s="63" t="s">
        <v>1057</v>
      </c>
      <c r="H136" s="42" t="s">
        <v>28</v>
      </c>
      <c r="I136" s="255" cm="1">
        <f t="array" aca="1" ref="I136" ca="1">_xll.RiskTriang(5000,20000,35000,_xll.RiskName(G136))</f>
        <v>18309.673316045373</v>
      </c>
      <c r="J136" s="296" t="str">
        <f t="shared" si="6"/>
        <v/>
      </c>
      <c r="K136" s="174">
        <v>200000</v>
      </c>
      <c r="L136" s="193">
        <f t="shared" ca="1" si="7"/>
        <v>18309.673316045373</v>
      </c>
      <c r="M136" s="42" t="s">
        <v>477</v>
      </c>
      <c r="N136" s="38"/>
      <c r="O136" s="42"/>
    </row>
    <row r="137" spans="1:15" ht="12.75" customHeight="1" x14ac:dyDescent="0.3">
      <c r="A137" s="42"/>
      <c r="B137" s="42" t="s">
        <v>1825</v>
      </c>
      <c r="C137" s="38"/>
      <c r="D137" s="38"/>
      <c r="E137" s="64"/>
      <c r="F137" s="64"/>
      <c r="G137" s="43" t="s">
        <v>1846</v>
      </c>
      <c r="H137" s="42" t="s">
        <v>1817</v>
      </c>
      <c r="I137" s="255"/>
      <c r="J137" s="296" t="str">
        <f t="shared" si="6"/>
        <v/>
      </c>
      <c r="K137" s="303">
        <f ca="1">L66*(L142*L143/(FRorig.w1*L142*L69+L143))</f>
        <v>6.8728293219299181E-13</v>
      </c>
      <c r="L137" s="193">
        <f t="shared" ref="L137:L151" ca="1" si="8">IF(ISBLANK(I137),IF(ISNUMBER(J137)=FALSE,K137,J137),I137)</f>
        <v>6.8728293219299181E-13</v>
      </c>
      <c r="M137" s="42" t="s">
        <v>1818</v>
      </c>
      <c r="N137" s="38"/>
      <c r="O137" s="42"/>
    </row>
    <row r="138" spans="1:15" ht="12.75" customHeight="1" x14ac:dyDescent="0.3">
      <c r="A138" s="42"/>
      <c r="B138" s="42" t="s">
        <v>1826</v>
      </c>
      <c r="C138" s="38"/>
      <c r="D138" s="38"/>
      <c r="E138" s="64"/>
      <c r="F138" s="64"/>
      <c r="G138" s="43" t="s">
        <v>1847</v>
      </c>
      <c r="H138" s="42" t="s">
        <v>1817</v>
      </c>
      <c r="I138" s="255"/>
      <c r="J138" s="296" t="str">
        <f t="shared" si="6"/>
        <v/>
      </c>
      <c r="K138" s="303">
        <f ca="1">L66*(L147*L148)/(L147*((L69*FRorig.s1w)/L96)+L148)</f>
        <v>7.15261971830247E-14</v>
      </c>
      <c r="L138" s="193">
        <f t="shared" ca="1" si="8"/>
        <v>7.15261971830247E-14</v>
      </c>
      <c r="M138" s="42" t="s">
        <v>1818</v>
      </c>
      <c r="N138" s="38"/>
      <c r="O138" s="42"/>
    </row>
    <row r="139" spans="1:15" ht="12.75" customHeight="1" x14ac:dyDescent="0.3">
      <c r="A139" s="42"/>
      <c r="B139" s="42" t="s">
        <v>1819</v>
      </c>
      <c r="C139" s="38"/>
      <c r="D139" s="38"/>
      <c r="E139" s="64"/>
      <c r="F139" s="64"/>
      <c r="G139" s="43" t="s">
        <v>1848</v>
      </c>
      <c r="H139" s="42" t="s">
        <v>1817</v>
      </c>
      <c r="I139" s="255"/>
      <c r="J139" s="296" t="str">
        <f t="shared" si="6"/>
        <v/>
      </c>
      <c r="K139" s="303">
        <f ca="1">(L142*L143/(FRorig.w1*L142*L69+L143))*L69*(L72*FRorig.w1)</f>
        <v>1.6492713585253435E-23</v>
      </c>
      <c r="L139" s="193">
        <f t="shared" ca="1" si="8"/>
        <v>1.6492713585253435E-23</v>
      </c>
      <c r="M139" s="42" t="s">
        <v>1818</v>
      </c>
      <c r="N139" s="38"/>
      <c r="O139" s="42"/>
    </row>
    <row r="140" spans="1:15" ht="12.75" customHeight="1" x14ac:dyDescent="0.3">
      <c r="A140" s="42"/>
      <c r="B140" s="42" t="s">
        <v>1820</v>
      </c>
      <c r="C140" s="38"/>
      <c r="D140" s="38"/>
      <c r="E140" s="64"/>
      <c r="F140" s="64"/>
      <c r="G140" s="43" t="s">
        <v>1849</v>
      </c>
      <c r="H140" s="42" t="s">
        <v>1817</v>
      </c>
      <c r="I140" s="255"/>
      <c r="J140" s="296" t="str">
        <f t="shared" si="6"/>
        <v/>
      </c>
      <c r="K140" s="303">
        <f ca="1">(L142*L143/(FRorig.w1*L142*L69+L143))*L69*(L78*FRorig.w1)</f>
        <v>1.5023980163020163E-23</v>
      </c>
      <c r="L140" s="193">
        <f t="shared" ca="1" si="8"/>
        <v>1.5023980163020163E-23</v>
      </c>
      <c r="M140" s="42" t="s">
        <v>1818</v>
      </c>
      <c r="N140" s="38"/>
      <c r="O140" s="42"/>
    </row>
    <row r="141" spans="1:15" ht="12.75" customHeight="1" x14ac:dyDescent="0.3">
      <c r="A141" s="42"/>
      <c r="B141" s="42" t="s">
        <v>1821</v>
      </c>
      <c r="C141" s="38"/>
      <c r="D141" s="38"/>
      <c r="E141" s="38"/>
      <c r="F141" s="38"/>
      <c r="G141" s="43" t="s">
        <v>1850</v>
      </c>
      <c r="H141" s="42" t="s">
        <v>1817</v>
      </c>
      <c r="I141" s="255"/>
      <c r="J141" s="296" t="str">
        <f t="shared" si="6"/>
        <v/>
      </c>
      <c r="K141" s="303">
        <f ca="1">(L142*L143/(FRorig.w2*L142*L69+L143))*L69*(L84*FRorig.w2)</f>
        <v>1.5936061218516199E-23</v>
      </c>
      <c r="L141" s="193">
        <f t="shared" ca="1" si="8"/>
        <v>1.5936061218516199E-23</v>
      </c>
      <c r="M141" s="42" t="s">
        <v>1818</v>
      </c>
      <c r="N141" s="38"/>
      <c r="O141" s="42"/>
    </row>
    <row r="142" spans="1:15" ht="12.75" customHeight="1" x14ac:dyDescent="0.3">
      <c r="A142" s="42"/>
      <c r="B142" s="42"/>
      <c r="C142" s="38" t="s">
        <v>1070</v>
      </c>
      <c r="D142" s="38"/>
      <c r="E142" s="64"/>
      <c r="F142" s="64"/>
      <c r="G142" s="38" t="s">
        <v>1971</v>
      </c>
      <c r="H142" s="64" t="s">
        <v>1802</v>
      </c>
      <c r="I142" s="255"/>
      <c r="J142" s="296" t="str">
        <f t="shared" si="6"/>
        <v/>
      </c>
      <c r="K142" s="174">
        <f ca="1">0.01*(0.3+0.2*WINDspeed.C)*((0.018/Molweight)^(0.67*0.5))</f>
        <v>1.0067718810485723E-2</v>
      </c>
      <c r="L142" s="193">
        <f t="shared" ca="1" si="8"/>
        <v>1.0067718810485723E-2</v>
      </c>
      <c r="M142" s="38" t="s">
        <v>1517</v>
      </c>
      <c r="N142" s="38"/>
      <c r="O142" s="42"/>
    </row>
    <row r="143" spans="1:15" ht="12.75" customHeight="1" x14ac:dyDescent="0.3">
      <c r="A143" s="42"/>
      <c r="B143" s="42"/>
      <c r="C143" s="38" t="s">
        <v>1009</v>
      </c>
      <c r="D143" s="38"/>
      <c r="E143" s="64"/>
      <c r="F143" s="64"/>
      <c r="G143" s="38" t="s">
        <v>1972</v>
      </c>
      <c r="H143" s="64" t="s">
        <v>1802</v>
      </c>
      <c r="I143" s="255"/>
      <c r="J143" s="296" t="str">
        <f t="shared" si="6"/>
        <v/>
      </c>
      <c r="K143" s="174">
        <f ca="1">0.01*(0.0004+0.00004*WINDspeed.C^2)*((0.032/Molweight)^(0.5*0.5))</f>
        <v>1.739080346526147E-5</v>
      </c>
      <c r="L143" s="193">
        <f t="shared" ca="1" si="8"/>
        <v>1.739080346526147E-5</v>
      </c>
      <c r="M143" s="38" t="s">
        <v>1517</v>
      </c>
      <c r="N143" s="38"/>
      <c r="O143" s="42"/>
    </row>
    <row r="144" spans="1:15" ht="12.75" customHeight="1" x14ac:dyDescent="0.3">
      <c r="A144" s="42"/>
      <c r="B144" s="42" t="s">
        <v>1822</v>
      </c>
      <c r="C144" s="38"/>
      <c r="D144" s="38"/>
      <c r="E144" s="64"/>
      <c r="F144" s="64"/>
      <c r="G144" s="43" t="s">
        <v>1851</v>
      </c>
      <c r="H144" s="42" t="s">
        <v>1817</v>
      </c>
      <c r="I144" s="255"/>
      <c r="J144" s="296" t="str">
        <f t="shared" si="6"/>
        <v/>
      </c>
      <c r="K144" s="303">
        <f ca="1">(L147*L148)/(L147+L148/((L69*FRorig.s1w)/L96))*L149</f>
        <v>4.3682160842670682E-28</v>
      </c>
      <c r="L144" s="193">
        <f t="shared" ca="1" si="8"/>
        <v>4.3682160842670682E-28</v>
      </c>
      <c r="M144" s="42" t="s">
        <v>1818</v>
      </c>
      <c r="N144" s="109"/>
      <c r="O144" s="42"/>
    </row>
    <row r="145" spans="1:15" ht="12.75" customHeight="1" x14ac:dyDescent="0.3">
      <c r="A145" s="42"/>
      <c r="B145" s="42" t="s">
        <v>1823</v>
      </c>
      <c r="C145" s="38"/>
      <c r="D145" s="38"/>
      <c r="E145" s="64"/>
      <c r="F145" s="64"/>
      <c r="G145" s="43" t="s">
        <v>1852</v>
      </c>
      <c r="H145" s="42" t="s">
        <v>1817</v>
      </c>
      <c r="I145" s="255"/>
      <c r="J145" s="296" t="str">
        <f t="shared" si="6"/>
        <v/>
      </c>
      <c r="K145" s="303">
        <f ca="1">(L147*L148)/(L147+L148/((L69*FRorig.s1w)/L96))*L150</f>
        <v>7.9511008953522963E-28</v>
      </c>
      <c r="L145" s="193">
        <f t="shared" ca="1" si="8"/>
        <v>7.9511008953522963E-28</v>
      </c>
      <c r="M145" s="42" t="s">
        <v>1818</v>
      </c>
      <c r="N145" s="38"/>
      <c r="O145" s="42"/>
    </row>
    <row r="146" spans="1:15" ht="12.75" customHeight="1" x14ac:dyDescent="0.3">
      <c r="A146" s="42"/>
      <c r="B146" s="42" t="s">
        <v>1824</v>
      </c>
      <c r="C146" s="38"/>
      <c r="D146" s="38"/>
      <c r="E146" s="64"/>
      <c r="F146" s="64"/>
      <c r="G146" s="43" t="s">
        <v>1853</v>
      </c>
      <c r="H146" s="42" t="s">
        <v>1817</v>
      </c>
      <c r="I146" s="255"/>
      <c r="J146" s="296" t="str">
        <f t="shared" si="6"/>
        <v/>
      </c>
      <c r="K146" s="303">
        <f ca="1">(L147*L148)/(L147+L148/((L69*FRorig.s1w)/L96))*L151</f>
        <v>4.3682160842670682E-28</v>
      </c>
      <c r="L146" s="193">
        <f t="shared" ca="1" si="8"/>
        <v>4.3682160842670682E-28</v>
      </c>
      <c r="M146" s="42" t="s">
        <v>1818</v>
      </c>
      <c r="N146" s="38"/>
      <c r="O146" s="42"/>
    </row>
    <row r="147" spans="1:15" ht="12.75" customHeight="1" x14ac:dyDescent="0.3">
      <c r="A147" s="42"/>
      <c r="B147" s="42"/>
      <c r="C147" s="38" t="s">
        <v>1010</v>
      </c>
      <c r="D147" s="38"/>
      <c r="E147" s="64"/>
      <c r="F147" s="64"/>
      <c r="G147" s="38" t="s">
        <v>1973</v>
      </c>
      <c r="H147" s="64" t="s">
        <v>1802</v>
      </c>
      <c r="I147" s="255"/>
      <c r="J147" s="296" t="str">
        <f t="shared" si="6"/>
        <v/>
      </c>
      <c r="K147" s="174">
        <f>0.43/(24*3600)/0.00475</f>
        <v>1.0477582846003899E-3</v>
      </c>
      <c r="L147" s="193">
        <f t="shared" si="8"/>
        <v>1.0477582846003899E-3</v>
      </c>
      <c r="M147" s="38" t="s">
        <v>1517</v>
      </c>
      <c r="N147" s="38"/>
      <c r="O147" s="42"/>
    </row>
    <row r="148" spans="1:15" ht="12.75" customHeight="1" x14ac:dyDescent="0.3">
      <c r="A148" s="42"/>
      <c r="B148" s="42"/>
      <c r="C148" s="38" t="s">
        <v>850</v>
      </c>
      <c r="D148" s="38"/>
      <c r="E148" s="38"/>
      <c r="F148" s="64"/>
      <c r="G148" s="38" t="s">
        <v>1974</v>
      </c>
      <c r="H148" s="64" t="s">
        <v>1802</v>
      </c>
      <c r="I148" s="255"/>
      <c r="J148" s="296" t="str">
        <f t="shared" si="6"/>
        <v/>
      </c>
      <c r="K148" s="174">
        <f ca="1">0.1*L214</f>
        <v>3.3215521768219974E-22</v>
      </c>
      <c r="L148" s="193">
        <f t="shared" ca="1" si="8"/>
        <v>3.3215521768219974E-22</v>
      </c>
      <c r="M148" s="38" t="s">
        <v>1517</v>
      </c>
      <c r="N148" s="38" t="s">
        <v>1410</v>
      </c>
      <c r="O148" s="42"/>
    </row>
    <row r="149" spans="1:15" ht="12.75" customHeight="1" x14ac:dyDescent="0.3">
      <c r="A149" s="42"/>
      <c r="B149" s="42"/>
      <c r="C149" s="38" t="s">
        <v>177</v>
      </c>
      <c r="D149" s="38"/>
      <c r="E149" s="64"/>
      <c r="F149" s="64"/>
      <c r="G149" s="43" t="s">
        <v>1500</v>
      </c>
      <c r="H149" s="38" t="s">
        <v>28</v>
      </c>
      <c r="I149" s="255"/>
      <c r="J149" s="296" t="str">
        <f t="shared" si="6"/>
        <v/>
      </c>
      <c r="K149" s="174">
        <f>(EXP((-1/0.1)*0)*(1/0.1)*L27/(1-EXP((-1/0.1)*L27)))</f>
        <v>1.2707470412683992</v>
      </c>
      <c r="L149" s="193">
        <f t="shared" si="8"/>
        <v>1.2707470412683992</v>
      </c>
      <c r="M149" s="38" t="s">
        <v>477</v>
      </c>
      <c r="N149" s="38" t="s">
        <v>956</v>
      </c>
      <c r="O149" s="42"/>
    </row>
    <row r="150" spans="1:15" ht="12.75" customHeight="1" x14ac:dyDescent="0.3">
      <c r="A150" s="42"/>
      <c r="B150" s="42"/>
      <c r="C150" s="38" t="s">
        <v>177</v>
      </c>
      <c r="D150" s="38"/>
      <c r="E150" s="64"/>
      <c r="F150" s="64"/>
      <c r="G150" s="43" t="s">
        <v>1501</v>
      </c>
      <c r="H150" s="38" t="s">
        <v>28</v>
      </c>
      <c r="I150" s="255"/>
      <c r="J150" s="296" t="str">
        <f t="shared" si="6"/>
        <v/>
      </c>
      <c r="K150" s="174">
        <f>(EXP((-1/0.1)*0)*(1/0.1)*L28/(1-EXP((-1/0.1)*L28)))</f>
        <v>2.3130352854993315</v>
      </c>
      <c r="L150" s="193">
        <f t="shared" si="8"/>
        <v>2.3130352854993315</v>
      </c>
      <c r="M150" s="38" t="s">
        <v>477</v>
      </c>
      <c r="N150" s="38" t="s">
        <v>956</v>
      </c>
      <c r="O150" s="42"/>
    </row>
    <row r="151" spans="1:15" ht="12.75" customHeight="1" x14ac:dyDescent="0.3">
      <c r="A151" s="42"/>
      <c r="B151" s="42"/>
      <c r="C151" s="38" t="s">
        <v>177</v>
      </c>
      <c r="D151" s="38"/>
      <c r="E151" s="64"/>
      <c r="F151" s="64"/>
      <c r="G151" s="43" t="s">
        <v>868</v>
      </c>
      <c r="H151" s="38" t="s">
        <v>28</v>
      </c>
      <c r="I151" s="255"/>
      <c r="J151" s="296" t="str">
        <f t="shared" si="6"/>
        <v/>
      </c>
      <c r="K151" s="174">
        <f>(EXP((-1/0.1)*0)*(1/0.1)*L29/(1-EXP((-1/0.1)*L29)))</f>
        <v>1.2707470412683992</v>
      </c>
      <c r="L151" s="193">
        <f t="shared" si="8"/>
        <v>1.2707470412683992</v>
      </c>
      <c r="M151" s="38" t="s">
        <v>477</v>
      </c>
      <c r="N151" s="38" t="s">
        <v>956</v>
      </c>
      <c r="O151" s="42"/>
    </row>
    <row r="152" spans="1:15" ht="12.75" customHeight="1" x14ac:dyDescent="0.3">
      <c r="A152" s="42"/>
      <c r="B152" s="38"/>
      <c r="C152" s="42"/>
      <c r="D152" s="64"/>
      <c r="E152" s="64"/>
      <c r="F152" s="38"/>
      <c r="G152" s="63"/>
      <c r="H152" s="63"/>
      <c r="I152" s="309"/>
      <c r="J152" s="175"/>
      <c r="K152" s="175"/>
      <c r="L152" s="175"/>
      <c r="M152" s="38"/>
      <c r="N152" s="38"/>
      <c r="O152" s="42"/>
    </row>
    <row r="153" spans="1:15" ht="12.75" customHeight="1" x14ac:dyDescent="0.3">
      <c r="A153" s="42" t="s">
        <v>68</v>
      </c>
      <c r="B153" s="38"/>
      <c r="C153" s="38"/>
      <c r="D153" s="38"/>
      <c r="E153" s="38"/>
      <c r="F153" s="38"/>
      <c r="G153" s="43" t="s">
        <v>817</v>
      </c>
      <c r="H153" s="42" t="s">
        <v>1801</v>
      </c>
      <c r="I153" s="253"/>
      <c r="J153" s="296" t="str">
        <f t="shared" ref="J153:J175" si="9">IF(HLOOKUP(CaseName,CaseData,ROW()+376,FALSE)="","",HLOOKUP(CaseName,CaseData,ROW()+376,FALSE))</f>
        <v/>
      </c>
      <c r="K153" s="303">
        <f ca="1">(L157+L170)/L23</f>
        <v>5.1829162771046825E-7</v>
      </c>
      <c r="L153" s="193">
        <f t="shared" ref="L153:L175" ca="1" si="10">IF(ISBLANK(I153),IF(ISNUMBER(J153)=FALSE,K153,J153),I153)</f>
        <v>5.1829162771046825E-7</v>
      </c>
      <c r="M153" s="38" t="s">
        <v>1515</v>
      </c>
      <c r="N153" s="38"/>
      <c r="O153" s="42"/>
    </row>
    <row r="154" spans="1:15" ht="12.75" customHeight="1" x14ac:dyDescent="0.3">
      <c r="A154" s="42" t="s">
        <v>69</v>
      </c>
      <c r="B154" s="38"/>
      <c r="C154" s="38"/>
      <c r="D154" s="38"/>
      <c r="E154" s="38"/>
      <c r="F154" s="38"/>
      <c r="G154" s="43" t="s">
        <v>818</v>
      </c>
      <c r="H154" s="42" t="s">
        <v>1801</v>
      </c>
      <c r="I154" s="253"/>
      <c r="J154" s="296" t="str">
        <f t="shared" si="9"/>
        <v/>
      </c>
      <c r="K154" s="303">
        <f ca="1">(L159+L172)/L24</f>
        <v>3.4110094091714523E-9</v>
      </c>
      <c r="L154" s="193">
        <f t="shared" ca="1" si="10"/>
        <v>3.4110094091714523E-9</v>
      </c>
      <c r="M154" s="38" t="s">
        <v>1515</v>
      </c>
      <c r="N154" s="38"/>
      <c r="O154" s="42"/>
    </row>
    <row r="155" spans="1:15" ht="12.75" customHeight="1" x14ac:dyDescent="0.3">
      <c r="A155" s="42" t="s">
        <v>70</v>
      </c>
      <c r="B155" s="38"/>
      <c r="C155" s="38"/>
      <c r="D155" s="38"/>
      <c r="E155" s="38"/>
      <c r="F155" s="38"/>
      <c r="G155" s="43" t="s">
        <v>819</v>
      </c>
      <c r="H155" s="42" t="s">
        <v>1801</v>
      </c>
      <c r="I155" s="253"/>
      <c r="J155" s="296" t="str">
        <f t="shared" si="9"/>
        <v/>
      </c>
      <c r="K155" s="303">
        <f ca="1">(L158+L171)/L25</f>
        <v>2.8203837108425564E-8</v>
      </c>
      <c r="L155" s="193">
        <f t="shared" ca="1" si="10"/>
        <v>2.8203837108425564E-8</v>
      </c>
      <c r="M155" s="38" t="s">
        <v>1515</v>
      </c>
      <c r="N155" s="38"/>
      <c r="O155" s="42"/>
    </row>
    <row r="156" spans="1:15" ht="12.75" customHeight="1" x14ac:dyDescent="0.3">
      <c r="A156" s="42" t="s">
        <v>71</v>
      </c>
      <c r="B156" s="38"/>
      <c r="C156" s="38"/>
      <c r="D156" s="38"/>
      <c r="E156" s="38"/>
      <c r="F156" s="38"/>
      <c r="G156" s="43" t="s">
        <v>820</v>
      </c>
      <c r="H156" s="42" t="s">
        <v>1801</v>
      </c>
      <c r="I156" s="253"/>
      <c r="J156" s="296" t="str">
        <f t="shared" si="9"/>
        <v/>
      </c>
      <c r="K156" s="303">
        <f ca="1">(L160+L173)/L26</f>
        <v>1.8247224432385117E-8</v>
      </c>
      <c r="L156" s="193">
        <f t="shared" ca="1" si="10"/>
        <v>1.8247224432385117E-8</v>
      </c>
      <c r="M156" s="38" t="s">
        <v>1515</v>
      </c>
      <c r="N156" s="38"/>
      <c r="O156" s="42"/>
    </row>
    <row r="157" spans="1:15" ht="12.75" customHeight="1" x14ac:dyDescent="0.3">
      <c r="A157" s="42"/>
      <c r="B157" s="42" t="s">
        <v>1837</v>
      </c>
      <c r="C157" s="38"/>
      <c r="D157" s="38"/>
      <c r="E157" s="38"/>
      <c r="F157" s="38"/>
      <c r="G157" s="43" t="s">
        <v>1854</v>
      </c>
      <c r="H157" s="42" t="s">
        <v>1817</v>
      </c>
      <c r="I157" s="253"/>
      <c r="J157" s="296" t="str">
        <f t="shared" si="9"/>
        <v/>
      </c>
      <c r="K157" s="303">
        <f ca="1">(L161*L42*RHOsolid/L81)*((L79*L81/1000)*L78)</f>
        <v>1.5402467854334889E-6</v>
      </c>
      <c r="L157" s="193">
        <f t="shared" ca="1" si="10"/>
        <v>1.5402467854334889E-6</v>
      </c>
      <c r="M157" s="42" t="s">
        <v>1818</v>
      </c>
      <c r="N157" s="38"/>
      <c r="O157" s="42"/>
    </row>
    <row r="158" spans="1:15" ht="12.75" customHeight="1" x14ac:dyDescent="0.3">
      <c r="A158" s="42"/>
      <c r="B158" s="42" t="s">
        <v>1838</v>
      </c>
      <c r="C158" s="38"/>
      <c r="D158" s="38"/>
      <c r="E158" s="38"/>
      <c r="F158" s="38"/>
      <c r="G158" s="43" t="s">
        <v>1855</v>
      </c>
      <c r="H158" s="42" t="s">
        <v>1817</v>
      </c>
      <c r="I158" s="253"/>
      <c r="J158" s="296" t="str">
        <f t="shared" si="9"/>
        <v/>
      </c>
      <c r="K158" s="303">
        <f ca="1">L162</f>
        <v>1.0345048646082964E-9</v>
      </c>
      <c r="L158" s="193">
        <f t="shared" ca="1" si="10"/>
        <v>1.0345048646082964E-9</v>
      </c>
      <c r="M158" s="42" t="s">
        <v>1818</v>
      </c>
      <c r="N158" s="38"/>
      <c r="O158" s="42"/>
    </row>
    <row r="159" spans="1:15" ht="12.75" customHeight="1" x14ac:dyDescent="0.3">
      <c r="A159" s="42"/>
      <c r="B159" s="42" t="s">
        <v>1839</v>
      </c>
      <c r="C159" s="38"/>
      <c r="D159" s="38"/>
      <c r="E159" s="38"/>
      <c r="F159" s="38"/>
      <c r="G159" s="43" t="s">
        <v>1856</v>
      </c>
      <c r="H159" s="42" t="s">
        <v>1817</v>
      </c>
      <c r="I159" s="253"/>
      <c r="J159" s="296" t="str">
        <f t="shared" si="9"/>
        <v/>
      </c>
      <c r="K159" s="303">
        <f ca="1">(L163*L42*RHOsolid/L87)*((L85*L87/1000)*L84)</f>
        <v>6.1790593888368045E-7</v>
      </c>
      <c r="L159" s="193">
        <f t="shared" ca="1" si="10"/>
        <v>6.1790593888368045E-7</v>
      </c>
      <c r="M159" s="42" t="s">
        <v>1818</v>
      </c>
      <c r="N159" s="38"/>
      <c r="O159" s="42"/>
    </row>
    <row r="160" spans="1:15" ht="12.75" customHeight="1" x14ac:dyDescent="0.3">
      <c r="A160" s="42"/>
      <c r="B160" s="42" t="s">
        <v>1840</v>
      </c>
      <c r="C160" s="38"/>
      <c r="D160" s="38"/>
      <c r="E160" s="38"/>
      <c r="F160" s="38"/>
      <c r="G160" s="43" t="s">
        <v>1857</v>
      </c>
      <c r="H160" s="42" t="s">
        <v>1817</v>
      </c>
      <c r="I160" s="253"/>
      <c r="J160" s="296" t="str">
        <f t="shared" si="9"/>
        <v/>
      </c>
      <c r="K160" s="303">
        <f ca="1">L164</f>
        <v>7.5969077727662131E-10</v>
      </c>
      <c r="L160" s="193">
        <f t="shared" ca="1" si="10"/>
        <v>7.5969077727662131E-10</v>
      </c>
      <c r="M160" s="42" t="s">
        <v>1818</v>
      </c>
      <c r="N160" s="38"/>
      <c r="O160" s="42"/>
    </row>
    <row r="161" spans="1:15" ht="12.75" customHeight="1" x14ac:dyDescent="0.3">
      <c r="A161" s="42"/>
      <c r="B161" s="42"/>
      <c r="C161" s="42" t="s">
        <v>1223</v>
      </c>
      <c r="D161" s="38"/>
      <c r="E161" s="38"/>
      <c r="F161" s="38"/>
      <c r="G161" s="63" t="s">
        <v>1055</v>
      </c>
      <c r="H161" s="64" t="s">
        <v>1802</v>
      </c>
      <c r="I161" s="252"/>
      <c r="J161" s="296" t="str">
        <f t="shared" si="9"/>
        <v/>
      </c>
      <c r="K161" s="174">
        <f ca="1">IF(L165*L81/(L42*RHOsolid)&gt;L166,L165*L81/(L42*RHOsolid),L166)</f>
        <v>1.1207317164629032E-9</v>
      </c>
      <c r="L161" s="193">
        <f t="shared" ca="1" si="10"/>
        <v>1.1207317164629032E-9</v>
      </c>
      <c r="M161" s="38" t="s">
        <v>1517</v>
      </c>
      <c r="N161" s="38"/>
      <c r="O161" s="42"/>
    </row>
    <row r="162" spans="1:15" ht="12.75" customHeight="1" x14ac:dyDescent="0.3">
      <c r="A162" s="42"/>
      <c r="B162" s="42"/>
      <c r="C162" s="64" t="s">
        <v>574</v>
      </c>
      <c r="D162" s="38"/>
      <c r="E162" s="38"/>
      <c r="F162" s="38"/>
      <c r="G162" s="63" t="s">
        <v>488</v>
      </c>
      <c r="H162" s="64" t="s">
        <v>1802</v>
      </c>
      <c r="I162" s="252"/>
      <c r="J162" s="296" t="str">
        <f t="shared" si="9"/>
        <v/>
      </c>
      <c r="K162" s="174">
        <f ca="1">L161-L166</f>
        <v>1.0345048646082964E-9</v>
      </c>
      <c r="L162" s="193">
        <f t="shared" ca="1" si="10"/>
        <v>1.0345048646082964E-9</v>
      </c>
      <c r="M162" s="38" t="s">
        <v>1517</v>
      </c>
      <c r="N162" s="38"/>
      <c r="O162" s="42"/>
    </row>
    <row r="163" spans="1:15" ht="12.75" customHeight="1" x14ac:dyDescent="0.3">
      <c r="A163" s="42"/>
      <c r="B163" s="42"/>
      <c r="C163" s="42" t="s">
        <v>1224</v>
      </c>
      <c r="D163" s="38"/>
      <c r="E163" s="38"/>
      <c r="F163" s="38"/>
      <c r="G163" s="63" t="s">
        <v>489</v>
      </c>
      <c r="H163" s="64" t="s">
        <v>1802</v>
      </c>
      <c r="I163" s="252"/>
      <c r="J163" s="296" t="str">
        <f t="shared" si="9"/>
        <v/>
      </c>
      <c r="K163" s="174">
        <f ca="1">IF(L165*L87/(L42*RHOsolid)&gt;L167,L165*L87/(L42*RHOsolid),L167)</f>
        <v>7.5969077727662131E-10</v>
      </c>
      <c r="L163" s="193">
        <f t="shared" ca="1" si="10"/>
        <v>7.5969077727662131E-10</v>
      </c>
      <c r="M163" s="38" t="s">
        <v>1517</v>
      </c>
      <c r="N163" s="38"/>
      <c r="O163" s="42"/>
    </row>
    <row r="164" spans="1:15" ht="12.75" customHeight="1" x14ac:dyDescent="0.3">
      <c r="A164" s="42"/>
      <c r="B164" s="42"/>
      <c r="C164" s="64" t="s">
        <v>575</v>
      </c>
      <c r="D164" s="38"/>
      <c r="E164" s="38"/>
      <c r="F164" s="38"/>
      <c r="G164" s="63" t="s">
        <v>490</v>
      </c>
      <c r="H164" s="64" t="s">
        <v>1802</v>
      </c>
      <c r="I164" s="252"/>
      <c r="J164" s="296" t="str">
        <f t="shared" si="9"/>
        <v/>
      </c>
      <c r="K164" s="174">
        <f ca="1">L163-L167</f>
        <v>7.5969077727662131E-10</v>
      </c>
      <c r="L164" s="193">
        <f t="shared" ca="1" si="10"/>
        <v>7.5969077727662131E-10</v>
      </c>
      <c r="M164" s="38" t="s">
        <v>1517</v>
      </c>
      <c r="N164" s="38"/>
      <c r="O164" s="42"/>
    </row>
    <row r="165" spans="1:15" ht="12.75" customHeight="1" x14ac:dyDescent="0.3">
      <c r="A165" s="42"/>
      <c r="B165" s="42"/>
      <c r="C165" s="38"/>
      <c r="D165" s="42" t="s">
        <v>576</v>
      </c>
      <c r="E165" s="64"/>
      <c r="F165" s="64"/>
      <c r="G165" s="63" t="s">
        <v>491</v>
      </c>
      <c r="H165" s="64" t="s">
        <v>1802</v>
      </c>
      <c r="I165" s="708" cm="1">
        <f t="array" aca="1" ref="I165" ca="1">_xll.RiskTriang(0.000003,0.0000289,0.00003,_xll.RiskName(G165))</f>
        <v>1.6733228262908979E-5</v>
      </c>
      <c r="J165" s="296" t="str">
        <f t="shared" si="9"/>
        <v/>
      </c>
      <c r="K165" s="174">
        <f>2.5/(24*3600)</f>
        <v>2.8935185185185186E-5</v>
      </c>
      <c r="L165" s="193">
        <f t="shared" ca="1" si="10"/>
        <v>1.6733228262908979E-5</v>
      </c>
      <c r="M165" s="38" t="s">
        <v>1517</v>
      </c>
      <c r="N165" s="38"/>
      <c r="O165" s="42"/>
    </row>
    <row r="166" spans="1:15" ht="12.75" customHeight="1" x14ac:dyDescent="0.3">
      <c r="A166" s="42"/>
      <c r="B166" s="42"/>
      <c r="C166" s="38"/>
      <c r="D166" s="42" t="s">
        <v>1324</v>
      </c>
      <c r="E166" s="64"/>
      <c r="F166" s="64"/>
      <c r="G166" s="63" t="s">
        <v>494</v>
      </c>
      <c r="H166" s="64" t="s">
        <v>1802</v>
      </c>
      <c r="I166" s="252"/>
      <c r="J166" s="296" t="str">
        <f t="shared" si="9"/>
        <v/>
      </c>
      <c r="K166" s="174">
        <v>8.6226851854606775E-11</v>
      </c>
      <c r="L166" s="193">
        <f t="shared" si="10"/>
        <v>8.6226851854606775E-11</v>
      </c>
      <c r="M166" s="38" t="s">
        <v>1517</v>
      </c>
      <c r="N166" s="38" t="s">
        <v>884</v>
      </c>
      <c r="O166" s="42"/>
    </row>
    <row r="167" spans="1:15" ht="12.75" customHeight="1" x14ac:dyDescent="0.3">
      <c r="A167" s="42"/>
      <c r="B167" s="42"/>
      <c r="C167" s="38"/>
      <c r="D167" s="42" t="s">
        <v>431</v>
      </c>
      <c r="E167" s="64"/>
      <c r="F167" s="64"/>
      <c r="G167" s="63" t="s">
        <v>654</v>
      </c>
      <c r="H167" s="64" t="s">
        <v>1802</v>
      </c>
      <c r="I167" s="252"/>
      <c r="J167" s="296" t="str">
        <f t="shared" si="9"/>
        <v/>
      </c>
      <c r="K167" s="174">
        <v>0</v>
      </c>
      <c r="L167" s="193">
        <f t="shared" si="10"/>
        <v>0</v>
      </c>
      <c r="M167" s="38" t="s">
        <v>1517</v>
      </c>
      <c r="N167" s="38" t="s">
        <v>884</v>
      </c>
      <c r="O167" s="42"/>
    </row>
    <row r="168" spans="1:15" ht="12.75" customHeight="1" x14ac:dyDescent="0.3">
      <c r="A168" s="42"/>
      <c r="B168" s="42"/>
      <c r="C168" s="38"/>
      <c r="D168" s="38"/>
      <c r="E168" s="42" t="s">
        <v>436</v>
      </c>
      <c r="F168" s="42"/>
      <c r="G168" s="63" t="s">
        <v>492</v>
      </c>
      <c r="H168" s="42" t="s">
        <v>1811</v>
      </c>
      <c r="I168" s="708" cm="1">
        <f t="array" aca="1" ref="I168" ca="1">_xll.RiskTriang(5,10,20,_xll.RiskName(G168))</f>
        <v>14.429565211613296</v>
      </c>
      <c r="J168" s="296" t="str">
        <f t="shared" si="9"/>
        <v/>
      </c>
      <c r="K168" s="174">
        <v>10</v>
      </c>
      <c r="L168" s="193">
        <f ca="1">IF(ISBLANK(I168),IF(ISNUMBER(J168)=FALSE,K168/(1000*3600*24*365)*L16*L14,J168/(1000*3600*24*365)*L16*L14),I168/(1000*3600*24*365)*L16*L14)</f>
        <v>53.266451030470613</v>
      </c>
      <c r="M168" s="38" t="s">
        <v>1526</v>
      </c>
      <c r="N168" s="38"/>
      <c r="O168" s="42"/>
    </row>
    <row r="169" spans="1:15" ht="12.75" customHeight="1" x14ac:dyDescent="0.3">
      <c r="A169" s="42"/>
      <c r="B169" s="42"/>
      <c r="C169" s="38"/>
      <c r="D169" s="38"/>
      <c r="E169" s="42" t="s">
        <v>1373</v>
      </c>
      <c r="F169" s="42"/>
      <c r="G169" s="63" t="s">
        <v>493</v>
      </c>
      <c r="H169" s="42" t="s">
        <v>1811</v>
      </c>
      <c r="I169" s="252" cm="1">
        <f t="array" aca="1" ref="I169" ca="1">_xll.RiskTriang(0.5,1,2,_xll.RiskName(G169))</f>
        <v>1.7192913840222812</v>
      </c>
      <c r="J169" s="296" t="str">
        <f t="shared" si="9"/>
        <v/>
      </c>
      <c r="K169" s="174">
        <v>5</v>
      </c>
      <c r="L169" s="193" t="e">
        <f ca="1">IF(ISBLANK(I169),IF(ISNUMBER(J169)=FALSE,K169/(1000*3600*24*365)*L20*L14,J169/(1000*3600*24*365)*L20*L14),I169/(1000*3600*24*365)*L20*#REF!)</f>
        <v>#REF!</v>
      </c>
      <c r="M169" s="38" t="s">
        <v>1526</v>
      </c>
      <c r="N169" s="38"/>
      <c r="O169" s="42"/>
    </row>
    <row r="170" spans="1:15" ht="12.75" customHeight="1" x14ac:dyDescent="0.3">
      <c r="A170" s="38"/>
      <c r="B170" s="38" t="s">
        <v>1841</v>
      </c>
      <c r="C170" s="64"/>
      <c r="D170" s="64"/>
      <c r="E170" s="38"/>
      <c r="F170" s="38"/>
      <c r="G170" s="43" t="s">
        <v>1858</v>
      </c>
      <c r="H170" s="42" t="s">
        <v>1817</v>
      </c>
      <c r="I170" s="253"/>
      <c r="J170" s="296" t="str">
        <f t="shared" si="9"/>
        <v/>
      </c>
      <c r="K170" s="303">
        <f ca="1">(L174*L175)/(L174+L175)*L78</f>
        <v>6.0616042961121534E-8</v>
      </c>
      <c r="L170" s="193">
        <f t="shared" ca="1" si="10"/>
        <v>6.0616042961121534E-8</v>
      </c>
      <c r="M170" s="42" t="s">
        <v>1818</v>
      </c>
      <c r="N170" s="38"/>
      <c r="O170" s="42"/>
    </row>
    <row r="171" spans="1:15" ht="12.75" customHeight="1" x14ac:dyDescent="0.3">
      <c r="A171" s="38"/>
      <c r="B171" s="38" t="s">
        <v>1842</v>
      </c>
      <c r="C171" s="64"/>
      <c r="D171" s="64"/>
      <c r="E171" s="38"/>
      <c r="F171" s="38"/>
      <c r="G171" s="43" t="s">
        <v>1859</v>
      </c>
      <c r="H171" s="42" t="s">
        <v>1817</v>
      </c>
      <c r="I171" s="253"/>
      <c r="J171" s="296" t="str">
        <f t="shared" si="9"/>
        <v/>
      </c>
      <c r="K171" s="303">
        <f ca="1">((L174*L175)/(L174+L175))/L90</f>
        <v>4.8471362333270021E-11</v>
      </c>
      <c r="L171" s="193">
        <f t="shared" ca="1" si="10"/>
        <v>4.8471362333270021E-11</v>
      </c>
      <c r="M171" s="42" t="s">
        <v>1818</v>
      </c>
      <c r="N171" s="38"/>
      <c r="O171" s="42"/>
    </row>
    <row r="172" spans="1:15" ht="12.75" customHeight="1" x14ac:dyDescent="0.3">
      <c r="A172" s="38"/>
      <c r="B172" s="38" t="s">
        <v>1843</v>
      </c>
      <c r="C172" s="64"/>
      <c r="D172" s="64"/>
      <c r="E172" s="38"/>
      <c r="F172" s="64"/>
      <c r="G172" s="43" t="s">
        <v>1860</v>
      </c>
      <c r="H172" s="42" t="s">
        <v>1817</v>
      </c>
      <c r="I172" s="253"/>
      <c r="J172" s="296" t="str">
        <f t="shared" si="9"/>
        <v/>
      </c>
      <c r="K172" s="303">
        <f ca="1">(L174*L175)/(L174+L175)*L84</f>
        <v>6.4295942950609986E-8</v>
      </c>
      <c r="L172" s="193">
        <f t="shared" ca="1" si="10"/>
        <v>6.4295942950609986E-8</v>
      </c>
      <c r="M172" s="42" t="s">
        <v>1818</v>
      </c>
      <c r="N172" s="38"/>
      <c r="O172" s="42"/>
    </row>
    <row r="173" spans="1:15" ht="12.75" customHeight="1" x14ac:dyDescent="0.3">
      <c r="A173" s="38"/>
      <c r="B173" s="38" t="s">
        <v>1844</v>
      </c>
      <c r="C173" s="64"/>
      <c r="D173" s="64"/>
      <c r="E173" s="38"/>
      <c r="F173" s="64"/>
      <c r="G173" s="43" t="s">
        <v>1861</v>
      </c>
      <c r="H173" s="42" t="s">
        <v>1817</v>
      </c>
      <c r="I173" s="253"/>
      <c r="J173" s="296" t="str">
        <f t="shared" si="9"/>
        <v/>
      </c>
      <c r="K173" s="303">
        <f ca="1">((L174*L175)/(L174+L175))/L93</f>
        <v>1.1286510791932467E-10</v>
      </c>
      <c r="L173" s="193">
        <f t="shared" ca="1" si="10"/>
        <v>1.1286510791932467E-10</v>
      </c>
      <c r="M173" s="42" t="s">
        <v>1818</v>
      </c>
      <c r="N173" s="38"/>
      <c r="O173" s="42"/>
    </row>
    <row r="174" spans="1:15" ht="12.75" customHeight="1" x14ac:dyDescent="0.3">
      <c r="A174" s="42"/>
      <c r="B174" s="42"/>
      <c r="C174" s="38" t="s">
        <v>1069</v>
      </c>
      <c r="D174" s="38"/>
      <c r="E174" s="64"/>
      <c r="F174" s="64"/>
      <c r="G174" s="38" t="s">
        <v>659</v>
      </c>
      <c r="H174" s="64" t="s">
        <v>1802</v>
      </c>
      <c r="I174" s="252" cm="1">
        <f t="array" aca="1" ref="I174" ca="1">_xll.RiskTriang((0.00000278/3),0.00000278,(0.00000278*3),_xll.RiskName(G174))</f>
        <v>2.436666059347993E-6</v>
      </c>
      <c r="J174" s="296" t="str">
        <f t="shared" si="9"/>
        <v/>
      </c>
      <c r="K174" s="174">
        <v>2.7779999999999999E-6</v>
      </c>
      <c r="L174" s="193">
        <f t="shared" ca="1" si="10"/>
        <v>2.436666059347993E-6</v>
      </c>
      <c r="M174" s="38" t="s">
        <v>1517</v>
      </c>
      <c r="N174" s="38"/>
      <c r="O174" s="42"/>
    </row>
    <row r="175" spans="1:15" ht="12.75" customHeight="1" x14ac:dyDescent="0.3">
      <c r="A175" s="42"/>
      <c r="B175" s="42"/>
      <c r="C175" s="38" t="s">
        <v>1225</v>
      </c>
      <c r="D175" s="38"/>
      <c r="E175" s="64"/>
      <c r="F175" s="64"/>
      <c r="G175" s="38" t="s">
        <v>660</v>
      </c>
      <c r="H175" s="64" t="s">
        <v>1802</v>
      </c>
      <c r="I175" s="252" cm="1">
        <f t="array" aca="1" ref="I175" ca="1">_xll.RiskTriang((0.0000000278/3),0.0000000278,(0.0000000278*3),_xll.RiskName(G175))</f>
        <v>6.8641983845589833E-8</v>
      </c>
      <c r="J175" s="296" t="str">
        <f t="shared" si="9"/>
        <v/>
      </c>
      <c r="K175" s="174">
        <v>2.7779999999999998E-8</v>
      </c>
      <c r="L175" s="193">
        <f t="shared" ca="1" si="10"/>
        <v>6.8641983845589833E-8</v>
      </c>
      <c r="M175" s="38" t="s">
        <v>1517</v>
      </c>
      <c r="N175" s="38"/>
      <c r="O175" s="42"/>
    </row>
    <row r="176" spans="1:15" ht="12.75" customHeight="1" x14ac:dyDescent="0.3">
      <c r="A176" s="42"/>
      <c r="B176" s="38"/>
      <c r="C176" s="42"/>
      <c r="D176" s="64"/>
      <c r="E176" s="64"/>
      <c r="F176" s="38"/>
      <c r="G176" s="63"/>
      <c r="H176" s="63"/>
      <c r="I176" s="309"/>
      <c r="J176" s="175"/>
      <c r="K176" s="175"/>
      <c r="L176" s="175"/>
      <c r="M176" s="38"/>
      <c r="N176" s="38"/>
      <c r="O176" s="42"/>
    </row>
    <row r="177" spans="1:17" ht="12.75" customHeight="1" x14ac:dyDescent="0.3">
      <c r="A177" s="42" t="s">
        <v>72</v>
      </c>
      <c r="B177" s="38"/>
      <c r="C177" s="38"/>
      <c r="D177" s="38"/>
      <c r="E177" s="38"/>
      <c r="F177" s="38"/>
      <c r="G177" s="43" t="s">
        <v>821</v>
      </c>
      <c r="H177" s="42" t="s">
        <v>1801</v>
      </c>
      <c r="I177" s="253"/>
      <c r="J177" s="296" t="str">
        <f t="shared" ref="J177:J188" si="11">IF(HLOOKUP(CaseName,CaseData,ROW()+376,FALSE)="","",HLOOKUP(CaseName,CaseData,ROW()+376,FALSE))</f>
        <v/>
      </c>
      <c r="K177" s="303">
        <f ca="1">(RAINrate.C*L183/L96+L180)*L186/L27</f>
        <v>4.5350450041358292E-11</v>
      </c>
      <c r="L177" s="193">
        <f ca="1">IF(ISBLANK(I177),IF(ISNUMBER(J177)=FALSE,K177,J177),I177)</f>
        <v>4.5350450041358292E-11</v>
      </c>
      <c r="M177" s="38" t="s">
        <v>1515</v>
      </c>
      <c r="N177" s="38"/>
      <c r="O177" s="42"/>
    </row>
    <row r="178" spans="1:17" ht="12.75" customHeight="1" x14ac:dyDescent="0.3">
      <c r="A178" s="42" t="s">
        <v>73</v>
      </c>
      <c r="B178" s="38"/>
      <c r="C178" s="38"/>
      <c r="D178" s="38"/>
      <c r="E178" s="38"/>
      <c r="F178" s="38"/>
      <c r="G178" s="43" t="s">
        <v>822</v>
      </c>
      <c r="H178" s="42" t="s">
        <v>1801</v>
      </c>
      <c r="I178" s="253"/>
      <c r="J178" s="296" t="str">
        <f t="shared" si="11"/>
        <v/>
      </c>
      <c r="K178" s="303">
        <f ca="1">(RAINrate.C*L184/L101+L181)*L187/L28</f>
        <v>2.0357884294541915E-11</v>
      </c>
      <c r="L178" s="193">
        <f ca="1">IF(ISBLANK(I178),IF(ISNUMBER(J178)=FALSE,K178,J178),I178)</f>
        <v>2.0357884294541915E-11</v>
      </c>
      <c r="M178" s="38" t="s">
        <v>1515</v>
      </c>
      <c r="N178" s="38"/>
      <c r="O178" s="42"/>
    </row>
    <row r="179" spans="1:17" ht="12.75" customHeight="1" x14ac:dyDescent="0.3">
      <c r="A179" s="42" t="s">
        <v>74</v>
      </c>
      <c r="B179" s="38"/>
      <c r="C179" s="38"/>
      <c r="D179" s="38"/>
      <c r="E179" s="38"/>
      <c r="F179" s="38"/>
      <c r="G179" s="43" t="s">
        <v>823</v>
      </c>
      <c r="H179" s="42" t="s">
        <v>1801</v>
      </c>
      <c r="I179" s="253"/>
      <c r="J179" s="296" t="str">
        <f t="shared" si="11"/>
        <v/>
      </c>
      <c r="K179" s="303">
        <f ca="1">(RAINrate.C*L185/L106+L182)*L188/L29</f>
        <v>5.613605061964545E-11</v>
      </c>
      <c r="L179" s="193">
        <f ca="1">IF(ISBLANK(I179),IF(ISNUMBER(J179)=FALSE,K179,J179),I179)</f>
        <v>5.613605061964545E-11</v>
      </c>
      <c r="M179" s="38" t="s">
        <v>1515</v>
      </c>
      <c r="N179" s="38"/>
      <c r="O179" s="42"/>
    </row>
    <row r="180" spans="1:17" ht="12.75" customHeight="1" x14ac:dyDescent="0.3">
      <c r="A180" s="42"/>
      <c r="B180" s="64" t="s">
        <v>1080</v>
      </c>
      <c r="C180" s="38"/>
      <c r="D180" s="64"/>
      <c r="E180" s="64"/>
      <c r="F180" s="64"/>
      <c r="G180" s="63" t="s">
        <v>562</v>
      </c>
      <c r="H180" s="64" t="s">
        <v>1812</v>
      </c>
      <c r="I180" s="255" cm="1">
        <f t="array" aca="1" ref="I180" ca="1">_xll.RiskTriang(0,0.03,0.06,_xll.RiskName(G180),_xll.RiskStatic(0.03))</f>
        <v>3.3096223778706801E-2</v>
      </c>
      <c r="J180" s="296" t="str">
        <f t="shared" si="11"/>
        <v/>
      </c>
      <c r="K180" s="174">
        <v>0.03</v>
      </c>
      <c r="L180" s="193">
        <f ca="1">IF(ISBLANK(I180),IF(ISNUMBER(J180)=FALSE,K180/(1000*3600*24*365),J180/(1000*3600*24*365)),I180/(1000*3600*24*365))</f>
        <v>1.0494743714709158E-12</v>
      </c>
      <c r="M180" s="38" t="s">
        <v>1517</v>
      </c>
      <c r="N180" s="38"/>
      <c r="O180" s="42"/>
    </row>
    <row r="181" spans="1:17" ht="12.75" customHeight="1" x14ac:dyDescent="0.3">
      <c r="A181" s="42"/>
      <c r="B181" s="64" t="s">
        <v>1081</v>
      </c>
      <c r="C181" s="38"/>
      <c r="D181" s="64"/>
      <c r="E181" s="64"/>
      <c r="F181" s="64"/>
      <c r="G181" s="63" t="s">
        <v>563</v>
      </c>
      <c r="H181" s="64" t="s">
        <v>1812</v>
      </c>
      <c r="I181" s="255" cm="1">
        <f t="array" aca="1" ref="I181" ca="1">_xll.RiskTriang(0,0.03,0.06,_xll.RiskName(G181),_xll.RiskStatic(0.03))</f>
        <v>2.5527350894991658E-2</v>
      </c>
      <c r="J181" s="296" t="str">
        <f t="shared" si="11"/>
        <v/>
      </c>
      <c r="K181" s="174">
        <v>0.03</v>
      </c>
      <c r="L181" s="193">
        <f ca="1">IF(ISBLANK(I181),IF(ISNUMBER(J181)=FALSE,K181/(1000*3600*24*365),J181/(1000*3600*24*365)),I181/(1000*3600*24*365))</f>
        <v>8.0946698677675219E-13</v>
      </c>
      <c r="M181" s="38" t="s">
        <v>1517</v>
      </c>
      <c r="N181" s="38"/>
      <c r="O181" s="42"/>
    </row>
    <row r="182" spans="1:17" ht="12.75" customHeight="1" x14ac:dyDescent="0.3">
      <c r="A182" s="42"/>
      <c r="B182" s="64" t="s">
        <v>452</v>
      </c>
      <c r="C182" s="38"/>
      <c r="D182" s="64"/>
      <c r="E182" s="64"/>
      <c r="F182" s="64"/>
      <c r="G182" s="63" t="s">
        <v>1559</v>
      </c>
      <c r="H182" s="64" t="s">
        <v>1812</v>
      </c>
      <c r="I182" s="255" cm="1">
        <f t="array" aca="1" ref="I182" ca="1">_xll.RiskTriang(0,0.03,0.06,_xll.RiskName(G182),_xll.RiskStatic(0.03))</f>
        <v>8.1283109655855522E-3</v>
      </c>
      <c r="J182" s="296" t="str">
        <f t="shared" si="11"/>
        <v/>
      </c>
      <c r="K182" s="174">
        <v>0.03</v>
      </c>
      <c r="L182" s="193">
        <f ca="1">IF(ISBLANK(I182),IF(ISNUMBER(J182)=FALSE,K182/(1000*3600*24*365),J182/(1000*3600*24*365)),I182/(1000*3600*24*365))</f>
        <v>2.5774704989807054E-13</v>
      </c>
      <c r="M182" s="38" t="s">
        <v>1517</v>
      </c>
      <c r="N182" s="38"/>
      <c r="O182" s="42"/>
    </row>
    <row r="183" spans="1:17" ht="12.75" customHeight="1" x14ac:dyDescent="0.3">
      <c r="A183" s="42"/>
      <c r="B183" s="42" t="s">
        <v>16</v>
      </c>
      <c r="C183" s="38"/>
      <c r="D183" s="64"/>
      <c r="E183" s="64"/>
      <c r="F183" s="64"/>
      <c r="G183" s="63" t="s">
        <v>970</v>
      </c>
      <c r="H183" s="42" t="s">
        <v>28</v>
      </c>
      <c r="I183" s="409" cm="1">
        <f t="array" aca="1" ref="I183" ca="1">_xll.RiskTriang(0,0.25,0.5,_xll.RiskName(G183))</f>
        <v>0.15415259585739199</v>
      </c>
      <c r="J183" s="296" t="str">
        <f t="shared" si="11"/>
        <v/>
      </c>
      <c r="K183" s="174">
        <f>FRACrun.C</f>
        <v>0.25</v>
      </c>
      <c r="L183" s="193">
        <f t="shared" ref="L183:L188" ca="1" si="12">IF(ISBLANK(I183),IF(ISNUMBER(J183)=FALSE,K183,J183),I183)</f>
        <v>0.15415259585739199</v>
      </c>
      <c r="M183" s="38" t="s">
        <v>477</v>
      </c>
      <c r="N183" s="38"/>
      <c r="O183" s="42"/>
    </row>
    <row r="184" spans="1:17" ht="12.75" customHeight="1" x14ac:dyDescent="0.3">
      <c r="A184" s="42"/>
      <c r="B184" s="42" t="s">
        <v>727</v>
      </c>
      <c r="C184" s="38"/>
      <c r="D184" s="64"/>
      <c r="E184" s="64"/>
      <c r="F184" s="64"/>
      <c r="G184" s="63" t="s">
        <v>971</v>
      </c>
      <c r="H184" s="42" t="s">
        <v>28</v>
      </c>
      <c r="I184" s="409" cm="1">
        <f t="array" aca="1" ref="I184" ca="1">_xll.RiskTriang(0,0.25,0.5,_xll.RiskName(G184))</f>
        <v>0.11558979114209152</v>
      </c>
      <c r="J184" s="296" t="str">
        <f t="shared" si="11"/>
        <v/>
      </c>
      <c r="K184" s="174">
        <f>FRACrun.C</f>
        <v>0.25</v>
      </c>
      <c r="L184" s="193">
        <f t="shared" ca="1" si="12"/>
        <v>0.11558979114209152</v>
      </c>
      <c r="M184" s="38" t="s">
        <v>477</v>
      </c>
      <c r="N184" s="38"/>
      <c r="O184" s="42"/>
    </row>
    <row r="185" spans="1:17" ht="12.75" customHeight="1" x14ac:dyDescent="0.3">
      <c r="A185" s="42"/>
      <c r="B185" s="42" t="s">
        <v>847</v>
      </c>
      <c r="C185" s="38"/>
      <c r="D185" s="64"/>
      <c r="E185" s="64"/>
      <c r="F185" s="64"/>
      <c r="G185" s="63" t="s">
        <v>972</v>
      </c>
      <c r="H185" s="42" t="s">
        <v>28</v>
      </c>
      <c r="I185" s="409" cm="1">
        <f t="array" aca="1" ref="I185" ca="1">_xll.RiskTriang(0,0.25,0.5,_xll.RiskName(G185))</f>
        <v>0.20413566913643225</v>
      </c>
      <c r="J185" s="296" t="str">
        <f t="shared" si="11"/>
        <v/>
      </c>
      <c r="K185" s="174">
        <f>FRACrun.C</f>
        <v>0.25</v>
      </c>
      <c r="L185" s="193">
        <f t="shared" ca="1" si="12"/>
        <v>0.20413566913643225</v>
      </c>
      <c r="M185" s="38" t="s">
        <v>477</v>
      </c>
      <c r="N185" s="38"/>
      <c r="O185" s="42"/>
    </row>
    <row r="186" spans="1:17" ht="12.75" customHeight="1" x14ac:dyDescent="0.3">
      <c r="A186" s="42"/>
      <c r="B186" s="38" t="s">
        <v>177</v>
      </c>
      <c r="C186" s="38"/>
      <c r="D186" s="64"/>
      <c r="E186" s="64"/>
      <c r="F186" s="64"/>
      <c r="G186" s="43" t="s">
        <v>869</v>
      </c>
      <c r="H186" s="38" t="s">
        <v>28</v>
      </c>
      <c r="I186" s="253"/>
      <c r="J186" s="296" t="str">
        <f t="shared" si="11"/>
        <v/>
      </c>
      <c r="K186" s="174">
        <f>(EXP((-1/0.1)*0)*(1/0.1)*L27/(1-EXP((-1/0.1)*L27)))</f>
        <v>1.2707470412683992</v>
      </c>
      <c r="L186" s="193">
        <f t="shared" si="12"/>
        <v>1.2707470412683992</v>
      </c>
      <c r="M186" s="38" t="s">
        <v>477</v>
      </c>
      <c r="N186" s="38" t="s">
        <v>956</v>
      </c>
      <c r="O186" s="42"/>
    </row>
    <row r="187" spans="1:17" ht="12.75" customHeight="1" x14ac:dyDescent="0.3">
      <c r="A187" s="42"/>
      <c r="B187" s="38" t="s">
        <v>177</v>
      </c>
      <c r="C187" s="38"/>
      <c r="D187" s="64"/>
      <c r="E187" s="64"/>
      <c r="F187" s="64"/>
      <c r="G187" s="43" t="s">
        <v>870</v>
      </c>
      <c r="H187" s="38" t="s">
        <v>28</v>
      </c>
      <c r="I187" s="253"/>
      <c r="J187" s="296" t="str">
        <f t="shared" si="11"/>
        <v/>
      </c>
      <c r="K187" s="174">
        <f>(EXP((-1/0.1)*0)*(1/0.1)*L28/(1-EXP((-1/0.1)*L28)))</f>
        <v>2.3130352854993315</v>
      </c>
      <c r="L187" s="193">
        <f t="shared" si="12"/>
        <v>2.3130352854993315</v>
      </c>
      <c r="M187" s="38" t="s">
        <v>477</v>
      </c>
      <c r="N187" s="38" t="s">
        <v>956</v>
      </c>
      <c r="O187" s="42"/>
    </row>
    <row r="188" spans="1:17" ht="12.75" customHeight="1" x14ac:dyDescent="0.3">
      <c r="A188" s="42"/>
      <c r="B188" s="38" t="s">
        <v>177</v>
      </c>
      <c r="C188" s="38"/>
      <c r="D188" s="64"/>
      <c r="E188" s="64"/>
      <c r="F188" s="64"/>
      <c r="G188" s="43" t="s">
        <v>871</v>
      </c>
      <c r="H188" s="38" t="s">
        <v>28</v>
      </c>
      <c r="I188" s="253"/>
      <c r="J188" s="296" t="str">
        <f t="shared" si="11"/>
        <v/>
      </c>
      <c r="K188" s="174">
        <f>(EXP((-1/0.1)*0)*(1/0.1)*L29/(1-EXP((-1/0.1)*L29)))</f>
        <v>1.2707470412683992</v>
      </c>
      <c r="L188" s="193">
        <f t="shared" si="12"/>
        <v>1.2707470412683992</v>
      </c>
      <c r="M188" s="38" t="s">
        <v>477</v>
      </c>
      <c r="N188" s="38" t="s">
        <v>956</v>
      </c>
      <c r="O188" s="42"/>
    </row>
    <row r="189" spans="1:17" ht="12.75" customHeight="1" x14ac:dyDescent="0.3">
      <c r="A189" s="38"/>
      <c r="B189" s="38"/>
      <c r="C189" s="38"/>
      <c r="D189" s="38"/>
      <c r="E189" s="38"/>
      <c r="F189" s="38"/>
      <c r="G189" s="38"/>
      <c r="H189" s="38"/>
      <c r="I189" s="309"/>
      <c r="J189" s="175"/>
      <c r="K189" s="175"/>
      <c r="L189" s="175"/>
      <c r="M189" s="38"/>
      <c r="N189" s="38"/>
      <c r="O189" s="42"/>
    </row>
    <row r="190" spans="1:17" customFormat="1" ht="12.75" customHeight="1" x14ac:dyDescent="0.3">
      <c r="A190" s="67" t="s">
        <v>414</v>
      </c>
      <c r="B190" s="66"/>
      <c r="C190" s="66"/>
      <c r="D190" s="66"/>
      <c r="E190" s="66"/>
      <c r="F190" s="66"/>
      <c r="G190" s="67" t="s">
        <v>969</v>
      </c>
      <c r="H190" s="67" t="s">
        <v>929</v>
      </c>
      <c r="I190" s="189" t="s">
        <v>748</v>
      </c>
      <c r="J190" s="163" t="s">
        <v>29</v>
      </c>
      <c r="K190" s="163" t="s">
        <v>747</v>
      </c>
      <c r="L190" s="163" t="s">
        <v>1353</v>
      </c>
      <c r="M190" s="66"/>
      <c r="N190" s="67" t="s">
        <v>1366</v>
      </c>
      <c r="O190" s="42"/>
      <c r="P190" s="308"/>
      <c r="Q190" s="308"/>
    </row>
    <row r="191" spans="1:17" ht="12.75" customHeight="1" x14ac:dyDescent="0.3">
      <c r="A191" s="42"/>
      <c r="B191" s="38"/>
      <c r="C191" s="38"/>
      <c r="D191" s="38"/>
      <c r="E191" s="38"/>
      <c r="F191" s="38"/>
      <c r="G191" s="38"/>
      <c r="H191" s="38"/>
      <c r="I191" s="309"/>
      <c r="J191" s="175"/>
      <c r="K191" s="175"/>
      <c r="L191" s="175"/>
      <c r="M191" s="38"/>
      <c r="N191" s="38"/>
      <c r="O191" s="42"/>
    </row>
    <row r="192" spans="1:17" ht="12.75" customHeight="1" x14ac:dyDescent="0.3">
      <c r="A192" s="42" t="s">
        <v>216</v>
      </c>
      <c r="B192" s="38"/>
      <c r="C192" s="38"/>
      <c r="D192" s="38"/>
      <c r="E192" s="38"/>
      <c r="F192" s="38"/>
      <c r="G192" s="43" t="s">
        <v>824</v>
      </c>
      <c r="H192" s="42" t="s">
        <v>1801</v>
      </c>
      <c r="I192" s="253"/>
      <c r="J192" s="296" t="str">
        <f t="shared" ref="J192:J222" si="13">IF(HLOOKUP(CaseName,CaseData,ROW()+376,FALSE)="","",HLOOKUP(CaseName,CaseData,ROW()+376,FALSE))</f>
        <v/>
      </c>
      <c r="K192" s="174">
        <f ca="1">L201+L66*kdeg.air*(L203/C.OHrad)*L204</f>
        <v>3.663258818281463E-10</v>
      </c>
      <c r="L192" s="193">
        <f t="shared" ref="L192:L216" ca="1" si="14">IF(ISBLANK(I192),IF(ISNUMBER(J192)=FALSE,K192,J192),I192)</f>
        <v>3.663258818281463E-10</v>
      </c>
      <c r="M192" s="38" t="s">
        <v>1515</v>
      </c>
      <c r="N192" s="38"/>
      <c r="O192" s="42"/>
    </row>
    <row r="193" spans="1:15" ht="12.75" customHeight="1" x14ac:dyDescent="0.3">
      <c r="A193" s="42" t="s">
        <v>298</v>
      </c>
      <c r="B193" s="38"/>
      <c r="C193" s="38"/>
      <c r="D193" s="38"/>
      <c r="E193" s="38"/>
      <c r="F193" s="38"/>
      <c r="G193" s="43" t="s">
        <v>346</v>
      </c>
      <c r="H193" s="42" t="s">
        <v>1801</v>
      </c>
      <c r="I193" s="253"/>
      <c r="J193" s="296" t="str">
        <f t="shared" si="13"/>
        <v/>
      </c>
      <c r="K193" s="174">
        <f ca="1">kdeg.water*L211*(L208/BACT.test)*L72</f>
        <v>3.3106332194681661E-21</v>
      </c>
      <c r="L193" s="193">
        <f ca="1">IF(ISBLANK(I193),IF(ISNUMBER(J193)=FALSE,K193,J193),I193)</f>
        <v>3.3106332194681661E-21</v>
      </c>
      <c r="M193" s="38" t="s">
        <v>1515</v>
      </c>
      <c r="N193" s="38"/>
      <c r="O193" s="42"/>
    </row>
    <row r="194" spans="1:15" ht="12.75" customHeight="1" x14ac:dyDescent="0.3">
      <c r="A194" s="42" t="s">
        <v>245</v>
      </c>
      <c r="B194" s="38"/>
      <c r="C194" s="38"/>
      <c r="D194" s="38"/>
      <c r="E194" s="38"/>
      <c r="F194" s="38"/>
      <c r="G194" s="43" t="s">
        <v>825</v>
      </c>
      <c r="H194" s="42" t="s">
        <v>1801</v>
      </c>
      <c r="I194" s="253"/>
      <c r="J194" s="296" t="str">
        <f t="shared" si="13"/>
        <v/>
      </c>
      <c r="K194" s="174">
        <f ca="1">kdeg.water*L211*(L209/BACT.test)*L78</f>
        <v>3.015809833792187E-21</v>
      </c>
      <c r="L194" s="193">
        <f t="shared" ca="1" si="14"/>
        <v>3.015809833792187E-21</v>
      </c>
      <c r="M194" s="38" t="s">
        <v>1515</v>
      </c>
      <c r="N194" s="38"/>
      <c r="O194" s="42"/>
    </row>
    <row r="195" spans="1:15" ht="12.75" customHeight="1" x14ac:dyDescent="0.3">
      <c r="A195" s="42" t="s">
        <v>246</v>
      </c>
      <c r="B195" s="38"/>
      <c r="C195" s="38"/>
      <c r="D195" s="38"/>
      <c r="E195" s="38"/>
      <c r="F195" s="38"/>
      <c r="G195" s="43" t="s">
        <v>826</v>
      </c>
      <c r="H195" s="42" t="s">
        <v>1801</v>
      </c>
      <c r="I195" s="253"/>
      <c r="J195" s="296" t="str">
        <f t="shared" si="13"/>
        <v/>
      </c>
      <c r="K195" s="174">
        <f ca="1">kdeg.water*L211*(L209/BACT.test)*L84</f>
        <v>3.198894674595621E-21</v>
      </c>
      <c r="L195" s="193">
        <f t="shared" ca="1" si="14"/>
        <v>3.198894674595621E-21</v>
      </c>
      <c r="M195" s="38" t="s">
        <v>1515</v>
      </c>
      <c r="N195" s="38"/>
      <c r="O195" s="42"/>
    </row>
    <row r="196" spans="1:15" ht="12.75" customHeight="1" x14ac:dyDescent="0.3">
      <c r="A196" s="42" t="s">
        <v>248</v>
      </c>
      <c r="B196" s="38"/>
      <c r="C196" s="38"/>
      <c r="D196" s="38"/>
      <c r="E196" s="38"/>
      <c r="F196" s="38"/>
      <c r="G196" s="43" t="s">
        <v>827</v>
      </c>
      <c r="H196" s="42" t="s">
        <v>1801</v>
      </c>
      <c r="I196" s="253"/>
      <c r="J196" s="296" t="str">
        <f t="shared" si="13"/>
        <v/>
      </c>
      <c r="K196" s="303">
        <f ca="1">L211*kdeg.sed+L166/L25</f>
        <v>2.2455969240906403E-9</v>
      </c>
      <c r="L196" s="193">
        <f t="shared" ca="1" si="14"/>
        <v>2.2455969240906403E-9</v>
      </c>
      <c r="M196" s="38" t="s">
        <v>1515</v>
      </c>
      <c r="N196" s="38"/>
      <c r="O196" s="42"/>
    </row>
    <row r="197" spans="1:15" ht="12.75" customHeight="1" x14ac:dyDescent="0.3">
      <c r="A197" s="42" t="s">
        <v>249</v>
      </c>
      <c r="B197" s="38"/>
      <c r="C197" s="38"/>
      <c r="D197" s="38"/>
      <c r="E197" s="38"/>
      <c r="F197" s="38"/>
      <c r="G197" s="43" t="s">
        <v>828</v>
      </c>
      <c r="H197" s="42" t="s">
        <v>1801</v>
      </c>
      <c r="I197" s="253"/>
      <c r="J197" s="296" t="str">
        <f t="shared" si="13"/>
        <v/>
      </c>
      <c r="K197" s="303">
        <f ca="1">L211*kdeg.sed+L167/L26</f>
        <v>3.3215521768219973E-21</v>
      </c>
      <c r="L197" s="193">
        <f t="shared" ca="1" si="14"/>
        <v>3.3215521768219973E-21</v>
      </c>
      <c r="M197" s="38" t="s">
        <v>1515</v>
      </c>
      <c r="N197" s="38"/>
      <c r="O197" s="42"/>
    </row>
    <row r="198" spans="1:15" ht="12.75" customHeight="1" x14ac:dyDescent="0.3">
      <c r="A198" s="42" t="s">
        <v>218</v>
      </c>
      <c r="B198" s="38"/>
      <c r="C198" s="38"/>
      <c r="D198" s="38"/>
      <c r="E198" s="38"/>
      <c r="F198" s="38"/>
      <c r="G198" s="43" t="s">
        <v>829</v>
      </c>
      <c r="H198" s="42" t="s">
        <v>1801</v>
      </c>
      <c r="I198" s="253"/>
      <c r="J198" s="296" t="str">
        <f t="shared" si="13"/>
        <v/>
      </c>
      <c r="K198" s="303">
        <f ca="1">L211*kdeg.soil+L217*RAINrate.C/L96*L220/L27</f>
        <v>1.901257991703983E-13</v>
      </c>
      <c r="L198" s="193">
        <f t="shared" ca="1" si="14"/>
        <v>1.901257991703983E-13</v>
      </c>
      <c r="M198" s="38" t="s">
        <v>1515</v>
      </c>
      <c r="N198" s="38"/>
      <c r="O198" s="42"/>
    </row>
    <row r="199" spans="1:15" ht="12.75" customHeight="1" x14ac:dyDescent="0.3">
      <c r="A199" s="42" t="s">
        <v>218</v>
      </c>
      <c r="B199" s="38"/>
      <c r="C199" s="38"/>
      <c r="D199" s="38"/>
      <c r="E199" s="38"/>
      <c r="F199" s="38"/>
      <c r="G199" s="43" t="s">
        <v>830</v>
      </c>
      <c r="H199" s="42" t="s">
        <v>1801</v>
      </c>
      <c r="I199" s="253"/>
      <c r="J199" s="296" t="str">
        <f t="shared" si="13"/>
        <v/>
      </c>
      <c r="K199" s="303">
        <f ca="1">L211*kdeg.soil+L218*RAINrate.C/L101*L221/L28</f>
        <v>1.9768379794900897E-13</v>
      </c>
      <c r="L199" s="193">
        <f t="shared" ca="1" si="14"/>
        <v>1.9768379794900897E-13</v>
      </c>
      <c r="M199" s="38" t="s">
        <v>1515</v>
      </c>
      <c r="N199" s="38"/>
      <c r="O199" s="42"/>
    </row>
    <row r="200" spans="1:15" ht="12.75" customHeight="1" x14ac:dyDescent="0.3">
      <c r="A200" s="42" t="s">
        <v>218</v>
      </c>
      <c r="B200" s="38"/>
      <c r="C200" s="38"/>
      <c r="D200" s="38"/>
      <c r="E200" s="38"/>
      <c r="F200" s="38"/>
      <c r="G200" s="43" t="s">
        <v>831</v>
      </c>
      <c r="H200" s="42" t="s">
        <v>1801</v>
      </c>
      <c r="I200" s="253"/>
      <c r="J200" s="296" t="str">
        <f t="shared" si="13"/>
        <v/>
      </c>
      <c r="K200" s="303">
        <f ca="1">L211*kdeg.soil+L219*RAINrate.C/L106*L222/L29</f>
        <v>6.6400503836320778E-13</v>
      </c>
      <c r="L200" s="193">
        <f t="shared" ca="1" si="14"/>
        <v>6.6400503836320778E-13</v>
      </c>
      <c r="M200" s="38" t="s">
        <v>1515</v>
      </c>
      <c r="N200" s="38"/>
      <c r="O200" s="42"/>
    </row>
    <row r="201" spans="1:15" ht="12.75" customHeight="1" x14ac:dyDescent="0.3">
      <c r="A201" s="42"/>
      <c r="B201" s="42" t="s">
        <v>791</v>
      </c>
      <c r="C201" s="64"/>
      <c r="D201" s="38"/>
      <c r="E201" s="38"/>
      <c r="F201" s="38"/>
      <c r="G201" s="63" t="s">
        <v>189</v>
      </c>
      <c r="H201" s="42" t="s">
        <v>1801</v>
      </c>
      <c r="I201" s="253"/>
      <c r="J201" s="296" t="str">
        <f t="shared" si="13"/>
        <v/>
      </c>
      <c r="K201" s="174">
        <f>LN(2)/(60*365*24*3600)</f>
        <v>3.663258818281463E-10</v>
      </c>
      <c r="L201" s="193">
        <f t="shared" si="14"/>
        <v>3.663258818281463E-10</v>
      </c>
      <c r="M201" s="42" t="s">
        <v>1515</v>
      </c>
      <c r="N201" s="38"/>
      <c r="O201" s="42"/>
    </row>
    <row r="202" spans="1:15" ht="12.75" customHeight="1" x14ac:dyDescent="0.3">
      <c r="A202" s="42"/>
      <c r="B202" s="42" t="s">
        <v>792</v>
      </c>
      <c r="C202" s="38"/>
      <c r="D202" s="38"/>
      <c r="E202" s="38"/>
      <c r="F202" s="38"/>
      <c r="G202" s="43" t="s">
        <v>1196</v>
      </c>
      <c r="H202" s="42" t="s">
        <v>1801</v>
      </c>
      <c r="I202" s="252"/>
      <c r="J202" s="296" t="str">
        <f t="shared" si="13"/>
        <v/>
      </c>
      <c r="K202" s="174">
        <f ca="1">L66*kdeg.air*(L203/C.OHrad)*L204</f>
        <v>5.9990923767918862E-31</v>
      </c>
      <c r="L202" s="193">
        <f t="shared" ca="1" si="14"/>
        <v>5.9990923767918862E-31</v>
      </c>
      <c r="M202" s="42" t="s">
        <v>1515</v>
      </c>
      <c r="N202" s="38"/>
      <c r="O202" s="42"/>
    </row>
    <row r="203" spans="1:15" ht="12.75" customHeight="1" x14ac:dyDescent="0.3">
      <c r="A203" s="64"/>
      <c r="B203" s="64"/>
      <c r="C203" s="42" t="s">
        <v>179</v>
      </c>
      <c r="D203" s="38"/>
      <c r="E203" s="38"/>
      <c r="F203" s="38"/>
      <c r="G203" s="43" t="s">
        <v>180</v>
      </c>
      <c r="H203" s="42" t="s">
        <v>1813</v>
      </c>
      <c r="I203" s="252"/>
      <c r="J203" s="296" t="str">
        <f t="shared" si="13"/>
        <v/>
      </c>
      <c r="K203" s="174">
        <v>500000</v>
      </c>
      <c r="L203" s="193">
        <f t="shared" si="14"/>
        <v>500000</v>
      </c>
      <c r="M203" s="42" t="s">
        <v>1527</v>
      </c>
      <c r="N203" s="38"/>
      <c r="O203" s="42"/>
    </row>
    <row r="204" spans="1:15" ht="12.75" customHeight="1" x14ac:dyDescent="0.3">
      <c r="A204" s="64"/>
      <c r="B204" s="64"/>
      <c r="C204" s="42" t="s">
        <v>27</v>
      </c>
      <c r="D204" s="38"/>
      <c r="E204" s="38"/>
      <c r="F204" s="38"/>
      <c r="G204" s="43" t="s">
        <v>181</v>
      </c>
      <c r="H204" s="42" t="s">
        <v>28</v>
      </c>
      <c r="I204" s="252"/>
      <c r="J204" s="296" t="str">
        <f t="shared" si="13"/>
        <v/>
      </c>
      <c r="K204" s="174">
        <f ca="1">EXP((Ea.OHrad/8.314)*(TEMP.C-298)/298^2)</f>
        <v>0.87878182824871043</v>
      </c>
      <c r="L204" s="193">
        <f t="shared" ca="1" si="14"/>
        <v>0.87878182824871043</v>
      </c>
      <c r="M204" s="42" t="s">
        <v>477</v>
      </c>
      <c r="N204" s="38"/>
      <c r="O204" s="42"/>
    </row>
    <row r="205" spans="1:15" ht="12.75" customHeight="1" x14ac:dyDescent="0.3">
      <c r="A205" s="42"/>
      <c r="B205" s="42" t="s">
        <v>318</v>
      </c>
      <c r="C205" s="38"/>
      <c r="D205" s="38"/>
      <c r="E205" s="38"/>
      <c r="F205" s="38"/>
      <c r="G205" s="43" t="s">
        <v>347</v>
      </c>
      <c r="H205" s="42" t="s">
        <v>1801</v>
      </c>
      <c r="I205" s="255"/>
      <c r="J205" s="296" t="str">
        <f t="shared" si="13"/>
        <v/>
      </c>
      <c r="K205" s="174">
        <f ca="1">kdeg.water*L211*(L208/BACT.test)*L72</f>
        <v>3.3106332194681661E-21</v>
      </c>
      <c r="L205" s="193">
        <f ca="1">IF(ISBLANK(I205),IF(ISNUMBER(J205)=FALSE,K205,J205),I205)</f>
        <v>3.3106332194681661E-21</v>
      </c>
      <c r="M205" s="42" t="s">
        <v>1515</v>
      </c>
      <c r="N205" s="38"/>
      <c r="O205" s="42"/>
    </row>
    <row r="206" spans="1:15" ht="12.75" customHeight="1" x14ac:dyDescent="0.3">
      <c r="A206" s="42"/>
      <c r="B206" s="42" t="s">
        <v>793</v>
      </c>
      <c r="C206" s="38"/>
      <c r="D206" s="38"/>
      <c r="E206" s="38"/>
      <c r="F206" s="38"/>
      <c r="G206" s="43" t="s">
        <v>973</v>
      </c>
      <c r="H206" s="42" t="s">
        <v>1801</v>
      </c>
      <c r="I206" s="252"/>
      <c r="J206" s="296" t="str">
        <f t="shared" si="13"/>
        <v/>
      </c>
      <c r="K206" s="174">
        <f ca="1">kdeg.water*L211*(L209/BACT.test)*L78</f>
        <v>3.015809833792187E-21</v>
      </c>
      <c r="L206" s="193">
        <f t="shared" ca="1" si="14"/>
        <v>3.015809833792187E-21</v>
      </c>
      <c r="M206" s="42" t="s">
        <v>1515</v>
      </c>
      <c r="N206" s="38"/>
      <c r="O206" s="42"/>
    </row>
    <row r="207" spans="1:15" ht="12.75" customHeight="1" x14ac:dyDescent="0.3">
      <c r="A207" s="42"/>
      <c r="B207" s="42" t="s">
        <v>794</v>
      </c>
      <c r="C207" s="38"/>
      <c r="D207" s="38"/>
      <c r="E207" s="38"/>
      <c r="F207" s="38"/>
      <c r="G207" s="43" t="s">
        <v>974</v>
      </c>
      <c r="H207" s="42" t="s">
        <v>1801</v>
      </c>
      <c r="I207" s="252"/>
      <c r="J207" s="296" t="str">
        <f t="shared" si="13"/>
        <v/>
      </c>
      <c r="K207" s="174">
        <f ca="1">kdeg.water*L211*(L210/BACT.test)*L84</f>
        <v>3.198894674595621E-21</v>
      </c>
      <c r="L207" s="193">
        <f t="shared" ca="1" si="14"/>
        <v>3.198894674595621E-21</v>
      </c>
      <c r="M207" s="42" t="s">
        <v>1515</v>
      </c>
      <c r="N207" s="38"/>
      <c r="O207" s="42"/>
    </row>
    <row r="208" spans="1:15" ht="12.75" customHeight="1" x14ac:dyDescent="0.3">
      <c r="A208" s="42"/>
      <c r="B208" s="42"/>
      <c r="C208" s="42" t="s">
        <v>319</v>
      </c>
      <c r="D208" s="38"/>
      <c r="E208" s="38"/>
      <c r="F208" s="38"/>
      <c r="G208" s="63" t="s">
        <v>348</v>
      </c>
      <c r="H208" s="42" t="s">
        <v>724</v>
      </c>
      <c r="I208" s="255"/>
      <c r="J208" s="296" t="str">
        <f t="shared" si="13"/>
        <v/>
      </c>
      <c r="K208" s="174">
        <v>40000</v>
      </c>
      <c r="L208" s="193">
        <f>IF(ISBLANK(I208),IF(ISNUMBER(J208)=FALSE,K208,J208),I208)</f>
        <v>40000</v>
      </c>
      <c r="M208" s="42" t="s">
        <v>1528</v>
      </c>
      <c r="N208" s="38"/>
      <c r="O208" s="42"/>
    </row>
    <row r="209" spans="1:15" ht="12.75" customHeight="1" x14ac:dyDescent="0.3">
      <c r="A209" s="42"/>
      <c r="B209" s="42"/>
      <c r="C209" s="42" t="s">
        <v>579</v>
      </c>
      <c r="D209" s="38"/>
      <c r="E209" s="38"/>
      <c r="F209" s="38"/>
      <c r="G209" s="63" t="s">
        <v>680</v>
      </c>
      <c r="H209" s="42" t="s">
        <v>724</v>
      </c>
      <c r="I209" s="252"/>
      <c r="J209" s="296" t="str">
        <f t="shared" si="13"/>
        <v/>
      </c>
      <c r="K209" s="174">
        <v>40000</v>
      </c>
      <c r="L209" s="193">
        <f t="shared" si="14"/>
        <v>40000</v>
      </c>
      <c r="M209" s="42" t="s">
        <v>725</v>
      </c>
      <c r="N209" s="38"/>
      <c r="O209" s="42"/>
    </row>
    <row r="210" spans="1:15" ht="12.75" customHeight="1" x14ac:dyDescent="0.3">
      <c r="A210" s="42"/>
      <c r="B210" s="42"/>
      <c r="C210" s="42" t="s">
        <v>1446</v>
      </c>
      <c r="D210" s="38"/>
      <c r="E210" s="38"/>
      <c r="F210" s="38"/>
      <c r="G210" s="63" t="s">
        <v>681</v>
      </c>
      <c r="H210" s="42" t="s">
        <v>724</v>
      </c>
      <c r="I210" s="252"/>
      <c r="J210" s="296" t="str">
        <f t="shared" si="13"/>
        <v/>
      </c>
      <c r="K210" s="174">
        <v>40000</v>
      </c>
      <c r="L210" s="193">
        <f t="shared" si="14"/>
        <v>40000</v>
      </c>
      <c r="M210" s="42" t="s">
        <v>725</v>
      </c>
      <c r="N210" s="38"/>
      <c r="O210" s="42"/>
    </row>
    <row r="211" spans="1:15" ht="12.75" customHeight="1" x14ac:dyDescent="0.3">
      <c r="A211" s="64"/>
      <c r="B211" s="64"/>
      <c r="C211" s="42" t="s">
        <v>760</v>
      </c>
      <c r="D211" s="38"/>
      <c r="E211" s="38"/>
      <c r="F211" s="38"/>
      <c r="G211" s="43" t="s">
        <v>532</v>
      </c>
      <c r="H211" s="42" t="s">
        <v>28</v>
      </c>
      <c r="I211" s="252"/>
      <c r="J211" s="296" t="str">
        <f t="shared" si="13"/>
        <v/>
      </c>
      <c r="K211" s="174">
        <f ca="1">Q.10^((TEMP.C-298)/10)</f>
        <v>0.33215521768219974</v>
      </c>
      <c r="L211" s="193">
        <f t="shared" ca="1" si="14"/>
        <v>0.33215521768219974</v>
      </c>
      <c r="M211" s="42" t="s">
        <v>477</v>
      </c>
      <c r="N211" s="38"/>
      <c r="O211" s="42"/>
    </row>
    <row r="212" spans="1:15" ht="12.75" customHeight="1" x14ac:dyDescent="0.3">
      <c r="A212" s="42"/>
      <c r="B212" s="42" t="s">
        <v>795</v>
      </c>
      <c r="C212" s="38"/>
      <c r="D212" s="38"/>
      <c r="E212" s="38"/>
      <c r="F212" s="38"/>
      <c r="G212" s="43" t="s">
        <v>975</v>
      </c>
      <c r="H212" s="42" t="s">
        <v>1801</v>
      </c>
      <c r="I212" s="252"/>
      <c r="J212" s="296" t="str">
        <f t="shared" si="13"/>
        <v/>
      </c>
      <c r="K212" s="195">
        <f ca="1">L211*kdeg.sed</f>
        <v>3.3215521768219973E-21</v>
      </c>
      <c r="L212" s="193">
        <f t="shared" ca="1" si="14"/>
        <v>3.3215521768219973E-21</v>
      </c>
      <c r="M212" s="42" t="s">
        <v>1515</v>
      </c>
      <c r="N212" s="38"/>
      <c r="O212" s="42"/>
    </row>
    <row r="213" spans="1:15" ht="12.75" customHeight="1" x14ac:dyDescent="0.3">
      <c r="A213" s="42"/>
      <c r="B213" s="42" t="s">
        <v>796</v>
      </c>
      <c r="C213" s="38"/>
      <c r="D213" s="38"/>
      <c r="E213" s="38"/>
      <c r="F213" s="38"/>
      <c r="G213" s="43" t="s">
        <v>1287</v>
      </c>
      <c r="H213" s="42" t="s">
        <v>1801</v>
      </c>
      <c r="I213" s="252"/>
      <c r="J213" s="296" t="str">
        <f t="shared" si="13"/>
        <v/>
      </c>
      <c r="K213" s="195">
        <f ca="1">L211*kdeg.sed</f>
        <v>3.3215521768219973E-21</v>
      </c>
      <c r="L213" s="193">
        <f t="shared" ca="1" si="14"/>
        <v>3.3215521768219973E-21</v>
      </c>
      <c r="M213" s="42" t="s">
        <v>1515</v>
      </c>
      <c r="N213" s="38"/>
      <c r="O213" s="42"/>
    </row>
    <row r="214" spans="1:15" ht="12.75" customHeight="1" x14ac:dyDescent="0.3">
      <c r="A214" s="42"/>
      <c r="B214" s="42" t="s">
        <v>797</v>
      </c>
      <c r="C214" s="38"/>
      <c r="D214" s="38"/>
      <c r="E214" s="38"/>
      <c r="F214" s="38"/>
      <c r="G214" s="43" t="s">
        <v>1288</v>
      </c>
      <c r="H214" s="42" t="s">
        <v>1801</v>
      </c>
      <c r="I214" s="252"/>
      <c r="J214" s="296" t="str">
        <f t="shared" si="13"/>
        <v/>
      </c>
      <c r="K214" s="195">
        <f ca="1">L211*kdeg.soil</f>
        <v>3.3215521768219973E-21</v>
      </c>
      <c r="L214" s="193">
        <f t="shared" ca="1" si="14"/>
        <v>3.3215521768219973E-21</v>
      </c>
      <c r="M214" s="42" t="s">
        <v>1515</v>
      </c>
      <c r="N214" s="38"/>
      <c r="O214" s="42"/>
    </row>
    <row r="215" spans="1:15" ht="12.75" customHeight="1" x14ac:dyDescent="0.3">
      <c r="A215" s="42"/>
      <c r="B215" s="42" t="s">
        <v>421</v>
      </c>
      <c r="C215" s="38"/>
      <c r="D215" s="38"/>
      <c r="E215" s="38"/>
      <c r="F215" s="38"/>
      <c r="G215" s="43" t="s">
        <v>1289</v>
      </c>
      <c r="H215" s="42" t="s">
        <v>1801</v>
      </c>
      <c r="I215" s="252"/>
      <c r="J215" s="296" t="str">
        <f t="shared" si="13"/>
        <v/>
      </c>
      <c r="K215" s="195">
        <f ca="1">L211*kdeg.soil</f>
        <v>3.3215521768219973E-21</v>
      </c>
      <c r="L215" s="193">
        <f t="shared" ca="1" si="14"/>
        <v>3.3215521768219973E-21</v>
      </c>
      <c r="M215" s="42" t="s">
        <v>1515</v>
      </c>
      <c r="N215" s="38"/>
      <c r="O215" s="42"/>
    </row>
    <row r="216" spans="1:15" ht="12.75" customHeight="1" x14ac:dyDescent="0.3">
      <c r="A216" s="42"/>
      <c r="B216" s="42" t="s">
        <v>428</v>
      </c>
      <c r="C216" s="38"/>
      <c r="D216" s="38"/>
      <c r="E216" s="38"/>
      <c r="F216" s="38"/>
      <c r="G216" s="43" t="s">
        <v>1195</v>
      </c>
      <c r="H216" s="42" t="s">
        <v>1801</v>
      </c>
      <c r="I216" s="252"/>
      <c r="J216" s="296" t="str">
        <f t="shared" si="13"/>
        <v/>
      </c>
      <c r="K216" s="195">
        <f ca="1">L211*kdeg.soil</f>
        <v>3.3215521768219973E-21</v>
      </c>
      <c r="L216" s="193">
        <f t="shared" ca="1" si="14"/>
        <v>3.3215521768219973E-21</v>
      </c>
      <c r="M216" s="42" t="s">
        <v>1515</v>
      </c>
      <c r="N216" s="38"/>
      <c r="O216" s="42"/>
    </row>
    <row r="217" spans="1:15" ht="12.75" customHeight="1" x14ac:dyDescent="0.3">
      <c r="A217" s="42"/>
      <c r="B217" s="42" t="s">
        <v>1050</v>
      </c>
      <c r="C217" s="38"/>
      <c r="D217" s="38"/>
      <c r="E217" s="38"/>
      <c r="F217" s="38"/>
      <c r="G217" s="63" t="s">
        <v>418</v>
      </c>
      <c r="H217" s="42" t="s">
        <v>28</v>
      </c>
      <c r="I217" s="409" cm="1">
        <f t="array" aca="1" ref="I217" ca="1">_xll.RiskTriang(0,0.25,0.5,_xll.RiskName(G217))</f>
        <v>0.23287942096687864</v>
      </c>
      <c r="J217" s="296" t="str">
        <f t="shared" si="13"/>
        <v/>
      </c>
      <c r="K217" s="174">
        <f>FRACinf.C</f>
        <v>0.25</v>
      </c>
      <c r="L217" s="193">
        <f t="shared" ref="L217:L222" ca="1" si="15">IF(ISBLANK(I217),IF(ISNUMBER(J217)=FALSE,K217,J217),I217)</f>
        <v>0.23287942096687864</v>
      </c>
      <c r="M217" s="42" t="s">
        <v>477</v>
      </c>
      <c r="N217" s="38"/>
      <c r="O217" s="42"/>
    </row>
    <row r="218" spans="1:15" ht="12.75" customHeight="1" x14ac:dyDescent="0.3">
      <c r="A218" s="42"/>
      <c r="B218" s="42" t="s">
        <v>1051</v>
      </c>
      <c r="C218" s="38"/>
      <c r="D218" s="38"/>
      <c r="E218" s="38"/>
      <c r="F218" s="38"/>
      <c r="G218" s="63" t="s">
        <v>419</v>
      </c>
      <c r="H218" s="42" t="s">
        <v>28</v>
      </c>
      <c r="I218" s="409" cm="1">
        <f t="array" aca="1" ref="I218" ca="1">_xll.RiskTriang(0,0.25,0.5,_xll.RiskName(G218))</f>
        <v>0.30840266638016556</v>
      </c>
      <c r="J218" s="296" t="str">
        <f t="shared" si="13"/>
        <v/>
      </c>
      <c r="K218" s="174">
        <f>FRACinf.C</f>
        <v>0.25</v>
      </c>
      <c r="L218" s="193">
        <f t="shared" ca="1" si="15"/>
        <v>0.30840266638016556</v>
      </c>
      <c r="M218" s="42" t="s">
        <v>477</v>
      </c>
      <c r="N218" s="38"/>
      <c r="O218" s="42"/>
    </row>
    <row r="219" spans="1:15" ht="12.75" customHeight="1" x14ac:dyDescent="0.3">
      <c r="A219" s="38"/>
      <c r="B219" s="42" t="s">
        <v>578</v>
      </c>
      <c r="C219" s="38"/>
      <c r="D219" s="38"/>
      <c r="E219" s="38"/>
      <c r="F219" s="38"/>
      <c r="G219" s="63" t="s">
        <v>420</v>
      </c>
      <c r="H219" s="42" t="s">
        <v>28</v>
      </c>
      <c r="I219" s="409" cm="1">
        <f t="array" aca="1" ref="I219" ca="1">_xll.RiskTriang(0,0.25,0.5,_xll.RiskName(G219))</f>
        <v>0.40570339535297184</v>
      </c>
      <c r="J219" s="296" t="str">
        <f t="shared" si="13"/>
        <v/>
      </c>
      <c r="K219" s="174">
        <f>FRACinf.C</f>
        <v>0.25</v>
      </c>
      <c r="L219" s="193">
        <f t="shared" ca="1" si="15"/>
        <v>0.40570339535297184</v>
      </c>
      <c r="M219" s="42" t="s">
        <v>477</v>
      </c>
      <c r="N219" s="38"/>
      <c r="O219" s="42"/>
    </row>
    <row r="220" spans="1:15" ht="12.75" customHeight="1" x14ac:dyDescent="0.3">
      <c r="A220" s="42"/>
      <c r="B220" s="38" t="s">
        <v>177</v>
      </c>
      <c r="C220" s="38"/>
      <c r="D220" s="64"/>
      <c r="E220" s="64"/>
      <c r="F220" s="64"/>
      <c r="G220" s="43" t="s">
        <v>872</v>
      </c>
      <c r="H220" s="38" t="s">
        <v>28</v>
      </c>
      <c r="I220" s="253"/>
      <c r="J220" s="296" t="str">
        <f t="shared" si="13"/>
        <v/>
      </c>
      <c r="K220" s="174">
        <f>(EXP((-1/0.1)*0.5)*(1/0.1)*L27/(1-EXP((-1/0.1)*L27)))</f>
        <v>8.5622262133111474E-3</v>
      </c>
      <c r="L220" s="193">
        <f t="shared" si="15"/>
        <v>8.5622262133111474E-3</v>
      </c>
      <c r="M220" s="38" t="s">
        <v>477</v>
      </c>
      <c r="N220" s="38" t="s">
        <v>956</v>
      </c>
      <c r="O220" s="42"/>
    </row>
    <row r="221" spans="1:15" ht="12.75" customHeight="1" x14ac:dyDescent="0.3">
      <c r="A221" s="42"/>
      <c r="B221" s="38" t="s">
        <v>177</v>
      </c>
      <c r="C221" s="38"/>
      <c r="D221" s="64"/>
      <c r="E221" s="64"/>
      <c r="F221" s="64"/>
      <c r="G221" s="43" t="s">
        <v>873</v>
      </c>
      <c r="H221" s="38" t="s">
        <v>28</v>
      </c>
      <c r="I221" s="253"/>
      <c r="J221" s="296" t="str">
        <f t="shared" si="13"/>
        <v/>
      </c>
      <c r="K221" s="174">
        <f>(EXP((-1/0.1)*0.5)*(1/0.1)*L28/(1-EXP((-1/0.1)*L28)))</f>
        <v>1.5585109160709019E-2</v>
      </c>
      <c r="L221" s="193">
        <f t="shared" si="15"/>
        <v>1.5585109160709019E-2</v>
      </c>
      <c r="M221" s="38" t="s">
        <v>477</v>
      </c>
      <c r="N221" s="38" t="s">
        <v>956</v>
      </c>
      <c r="O221" s="42"/>
    </row>
    <row r="222" spans="1:15" ht="12.75" customHeight="1" x14ac:dyDescent="0.3">
      <c r="A222" s="42"/>
      <c r="B222" s="38" t="s">
        <v>177</v>
      </c>
      <c r="C222" s="38"/>
      <c r="D222" s="64"/>
      <c r="E222" s="64"/>
      <c r="F222" s="64"/>
      <c r="G222" s="43" t="s">
        <v>874</v>
      </c>
      <c r="H222" s="38" t="s">
        <v>28</v>
      </c>
      <c r="I222" s="253"/>
      <c r="J222" s="296" t="str">
        <f t="shared" si="13"/>
        <v/>
      </c>
      <c r="K222" s="174">
        <f>(EXP((-1/0.1)*0.5)*(1/0.1)*L29/(1-EXP((-1/0.1)*L29)))</f>
        <v>8.5622262133111474E-3</v>
      </c>
      <c r="L222" s="193">
        <f t="shared" si="15"/>
        <v>8.5622262133111474E-3</v>
      </c>
      <c r="M222" s="38" t="s">
        <v>477</v>
      </c>
      <c r="N222" s="38" t="s">
        <v>956</v>
      </c>
      <c r="O222" s="42"/>
    </row>
    <row r="223" spans="1:15" ht="12.75" customHeight="1" x14ac:dyDescent="0.3">
      <c r="A223" s="76"/>
      <c r="B223" s="76"/>
      <c r="C223" s="76"/>
      <c r="D223" s="76"/>
      <c r="E223" s="76"/>
      <c r="F223" s="76"/>
      <c r="G223" s="71"/>
      <c r="H223" s="71"/>
      <c r="I223" s="197"/>
      <c r="J223" s="198"/>
      <c r="K223" s="199"/>
      <c r="L223" s="199"/>
      <c r="M223" s="76"/>
      <c r="N223" s="76"/>
      <c r="O223" s="42"/>
    </row>
    <row r="224" spans="1:15" ht="12.75" customHeight="1" x14ac:dyDescent="0.3">
      <c r="A224" s="38"/>
      <c r="B224" s="38"/>
      <c r="C224" s="38"/>
      <c r="D224" s="38"/>
      <c r="E224" s="38"/>
      <c r="F224" s="38"/>
      <c r="G224" s="42"/>
      <c r="H224" s="42"/>
      <c r="I224" s="191"/>
      <c r="J224" s="188"/>
      <c r="K224" s="175"/>
      <c r="L224" s="175"/>
      <c r="M224" s="38"/>
      <c r="N224" s="38"/>
      <c r="O224" s="42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51">
    <cfRule type="cellIs" dxfId="127" priority="103" operator="equal">
      <formula>0</formula>
    </cfRule>
  </conditionalFormatting>
  <conditionalFormatting sqref="I68">
    <cfRule type="cellIs" dxfId="126" priority="94" operator="equal">
      <formula>0</formula>
    </cfRule>
  </conditionalFormatting>
  <conditionalFormatting sqref="I72">
    <cfRule type="cellIs" dxfId="125" priority="93" operator="equal">
      <formula>0</formula>
    </cfRule>
  </conditionalFormatting>
  <conditionalFormatting sqref="I187">
    <cfRule type="cellIs" dxfId="124" priority="101" operator="equal">
      <formula>0</formula>
    </cfRule>
  </conditionalFormatting>
  <conditionalFormatting sqref="I188">
    <cfRule type="cellIs" dxfId="123" priority="100" operator="equal">
      <formula>0</formula>
    </cfRule>
  </conditionalFormatting>
  <conditionalFormatting sqref="I220">
    <cfRule type="cellIs" dxfId="122" priority="99" operator="equal">
      <formula>0</formula>
    </cfRule>
  </conditionalFormatting>
  <conditionalFormatting sqref="I221">
    <cfRule type="cellIs" dxfId="121" priority="98" operator="equal">
      <formula>0</formula>
    </cfRule>
  </conditionalFormatting>
  <conditionalFormatting sqref="I222">
    <cfRule type="cellIs" dxfId="120" priority="97" operator="equal">
      <formula>0</formula>
    </cfRule>
  </conditionalFormatting>
  <conditionalFormatting sqref="I30:I31">
    <cfRule type="cellIs" dxfId="119" priority="96" operator="equal">
      <formula>0</formula>
    </cfRule>
  </conditionalFormatting>
  <conditionalFormatting sqref="I78">
    <cfRule type="cellIs" dxfId="118" priority="92" operator="equal">
      <formula>0</formula>
    </cfRule>
  </conditionalFormatting>
  <conditionalFormatting sqref="I84">
    <cfRule type="cellIs" dxfId="117" priority="91" operator="equal">
      <formula>0</formula>
    </cfRule>
  </conditionalFormatting>
  <conditionalFormatting sqref="Q149">
    <cfRule type="cellIs" dxfId="116" priority="79" operator="equal">
      <formula>0</formula>
    </cfRule>
  </conditionalFormatting>
  <conditionalFormatting sqref="Q150">
    <cfRule type="cellIs" dxfId="115" priority="78" operator="equal">
      <formula>0</formula>
    </cfRule>
  </conditionalFormatting>
  <conditionalFormatting sqref="K44:K45">
    <cfRule type="cellIs" dxfId="114" priority="81" operator="equal">
      <formula>0</formula>
    </cfRule>
  </conditionalFormatting>
  <conditionalFormatting sqref="Q137">
    <cfRule type="cellIs" dxfId="113" priority="80" operator="equal">
      <formula>0</formula>
    </cfRule>
  </conditionalFormatting>
  <conditionalFormatting sqref="K196:K200">
    <cfRule type="cellIs" dxfId="112" priority="65" operator="equal">
      <formula>0</formula>
    </cfRule>
  </conditionalFormatting>
  <conditionalFormatting sqref="Q114:Q120">
    <cfRule type="cellIs" dxfId="111" priority="76" operator="equal">
      <formula>0</formula>
    </cfRule>
  </conditionalFormatting>
  <conditionalFormatting sqref="I137">
    <cfRule type="cellIs" dxfId="110" priority="75" operator="equal">
      <formula>0</formula>
    </cfRule>
  </conditionalFormatting>
  <conditionalFormatting sqref="I149">
    <cfRule type="cellIs" dxfId="109" priority="74" operator="equal">
      <formula>0</formula>
    </cfRule>
  </conditionalFormatting>
  <conditionalFormatting sqref="I150">
    <cfRule type="cellIs" dxfId="108" priority="73" operator="equal">
      <formula>0</formula>
    </cfRule>
  </conditionalFormatting>
  <conditionalFormatting sqref="I114:I120">
    <cfRule type="cellIs" dxfId="107" priority="72" operator="equal">
      <formula>0</formula>
    </cfRule>
  </conditionalFormatting>
  <conditionalFormatting sqref="K114:K119">
    <cfRule type="cellIs" dxfId="106" priority="71" operator="equal">
      <formula>0</formula>
    </cfRule>
  </conditionalFormatting>
  <conditionalFormatting sqref="K137">
    <cfRule type="cellIs" dxfId="105" priority="70" operator="equal">
      <formula>0</formula>
    </cfRule>
  </conditionalFormatting>
  <conditionalFormatting sqref="I196:I200">
    <cfRule type="cellIs" dxfId="104" priority="66" operator="equal">
      <formula>0</formula>
    </cfRule>
  </conditionalFormatting>
  <conditionalFormatting sqref="J1:J2 J4:J62 J66:J110 J114:J188 J192:J1048576">
    <cfRule type="cellIs" dxfId="103" priority="62" operator="notEqual">
      <formula>""""""</formula>
    </cfRule>
  </conditionalFormatting>
  <conditionalFormatting sqref="J63 J65">
    <cfRule type="cellIs" dxfId="102" priority="61" operator="notEqual">
      <formula>""""""</formula>
    </cfRule>
  </conditionalFormatting>
  <conditionalFormatting sqref="J111 J113">
    <cfRule type="cellIs" dxfId="101" priority="60" operator="notEqual">
      <formula>""""""</formula>
    </cfRule>
  </conditionalFormatting>
  <conditionalFormatting sqref="J189 J191">
    <cfRule type="cellIs" dxfId="100" priority="59" operator="notEqual">
      <formula>""""""</formula>
    </cfRule>
  </conditionalFormatting>
  <conditionalFormatting sqref="I66">
    <cfRule type="cellIs" dxfId="99" priority="42" operator="equal">
      <formula>0</formula>
    </cfRule>
  </conditionalFormatting>
  <conditionalFormatting sqref="I165">
    <cfRule type="cellIs" dxfId="98" priority="38" operator="equal">
      <formula>0</formula>
    </cfRule>
  </conditionalFormatting>
  <conditionalFormatting sqref="I168">
    <cfRule type="cellIs" dxfId="97" priority="34" operator="equal">
      <formula>0</formula>
    </cfRule>
  </conditionalFormatting>
  <conditionalFormatting sqref="I180">
    <cfRule type="cellIs" dxfId="96" priority="27" operator="equal">
      <formula>0</formula>
    </cfRule>
  </conditionalFormatting>
  <conditionalFormatting sqref="I181">
    <cfRule type="cellIs" dxfId="95" priority="23" operator="equal">
      <formula>0</formula>
    </cfRule>
  </conditionalFormatting>
  <conditionalFormatting sqref="I182">
    <cfRule type="cellIs" dxfId="94" priority="19" operator="equal">
      <formula>0</formula>
    </cfRule>
  </conditionalFormatting>
  <conditionalFormatting sqref="I25:I26 I33 I36 I39 I41 I80:I81 I86:I87 I92 I95 I100 I105 I110 I135:I136 I165 I168:I169 I174:I175 I180:I185 I217:I219">
    <cfRule type="expression" dxfId="93" priority="104" stopIfTrue="1">
      <formula>RiskColorCellsSimOutput</formula>
    </cfRule>
    <cfRule type="expression" dxfId="92" priority="105" stopIfTrue="1">
      <formula>RiskColorCellsSimInput</formula>
    </cfRule>
    <cfRule type="expression" dxfId="91" priority="106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255" transitionEvaluation="1" transitionEntry="1" codeName="Sheet4"/>
  <dimension ref="A1:O418"/>
  <sheetViews>
    <sheetView topLeftCell="A255" zoomScale="85" zoomScaleNormal="85" workbookViewId="0">
      <selection activeCell="K401" sqref="K401"/>
    </sheetView>
  </sheetViews>
  <sheetFormatPr defaultColWidth="10.59765625" defaultRowHeight="12.75" customHeight="1" x14ac:dyDescent="0.3"/>
  <cols>
    <col min="1" max="5" width="1.59765625" customWidth="1"/>
    <col min="6" max="6" width="60.59765625" customWidth="1"/>
    <col min="7" max="7" width="22.59765625" customWidth="1"/>
    <col min="8" max="8" width="10.59765625" style="58" customWidth="1"/>
    <col min="9" max="9" width="9.09765625" style="201" customWidth="1"/>
    <col min="10" max="12" width="9.09765625" style="180" customWidth="1"/>
    <col min="13" max="13" width="9.09765625" customWidth="1"/>
    <col min="14" max="14" width="83" bestFit="1" customWidth="1"/>
    <col min="15" max="15" width="2.59765625" customWidth="1"/>
    <col min="16" max="16384" width="10.59765625" style="36"/>
  </cols>
  <sheetData>
    <row r="1" spans="1:15" ht="12.75" customHeight="1" x14ac:dyDescent="0.3">
      <c r="A1" s="52" t="s">
        <v>1321</v>
      </c>
      <c r="B1" s="38"/>
      <c r="C1" s="38"/>
      <c r="D1" s="38"/>
      <c r="E1" s="38"/>
      <c r="F1" s="38"/>
      <c r="G1" s="42"/>
      <c r="H1" s="42"/>
      <c r="I1" s="200"/>
      <c r="J1" s="202"/>
      <c r="K1" s="175"/>
      <c r="L1" s="175"/>
      <c r="M1" s="38"/>
      <c r="N1" s="38"/>
      <c r="O1" s="42"/>
    </row>
    <row r="2" spans="1:15" ht="12.75" customHeight="1" x14ac:dyDescent="0.3">
      <c r="A2" s="65"/>
      <c r="B2" s="38"/>
      <c r="C2" s="38"/>
      <c r="D2" s="38"/>
      <c r="E2" s="38"/>
      <c r="F2" s="38"/>
      <c r="G2" s="42"/>
      <c r="H2" s="42"/>
      <c r="I2" s="161"/>
      <c r="J2" s="161"/>
      <c r="K2" s="175"/>
      <c r="L2" s="175"/>
      <c r="M2" s="38"/>
      <c r="N2" s="38"/>
      <c r="O2" s="42"/>
    </row>
    <row r="3" spans="1:15" customFormat="1" ht="12.75" customHeight="1" x14ac:dyDescent="0.3">
      <c r="A3" s="66" t="s">
        <v>1305</v>
      </c>
      <c r="B3" s="66"/>
      <c r="C3" s="66"/>
      <c r="D3" s="66"/>
      <c r="E3" s="66"/>
      <c r="F3" s="66"/>
      <c r="G3" s="67" t="s">
        <v>969</v>
      </c>
      <c r="H3" s="67" t="s">
        <v>929</v>
      </c>
      <c r="I3" s="189" t="s">
        <v>748</v>
      </c>
      <c r="J3" s="163" t="s">
        <v>29</v>
      </c>
      <c r="K3" s="163" t="s">
        <v>747</v>
      </c>
      <c r="L3" s="163" t="s">
        <v>1353</v>
      </c>
      <c r="M3" s="66"/>
      <c r="N3" s="67" t="s">
        <v>1366</v>
      </c>
      <c r="O3" s="42"/>
    </row>
    <row r="4" spans="1:15" ht="12.75" customHeight="1" x14ac:dyDescent="0.3">
      <c r="A4" s="38"/>
      <c r="B4" s="38"/>
      <c r="C4" s="38"/>
      <c r="D4" s="38"/>
      <c r="E4" s="38"/>
      <c r="F4" s="38"/>
      <c r="G4" s="38"/>
      <c r="H4" s="42"/>
      <c r="I4" s="200"/>
      <c r="J4" s="200"/>
      <c r="K4" s="175"/>
      <c r="L4" s="175"/>
      <c r="M4" s="38"/>
      <c r="N4" s="38"/>
      <c r="O4" s="42"/>
    </row>
    <row r="5" spans="1:15" ht="12.75" customHeight="1" x14ac:dyDescent="0.3">
      <c r="A5" s="42" t="s">
        <v>1082</v>
      </c>
      <c r="B5" s="38"/>
      <c r="C5" s="38"/>
      <c r="D5" s="38"/>
      <c r="E5" s="38"/>
      <c r="F5" s="38"/>
      <c r="G5" s="43" t="s">
        <v>24</v>
      </c>
      <c r="H5" s="38" t="s">
        <v>1804</v>
      </c>
      <c r="I5" s="252"/>
      <c r="J5" s="296" t="str">
        <f t="shared" ref="J5:J24" si="0">IF(HLOOKUP(CaseName,CaseData,ROW()+600,FALSE)="","",HLOOKUP(CaseName,CaseData,ROW()+600,FALSE))</f>
        <v/>
      </c>
      <c r="K5" s="174">
        <f>L10*L13</f>
        <v>7.653349E+16</v>
      </c>
      <c r="L5" s="193">
        <f>IF(ISBLANK(I5),IF(ISNUMBER(J5)=FALSE,K5,J5),I5)</f>
        <v>7.653349E+16</v>
      </c>
      <c r="M5" s="42" t="s">
        <v>1523</v>
      </c>
      <c r="N5" s="38"/>
      <c r="O5" s="42"/>
    </row>
    <row r="6" spans="1:15" ht="12.75" customHeight="1" x14ac:dyDescent="0.3">
      <c r="A6" s="42" t="s">
        <v>898</v>
      </c>
      <c r="B6" s="38"/>
      <c r="C6" s="38"/>
      <c r="D6" s="38"/>
      <c r="E6" s="38"/>
      <c r="F6" s="38"/>
      <c r="G6" s="43" t="s">
        <v>897</v>
      </c>
      <c r="H6" s="38" t="s">
        <v>1804</v>
      </c>
      <c r="I6" s="252"/>
      <c r="J6" s="296" t="str">
        <f t="shared" si="0"/>
        <v/>
      </c>
      <c r="K6" s="174">
        <f>L10*L14*L11</f>
        <v>3826674500000000</v>
      </c>
      <c r="L6" s="193">
        <f>IF(ISBLANK(I6),IF(ISNUMBER(J6)=FALSE,K6,J6),I6)</f>
        <v>3826674500000000</v>
      </c>
      <c r="M6" s="42" t="s">
        <v>1523</v>
      </c>
      <c r="N6" s="38"/>
      <c r="O6" s="42"/>
    </row>
    <row r="7" spans="1:15" ht="12.75" customHeight="1" x14ac:dyDescent="0.3">
      <c r="A7" s="42" t="s">
        <v>900</v>
      </c>
      <c r="B7" s="38"/>
      <c r="C7" s="38"/>
      <c r="D7" s="38"/>
      <c r="E7" s="38"/>
      <c r="F7" s="38"/>
      <c r="G7" s="43" t="s">
        <v>899</v>
      </c>
      <c r="H7" s="38" t="s">
        <v>1804</v>
      </c>
      <c r="I7" s="252"/>
      <c r="J7" s="296" t="str">
        <f t="shared" si="0"/>
        <v/>
      </c>
      <c r="K7" s="174">
        <f>L10*L15*L11</f>
        <v>1.14800235E+17</v>
      </c>
      <c r="L7" s="193">
        <f>IF(ISBLANK(I7),IF(ISNUMBER(J7)=FALSE,K7,J7),I7)</f>
        <v>1.14800235E+17</v>
      </c>
      <c r="M7" s="42" t="s">
        <v>1523</v>
      </c>
      <c r="N7" s="38"/>
      <c r="O7" s="42"/>
    </row>
    <row r="8" spans="1:15" ht="12.75" customHeight="1" x14ac:dyDescent="0.3">
      <c r="A8" s="42" t="s">
        <v>728</v>
      </c>
      <c r="B8" s="38"/>
      <c r="C8" s="38"/>
      <c r="D8" s="38"/>
      <c r="E8" s="38"/>
      <c r="F8" s="38"/>
      <c r="G8" s="43" t="s">
        <v>25</v>
      </c>
      <c r="H8" s="38" t="s">
        <v>1804</v>
      </c>
      <c r="I8" s="252"/>
      <c r="J8" s="296" t="str">
        <f t="shared" si="0"/>
        <v/>
      </c>
      <c r="K8" s="174">
        <f>L10*L16*L11</f>
        <v>1148002350000</v>
      </c>
      <c r="L8" s="193">
        <f>IF(ISBLANK(I8),IF(ISNUMBER(J8)=FALSE,K8,J8),I8)</f>
        <v>1148002350000</v>
      </c>
      <c r="M8" s="42" t="s">
        <v>1523</v>
      </c>
      <c r="N8" s="38"/>
      <c r="O8" s="42"/>
    </row>
    <row r="9" spans="1:15" ht="12.75" customHeight="1" x14ac:dyDescent="0.3">
      <c r="A9" s="42" t="s">
        <v>729</v>
      </c>
      <c r="B9" s="38"/>
      <c r="C9" s="38"/>
      <c r="D9" s="38"/>
      <c r="E9" s="38"/>
      <c r="F9" s="38"/>
      <c r="G9" s="43" t="s">
        <v>1178</v>
      </c>
      <c r="H9" s="38" t="s">
        <v>1804</v>
      </c>
      <c r="I9" s="252"/>
      <c r="J9" s="296" t="str">
        <f t="shared" si="0"/>
        <v/>
      </c>
      <c r="K9" s="174">
        <f>L10*L12*L17</f>
        <v>1913337250000</v>
      </c>
      <c r="L9" s="193">
        <f>IF(ISBLANK(I9),IF(ISNUMBER(J9)=FALSE,K9,J9),I9)</f>
        <v>1913337250000</v>
      </c>
      <c r="M9" s="42" t="s">
        <v>1523</v>
      </c>
      <c r="N9" s="38"/>
      <c r="O9" s="42"/>
    </row>
    <row r="10" spans="1:15" ht="12.75" customHeight="1" x14ac:dyDescent="0.3">
      <c r="A10" s="38"/>
      <c r="B10" s="42" t="s">
        <v>981</v>
      </c>
      <c r="C10" s="38"/>
      <c r="D10" s="38"/>
      <c r="E10" s="38"/>
      <c r="F10" s="38"/>
      <c r="G10" s="43" t="s">
        <v>1179</v>
      </c>
      <c r="H10" s="38" t="s">
        <v>1805</v>
      </c>
      <c r="I10" s="253"/>
      <c r="J10" s="296" t="str">
        <f t="shared" si="0"/>
        <v/>
      </c>
      <c r="K10" s="174">
        <f>85000000-((SYSTEMAREA.C+SYSTEMAREA.R)/1000000)</f>
        <v>76533490</v>
      </c>
      <c r="L10" s="193">
        <f>IF(ISBLANK(I10),IF(ISNUMBER(J10)=FALSE,K10*1000000,J10*1000000),I10*1000000)</f>
        <v>76533490000000</v>
      </c>
      <c r="M10" s="42" t="s">
        <v>1519</v>
      </c>
      <c r="N10" s="38"/>
      <c r="O10" s="42"/>
    </row>
    <row r="11" spans="1:15" ht="12.75" customHeight="1" x14ac:dyDescent="0.3">
      <c r="A11" s="38"/>
      <c r="B11" s="42" t="s">
        <v>1975</v>
      </c>
      <c r="C11" s="38"/>
      <c r="D11" s="38"/>
      <c r="E11" s="38"/>
      <c r="F11" s="38"/>
      <c r="G11" s="63" t="s">
        <v>1180</v>
      </c>
      <c r="H11" s="38" t="s">
        <v>28</v>
      </c>
      <c r="I11" s="253"/>
      <c r="J11" s="296" t="str">
        <f t="shared" si="0"/>
        <v/>
      </c>
      <c r="K11" s="174">
        <v>0.5</v>
      </c>
      <c r="L11" s="193">
        <f>IF(ISBLANK(I11),IF(ISNUMBER(J11)=FALSE,K11,J11),I11)</f>
        <v>0.5</v>
      </c>
      <c r="M11" s="38" t="s">
        <v>477</v>
      </c>
      <c r="N11" s="38"/>
      <c r="O11" s="42"/>
    </row>
    <row r="12" spans="1:15" ht="12.75" customHeight="1" x14ac:dyDescent="0.3">
      <c r="A12" s="38"/>
      <c r="B12" s="42" t="s">
        <v>1976</v>
      </c>
      <c r="C12" s="38"/>
      <c r="D12" s="38"/>
      <c r="E12" s="38"/>
      <c r="F12" s="38"/>
      <c r="G12" s="63" t="s">
        <v>1181</v>
      </c>
      <c r="H12" s="38" t="s">
        <v>28</v>
      </c>
      <c r="I12" s="253"/>
      <c r="J12" s="296" t="str">
        <f t="shared" si="0"/>
        <v/>
      </c>
      <c r="K12" s="174">
        <f>1-L11</f>
        <v>0.5</v>
      </c>
      <c r="L12" s="193">
        <f>IF(ISBLANK(I12),IF(ISNUMBER(J12)=FALSE,K12,J12),I12)</f>
        <v>0.5</v>
      </c>
      <c r="M12" s="38" t="s">
        <v>477</v>
      </c>
      <c r="N12" s="38"/>
      <c r="O12" s="42"/>
    </row>
    <row r="13" spans="1:15" ht="12.75" customHeight="1" x14ac:dyDescent="0.3">
      <c r="A13" s="38"/>
      <c r="B13" s="38"/>
      <c r="C13" s="42" t="s">
        <v>761</v>
      </c>
      <c r="D13" s="38"/>
      <c r="E13" s="38"/>
      <c r="F13" s="38"/>
      <c r="G13" s="63" t="s">
        <v>1182</v>
      </c>
      <c r="H13" s="42" t="s">
        <v>713</v>
      </c>
      <c r="I13" s="252"/>
      <c r="J13" s="296" t="str">
        <f t="shared" si="0"/>
        <v/>
      </c>
      <c r="K13" s="174">
        <v>1000</v>
      </c>
      <c r="L13" s="193">
        <f>IF(ISBLANK(I13),IF(ISNUMBER(J13)=FALSE,K13,J13),I13)</f>
        <v>1000</v>
      </c>
      <c r="M13" s="42" t="s">
        <v>714</v>
      </c>
      <c r="N13" s="38"/>
      <c r="O13" s="42"/>
    </row>
    <row r="14" spans="1:15" ht="12.75" customHeight="1" x14ac:dyDescent="0.3">
      <c r="A14" s="38"/>
      <c r="B14" s="38"/>
      <c r="C14" s="42" t="s">
        <v>907</v>
      </c>
      <c r="D14" s="38"/>
      <c r="E14" s="38"/>
      <c r="F14" s="38"/>
      <c r="G14" s="63" t="s">
        <v>902</v>
      </c>
      <c r="H14" s="42" t="s">
        <v>713</v>
      </c>
      <c r="I14" s="253"/>
      <c r="J14" s="296" t="str">
        <f t="shared" si="0"/>
        <v/>
      </c>
      <c r="K14" s="174">
        <v>100</v>
      </c>
      <c r="L14" s="193">
        <f>IF(ISBLANK(I14),IF(ISNUMBER(J14)=FALSE,K14,J14),I14)</f>
        <v>100</v>
      </c>
      <c r="M14" s="42" t="s">
        <v>714</v>
      </c>
      <c r="N14" s="38"/>
      <c r="O14" s="42"/>
    </row>
    <row r="15" spans="1:15" ht="12.75" customHeight="1" x14ac:dyDescent="0.3">
      <c r="A15" s="38"/>
      <c r="B15" s="38"/>
      <c r="C15" s="42" t="s">
        <v>910</v>
      </c>
      <c r="D15" s="38"/>
      <c r="E15" s="38"/>
      <c r="F15" s="38"/>
      <c r="G15" s="63" t="s">
        <v>901</v>
      </c>
      <c r="H15" s="42" t="s">
        <v>713</v>
      </c>
      <c r="I15" s="253"/>
      <c r="J15" s="296" t="str">
        <f t="shared" si="0"/>
        <v/>
      </c>
      <c r="K15" s="174">
        <v>3000</v>
      </c>
      <c r="L15" s="193">
        <f>IF(ISBLANK(I15),IF(ISNUMBER(J15)=FALSE,K15,J15),I15)</f>
        <v>3000</v>
      </c>
      <c r="M15" s="42" t="s">
        <v>714</v>
      </c>
      <c r="N15" s="38"/>
      <c r="O15" s="42"/>
    </row>
    <row r="16" spans="1:15" ht="12.75" customHeight="1" x14ac:dyDescent="0.3">
      <c r="A16" s="38"/>
      <c r="B16" s="38"/>
      <c r="C16" s="42" t="s">
        <v>1014</v>
      </c>
      <c r="D16" s="38"/>
      <c r="E16" s="38"/>
      <c r="F16" s="38"/>
      <c r="G16" s="63" t="s">
        <v>1348</v>
      </c>
      <c r="H16" s="42" t="s">
        <v>715</v>
      </c>
      <c r="I16" s="253"/>
      <c r="J16" s="296" t="str">
        <f t="shared" si="0"/>
        <v/>
      </c>
      <c r="K16" s="174">
        <v>3</v>
      </c>
      <c r="L16" s="193">
        <f>IF(ISBLANK(I16),IF(ISNUMBER(J16)=FALSE,K16/100,J16/100),I16/100)</f>
        <v>0.03</v>
      </c>
      <c r="M16" s="42" t="s">
        <v>714</v>
      </c>
      <c r="N16" s="38"/>
      <c r="O16" s="42"/>
    </row>
    <row r="17" spans="1:15" ht="12.75" customHeight="1" x14ac:dyDescent="0.3">
      <c r="A17" s="42"/>
      <c r="B17" s="38"/>
      <c r="C17" s="42" t="s">
        <v>1977</v>
      </c>
      <c r="D17" s="64"/>
      <c r="E17" s="64"/>
      <c r="F17" s="38"/>
      <c r="G17" s="63" t="s">
        <v>1349</v>
      </c>
      <c r="H17" s="42" t="s">
        <v>713</v>
      </c>
      <c r="I17" s="255"/>
      <c r="J17" s="296" t="str">
        <f t="shared" si="0"/>
        <v/>
      </c>
      <c r="K17" s="174">
        <v>0.05</v>
      </c>
      <c r="L17" s="193">
        <f t="shared" ref="L17:L24" si="1">IF(ISBLANK(I17),IF(ISNUMBER(J17)=FALSE,K17,J17),I17)</f>
        <v>0.05</v>
      </c>
      <c r="M17" s="38" t="s">
        <v>714</v>
      </c>
      <c r="N17" s="38"/>
      <c r="O17" s="42"/>
    </row>
    <row r="18" spans="1:15" ht="12.75" customHeight="1" x14ac:dyDescent="0.3">
      <c r="A18" s="38"/>
      <c r="B18" s="38"/>
      <c r="C18" s="38" t="s">
        <v>208</v>
      </c>
      <c r="D18" s="38"/>
      <c r="E18" s="38"/>
      <c r="F18" s="38"/>
      <c r="G18" s="42" t="s">
        <v>1978</v>
      </c>
      <c r="H18" s="42" t="s">
        <v>716</v>
      </c>
      <c r="I18" s="252"/>
      <c r="J18" s="296" t="str">
        <f t="shared" si="0"/>
        <v/>
      </c>
      <c r="K18" s="174">
        <v>1.9999999999999999E-11</v>
      </c>
      <c r="L18" s="193">
        <f t="shared" si="1"/>
        <v>1.9999999999999999E-11</v>
      </c>
      <c r="M18" s="42" t="s">
        <v>477</v>
      </c>
      <c r="N18" s="38" t="s">
        <v>1771</v>
      </c>
      <c r="O18" s="42"/>
    </row>
    <row r="19" spans="1:15" ht="12.75" customHeight="1" x14ac:dyDescent="0.3">
      <c r="A19" s="38"/>
      <c r="B19" s="38"/>
      <c r="C19" s="38" t="s">
        <v>209</v>
      </c>
      <c r="D19" s="38"/>
      <c r="E19" s="38"/>
      <c r="F19" s="38"/>
      <c r="G19" s="42" t="s">
        <v>1979</v>
      </c>
      <c r="H19" s="42" t="s">
        <v>716</v>
      </c>
      <c r="I19" s="252"/>
      <c r="J19" s="296" t="str">
        <f t="shared" si="0"/>
        <v/>
      </c>
      <c r="K19" s="174">
        <v>1.9999999999999999E-11</v>
      </c>
      <c r="L19" s="193">
        <f t="shared" si="1"/>
        <v>1.9999999999999999E-11</v>
      </c>
      <c r="M19" s="42" t="s">
        <v>477</v>
      </c>
      <c r="N19" s="38" t="s">
        <v>1771</v>
      </c>
      <c r="O19" s="42"/>
    </row>
    <row r="20" spans="1:15" ht="12.75" customHeight="1" x14ac:dyDescent="0.3">
      <c r="A20" s="42"/>
      <c r="B20" s="38"/>
      <c r="C20" s="42" t="s">
        <v>1015</v>
      </c>
      <c r="D20" s="64"/>
      <c r="E20" s="64"/>
      <c r="F20" s="38"/>
      <c r="G20" s="63" t="s">
        <v>653</v>
      </c>
      <c r="H20" s="42" t="s">
        <v>716</v>
      </c>
      <c r="I20" s="252"/>
      <c r="J20" s="296" t="str">
        <f t="shared" si="0"/>
        <v/>
      </c>
      <c r="K20" s="174">
        <v>0.2</v>
      </c>
      <c r="L20" s="193">
        <f t="shared" si="1"/>
        <v>0.2</v>
      </c>
      <c r="M20" s="38" t="s">
        <v>477</v>
      </c>
      <c r="N20" s="38"/>
      <c r="O20" s="42"/>
    </row>
    <row r="21" spans="1:15" ht="12.75" customHeight="1" x14ac:dyDescent="0.3">
      <c r="A21" s="38"/>
      <c r="B21" s="38"/>
      <c r="C21" s="42" t="s">
        <v>1016</v>
      </c>
      <c r="D21" s="38"/>
      <c r="E21" s="38"/>
      <c r="F21" s="38"/>
      <c r="G21" s="63" t="s">
        <v>584</v>
      </c>
      <c r="H21" s="42" t="s">
        <v>716</v>
      </c>
      <c r="I21" s="252"/>
      <c r="J21" s="296" t="str">
        <f t="shared" si="0"/>
        <v/>
      </c>
      <c r="K21" s="174">
        <v>0.2</v>
      </c>
      <c r="L21" s="193">
        <f t="shared" si="1"/>
        <v>0.2</v>
      </c>
      <c r="M21" s="38" t="s">
        <v>477</v>
      </c>
      <c r="N21" s="38"/>
      <c r="O21" s="42"/>
    </row>
    <row r="22" spans="1:15" ht="12.75" customHeight="1" x14ac:dyDescent="0.3">
      <c r="A22" s="38"/>
      <c r="B22" s="38"/>
      <c r="C22" s="42" t="s">
        <v>1017</v>
      </c>
      <c r="D22" s="38"/>
      <c r="E22" s="38"/>
      <c r="F22" s="38"/>
      <c r="G22" s="63" t="s">
        <v>585</v>
      </c>
      <c r="H22" s="42" t="s">
        <v>716</v>
      </c>
      <c r="I22" s="252"/>
      <c r="J22" s="296" t="str">
        <f t="shared" si="0"/>
        <v/>
      </c>
      <c r="K22" s="174">
        <f>1-L20-L21</f>
        <v>0.60000000000000009</v>
      </c>
      <c r="L22" s="193">
        <f t="shared" si="1"/>
        <v>0.60000000000000009</v>
      </c>
      <c r="M22" s="38" t="s">
        <v>477</v>
      </c>
      <c r="N22" s="38"/>
      <c r="O22" s="42"/>
    </row>
    <row r="23" spans="1:15" ht="12.75" customHeight="1" x14ac:dyDescent="0.3">
      <c r="A23" s="42"/>
      <c r="B23" s="38"/>
      <c r="C23" s="42" t="s">
        <v>429</v>
      </c>
      <c r="D23" s="64"/>
      <c r="E23" s="64"/>
      <c r="F23" s="38"/>
      <c r="G23" s="63" t="s">
        <v>586</v>
      </c>
      <c r="H23" s="42" t="s">
        <v>716</v>
      </c>
      <c r="I23" s="252"/>
      <c r="J23" s="296" t="str">
        <f t="shared" si="0"/>
        <v/>
      </c>
      <c r="K23" s="174">
        <v>0.8</v>
      </c>
      <c r="L23" s="193">
        <f t="shared" si="1"/>
        <v>0.8</v>
      </c>
      <c r="M23" s="42" t="s">
        <v>477</v>
      </c>
      <c r="N23" s="38"/>
      <c r="O23" s="42"/>
    </row>
    <row r="24" spans="1:15" ht="12.75" customHeight="1" x14ac:dyDescent="0.3">
      <c r="A24" s="42"/>
      <c r="B24" s="38"/>
      <c r="C24" s="42" t="s">
        <v>860</v>
      </c>
      <c r="D24" s="64"/>
      <c r="E24" s="64"/>
      <c r="F24" s="38"/>
      <c r="G24" s="63" t="s">
        <v>652</v>
      </c>
      <c r="H24" s="42" t="s">
        <v>716</v>
      </c>
      <c r="I24" s="252"/>
      <c r="J24" s="296" t="str">
        <f t="shared" si="0"/>
        <v/>
      </c>
      <c r="K24" s="168">
        <f>1-L23</f>
        <v>0.19999999999999996</v>
      </c>
      <c r="L24" s="193">
        <f t="shared" si="1"/>
        <v>0.19999999999999996</v>
      </c>
      <c r="M24" s="42" t="s">
        <v>477</v>
      </c>
      <c r="N24" s="38"/>
      <c r="O24" s="42"/>
    </row>
    <row r="25" spans="1:15" ht="12.75" customHeight="1" x14ac:dyDescent="0.3">
      <c r="A25" s="38"/>
      <c r="B25" s="38"/>
      <c r="C25" s="38"/>
      <c r="D25" s="38"/>
      <c r="E25" s="38"/>
      <c r="F25" s="38"/>
      <c r="G25" s="38"/>
      <c r="H25" s="38"/>
      <c r="I25" s="203"/>
      <c r="J25" s="296" t="str">
        <f>IF(HLOOKUP(CaseName,CaseData,ROW()+638,FALSE)="","",HLOOKUP(CaseName,CaseData,ROW()+638,FALSE))</f>
        <v/>
      </c>
      <c r="K25" s="162"/>
      <c r="L25" s="162"/>
      <c r="M25" s="38"/>
      <c r="N25" s="38"/>
      <c r="O25" s="42"/>
    </row>
    <row r="26" spans="1:15" ht="12.75" customHeight="1" x14ac:dyDescent="0.3">
      <c r="A26" s="42" t="s">
        <v>82</v>
      </c>
      <c r="B26" s="38"/>
      <c r="C26" s="38"/>
      <c r="D26" s="38"/>
      <c r="E26" s="38"/>
      <c r="F26" s="38"/>
      <c r="G26" s="42" t="s">
        <v>832</v>
      </c>
      <c r="H26" s="42" t="s">
        <v>1801</v>
      </c>
      <c r="I26" s="253"/>
      <c r="J26" s="296" t="str">
        <f>IF(HLOOKUP(CaseName,CaseData,ROW()+600,FALSE)="","",HLOOKUP(CaseName,CaseData,ROW()+600,FALSE))</f>
        <v/>
      </c>
      <c r="K26" s="301">
        <f ca="1">k.aC.aM*VOLUME.aC/L5</f>
        <v>7.1336519762278898E-8</v>
      </c>
      <c r="L26" s="193">
        <f t="shared" ref="L26:L41" ca="1" si="2">IF(ISBLANK(I26),IF(ISNUMBER(J26)=FALSE,K26,J26),I26)</f>
        <v>7.1336519762278898E-8</v>
      </c>
      <c r="M26" s="38" t="s">
        <v>1515</v>
      </c>
      <c r="N26" s="38"/>
      <c r="O26" s="42"/>
    </row>
    <row r="27" spans="1:15" ht="12.75" customHeight="1" x14ac:dyDescent="0.3">
      <c r="A27" s="42" t="s">
        <v>83</v>
      </c>
      <c r="B27" s="38"/>
      <c r="C27" s="38"/>
      <c r="D27" s="38"/>
      <c r="E27" s="38"/>
      <c r="F27" s="38"/>
      <c r="G27" s="42" t="s">
        <v>833</v>
      </c>
      <c r="H27" s="42" t="s">
        <v>1801</v>
      </c>
      <c r="I27" s="253"/>
      <c r="J27" s="296" t="str">
        <f>IF(HLOOKUP(CaseName,CaseData,ROW()+600,FALSE)="","",HLOOKUP(CaseName,CaseData,ROW()+600,FALSE))</f>
        <v/>
      </c>
      <c r="K27" s="301">
        <f>L170*L149/L5</f>
        <v>2.8834953874870833E-7</v>
      </c>
      <c r="L27" s="193">
        <f t="shared" si="2"/>
        <v>2.8834953874870833E-7</v>
      </c>
      <c r="M27" s="38" t="s">
        <v>1515</v>
      </c>
      <c r="N27" s="38"/>
      <c r="O27" s="42"/>
    </row>
    <row r="28" spans="1:15" ht="12.75" customHeight="1" x14ac:dyDescent="0.3">
      <c r="A28" s="42" t="s">
        <v>84</v>
      </c>
      <c r="B28" s="38"/>
      <c r="C28" s="38"/>
      <c r="D28" s="38"/>
      <c r="E28" s="38"/>
      <c r="F28" s="38"/>
      <c r="G28" s="42" t="s">
        <v>834</v>
      </c>
      <c r="H28" s="42" t="s">
        <v>1801</v>
      </c>
      <c r="I28" s="253"/>
      <c r="J28" s="296" t="str">
        <f>IF(HLOOKUP(CaseName,CaseData,ROW()+600,FALSE)="","",HLOOKUP(CaseName,CaseData,ROW()+600,FALSE))</f>
        <v/>
      </c>
      <c r="K28" s="301">
        <f>L307*L286/L5</f>
        <v>4.9943605145181346E-7</v>
      </c>
      <c r="L28" s="193">
        <f t="shared" si="2"/>
        <v>4.9943605145181346E-7</v>
      </c>
      <c r="M28" s="38" t="s">
        <v>1515</v>
      </c>
      <c r="N28" s="38"/>
      <c r="O28" s="42"/>
    </row>
    <row r="29" spans="1:15" ht="12.75" customHeight="1" x14ac:dyDescent="0.3">
      <c r="A29" s="38"/>
      <c r="B29" s="38"/>
      <c r="C29" s="38"/>
      <c r="D29" s="64"/>
      <c r="E29" s="38"/>
      <c r="F29" s="38"/>
      <c r="G29" s="43"/>
      <c r="H29" s="38"/>
      <c r="I29" s="192"/>
      <c r="J29" s="296" t="str">
        <f>IF(HLOOKUP(CaseName,CaseData,ROW()+638,FALSE)="","",HLOOKUP(CaseName,CaseData,ROW()+638,FALSE))</f>
        <v/>
      </c>
      <c r="K29" s="175"/>
      <c r="L29" s="175"/>
      <c r="M29" s="38"/>
      <c r="N29" s="38"/>
      <c r="O29" s="42"/>
    </row>
    <row r="30" spans="1:15" ht="12.75" customHeight="1" x14ac:dyDescent="0.3">
      <c r="A30" s="42" t="s">
        <v>1980</v>
      </c>
      <c r="B30" s="38"/>
      <c r="C30" s="38"/>
      <c r="D30" s="38"/>
      <c r="E30" s="38"/>
      <c r="F30" s="38"/>
      <c r="G30" s="42" t="s">
        <v>1247</v>
      </c>
      <c r="H30" s="42" t="s">
        <v>1801</v>
      </c>
      <c r="I30" s="253"/>
      <c r="J30" s="296" t="str">
        <f t="shared" ref="J30:J42" si="3">IF(HLOOKUP(CaseName,CaseData,ROW()+600,FALSE)="","",HLOOKUP(CaseName,CaseData,ROW()+600,FALSE))</f>
        <v/>
      </c>
      <c r="K30" s="196">
        <f ca="1">L35/L6</f>
        <v>7.0154068882950024E-9</v>
      </c>
      <c r="L30" s="193">
        <f t="shared" ca="1" si="2"/>
        <v>7.0154068882950024E-9</v>
      </c>
      <c r="M30" s="38" t="s">
        <v>1515</v>
      </c>
      <c r="N30" s="38"/>
      <c r="O30" s="42"/>
    </row>
    <row r="31" spans="1:15" ht="12.75" customHeight="1" x14ac:dyDescent="0.3">
      <c r="A31" s="42" t="s">
        <v>1981</v>
      </c>
      <c r="B31" s="38"/>
      <c r="C31" s="38"/>
      <c r="D31" s="38"/>
      <c r="E31" s="38"/>
      <c r="F31" s="38"/>
      <c r="G31" s="42" t="s">
        <v>1266</v>
      </c>
      <c r="H31" s="42" t="s">
        <v>1801</v>
      </c>
      <c r="I31" s="253"/>
      <c r="J31" s="296" t="str">
        <f t="shared" si="3"/>
        <v/>
      </c>
      <c r="K31" s="196">
        <f>L36/L6</f>
        <v>3.9198526030891834E-8</v>
      </c>
      <c r="L31" s="193">
        <f t="shared" si="2"/>
        <v>3.9198526030891834E-8</v>
      </c>
      <c r="M31" s="38" t="s">
        <v>1515</v>
      </c>
      <c r="N31" s="38"/>
      <c r="O31" s="42"/>
    </row>
    <row r="32" spans="1:15" ht="12.75" customHeight="1" x14ac:dyDescent="0.3">
      <c r="A32" s="42" t="s">
        <v>1982</v>
      </c>
      <c r="B32" s="38"/>
      <c r="C32" s="38"/>
      <c r="D32" s="38"/>
      <c r="E32" s="38"/>
      <c r="F32" s="38"/>
      <c r="G32" s="42" t="s">
        <v>1267</v>
      </c>
      <c r="H32" s="42" t="s">
        <v>1801</v>
      </c>
      <c r="I32" s="253"/>
      <c r="J32" s="296" t="str">
        <f t="shared" si="3"/>
        <v/>
      </c>
      <c r="K32" s="196">
        <f>L37/L6</f>
        <v>0</v>
      </c>
      <c r="L32" s="193">
        <f t="shared" si="2"/>
        <v>0</v>
      </c>
      <c r="M32" s="38" t="s">
        <v>1515</v>
      </c>
      <c r="N32" s="38"/>
      <c r="O32" s="42"/>
    </row>
    <row r="33" spans="1:15" ht="12.75" customHeight="1" x14ac:dyDescent="0.3">
      <c r="A33" s="42" t="s">
        <v>1111</v>
      </c>
      <c r="B33" s="38"/>
      <c r="C33" s="38"/>
      <c r="D33" s="38"/>
      <c r="E33" s="38"/>
      <c r="F33" s="38"/>
      <c r="G33" s="42" t="s">
        <v>124</v>
      </c>
      <c r="H33" s="42" t="s">
        <v>1801</v>
      </c>
      <c r="I33" s="253"/>
      <c r="J33" s="296" t="str">
        <f t="shared" si="3"/>
        <v/>
      </c>
      <c r="K33" s="196">
        <v>0</v>
      </c>
      <c r="L33" s="193">
        <f t="shared" si="2"/>
        <v>0</v>
      </c>
      <c r="M33" s="38" t="s">
        <v>1515</v>
      </c>
      <c r="N33" s="38"/>
      <c r="O33" s="42"/>
    </row>
    <row r="34" spans="1:15" ht="12.75" customHeight="1" x14ac:dyDescent="0.3">
      <c r="A34" s="42" t="s">
        <v>123</v>
      </c>
      <c r="B34" s="38"/>
      <c r="C34" s="38"/>
      <c r="D34" s="38"/>
      <c r="E34" s="38"/>
      <c r="F34" s="38"/>
      <c r="G34" s="42" t="s">
        <v>125</v>
      </c>
      <c r="H34" s="42" t="s">
        <v>1801</v>
      </c>
      <c r="I34" s="253"/>
      <c r="J34" s="296" t="str">
        <f t="shared" si="3"/>
        <v/>
      </c>
      <c r="K34" s="196">
        <f>L38/L7</f>
        <v>1.3066175343630613E-9</v>
      </c>
      <c r="L34" s="193">
        <f t="shared" si="2"/>
        <v>1.3066175343630613E-9</v>
      </c>
      <c r="M34" s="38" t="s">
        <v>1515</v>
      </c>
      <c r="N34" s="38"/>
      <c r="O34" s="42"/>
    </row>
    <row r="35" spans="1:15" ht="12.75" customHeight="1" x14ac:dyDescent="0.3">
      <c r="A35" s="42"/>
      <c r="B35" s="42" t="s">
        <v>1425</v>
      </c>
      <c r="C35" s="38"/>
      <c r="D35" s="38"/>
      <c r="E35" s="38"/>
      <c r="F35" s="38"/>
      <c r="G35" s="63" t="s">
        <v>896</v>
      </c>
      <c r="H35" s="38" t="s">
        <v>1806</v>
      </c>
      <c r="I35" s="252"/>
      <c r="J35" s="296" t="str">
        <f t="shared" si="3"/>
        <v/>
      </c>
      <c r="K35" s="196">
        <f ca="1">WATERflow.w2C.w2M</f>
        <v>26845678.646562833</v>
      </c>
      <c r="L35" s="193">
        <f t="shared" ca="1" si="2"/>
        <v>26845678.646562833</v>
      </c>
      <c r="M35" s="38" t="s">
        <v>1803</v>
      </c>
      <c r="N35" s="38"/>
      <c r="O35" s="42"/>
    </row>
    <row r="36" spans="1:15" ht="12.75" customHeight="1" x14ac:dyDescent="0.3">
      <c r="A36" s="42"/>
      <c r="B36" s="42" t="s">
        <v>1426</v>
      </c>
      <c r="C36" s="38"/>
      <c r="D36" s="38"/>
      <c r="E36" s="38"/>
      <c r="F36" s="38"/>
      <c r="G36" s="63" t="s">
        <v>1273</v>
      </c>
      <c r="H36" s="38" t="s">
        <v>1806</v>
      </c>
      <c r="I36" s="252"/>
      <c r="J36" s="296" t="str">
        <f t="shared" si="3"/>
        <v/>
      </c>
      <c r="K36" s="196">
        <f>L38</f>
        <v>150000000</v>
      </c>
      <c r="L36" s="193">
        <f t="shared" si="2"/>
        <v>150000000</v>
      </c>
      <c r="M36" s="38" t="s">
        <v>1803</v>
      </c>
      <c r="N36" s="38"/>
      <c r="O36" s="42"/>
    </row>
    <row r="37" spans="1:15" ht="12.75" customHeight="1" x14ac:dyDescent="0.3">
      <c r="A37" s="42"/>
      <c r="B37" s="42" t="s">
        <v>1427</v>
      </c>
      <c r="C37" s="38"/>
      <c r="D37" s="38"/>
      <c r="E37" s="38"/>
      <c r="F37" s="38"/>
      <c r="G37" s="63" t="s">
        <v>1274</v>
      </c>
      <c r="H37" s="38" t="s">
        <v>1806</v>
      </c>
      <c r="I37" s="252"/>
      <c r="J37" s="296" t="str">
        <f t="shared" si="3"/>
        <v/>
      </c>
      <c r="K37" s="196">
        <f>0</f>
        <v>0</v>
      </c>
      <c r="L37" s="193">
        <f t="shared" si="2"/>
        <v>0</v>
      </c>
      <c r="M37" s="38" t="s">
        <v>1803</v>
      </c>
      <c r="N37" s="38"/>
      <c r="O37" s="42"/>
    </row>
    <row r="38" spans="1:15" ht="12.75" customHeight="1" x14ac:dyDescent="0.3">
      <c r="A38" s="42"/>
      <c r="B38" s="42"/>
      <c r="C38" s="38" t="s">
        <v>1419</v>
      </c>
      <c r="D38" s="38"/>
      <c r="E38" s="38"/>
      <c r="F38" s="38"/>
      <c r="G38" s="43" t="s">
        <v>1272</v>
      </c>
      <c r="H38" s="38" t="s">
        <v>1806</v>
      </c>
      <c r="I38" s="253"/>
      <c r="J38" s="296" t="str">
        <f t="shared" si="3"/>
        <v/>
      </c>
      <c r="K38" s="196">
        <v>150000000</v>
      </c>
      <c r="L38" s="193">
        <f t="shared" si="2"/>
        <v>150000000</v>
      </c>
      <c r="M38" s="38" t="s">
        <v>1803</v>
      </c>
      <c r="N38" s="38"/>
      <c r="O38" s="42"/>
    </row>
    <row r="39" spans="1:15" ht="12.75" customHeight="1" x14ac:dyDescent="0.3">
      <c r="A39" s="42" t="s">
        <v>1106</v>
      </c>
      <c r="B39" s="38"/>
      <c r="C39" s="38"/>
      <c r="D39" s="38"/>
      <c r="E39" s="38"/>
      <c r="F39" s="38"/>
      <c r="G39" s="42" t="s">
        <v>1109</v>
      </c>
      <c r="H39" s="42" t="s">
        <v>1801</v>
      </c>
      <c r="I39" s="253"/>
      <c r="J39" s="296" t="str">
        <f t="shared" si="3"/>
        <v/>
      </c>
      <c r="K39" s="196">
        <f>(L38+L41)/L6</f>
        <v>2.496362364686023E-7</v>
      </c>
      <c r="L39" s="193">
        <f t="shared" si="2"/>
        <v>2.496362364686023E-7</v>
      </c>
      <c r="M39" s="38" t="s">
        <v>1515</v>
      </c>
      <c r="N39" s="38"/>
      <c r="O39" s="42"/>
    </row>
    <row r="40" spans="1:15" ht="12.75" customHeight="1" x14ac:dyDescent="0.3">
      <c r="A40" s="42" t="s">
        <v>1107</v>
      </c>
      <c r="B40" s="38"/>
      <c r="C40" s="38"/>
      <c r="D40" s="38"/>
      <c r="E40" s="38"/>
      <c r="F40" s="38"/>
      <c r="G40" s="42" t="s">
        <v>1110</v>
      </c>
      <c r="H40" s="42" t="s">
        <v>1801</v>
      </c>
      <c r="I40" s="253"/>
      <c r="J40" s="296" t="str">
        <f t="shared" si="3"/>
        <v/>
      </c>
      <c r="K40" s="196">
        <f>(L38+L41)/L7</f>
        <v>8.3212078822867434E-9</v>
      </c>
      <c r="L40" s="193">
        <f t="shared" si="2"/>
        <v>8.3212078822867434E-9</v>
      </c>
      <c r="M40" s="38" t="s">
        <v>1515</v>
      </c>
      <c r="N40" s="38"/>
      <c r="O40" s="42"/>
    </row>
    <row r="41" spans="1:15" ht="12.75" customHeight="1" x14ac:dyDescent="0.3">
      <c r="A41" s="42"/>
      <c r="B41" s="38" t="s">
        <v>687</v>
      </c>
      <c r="C41" s="38"/>
      <c r="D41" s="38"/>
      <c r="E41" s="38"/>
      <c r="F41" s="38"/>
      <c r="G41" s="43" t="s">
        <v>1275</v>
      </c>
      <c r="H41" s="38" t="s">
        <v>1806</v>
      </c>
      <c r="I41" s="253"/>
      <c r="J41" s="296" t="str">
        <f t="shared" si="3"/>
        <v/>
      </c>
      <c r="K41" s="174">
        <f>L6/L42</f>
        <v>805276620.37037039</v>
      </c>
      <c r="L41" s="193">
        <f t="shared" si="2"/>
        <v>805276620.37037039</v>
      </c>
      <c r="M41" s="38" t="s">
        <v>1803</v>
      </c>
      <c r="N41" s="38"/>
      <c r="O41" s="42"/>
    </row>
    <row r="42" spans="1:15" ht="12.75" customHeight="1" x14ac:dyDescent="0.3">
      <c r="A42" s="42"/>
      <c r="B42" s="42"/>
      <c r="C42" s="38" t="s">
        <v>1213</v>
      </c>
      <c r="D42" s="38"/>
      <c r="E42" s="38"/>
      <c r="F42" s="38"/>
      <c r="G42" s="43" t="s">
        <v>803</v>
      </c>
      <c r="H42" s="38" t="s">
        <v>717</v>
      </c>
      <c r="I42" s="253"/>
      <c r="J42" s="296" t="str">
        <f t="shared" si="3"/>
        <v/>
      </c>
      <c r="K42" s="174">
        <v>55</v>
      </c>
      <c r="L42" s="193">
        <f>IF(ISBLANK(I42),IF(ISNUMBER(J42)=FALSE,K42*(3600*24),J42*(3600*24)),I42*(3600*24))</f>
        <v>4752000</v>
      </c>
      <c r="M42" s="42" t="s">
        <v>107</v>
      </c>
      <c r="N42" s="38"/>
      <c r="O42" s="42"/>
    </row>
    <row r="43" spans="1:15" ht="12.75" customHeight="1" x14ac:dyDescent="0.3">
      <c r="A43" s="38"/>
      <c r="B43" s="38"/>
      <c r="C43" s="38"/>
      <c r="D43" s="38"/>
      <c r="E43" s="38"/>
      <c r="F43" s="38"/>
      <c r="G43" s="38"/>
      <c r="H43" s="42"/>
      <c r="I43" s="161"/>
      <c r="J43" s="161"/>
      <c r="K43" s="175"/>
      <c r="L43" s="175"/>
      <c r="M43" s="38"/>
      <c r="N43" s="38"/>
      <c r="O43" s="42"/>
    </row>
    <row r="44" spans="1:15" customFormat="1" ht="12.75" customHeight="1" x14ac:dyDescent="0.3">
      <c r="A44" s="67" t="s">
        <v>201</v>
      </c>
      <c r="B44" s="66"/>
      <c r="C44" s="66"/>
      <c r="D44" s="66"/>
      <c r="E44" s="66"/>
      <c r="F44" s="66"/>
      <c r="G44" s="67" t="s">
        <v>969</v>
      </c>
      <c r="H44" s="67" t="s">
        <v>929</v>
      </c>
      <c r="I44" s="189" t="s">
        <v>748</v>
      </c>
      <c r="J44" s="163" t="s">
        <v>29</v>
      </c>
      <c r="K44" s="163" t="s">
        <v>747</v>
      </c>
      <c r="L44" s="163" t="s">
        <v>1353</v>
      </c>
      <c r="M44" s="66"/>
      <c r="N44" s="67" t="s">
        <v>1366</v>
      </c>
      <c r="O44" s="42"/>
    </row>
    <row r="45" spans="1:15" ht="12.75" customHeight="1" x14ac:dyDescent="0.3">
      <c r="A45" s="38"/>
      <c r="B45" s="38"/>
      <c r="C45" s="38"/>
      <c r="D45" s="38"/>
      <c r="E45" s="38"/>
      <c r="F45" s="38"/>
      <c r="G45" s="38"/>
      <c r="H45" s="42"/>
      <c r="I45" s="161"/>
      <c r="J45" s="200"/>
      <c r="K45" s="175"/>
      <c r="L45" s="204"/>
      <c r="M45" s="38"/>
      <c r="N45" s="38"/>
      <c r="O45" s="42"/>
    </row>
    <row r="46" spans="1:15" ht="12.75" customHeight="1" x14ac:dyDescent="0.3">
      <c r="A46" s="38"/>
      <c r="B46" s="42" t="s">
        <v>947</v>
      </c>
      <c r="C46" s="42"/>
      <c r="D46" s="42"/>
      <c r="E46" s="42"/>
      <c r="F46" s="42"/>
      <c r="G46" s="42" t="s">
        <v>1983</v>
      </c>
      <c r="H46" s="42" t="s">
        <v>28</v>
      </c>
      <c r="I46" s="676">
        <f>IF(K46&lt;=0,0.999,K46)</f>
        <v>9.0082635795241117E-11</v>
      </c>
      <c r="J46" s="296" t="str">
        <f t="shared" ref="J46:J72" si="4">IF(HLOOKUP(CaseName,CaseData,ROW()+600,FALSE)="","",HLOOKUP(CaseName,CaseData,ROW()+600,FALSE))</f>
        <v/>
      </c>
      <c r="K46" s="195">
        <f>1-L47-L48</f>
        <v>9.0082635795241117E-11</v>
      </c>
      <c r="L46" s="193">
        <f>IF(ISBLANK(I46),IF(ISNUMBER(J46)=FALSE,K46,J46),I46)</f>
        <v>9.0082635795241117E-11</v>
      </c>
      <c r="M46" s="42" t="s">
        <v>477</v>
      </c>
      <c r="N46" s="38"/>
      <c r="O46" s="42"/>
    </row>
    <row r="47" spans="1:15" ht="12.75" customHeight="1" x14ac:dyDescent="0.3">
      <c r="A47" s="38"/>
      <c r="B47" s="38" t="s">
        <v>609</v>
      </c>
      <c r="C47" s="38"/>
      <c r="D47" s="38"/>
      <c r="E47" s="38"/>
      <c r="F47" s="38"/>
      <c r="G47" s="38" t="s">
        <v>628</v>
      </c>
      <c r="H47" s="38" t="s">
        <v>28</v>
      </c>
      <c r="I47" s="256"/>
      <c r="J47" s="296" t="str">
        <f t="shared" si="4"/>
        <v/>
      </c>
      <c r="K47" s="195">
        <f>L19 *L51/(1+L19*L51+L18*L52)</f>
        <v>0.77659421367858483</v>
      </c>
      <c r="L47" s="193">
        <f>IF(ISBLANK(I47),IF(ISNUMBER(J47)=FALSE,K47,J47),I47)</f>
        <v>0.77659421367858483</v>
      </c>
      <c r="M47" s="42" t="s">
        <v>477</v>
      </c>
      <c r="N47" s="38" t="s">
        <v>1772</v>
      </c>
      <c r="O47" s="42"/>
    </row>
    <row r="48" spans="1:15" ht="12.75" customHeight="1" x14ac:dyDescent="0.3">
      <c r="A48" s="38"/>
      <c r="B48" s="38" t="s">
        <v>610</v>
      </c>
      <c r="C48" s="38"/>
      <c r="D48" s="38"/>
      <c r="E48" s="38"/>
      <c r="F48" s="38"/>
      <c r="G48" s="38" t="s">
        <v>629</v>
      </c>
      <c r="H48" s="38" t="s">
        <v>28</v>
      </c>
      <c r="I48" s="252"/>
      <c r="J48" s="296" t="str">
        <f t="shared" si="4"/>
        <v/>
      </c>
      <c r="K48" s="195">
        <f>L18 *L52/(1+L19*L51+L18*L52)</f>
        <v>0.22340578623133253</v>
      </c>
      <c r="L48" s="193">
        <f>IF(ISBLANK(I48),IF(ISNUMBER(J48)=FALSE,K48,J48),I48)</f>
        <v>0.22340578623133253</v>
      </c>
      <c r="M48" s="42" t="s">
        <v>477</v>
      </c>
      <c r="N48" s="38" t="s">
        <v>1772</v>
      </c>
      <c r="O48" s="42"/>
    </row>
    <row r="49" spans="1:15" ht="12.75" customHeight="1" x14ac:dyDescent="0.3">
      <c r="A49" s="38"/>
      <c r="B49" s="42" t="s">
        <v>1004</v>
      </c>
      <c r="C49" s="42"/>
      <c r="D49" s="42"/>
      <c r="E49" s="42"/>
      <c r="F49" s="42"/>
      <c r="G49" s="42" t="s">
        <v>1984</v>
      </c>
      <c r="H49" s="42" t="s">
        <v>28</v>
      </c>
      <c r="I49" s="252"/>
      <c r="J49" s="296" t="str">
        <f t="shared" si="4"/>
        <v/>
      </c>
      <c r="K49" s="174">
        <f>Kaw*EXP((H0vap/8.314)*(1/298-1/L50))*EXP(-(H0sol/8.314)*(1/298-1/L50))*(298/L50)</f>
        <v>2.3199387092763543E-21</v>
      </c>
      <c r="L49" s="193">
        <f>IF(ISBLANK(I49),IF(ISNUMBER(J49)=FALSE,K49,J49),I49)</f>
        <v>2.3199387092763543E-21</v>
      </c>
      <c r="M49" s="42" t="s">
        <v>477</v>
      </c>
      <c r="N49" s="38"/>
      <c r="O49" s="42"/>
    </row>
    <row r="50" spans="1:15" ht="12.75" customHeight="1" x14ac:dyDescent="0.3">
      <c r="A50" s="42"/>
      <c r="B50" s="42"/>
      <c r="C50" s="42" t="s">
        <v>535</v>
      </c>
      <c r="D50" s="42"/>
      <c r="E50" s="42"/>
      <c r="F50" s="42"/>
      <c r="G50" s="42" t="s">
        <v>787</v>
      </c>
      <c r="H50" s="42" t="s">
        <v>1814</v>
      </c>
      <c r="I50" s="252"/>
      <c r="J50" s="296" t="str">
        <f t="shared" si="4"/>
        <v/>
      </c>
      <c r="K50" s="174">
        <v>12</v>
      </c>
      <c r="L50" s="193">
        <f>IF(ISBLANK(I50),IF(ISNUMBER(J50)=FALSE,K50+273,J50+273),I50+273)</f>
        <v>285</v>
      </c>
      <c r="M50" s="42" t="s">
        <v>582</v>
      </c>
      <c r="N50" s="38"/>
      <c r="O50" s="42"/>
    </row>
    <row r="51" spans="1:15" ht="12.75" customHeight="1" x14ac:dyDescent="0.4">
      <c r="A51" s="38"/>
      <c r="B51" s="38"/>
      <c r="C51" s="38" t="s">
        <v>606</v>
      </c>
      <c r="D51" s="38"/>
      <c r="E51" s="38"/>
      <c r="F51" s="38"/>
      <c r="G51" s="38" t="s">
        <v>631</v>
      </c>
      <c r="H51" s="38" t="s">
        <v>1807</v>
      </c>
      <c r="I51" s="256"/>
      <c r="J51" s="296" t="str">
        <f t="shared" si="4"/>
        <v/>
      </c>
      <c r="K51" s="195">
        <f>1/(L49*FRorig.aerw)</f>
        <v>4.3104587030746366E+20</v>
      </c>
      <c r="L51" s="193">
        <f t="shared" ref="L51:L58" si="5">IF(ISBLANK(I51),IF(ISNUMBER(J51)=FALSE,K51,J51),I51)</f>
        <v>4.3104587030746366E+20</v>
      </c>
      <c r="M51" s="42" t="s">
        <v>1815</v>
      </c>
      <c r="N51" s="38"/>
      <c r="O51" s="42"/>
    </row>
    <row r="52" spans="1:15" ht="12.75" customHeight="1" x14ac:dyDescent="0.4">
      <c r="A52" s="38"/>
      <c r="B52" s="38"/>
      <c r="C52" s="38" t="s">
        <v>607</v>
      </c>
      <c r="D52" s="38"/>
      <c r="E52" s="38"/>
      <c r="F52" s="38"/>
      <c r="G52" s="38" t="s">
        <v>632</v>
      </c>
      <c r="H52" s="38" t="s">
        <v>1808</v>
      </c>
      <c r="I52" s="256"/>
      <c r="J52" s="296" t="str">
        <f t="shared" si="4"/>
        <v/>
      </c>
      <c r="K52" s="195">
        <f>0.54*(Kow/Kaw)*CORGaers*(RHOaers/1000)</f>
        <v>1.2400059112166343E+20</v>
      </c>
      <c r="L52" s="193">
        <f t="shared" si="5"/>
        <v>1.2400059112166343E+20</v>
      </c>
      <c r="M52" s="42" t="s">
        <v>1816</v>
      </c>
      <c r="N52" s="38" t="s">
        <v>885</v>
      </c>
      <c r="O52" s="42"/>
    </row>
    <row r="53" spans="1:15" ht="12.75" customHeight="1" x14ac:dyDescent="0.3">
      <c r="A53" s="42"/>
      <c r="B53" s="42" t="s">
        <v>1985</v>
      </c>
      <c r="C53" s="64"/>
      <c r="D53" s="38"/>
      <c r="E53" s="38"/>
      <c r="F53" s="38"/>
      <c r="G53" s="43" t="s">
        <v>126</v>
      </c>
      <c r="H53" s="42" t="s">
        <v>28</v>
      </c>
      <c r="I53" s="252"/>
      <c r="J53" s="296" t="str">
        <f t="shared" si="4"/>
        <v/>
      </c>
      <c r="K53" s="174">
        <f ca="1">1/(1+L55*L59/1000+L61*L63/1000)</f>
        <v>0.96807931705231609</v>
      </c>
      <c r="L53" s="193">
        <f t="shared" ca="1" si="5"/>
        <v>0.96807931705231609</v>
      </c>
      <c r="M53" s="42" t="s">
        <v>477</v>
      </c>
      <c r="N53" s="38"/>
      <c r="O53" s="42"/>
    </row>
    <row r="54" spans="1:15" ht="12.75" customHeight="1" x14ac:dyDescent="0.3">
      <c r="A54" s="42"/>
      <c r="B54" s="42" t="s">
        <v>1112</v>
      </c>
      <c r="C54" s="64"/>
      <c r="D54" s="38"/>
      <c r="E54" s="38"/>
      <c r="F54" s="38"/>
      <c r="G54" s="43" t="s">
        <v>127</v>
      </c>
      <c r="H54" s="42" t="s">
        <v>28</v>
      </c>
      <c r="I54" s="252"/>
      <c r="J54" s="296" t="str">
        <f t="shared" si="4"/>
        <v/>
      </c>
      <c r="K54" s="174">
        <f ca="1">1/(1+L56*L60/1000+L62*L64/1000)</f>
        <v>0.96807931705231609</v>
      </c>
      <c r="L54" s="193">
        <f t="shared" ca="1" si="5"/>
        <v>0.96807931705231609</v>
      </c>
      <c r="M54" s="42" t="s">
        <v>477</v>
      </c>
      <c r="N54" s="38"/>
      <c r="O54" s="42"/>
    </row>
    <row r="55" spans="1:15" ht="12.75" customHeight="1" x14ac:dyDescent="0.3">
      <c r="A55" s="42"/>
      <c r="B55" s="38"/>
      <c r="C55" s="42" t="s">
        <v>1986</v>
      </c>
      <c r="D55" s="38"/>
      <c r="E55" s="38"/>
      <c r="F55" s="38"/>
      <c r="G55" s="63" t="s">
        <v>128</v>
      </c>
      <c r="H55" s="42" t="s">
        <v>1809</v>
      </c>
      <c r="I55" s="252"/>
      <c r="J55" s="296" t="str">
        <f t="shared" si="4"/>
        <v/>
      </c>
      <c r="K55" s="174">
        <f ca="1">(FRorig.w2*Ksw+(1-FRorig.w2)*Ksw.alt)*(1000/RHOsolid/CORG)*L57</f>
        <v>6594.4583635681238</v>
      </c>
      <c r="L55" s="193">
        <f t="shared" ca="1" si="5"/>
        <v>6594.4583635681238</v>
      </c>
      <c r="M55" s="42" t="s">
        <v>1525</v>
      </c>
      <c r="N55" s="38"/>
      <c r="O55" s="42"/>
    </row>
    <row r="56" spans="1:15" ht="12.75" customHeight="1" x14ac:dyDescent="0.3">
      <c r="A56" s="42"/>
      <c r="B56" s="38"/>
      <c r="C56" s="42" t="s">
        <v>1115</v>
      </c>
      <c r="D56" s="38"/>
      <c r="E56" s="38"/>
      <c r="F56" s="38"/>
      <c r="G56" s="63" t="s">
        <v>129</v>
      </c>
      <c r="H56" s="42" t="s">
        <v>1525</v>
      </c>
      <c r="I56" s="252"/>
      <c r="J56" s="296" t="str">
        <f t="shared" si="4"/>
        <v/>
      </c>
      <c r="K56" s="174">
        <f ca="1">(FRorig.w2*Ksw+(1-FRorig.w2)*Ksw.alt)*(1000/RHOsolid/CORG)*L58</f>
        <v>6594.4583635681238</v>
      </c>
      <c r="L56" s="193">
        <f t="shared" ca="1" si="5"/>
        <v>6594.4583635681238</v>
      </c>
      <c r="M56" s="42" t="s">
        <v>1525</v>
      </c>
      <c r="N56" s="38"/>
      <c r="O56" s="42"/>
    </row>
    <row r="57" spans="1:15" ht="12.75" customHeight="1" x14ac:dyDescent="0.3">
      <c r="A57" s="42"/>
      <c r="B57" s="38"/>
      <c r="C57" s="42" t="s">
        <v>1987</v>
      </c>
      <c r="D57" s="38"/>
      <c r="E57" s="38"/>
      <c r="F57" s="38"/>
      <c r="G57" s="63" t="s">
        <v>1447</v>
      </c>
      <c r="H57" s="42" t="s">
        <v>28</v>
      </c>
      <c r="I57" s="252"/>
      <c r="J57" s="296" t="str">
        <f t="shared" si="4"/>
        <v/>
      </c>
      <c r="K57" s="174">
        <v>0.1</v>
      </c>
      <c r="L57" s="193">
        <f t="shared" si="5"/>
        <v>0.1</v>
      </c>
      <c r="M57" s="42" t="s">
        <v>477</v>
      </c>
      <c r="N57" s="38"/>
      <c r="O57" s="42"/>
    </row>
    <row r="58" spans="1:15" ht="12.75" customHeight="1" x14ac:dyDescent="0.3">
      <c r="A58" s="42"/>
      <c r="B58" s="38"/>
      <c r="C58" s="42" t="s">
        <v>1117</v>
      </c>
      <c r="D58" s="38"/>
      <c r="E58" s="38"/>
      <c r="F58" s="38"/>
      <c r="G58" s="63" t="s">
        <v>1448</v>
      </c>
      <c r="H58" s="42" t="s">
        <v>28</v>
      </c>
      <c r="I58" s="252"/>
      <c r="J58" s="296" t="str">
        <f t="shared" si="4"/>
        <v/>
      </c>
      <c r="K58" s="174">
        <v>0.1</v>
      </c>
      <c r="L58" s="193">
        <f t="shared" si="5"/>
        <v>0.1</v>
      </c>
      <c r="M58" s="42" t="s">
        <v>477</v>
      </c>
      <c r="N58" s="38"/>
      <c r="O58" s="42"/>
    </row>
    <row r="59" spans="1:15" ht="12.75" customHeight="1" x14ac:dyDescent="0.3">
      <c r="A59" s="42"/>
      <c r="B59" s="38"/>
      <c r="C59" s="42" t="s">
        <v>1988</v>
      </c>
      <c r="D59" s="38"/>
      <c r="E59" s="38"/>
      <c r="F59" s="38"/>
      <c r="G59" s="63" t="s">
        <v>130</v>
      </c>
      <c r="H59" s="42" t="s">
        <v>1810</v>
      </c>
      <c r="I59" s="252"/>
      <c r="J59" s="296" t="str">
        <f t="shared" si="4"/>
        <v/>
      </c>
      <c r="K59" s="174">
        <v>5</v>
      </c>
      <c r="L59" s="193">
        <f>IF(ISBLANK(I59),IF(ISNUMBER(J59)=FALSE,K59/1000,J59/1000),I59/1000)</f>
        <v>5.0000000000000001E-3</v>
      </c>
      <c r="M59" s="42" t="s">
        <v>1524</v>
      </c>
      <c r="N59" s="38"/>
      <c r="O59" s="42"/>
    </row>
    <row r="60" spans="1:15" ht="12.75" customHeight="1" x14ac:dyDescent="0.3">
      <c r="A60" s="42"/>
      <c r="B60" s="38"/>
      <c r="C60" s="42" t="s">
        <v>1119</v>
      </c>
      <c r="D60" s="38"/>
      <c r="E60" s="38"/>
      <c r="F60" s="38"/>
      <c r="G60" s="63" t="s">
        <v>131</v>
      </c>
      <c r="H60" s="42" t="s">
        <v>1810</v>
      </c>
      <c r="I60" s="252"/>
      <c r="J60" s="296" t="str">
        <f t="shared" si="4"/>
        <v/>
      </c>
      <c r="K60" s="174">
        <v>5</v>
      </c>
      <c r="L60" s="193">
        <f>IF(ISBLANK(I60),IF(ISNUMBER(J60)=FALSE,K60/1000,J60/1000),I60/1000)</f>
        <v>5.0000000000000001E-3</v>
      </c>
      <c r="M60" s="42" t="s">
        <v>1524</v>
      </c>
      <c r="N60" s="38"/>
      <c r="O60" s="42"/>
    </row>
    <row r="61" spans="1:15" ht="12.75" customHeight="1" x14ac:dyDescent="0.3">
      <c r="A61" s="42"/>
      <c r="B61" s="38"/>
      <c r="C61" s="42" t="s">
        <v>1989</v>
      </c>
      <c r="D61" s="38"/>
      <c r="E61" s="38"/>
      <c r="F61" s="38"/>
      <c r="G61" s="63" t="s">
        <v>132</v>
      </c>
      <c r="H61" s="42" t="s">
        <v>1000</v>
      </c>
      <c r="I61" s="255"/>
      <c r="J61" s="296" t="str">
        <f t="shared" si="4"/>
        <v/>
      </c>
      <c r="K61" s="174">
        <f>0.08*D</f>
        <v>0.91852289719750679</v>
      </c>
      <c r="L61" s="193">
        <f>IF(ISBLANK(I61),IF(ISNUMBER(J61)=FALSE,K61,J61),I61)</f>
        <v>0.91852289719750679</v>
      </c>
      <c r="M61" s="42" t="s">
        <v>1525</v>
      </c>
      <c r="N61" s="38"/>
      <c r="O61" s="42"/>
    </row>
    <row r="62" spans="1:15" ht="12.75" customHeight="1" x14ac:dyDescent="0.3">
      <c r="A62" s="42"/>
      <c r="B62" s="38"/>
      <c r="C62" s="42" t="s">
        <v>1136</v>
      </c>
      <c r="D62" s="38"/>
      <c r="E62" s="38"/>
      <c r="F62" s="38"/>
      <c r="G62" s="63" t="s">
        <v>133</v>
      </c>
      <c r="H62" s="42" t="s">
        <v>1000</v>
      </c>
      <c r="I62" s="255"/>
      <c r="J62" s="296" t="str">
        <f t="shared" si="4"/>
        <v/>
      </c>
      <c r="K62" s="174">
        <f>0.08*D</f>
        <v>0.91852289719750679</v>
      </c>
      <c r="L62" s="193">
        <f>IF(ISBLANK(I62),IF(ISNUMBER(J62)=FALSE,K62,J62),I62)</f>
        <v>0.91852289719750679</v>
      </c>
      <c r="M62" s="42" t="s">
        <v>1525</v>
      </c>
      <c r="N62" s="38"/>
      <c r="O62" s="42"/>
    </row>
    <row r="63" spans="1:15" ht="12.75" customHeight="1" x14ac:dyDescent="0.3">
      <c r="A63" s="42"/>
      <c r="B63" s="38"/>
      <c r="C63" s="42" t="s">
        <v>1990</v>
      </c>
      <c r="D63" s="38"/>
      <c r="E63" s="38"/>
      <c r="F63" s="38"/>
      <c r="G63" s="63" t="s">
        <v>134</v>
      </c>
      <c r="H63" s="42" t="s">
        <v>999</v>
      </c>
      <c r="I63" s="255"/>
      <c r="J63" s="296" t="str">
        <f t="shared" si="4"/>
        <v/>
      </c>
      <c r="K63" s="174">
        <v>1</v>
      </c>
      <c r="L63" s="193">
        <f>IF(ISBLANK(I63),IF(ISNUMBER(J63)=FALSE,K63/1000,J63/1000),I63/1000)</f>
        <v>1E-3</v>
      </c>
      <c r="M63" s="42" t="s">
        <v>1524</v>
      </c>
      <c r="N63" s="38"/>
      <c r="O63" s="42"/>
    </row>
    <row r="64" spans="1:15" ht="12.75" customHeight="1" x14ac:dyDescent="0.3">
      <c r="A64" s="42"/>
      <c r="B64" s="38"/>
      <c r="C64" s="42" t="s">
        <v>1123</v>
      </c>
      <c r="D64" s="38"/>
      <c r="E64" s="38"/>
      <c r="F64" s="38"/>
      <c r="G64" s="63" t="s">
        <v>135</v>
      </c>
      <c r="H64" s="42" t="s">
        <v>999</v>
      </c>
      <c r="I64" s="255"/>
      <c r="J64" s="296" t="str">
        <f t="shared" si="4"/>
        <v/>
      </c>
      <c r="K64" s="174">
        <v>1</v>
      </c>
      <c r="L64" s="193">
        <f>IF(ISBLANK(I64),IF(ISNUMBER(J64)=FALSE,K64/1000,J64/1000),I64/1000)</f>
        <v>1E-3</v>
      </c>
      <c r="M64" s="42" t="s">
        <v>1524</v>
      </c>
      <c r="N64" s="38"/>
      <c r="O64" s="42"/>
    </row>
    <row r="65" spans="1:15" ht="12.75" customHeight="1" x14ac:dyDescent="0.3">
      <c r="A65" s="42"/>
      <c r="B65" s="42" t="s">
        <v>1370</v>
      </c>
      <c r="C65" s="64"/>
      <c r="D65" s="38"/>
      <c r="E65" s="38"/>
      <c r="F65" s="38"/>
      <c r="G65" s="63" t="s">
        <v>433</v>
      </c>
      <c r="H65" s="42" t="s">
        <v>28</v>
      </c>
      <c r="I65" s="252"/>
      <c r="J65" s="296" t="str">
        <f t="shared" si="4"/>
        <v/>
      </c>
      <c r="K65" s="174">
        <f ca="1">L23+L24*L66*RHOsolid/1000</f>
        <v>1677.1966704086205</v>
      </c>
      <c r="L65" s="193">
        <f t="shared" ref="L65:L72" ca="1" si="6">IF(ISBLANK(I65),IF(ISNUMBER(J65)=FALSE,K65,J65),I65)</f>
        <v>1677.1966704086205</v>
      </c>
      <c r="M65" s="42" t="s">
        <v>477</v>
      </c>
      <c r="N65" s="38"/>
      <c r="O65" s="42"/>
    </row>
    <row r="66" spans="1:15" ht="12.75" customHeight="1" x14ac:dyDescent="0.3">
      <c r="A66" s="42"/>
      <c r="B66" s="38"/>
      <c r="C66" s="42" t="s">
        <v>1371</v>
      </c>
      <c r="D66" s="38"/>
      <c r="E66" s="38"/>
      <c r="F66" s="38"/>
      <c r="G66" s="63" t="s">
        <v>169</v>
      </c>
      <c r="H66" s="42" t="s">
        <v>1809</v>
      </c>
      <c r="I66" s="252"/>
      <c r="J66" s="296" t="str">
        <f t="shared" si="4"/>
        <v/>
      </c>
      <c r="K66" s="174">
        <f ca="1">(FRorig.sd2*Ksw+(1-FRorig.sd2)*Ksw.alt)*(1000/RHOsolid/CORG)*L67</f>
        <v>3297.2291817840619</v>
      </c>
      <c r="L66" s="193">
        <f t="shared" ca="1" si="6"/>
        <v>3297.2291817840619</v>
      </c>
      <c r="M66" s="42" t="s">
        <v>1525</v>
      </c>
      <c r="N66" s="38"/>
      <c r="O66" s="42"/>
    </row>
    <row r="67" spans="1:15" ht="12.75" customHeight="1" x14ac:dyDescent="0.3">
      <c r="A67" s="42"/>
      <c r="B67" s="38"/>
      <c r="C67" s="42" t="s">
        <v>538</v>
      </c>
      <c r="D67" s="38"/>
      <c r="E67" s="38"/>
      <c r="F67" s="38"/>
      <c r="G67" s="63" t="s">
        <v>432</v>
      </c>
      <c r="H67" s="42" t="s">
        <v>28</v>
      </c>
      <c r="I67" s="252"/>
      <c r="J67" s="296" t="str">
        <f t="shared" si="4"/>
        <v/>
      </c>
      <c r="K67" s="174">
        <v>0.05</v>
      </c>
      <c r="L67" s="193">
        <f t="shared" si="6"/>
        <v>0.05</v>
      </c>
      <c r="M67" s="42" t="s">
        <v>477</v>
      </c>
      <c r="N67" s="38"/>
      <c r="O67" s="42"/>
    </row>
    <row r="68" spans="1:15" ht="12.75" customHeight="1" x14ac:dyDescent="0.3">
      <c r="A68" s="42"/>
      <c r="B68" s="42" t="s">
        <v>1367</v>
      </c>
      <c r="C68" s="64"/>
      <c r="D68" s="38"/>
      <c r="E68" s="38"/>
      <c r="F68" s="38"/>
      <c r="G68" s="63" t="s">
        <v>1991</v>
      </c>
      <c r="H68" s="42" t="s">
        <v>28</v>
      </c>
      <c r="I68" s="252"/>
      <c r="J68" s="296" t="str">
        <f t="shared" si="4"/>
        <v/>
      </c>
      <c r="K68" s="174">
        <f ca="1">L20*(L49*FRorig.s1w)+L21+L22*L71*RHOsolid/1000</f>
        <v>2011.8760044903454</v>
      </c>
      <c r="L68" s="193">
        <f t="shared" ca="1" si="6"/>
        <v>2011.8760044903454</v>
      </c>
      <c r="M68" s="38" t="s">
        <v>477</v>
      </c>
      <c r="N68" s="38"/>
      <c r="O68" s="42"/>
    </row>
    <row r="69" spans="1:15" ht="12.75" customHeight="1" x14ac:dyDescent="0.3">
      <c r="A69" s="42"/>
      <c r="B69" s="42" t="s">
        <v>40</v>
      </c>
      <c r="C69" s="64"/>
      <c r="D69" s="38"/>
      <c r="E69" s="38"/>
      <c r="F69" s="38"/>
      <c r="G69" s="63" t="s">
        <v>583</v>
      </c>
      <c r="H69" s="42" t="s">
        <v>28</v>
      </c>
      <c r="I69" s="252"/>
      <c r="J69" s="296" t="str">
        <f t="shared" si="4"/>
        <v/>
      </c>
      <c r="K69" s="174">
        <f ca="1">L21/(L20*(L49*FRorig.s1w)+L21+L22*L71*RHOsolid/1000)</f>
        <v>9.9409704948821942E-5</v>
      </c>
      <c r="L69" s="193">
        <f t="shared" ca="1" si="6"/>
        <v>9.9409704948821942E-5</v>
      </c>
      <c r="M69" s="38" t="s">
        <v>477</v>
      </c>
      <c r="N69" s="38"/>
      <c r="O69" s="42"/>
    </row>
    <row r="70" spans="1:15" ht="12.75" customHeight="1" x14ac:dyDescent="0.3">
      <c r="A70" s="42"/>
      <c r="B70" s="42" t="s">
        <v>1296</v>
      </c>
      <c r="C70" s="64"/>
      <c r="D70" s="38"/>
      <c r="E70" s="38"/>
      <c r="F70" s="38"/>
      <c r="G70" s="63" t="s">
        <v>36</v>
      </c>
      <c r="H70" s="42" t="s">
        <v>28</v>
      </c>
      <c r="I70" s="252"/>
      <c r="J70" s="296" t="str">
        <f t="shared" si="4"/>
        <v/>
      </c>
      <c r="K70" s="174">
        <f ca="1">L22 / (L20*L49*FRorig.s1w/(L71*RHOsolid/1000)+L21/(L71*RHOsolid/1000)+L22 )</f>
        <v>0.99990059029505118</v>
      </c>
      <c r="L70" s="193">
        <f t="shared" ca="1" si="6"/>
        <v>0.99990059029505118</v>
      </c>
      <c r="M70" s="4" t="s">
        <v>477</v>
      </c>
      <c r="N70" s="38"/>
      <c r="O70" s="42"/>
    </row>
    <row r="71" spans="1:15" ht="12.75" customHeight="1" x14ac:dyDescent="0.3">
      <c r="A71" s="42"/>
      <c r="B71" s="38"/>
      <c r="C71" s="42" t="s">
        <v>1368</v>
      </c>
      <c r="D71" s="38"/>
      <c r="E71" s="38"/>
      <c r="F71" s="38"/>
      <c r="G71" s="63" t="s">
        <v>171</v>
      </c>
      <c r="H71" s="42" t="s">
        <v>1809</v>
      </c>
      <c r="I71" s="252"/>
      <c r="J71" s="296" t="str">
        <f t="shared" si="4"/>
        <v/>
      </c>
      <c r="K71" s="174">
        <f ca="1">(FRorig.s1*Ksw+(1-FRorig.s1)*Ksw.alt)*(1000/RHOsolid/CORG)*L72</f>
        <v>1318.8916727136248</v>
      </c>
      <c r="L71" s="193">
        <f t="shared" ca="1" si="6"/>
        <v>1318.8916727136248</v>
      </c>
      <c r="M71" s="42" t="s">
        <v>1525</v>
      </c>
      <c r="N71" s="38"/>
      <c r="O71" s="42"/>
    </row>
    <row r="72" spans="1:15" ht="12.75" customHeight="1" x14ac:dyDescent="0.3">
      <c r="A72" s="42"/>
      <c r="B72" s="38"/>
      <c r="C72" s="42" t="s">
        <v>1369</v>
      </c>
      <c r="D72" s="38"/>
      <c r="E72" s="38"/>
      <c r="F72" s="38"/>
      <c r="G72" s="63" t="s">
        <v>918</v>
      </c>
      <c r="H72" s="42" t="s">
        <v>28</v>
      </c>
      <c r="I72" s="252"/>
      <c r="J72" s="296" t="str">
        <f t="shared" si="4"/>
        <v/>
      </c>
      <c r="K72" s="174">
        <v>0.02</v>
      </c>
      <c r="L72" s="193">
        <f t="shared" si="6"/>
        <v>0.02</v>
      </c>
      <c r="M72" s="38" t="s">
        <v>477</v>
      </c>
      <c r="N72" s="38"/>
      <c r="O72" s="42"/>
    </row>
    <row r="73" spans="1:15" ht="12.75" customHeight="1" x14ac:dyDescent="0.3">
      <c r="A73" s="38"/>
      <c r="B73" s="38"/>
      <c r="C73" s="38"/>
      <c r="D73" s="38"/>
      <c r="E73" s="38"/>
      <c r="F73" s="38"/>
      <c r="G73" s="38"/>
      <c r="H73" s="42"/>
      <c r="I73" s="200"/>
      <c r="J73" s="161"/>
      <c r="K73" s="175"/>
      <c r="L73" s="175"/>
      <c r="M73" s="38"/>
      <c r="N73" s="38"/>
      <c r="O73" s="42"/>
    </row>
    <row r="74" spans="1:15" customFormat="1" ht="12.75" customHeight="1" x14ac:dyDescent="0.3">
      <c r="A74" s="67" t="s">
        <v>1306</v>
      </c>
      <c r="B74" s="66"/>
      <c r="C74" s="66"/>
      <c r="D74" s="66"/>
      <c r="E74" s="66"/>
      <c r="F74" s="66"/>
      <c r="G74" s="67" t="s">
        <v>969</v>
      </c>
      <c r="H74" s="67" t="s">
        <v>929</v>
      </c>
      <c r="I74" s="189" t="s">
        <v>748</v>
      </c>
      <c r="J74" s="163" t="s">
        <v>29</v>
      </c>
      <c r="K74" s="163" t="s">
        <v>747</v>
      </c>
      <c r="L74" s="163" t="s">
        <v>1353</v>
      </c>
      <c r="M74" s="66"/>
      <c r="N74" s="67" t="s">
        <v>1366</v>
      </c>
      <c r="O74" s="42"/>
    </row>
    <row r="75" spans="1:15" ht="12.75" customHeight="1" x14ac:dyDescent="0.3">
      <c r="A75" s="38"/>
      <c r="B75" s="38"/>
      <c r="C75" s="38"/>
      <c r="D75" s="38"/>
      <c r="E75" s="38"/>
      <c r="F75" s="38"/>
      <c r="G75" s="38"/>
      <c r="H75" s="42"/>
      <c r="I75" s="200"/>
      <c r="J75" s="200"/>
      <c r="K75" s="175"/>
      <c r="L75" s="175"/>
      <c r="M75" s="38"/>
      <c r="N75" s="38"/>
      <c r="O75" s="42"/>
    </row>
    <row r="76" spans="1:15" ht="12.75" customHeight="1" x14ac:dyDescent="0.3">
      <c r="A76" s="42" t="s">
        <v>85</v>
      </c>
      <c r="B76" s="38"/>
      <c r="C76" s="38"/>
      <c r="D76" s="38"/>
      <c r="E76" s="38"/>
      <c r="F76" s="38"/>
      <c r="G76" s="42" t="s">
        <v>1246</v>
      </c>
      <c r="H76" s="42" t="s">
        <v>1801</v>
      </c>
      <c r="I76" s="254"/>
      <c r="J76" s="296" t="str">
        <f t="shared" ref="J76:J101" si="7">IF(HLOOKUP(CaseName,CaseData,ROW()+600,FALSE)="","",HLOOKUP(CaseName,CaseData,ROW()+600,FALSE))</f>
        <v/>
      </c>
      <c r="K76" s="303">
        <f ca="1">(L80+L92/L13)*L11</f>
        <v>3.9889156499249146E-6</v>
      </c>
      <c r="L76" s="193">
        <f t="shared" ref="L76:L89" ca="1" si="8">IF(ISBLANK(I76),IF(ISNUMBER(J76)=FALSE,K76,J76),I76)</f>
        <v>3.9889156499249146E-6</v>
      </c>
      <c r="M76" s="38" t="s">
        <v>1515</v>
      </c>
      <c r="N76" s="38"/>
      <c r="O76" s="42"/>
    </row>
    <row r="77" spans="1:15" ht="12.75" customHeight="1" x14ac:dyDescent="0.3">
      <c r="A77" s="42" t="s">
        <v>86</v>
      </c>
      <c r="B77" s="38"/>
      <c r="C77" s="38"/>
      <c r="D77" s="38"/>
      <c r="E77" s="38"/>
      <c r="F77" s="38"/>
      <c r="G77" s="42" t="s">
        <v>835</v>
      </c>
      <c r="H77" s="42" t="s">
        <v>1801</v>
      </c>
      <c r="I77" s="254"/>
      <c r="J77" s="296" t="str">
        <f t="shared" si="7"/>
        <v/>
      </c>
      <c r="K77" s="303">
        <f ca="1">(L80+L93/L13)*L12</f>
        <v>3.9889156497207009E-6</v>
      </c>
      <c r="L77" s="193">
        <f t="shared" ca="1" si="8"/>
        <v>3.9889156497207009E-6</v>
      </c>
      <c r="M77" s="38" t="s">
        <v>1515</v>
      </c>
      <c r="N77" s="38"/>
      <c r="O77" s="42"/>
    </row>
    <row r="78" spans="1:15" ht="12.75" customHeight="1" x14ac:dyDescent="0.3">
      <c r="A78" s="42" t="s">
        <v>87</v>
      </c>
      <c r="B78" s="38"/>
      <c r="C78" s="38"/>
      <c r="D78" s="38"/>
      <c r="E78" s="38"/>
      <c r="F78" s="38"/>
      <c r="G78" s="42" t="s">
        <v>1248</v>
      </c>
      <c r="H78" s="42" t="s">
        <v>1801</v>
      </c>
      <c r="I78" s="254"/>
      <c r="J78" s="296" t="str">
        <f t="shared" si="7"/>
        <v/>
      </c>
      <c r="K78" s="303">
        <f ca="1">L94/L14</f>
        <v>1.2535824170336799E-25</v>
      </c>
      <c r="L78" s="193">
        <f t="shared" ca="1" si="8"/>
        <v>1.2535824170336799E-25</v>
      </c>
      <c r="M78" s="38" t="s">
        <v>1515</v>
      </c>
      <c r="N78" s="38"/>
      <c r="O78" s="42"/>
    </row>
    <row r="79" spans="1:15" ht="12.75" customHeight="1" x14ac:dyDescent="0.3">
      <c r="A79" s="42" t="s">
        <v>88</v>
      </c>
      <c r="B79" s="38"/>
      <c r="C79" s="38"/>
      <c r="D79" s="38"/>
      <c r="E79" s="38"/>
      <c r="F79" s="38"/>
      <c r="G79" s="42" t="s">
        <v>836</v>
      </c>
      <c r="H79" s="42" t="s">
        <v>1801</v>
      </c>
      <c r="I79" s="254"/>
      <c r="J79" s="296" t="str">
        <f t="shared" si="7"/>
        <v/>
      </c>
      <c r="K79" s="303">
        <f ca="1">L95/L17</f>
        <v>3.0706068529777775E-26</v>
      </c>
      <c r="L79" s="193">
        <f t="shared" ca="1" si="8"/>
        <v>3.0706068529777775E-26</v>
      </c>
      <c r="M79" s="38" t="s">
        <v>1515</v>
      </c>
      <c r="N79" s="38"/>
      <c r="O79" s="42"/>
    </row>
    <row r="80" spans="1:15" ht="12.75" customHeight="1" x14ac:dyDescent="0.3">
      <c r="A80" s="42"/>
      <c r="B80" s="42" t="s">
        <v>1874</v>
      </c>
      <c r="C80" s="38"/>
      <c r="D80" s="38"/>
      <c r="E80" s="38"/>
      <c r="F80" s="38"/>
      <c r="G80" s="43" t="s">
        <v>1889</v>
      </c>
      <c r="H80" s="42" t="s">
        <v>1801</v>
      </c>
      <c r="I80" s="254"/>
      <c r="J80" s="296" t="str">
        <f t="shared" si="7"/>
        <v/>
      </c>
      <c r="K80" s="303">
        <f ca="1">L81- SUM((L92*L11+L93*L12)/L13,L130,L26,L27,L28)</f>
        <v>7.9778312993470169E-6</v>
      </c>
      <c r="L80" s="193">
        <f t="shared" ca="1" si="8"/>
        <v>7.9778312993470169E-6</v>
      </c>
      <c r="M80" s="38" t="s">
        <v>1515</v>
      </c>
      <c r="N80" s="38"/>
      <c r="O80" s="42"/>
    </row>
    <row r="81" spans="1:15" ht="12.75" customHeight="1" x14ac:dyDescent="0.3">
      <c r="A81" s="42"/>
      <c r="B81" s="42"/>
      <c r="C81" s="38" t="s">
        <v>1875</v>
      </c>
      <c r="D81" s="38"/>
      <c r="E81" s="38"/>
      <c r="F81" s="38"/>
      <c r="G81" s="43" t="s">
        <v>1890</v>
      </c>
      <c r="H81" s="42" t="s">
        <v>1801</v>
      </c>
      <c r="I81" s="254"/>
      <c r="J81" s="296" t="str">
        <f t="shared" si="7"/>
        <v/>
      </c>
      <c r="K81" s="174">
        <f ca="1">((1/L82)*L84/(L84+L85)+(1/L83)*L85/(L84+L85)-((1/L83-1/L82)^2/(L84+L85))*(1-EXP(-L82*L84))*(1-EXP(-L83*L85))/(1-EXP(-L82*L84-L83*L85)))^-1</f>
        <v>8.8369534096084163E-6</v>
      </c>
      <c r="L81" s="193">
        <f t="shared" ca="1" si="8"/>
        <v>8.8369534096084163E-6</v>
      </c>
      <c r="M81" s="38" t="s">
        <v>1515</v>
      </c>
      <c r="N81" s="38"/>
      <c r="O81" s="42"/>
    </row>
    <row r="82" spans="1:15" ht="12.75" customHeight="1" x14ac:dyDescent="0.3">
      <c r="A82" s="42"/>
      <c r="B82" s="42"/>
      <c r="C82" s="42"/>
      <c r="D82" s="42" t="s">
        <v>1956</v>
      </c>
      <c r="E82" s="38"/>
      <c r="F82" s="38"/>
      <c r="G82" s="43" t="s">
        <v>745</v>
      </c>
      <c r="H82" s="42" t="s">
        <v>1801</v>
      </c>
      <c r="I82" s="254"/>
      <c r="J82" s="296" t="str">
        <f t="shared" si="7"/>
        <v/>
      </c>
      <c r="K82" s="303">
        <f ca="1">L86/L13 + SUM((L92*L11+L93*L12)/L13,L130,L26,L27,L28)</f>
        <v>1.8591221101713167E-6</v>
      </c>
      <c r="L82" s="193">
        <f t="shared" ca="1" si="8"/>
        <v>1.8591221101713167E-6</v>
      </c>
      <c r="M82" s="38" t="s">
        <v>1515</v>
      </c>
      <c r="N82" s="38"/>
      <c r="O82" s="42"/>
    </row>
    <row r="83" spans="1:15" ht="12.75" customHeight="1" x14ac:dyDescent="0.3">
      <c r="A83" s="42"/>
      <c r="B83" s="42"/>
      <c r="C83" s="42"/>
      <c r="D83" s="42" t="s">
        <v>1957</v>
      </c>
      <c r="E83" s="38"/>
      <c r="F83" s="38"/>
      <c r="G83" s="43" t="s">
        <v>746</v>
      </c>
      <c r="H83" s="42" t="s">
        <v>1801</v>
      </c>
      <c r="I83" s="254"/>
      <c r="J83" s="296" t="str">
        <f t="shared" si="7"/>
        <v/>
      </c>
      <c r="K83" s="303">
        <f ca="1">(L87+L88)/L13 + SUM((L92*L11+L93*L12)/L13,L130,L26,L27,L28)</f>
        <v>14.364988481191631</v>
      </c>
      <c r="L83" s="193">
        <f t="shared" ca="1" si="8"/>
        <v>14.364988481191631</v>
      </c>
      <c r="M83" s="38" t="s">
        <v>1515</v>
      </c>
      <c r="N83" s="38"/>
      <c r="O83" s="42"/>
    </row>
    <row r="84" spans="1:15" ht="12.75" customHeight="1" x14ac:dyDescent="0.3">
      <c r="A84" s="42"/>
      <c r="B84" s="38" t="s">
        <v>890</v>
      </c>
      <c r="C84" s="38"/>
      <c r="D84" s="38"/>
      <c r="E84" s="38"/>
      <c r="F84" s="38"/>
      <c r="G84" s="38" t="s">
        <v>749</v>
      </c>
      <c r="H84" s="38" t="s">
        <v>1779</v>
      </c>
      <c r="I84" s="254"/>
      <c r="J84" s="296" t="str">
        <f t="shared" si="7"/>
        <v/>
      </c>
      <c r="K84" s="174">
        <f>3.3*24</f>
        <v>79.199999999999989</v>
      </c>
      <c r="L84" s="297">
        <f>IF(ISBLANK(I84),IF(ISNUMBER(J84)=FALSE,K84*3600,J84*3600),I84*3600)</f>
        <v>285119.99999999994</v>
      </c>
      <c r="M84" s="38" t="s">
        <v>1515</v>
      </c>
      <c r="N84" s="38"/>
      <c r="O84" s="42"/>
    </row>
    <row r="85" spans="1:15" ht="12.75" customHeight="1" x14ac:dyDescent="0.3">
      <c r="A85" s="42"/>
      <c r="B85" s="38" t="s">
        <v>892</v>
      </c>
      <c r="C85" s="38"/>
      <c r="D85" s="38"/>
      <c r="E85" s="38"/>
      <c r="F85" s="38"/>
      <c r="G85" s="38" t="s">
        <v>750</v>
      </c>
      <c r="H85" s="38" t="s">
        <v>1779</v>
      </c>
      <c r="I85" s="254"/>
      <c r="J85" s="296" t="str">
        <f t="shared" si="7"/>
        <v/>
      </c>
      <c r="K85" s="174">
        <f>3.3*24*(0.06/(1-0.06))</f>
        <v>5.0553191489361691</v>
      </c>
      <c r="L85" s="297">
        <f>IF(ISBLANK(I85),IF(ISNUMBER(J85)=FALSE,K85*3600,J85*3600),I85*3600)</f>
        <v>18199.148936170208</v>
      </c>
      <c r="M85" s="38" t="s">
        <v>1515</v>
      </c>
      <c r="N85" s="38"/>
      <c r="O85" s="42"/>
    </row>
    <row r="86" spans="1:15" ht="12.75" customHeight="1" x14ac:dyDescent="0.3">
      <c r="A86" s="42"/>
      <c r="B86" s="42" t="s">
        <v>484</v>
      </c>
      <c r="C86" s="38"/>
      <c r="D86" s="38"/>
      <c r="E86" s="38"/>
      <c r="F86" s="38"/>
      <c r="G86" s="63" t="s">
        <v>920</v>
      </c>
      <c r="H86" s="39" t="s">
        <v>1802</v>
      </c>
      <c r="I86" s="252"/>
      <c r="J86" s="296" t="str">
        <f t="shared" si="7"/>
        <v/>
      </c>
      <c r="K86" s="174">
        <f>L89*(L47+L48)</f>
        <v>9.9999999990991735E-4</v>
      </c>
      <c r="L86" s="193">
        <f t="shared" si="8"/>
        <v>9.9999999990991735E-4</v>
      </c>
      <c r="M86" s="38" t="s">
        <v>1517</v>
      </c>
      <c r="N86" s="38"/>
      <c r="O86" s="42"/>
    </row>
    <row r="87" spans="1:15" ht="12.75" customHeight="1" x14ac:dyDescent="0.3">
      <c r="A87" s="42"/>
      <c r="B87" s="42" t="s">
        <v>739</v>
      </c>
      <c r="C87" s="38"/>
      <c r="D87" s="38"/>
      <c r="E87" s="38"/>
      <c r="F87" s="38"/>
      <c r="G87" s="43" t="s">
        <v>539</v>
      </c>
      <c r="H87" s="64" t="s">
        <v>1802</v>
      </c>
      <c r="I87" s="252"/>
      <c r="J87" s="296" t="str">
        <f t="shared" si="7"/>
        <v/>
      </c>
      <c r="K87" s="174">
        <f>L48*(L84+L85)/L85*L90*L91</f>
        <v>1.6529685688518179E-2</v>
      </c>
      <c r="L87" s="193">
        <f t="shared" si="8"/>
        <v>1.6529685688518179E-2</v>
      </c>
      <c r="M87" s="38" t="s">
        <v>1517</v>
      </c>
      <c r="N87" s="38"/>
      <c r="O87" s="42"/>
    </row>
    <row r="88" spans="1:15" ht="12.75" customHeight="1" x14ac:dyDescent="0.3">
      <c r="A88" s="42"/>
      <c r="B88" s="42" t="s">
        <v>740</v>
      </c>
      <c r="C88" s="38"/>
      <c r="D88" s="38"/>
      <c r="E88" s="38"/>
      <c r="F88" s="38"/>
      <c r="G88" s="43" t="s">
        <v>540</v>
      </c>
      <c r="H88" s="64" t="s">
        <v>1802</v>
      </c>
      <c r="I88" s="252"/>
      <c r="J88" s="296" t="str">
        <f t="shared" si="7"/>
        <v/>
      </c>
      <c r="K88" s="174">
        <f>L46*(L84+L85)/L85*L90/(L49*FRorig.aerw)</f>
        <v>14364.971092383832</v>
      </c>
      <c r="L88" s="193">
        <f t="shared" si="8"/>
        <v>14364.971092383832</v>
      </c>
      <c r="M88" s="38" t="s">
        <v>1517</v>
      </c>
      <c r="N88" s="38"/>
      <c r="O88" s="42"/>
    </row>
    <row r="89" spans="1:15" ht="12.75" customHeight="1" x14ac:dyDescent="0.3">
      <c r="A89" s="42"/>
      <c r="B89" s="38"/>
      <c r="C89" s="64" t="s">
        <v>741</v>
      </c>
      <c r="D89" s="64"/>
      <c r="E89" s="64"/>
      <c r="F89" s="64"/>
      <c r="G89" s="63" t="s">
        <v>921</v>
      </c>
      <c r="H89" s="39" t="s">
        <v>1802</v>
      </c>
      <c r="I89" s="252"/>
      <c r="J89" s="296" t="str">
        <f t="shared" si="7"/>
        <v/>
      </c>
      <c r="K89" s="174">
        <v>1E-3</v>
      </c>
      <c r="L89" s="193">
        <f t="shared" si="8"/>
        <v>1E-3</v>
      </c>
      <c r="M89" s="38" t="s">
        <v>1517</v>
      </c>
      <c r="N89" s="38"/>
      <c r="O89" s="42"/>
    </row>
    <row r="90" spans="1:15" ht="12.75" customHeight="1" x14ac:dyDescent="0.3">
      <c r="A90" s="42"/>
      <c r="B90" s="38"/>
      <c r="C90" s="42" t="s">
        <v>742</v>
      </c>
      <c r="D90" s="64"/>
      <c r="E90" s="64"/>
      <c r="F90" s="64"/>
      <c r="G90" s="63" t="s">
        <v>922</v>
      </c>
      <c r="H90" s="64" t="s">
        <v>1812</v>
      </c>
      <c r="I90" s="253"/>
      <c r="J90" s="296" t="str">
        <f t="shared" si="7"/>
        <v/>
      </c>
      <c r="K90" s="174">
        <v>700</v>
      </c>
      <c r="L90" s="193">
        <f>IF(ISBLANK(I90),IF(ISNUMBER(J90)=FALSE,K90/(1000*3600*24*365),J90/(1000*3600*24*365)),I90/(1000*3600*24*365))</f>
        <v>2.219685438863521E-8</v>
      </c>
      <c r="M90" s="38" t="s">
        <v>1517</v>
      </c>
      <c r="N90" s="38"/>
      <c r="O90" s="42"/>
    </row>
    <row r="91" spans="1:15" ht="12.75" customHeight="1" x14ac:dyDescent="0.3">
      <c r="A91" s="42"/>
      <c r="B91" s="38"/>
      <c r="C91" s="42" t="s">
        <v>440</v>
      </c>
      <c r="D91" s="38"/>
      <c r="E91" s="38"/>
      <c r="F91" s="38"/>
      <c r="G91" s="63" t="s">
        <v>923</v>
      </c>
      <c r="H91" s="42" t="s">
        <v>28</v>
      </c>
      <c r="I91" s="252"/>
      <c r="J91" s="296" t="str">
        <f t="shared" si="7"/>
        <v/>
      </c>
      <c r="K91" s="174">
        <v>200000</v>
      </c>
      <c r="L91" s="193">
        <f t="shared" ref="L91:L101" si="9">IF(ISBLANK(I91),IF(ISNUMBER(J91)=FALSE,K91,J91),I91)</f>
        <v>200000</v>
      </c>
      <c r="M91" s="42" t="s">
        <v>477</v>
      </c>
      <c r="N91" s="38"/>
      <c r="O91" s="42"/>
    </row>
    <row r="92" spans="1:15" ht="12.75" customHeight="1" x14ac:dyDescent="0.3">
      <c r="A92" s="42"/>
      <c r="B92" s="42" t="s">
        <v>1825</v>
      </c>
      <c r="C92" s="38"/>
      <c r="D92" s="38"/>
      <c r="E92" s="64"/>
      <c r="F92" s="64"/>
      <c r="G92" s="43" t="s">
        <v>1876</v>
      </c>
      <c r="H92" s="42" t="s">
        <v>1817</v>
      </c>
      <c r="I92" s="252"/>
      <c r="J92" s="296" t="str">
        <f t="shared" si="7"/>
        <v/>
      </c>
      <c r="K92" s="303">
        <f>L46*(L96*L97/(L96*(L49*FRorig.w2)+L97))</f>
        <v>5.0281303067007388E-13</v>
      </c>
      <c r="L92" s="193">
        <f t="shared" si="9"/>
        <v>5.0281303067007388E-13</v>
      </c>
      <c r="M92" s="42" t="s">
        <v>1818</v>
      </c>
      <c r="N92" s="38"/>
      <c r="O92" s="42"/>
    </row>
    <row r="93" spans="1:15" ht="12.75" customHeight="1" x14ac:dyDescent="0.3">
      <c r="A93" s="42"/>
      <c r="B93" s="42" t="s">
        <v>1826</v>
      </c>
      <c r="C93" s="38"/>
      <c r="D93" s="38"/>
      <c r="E93" s="64"/>
      <c r="F93" s="64"/>
      <c r="G93" s="43" t="s">
        <v>1877</v>
      </c>
      <c r="H93" s="42" t="s">
        <v>1817</v>
      </c>
      <c r="I93" s="252"/>
      <c r="J93" s="296" t="str">
        <f t="shared" si="7"/>
        <v/>
      </c>
      <c r="K93" s="303">
        <f ca="1">L46*(L99*L100)/(L99*((L49*FRorig.s1w)/L68)+L100)</f>
        <v>9.4384547166557295E-14</v>
      </c>
      <c r="L93" s="193">
        <f ca="1">IF(ISBLANK(I93),IF(ISNUMBER(J93)=FALSE,K93,J93),I93)</f>
        <v>9.4384547166557295E-14</v>
      </c>
      <c r="M93" s="42" t="s">
        <v>1818</v>
      </c>
      <c r="N93" s="38"/>
      <c r="O93" s="42"/>
    </row>
    <row r="94" spans="1:15" ht="12.75" customHeight="1" x14ac:dyDescent="0.3">
      <c r="A94" s="42"/>
      <c r="B94" s="42" t="s">
        <v>1878</v>
      </c>
      <c r="C94" s="38"/>
      <c r="D94" s="38"/>
      <c r="E94" s="38"/>
      <c r="F94" s="38"/>
      <c r="G94" s="43" t="s">
        <v>1879</v>
      </c>
      <c r="H94" s="42" t="s">
        <v>1817</v>
      </c>
      <c r="I94" s="252"/>
      <c r="J94" s="296" t="str">
        <f t="shared" si="7"/>
        <v/>
      </c>
      <c r="K94" s="303">
        <f ca="1">(L96*L97/(L96*(L49*FRorig.w2)+L97))*(L49*FRorig.w2)*L53</f>
        <v>1.25358241703368E-23</v>
      </c>
      <c r="L94" s="193">
        <f ca="1">IF(ISBLANK(I94),IF(ISNUMBER(J94)=FALSE,K94,J94),I94)</f>
        <v>1.25358241703368E-23</v>
      </c>
      <c r="M94" s="42" t="s">
        <v>1818</v>
      </c>
      <c r="N94" s="38"/>
      <c r="O94" s="42"/>
    </row>
    <row r="95" spans="1:15" ht="12.75" customHeight="1" x14ac:dyDescent="0.3">
      <c r="A95" s="42"/>
      <c r="B95" s="42" t="s">
        <v>1880</v>
      </c>
      <c r="C95" s="38"/>
      <c r="D95" s="38"/>
      <c r="E95" s="64"/>
      <c r="F95" s="64"/>
      <c r="G95" s="43" t="s">
        <v>1896</v>
      </c>
      <c r="H95" s="42" t="s">
        <v>1817</v>
      </c>
      <c r="I95" s="252"/>
      <c r="J95" s="296" t="str">
        <f t="shared" si="7"/>
        <v/>
      </c>
      <c r="K95" s="303">
        <f ca="1">(L99*L100)/(L99+L100/((L49*FRorig.s1w)/L68))*L101</f>
        <v>1.535303426488889E-27</v>
      </c>
      <c r="L95" s="193">
        <f ca="1">IF(ISBLANK(I95),IF(ISNUMBER(J95)=FALSE,K95,J95),I95)</f>
        <v>1.535303426488889E-27</v>
      </c>
      <c r="M95" s="42" t="s">
        <v>1818</v>
      </c>
      <c r="N95" s="38"/>
      <c r="O95" s="42"/>
    </row>
    <row r="96" spans="1:15" ht="12.75" customHeight="1" x14ac:dyDescent="0.3">
      <c r="A96" s="42"/>
      <c r="B96" s="42"/>
      <c r="C96" s="38" t="s">
        <v>1070</v>
      </c>
      <c r="D96" s="38"/>
      <c r="E96" s="38"/>
      <c r="F96" s="38"/>
      <c r="G96" s="38" t="s">
        <v>1992</v>
      </c>
      <c r="H96" s="39" t="s">
        <v>1802</v>
      </c>
      <c r="I96" s="252"/>
      <c r="J96" s="296" t="str">
        <f t="shared" si="7"/>
        <v/>
      </c>
      <c r="K96" s="174">
        <f>0.01*(0.3+0.2*L98)*((0.018/Molweight)^(0.67*0.5))</f>
        <v>5.5816864840963773E-3</v>
      </c>
      <c r="L96" s="193">
        <f t="shared" si="9"/>
        <v>5.5816864840963773E-3</v>
      </c>
      <c r="M96" s="38" t="s">
        <v>1517</v>
      </c>
      <c r="N96" s="38"/>
      <c r="O96" s="42"/>
    </row>
    <row r="97" spans="1:15" ht="12.75" customHeight="1" x14ac:dyDescent="0.3">
      <c r="A97" s="42"/>
      <c r="B97" s="42"/>
      <c r="C97" s="38" t="s">
        <v>1009</v>
      </c>
      <c r="D97" s="38"/>
      <c r="E97" s="38"/>
      <c r="F97" s="38"/>
      <c r="G97" s="38" t="s">
        <v>1993</v>
      </c>
      <c r="H97" s="39" t="s">
        <v>1802</v>
      </c>
      <c r="I97" s="252"/>
      <c r="J97" s="296" t="str">
        <f t="shared" si="7"/>
        <v/>
      </c>
      <c r="K97" s="174">
        <f>0.01*(0.0004+0.00004*L98^2)*((0.032/Molweight)^(0.5*0.5))</f>
        <v>6.1439733890516994E-6</v>
      </c>
      <c r="L97" s="193">
        <f t="shared" si="9"/>
        <v>6.1439733890516994E-6</v>
      </c>
      <c r="M97" s="38" t="s">
        <v>1517</v>
      </c>
      <c r="N97" s="38"/>
      <c r="O97" s="42"/>
    </row>
    <row r="98" spans="1:15" ht="12.75" customHeight="1" x14ac:dyDescent="0.3">
      <c r="A98" s="42"/>
      <c r="B98" s="42"/>
      <c r="C98" s="38"/>
      <c r="D98" s="64" t="s">
        <v>699</v>
      </c>
      <c r="E98" s="38"/>
      <c r="F98" s="38"/>
      <c r="G98" s="43" t="s">
        <v>559</v>
      </c>
      <c r="H98" s="39" t="s">
        <v>1802</v>
      </c>
      <c r="I98" s="252"/>
      <c r="J98" s="296" t="str">
        <f t="shared" si="7"/>
        <v/>
      </c>
      <c r="K98" s="174">
        <v>3</v>
      </c>
      <c r="L98" s="193">
        <f t="shared" si="9"/>
        <v>3</v>
      </c>
      <c r="M98" s="38" t="s">
        <v>1517</v>
      </c>
      <c r="N98" s="38"/>
      <c r="O98" s="42"/>
    </row>
    <row r="99" spans="1:15" ht="12.75" customHeight="1" x14ac:dyDescent="0.3">
      <c r="A99" s="42"/>
      <c r="B99" s="42"/>
      <c r="C99" s="38" t="s">
        <v>1010</v>
      </c>
      <c r="D99" s="38"/>
      <c r="E99" s="64"/>
      <c r="F99" s="64"/>
      <c r="G99" s="38" t="s">
        <v>1994</v>
      </c>
      <c r="H99" s="39" t="s">
        <v>1802</v>
      </c>
      <c r="I99" s="252"/>
      <c r="J99" s="296" t="str">
        <f t="shared" si="7"/>
        <v/>
      </c>
      <c r="K99" s="174">
        <f>0.43/(24*3600)/0.00475</f>
        <v>1.0477582846003899E-3</v>
      </c>
      <c r="L99" s="193">
        <f>IF(ISBLANK(I99),IF(ISNUMBER(J99)=FALSE,K99,J99),I99)</f>
        <v>1.0477582846003899E-3</v>
      </c>
      <c r="M99" s="38" t="s">
        <v>1517</v>
      </c>
      <c r="N99" s="38"/>
      <c r="O99" s="42"/>
    </row>
    <row r="100" spans="1:15" ht="12.75" customHeight="1" x14ac:dyDescent="0.3">
      <c r="A100" s="42"/>
      <c r="B100" s="42"/>
      <c r="C100" s="38" t="s">
        <v>850</v>
      </c>
      <c r="D100" s="38"/>
      <c r="E100" s="38"/>
      <c r="F100" s="64"/>
      <c r="G100" s="38" t="s">
        <v>1995</v>
      </c>
      <c r="H100" s="64" t="s">
        <v>1802</v>
      </c>
      <c r="I100" s="252"/>
      <c r="J100" s="296" t="str">
        <f t="shared" si="7"/>
        <v/>
      </c>
      <c r="K100" s="174">
        <f>0.1*L139</f>
        <v>4.0612619817811774E-22</v>
      </c>
      <c r="L100" s="193">
        <f>IF(ISBLANK(I100),IF(ISNUMBER(J100)=FALSE,K100,J100),I100)</f>
        <v>4.0612619817811774E-22</v>
      </c>
      <c r="M100" s="38" t="s">
        <v>1517</v>
      </c>
      <c r="N100" s="38" t="s">
        <v>1410</v>
      </c>
      <c r="O100" s="42"/>
    </row>
    <row r="101" spans="1:15" ht="12.75" customHeight="1" x14ac:dyDescent="0.3">
      <c r="A101" s="42"/>
      <c r="B101" s="42"/>
      <c r="C101" s="38" t="s">
        <v>177</v>
      </c>
      <c r="D101" s="38"/>
      <c r="E101" s="64"/>
      <c r="F101" s="64"/>
      <c r="G101" s="43" t="s">
        <v>875</v>
      </c>
      <c r="H101" s="38" t="s">
        <v>28</v>
      </c>
      <c r="I101" s="253"/>
      <c r="J101" s="296" t="str">
        <f t="shared" si="7"/>
        <v/>
      </c>
      <c r="K101" s="174">
        <f>(EXP((-1/0.1)*0)*(1/0.1)*L17/(1-EXP((-1/0.1)*L17)))</f>
        <v>1.2707470412683992</v>
      </c>
      <c r="L101" s="193">
        <f t="shared" si="9"/>
        <v>1.2707470412683992</v>
      </c>
      <c r="M101" s="42" t="s">
        <v>477</v>
      </c>
      <c r="N101" s="38" t="s">
        <v>956</v>
      </c>
      <c r="O101" s="42"/>
    </row>
    <row r="102" spans="1:15" ht="12.75" customHeight="1" x14ac:dyDescent="0.3">
      <c r="A102" s="38"/>
      <c r="B102" s="38"/>
      <c r="C102" s="38"/>
      <c r="D102" s="38"/>
      <c r="E102" s="38"/>
      <c r="F102" s="38"/>
      <c r="G102" s="38"/>
      <c r="H102" s="38"/>
      <c r="I102" s="203"/>
      <c r="J102" s="296"/>
      <c r="K102" s="162"/>
      <c r="L102" s="162"/>
      <c r="M102" s="38"/>
      <c r="N102" s="38"/>
      <c r="O102" s="42"/>
    </row>
    <row r="103" spans="1:15" ht="12.75" customHeight="1" x14ac:dyDescent="0.3">
      <c r="A103" s="42" t="s">
        <v>89</v>
      </c>
      <c r="B103" s="38"/>
      <c r="C103" s="38"/>
      <c r="D103" s="38"/>
      <c r="E103" s="38"/>
      <c r="F103" s="38"/>
      <c r="G103" s="43" t="s">
        <v>139</v>
      </c>
      <c r="H103" s="42" t="s">
        <v>1801</v>
      </c>
      <c r="I103" s="253"/>
      <c r="J103" s="296" t="str">
        <f t="shared" ref="J103:J115" si="10">IF(HLOOKUP(CaseName,CaseData,ROW()+600,FALSE)="","",HLOOKUP(CaseName,CaseData,ROW()+600,FALSE))</f>
        <v/>
      </c>
      <c r="K103" s="303">
        <f ca="1">(L105+L112)/L15</f>
        <v>3.1674403892186581E-10</v>
      </c>
      <c r="L103" s="193">
        <f t="shared" ref="L103:L110" ca="1" si="11">IF(ISBLANK(I103),IF(ISNUMBER(J103)=FALSE,K103,J103),I103)</f>
        <v>3.1674403892186581E-10</v>
      </c>
      <c r="M103" s="38" t="s">
        <v>1515</v>
      </c>
      <c r="N103" s="38"/>
      <c r="O103" s="42"/>
    </row>
    <row r="104" spans="1:15" ht="12.75" customHeight="1" x14ac:dyDescent="0.3">
      <c r="A104" s="42" t="s">
        <v>90</v>
      </c>
      <c r="B104" s="38"/>
      <c r="C104" s="38"/>
      <c r="D104" s="38"/>
      <c r="E104" s="38"/>
      <c r="F104" s="38"/>
      <c r="G104" s="43" t="s">
        <v>140</v>
      </c>
      <c r="H104" s="42" t="s">
        <v>1801</v>
      </c>
      <c r="I104" s="253"/>
      <c r="J104" s="296" t="str">
        <f t="shared" si="10"/>
        <v/>
      </c>
      <c r="K104" s="303">
        <f ca="1">(L106+L113)/L16</f>
        <v>1.0028880336993271E-8</v>
      </c>
      <c r="L104" s="193">
        <f t="shared" ca="1" si="11"/>
        <v>1.0028880336993271E-8</v>
      </c>
      <c r="M104" s="38" t="s">
        <v>1515</v>
      </c>
      <c r="N104" s="38"/>
      <c r="O104" s="42"/>
    </row>
    <row r="105" spans="1:15" ht="12.75" customHeight="1" x14ac:dyDescent="0.3">
      <c r="A105" s="42"/>
      <c r="B105" s="42" t="s">
        <v>1881</v>
      </c>
      <c r="C105" s="38"/>
      <c r="D105" s="38"/>
      <c r="E105" s="38"/>
      <c r="F105" s="38"/>
      <c r="G105" s="43" t="s">
        <v>1885</v>
      </c>
      <c r="H105" s="42" t="s">
        <v>1817</v>
      </c>
      <c r="I105" s="253"/>
      <c r="J105" s="296" t="str">
        <f t="shared" si="10"/>
        <v/>
      </c>
      <c r="K105" s="303">
        <f ca="1">(L107*L24*RHOsolid/L60)*((L55*L60/1000)*L53)</f>
        <v>9.2360514307479212E-7</v>
      </c>
      <c r="L105" s="193">
        <f t="shared" ca="1" si="11"/>
        <v>9.2360514307479212E-7</v>
      </c>
      <c r="M105" s="42" t="s">
        <v>1818</v>
      </c>
      <c r="N105" s="38"/>
      <c r="O105" s="42"/>
    </row>
    <row r="106" spans="1:15" ht="12.75" customHeight="1" x14ac:dyDescent="0.3">
      <c r="A106" s="42"/>
      <c r="B106" s="42" t="s">
        <v>1882</v>
      </c>
      <c r="C106" s="38"/>
      <c r="D106" s="38"/>
      <c r="E106" s="38"/>
      <c r="F106" s="38"/>
      <c r="G106" s="43" t="s">
        <v>1886</v>
      </c>
      <c r="H106" s="42" t="s">
        <v>1817</v>
      </c>
      <c r="I106" s="253"/>
      <c r="J106" s="296" t="str">
        <f t="shared" si="10"/>
        <v/>
      </c>
      <c r="K106" s="303">
        <f ca="1">L108</f>
        <v>2.8446705100044072E-10</v>
      </c>
      <c r="L106" s="193">
        <f t="shared" ca="1" si="11"/>
        <v>2.8446705100044072E-10</v>
      </c>
      <c r="M106" s="42" t="s">
        <v>1818</v>
      </c>
      <c r="N106" s="38"/>
      <c r="O106" s="42"/>
    </row>
    <row r="107" spans="1:15" ht="12.75" customHeight="1" x14ac:dyDescent="0.3">
      <c r="A107" s="42"/>
      <c r="B107" s="42"/>
      <c r="C107" s="42" t="s">
        <v>1223</v>
      </c>
      <c r="D107" s="42"/>
      <c r="E107" s="38"/>
      <c r="F107" s="38"/>
      <c r="G107" s="63" t="s">
        <v>146</v>
      </c>
      <c r="H107" s="39" t="s">
        <v>1802</v>
      </c>
      <c r="I107" s="253"/>
      <c r="J107" s="296" t="str">
        <f t="shared" si="10"/>
        <v/>
      </c>
      <c r="K107" s="174">
        <f ca="1">IF(L109*L60/(L24*RHOsolid)&gt;L110,L109*L60/(L24*RHOsolid),L110)</f>
        <v>2.8455656902988043E-10</v>
      </c>
      <c r="L107" s="193">
        <f t="shared" ca="1" si="11"/>
        <v>2.8455656902988043E-10</v>
      </c>
      <c r="M107" s="38" t="s">
        <v>1517</v>
      </c>
      <c r="N107" s="38"/>
      <c r="O107" s="42"/>
    </row>
    <row r="108" spans="1:15" ht="12.75" customHeight="1" x14ac:dyDescent="0.3">
      <c r="A108" s="42"/>
      <c r="B108" s="42"/>
      <c r="C108" s="64" t="s">
        <v>574</v>
      </c>
      <c r="D108" s="42"/>
      <c r="E108" s="38"/>
      <c r="F108" s="38"/>
      <c r="G108" s="63" t="s">
        <v>1327</v>
      </c>
      <c r="H108" s="39" t="s">
        <v>1802</v>
      </c>
      <c r="I108" s="253"/>
      <c r="J108" s="296" t="str">
        <f t="shared" si="10"/>
        <v/>
      </c>
      <c r="K108" s="174">
        <f ca="1">L107-L110</f>
        <v>2.8446705100044072E-10</v>
      </c>
      <c r="L108" s="193">
        <f t="shared" ca="1" si="11"/>
        <v>2.8446705100044072E-10</v>
      </c>
      <c r="M108" s="38" t="s">
        <v>1517</v>
      </c>
      <c r="N108" s="38"/>
      <c r="O108" s="42"/>
    </row>
    <row r="109" spans="1:15" ht="12.75" customHeight="1" x14ac:dyDescent="0.3">
      <c r="A109" s="42"/>
      <c r="B109" s="42"/>
      <c r="C109" s="38"/>
      <c r="D109" s="42" t="s">
        <v>576</v>
      </c>
      <c r="E109" s="64"/>
      <c r="F109" s="64"/>
      <c r="G109" s="63" t="s">
        <v>192</v>
      </c>
      <c r="H109" s="39" t="s">
        <v>1802</v>
      </c>
      <c r="I109" s="253"/>
      <c r="J109" s="296" t="str">
        <f t="shared" si="10"/>
        <v/>
      </c>
      <c r="K109" s="174">
        <f>2.5/(24*3600)</f>
        <v>2.8935185185185186E-5</v>
      </c>
      <c r="L109" s="193">
        <f t="shared" si="11"/>
        <v>2.8935185185185186E-5</v>
      </c>
      <c r="M109" s="38" t="s">
        <v>1517</v>
      </c>
      <c r="N109" s="38"/>
      <c r="O109" s="42"/>
    </row>
    <row r="110" spans="1:15" ht="12.75" customHeight="1" x14ac:dyDescent="0.3">
      <c r="A110" s="42"/>
      <c r="B110" s="42"/>
      <c r="C110" s="38"/>
      <c r="D110" s="42" t="s">
        <v>557</v>
      </c>
      <c r="E110" s="64"/>
      <c r="F110" s="64"/>
      <c r="G110" s="63" t="s">
        <v>194</v>
      </c>
      <c r="H110" s="39" t="s">
        <v>1802</v>
      </c>
      <c r="I110" s="253"/>
      <c r="J110" s="296" t="str">
        <f t="shared" si="10"/>
        <v/>
      </c>
      <c r="K110" s="174">
        <v>8.9518029439684741E-14</v>
      </c>
      <c r="L110" s="193">
        <f t="shared" si="11"/>
        <v>8.9518029439684741E-14</v>
      </c>
      <c r="M110" s="38" t="s">
        <v>1517</v>
      </c>
      <c r="N110" s="38" t="s">
        <v>884</v>
      </c>
      <c r="O110" s="42"/>
    </row>
    <row r="111" spans="1:15" ht="12.75" customHeight="1" x14ac:dyDescent="0.3">
      <c r="A111" s="42"/>
      <c r="B111" s="42"/>
      <c r="C111" s="42"/>
      <c r="D111" s="38"/>
      <c r="E111" s="42" t="s">
        <v>798</v>
      </c>
      <c r="F111" s="42"/>
      <c r="G111" s="63" t="s">
        <v>193</v>
      </c>
      <c r="H111" s="42" t="s">
        <v>1811</v>
      </c>
      <c r="I111" s="253"/>
      <c r="J111" s="296" t="str">
        <f t="shared" si="10"/>
        <v/>
      </c>
      <c r="K111" s="174">
        <v>1</v>
      </c>
      <c r="L111" s="193">
        <f>IF(ISBLANK(I111),IF(ISNUMBER(J111)=FALSE,K111/(1000*3600*24*365)*L11*L10,J111/(1000*3600*24*365)*L11*L10),I111/(1000*3600*24*365)*L11*L10)</f>
        <v>1213.4305238457634</v>
      </c>
      <c r="M111" s="42" t="s">
        <v>1526</v>
      </c>
      <c r="N111" s="38"/>
      <c r="O111" s="42"/>
    </row>
    <row r="112" spans="1:15" ht="12.75" customHeight="1" x14ac:dyDescent="0.3">
      <c r="A112" s="38"/>
      <c r="B112" s="38" t="s">
        <v>1883</v>
      </c>
      <c r="C112" s="64"/>
      <c r="D112" s="64"/>
      <c r="E112" s="38"/>
      <c r="F112" s="38"/>
      <c r="G112" s="43" t="s">
        <v>1887</v>
      </c>
      <c r="H112" s="42" t="s">
        <v>1817</v>
      </c>
      <c r="I112" s="253"/>
      <c r="J112" s="296" t="str">
        <f t="shared" si="10"/>
        <v/>
      </c>
      <c r="K112" s="303">
        <f ca="1">(L114*L115)/(L114+L115)*L53</f>
        <v>2.6626973690805289E-8</v>
      </c>
      <c r="L112" s="193">
        <f ca="1">IF(ISBLANK(I112),IF(ISNUMBER(J112)=FALSE,K112,J112),I112)</f>
        <v>2.6626973690805289E-8</v>
      </c>
      <c r="M112" s="42" t="s">
        <v>1818</v>
      </c>
      <c r="N112" s="38"/>
      <c r="O112" s="42"/>
    </row>
    <row r="113" spans="1:15" ht="12.75" customHeight="1" x14ac:dyDescent="0.3">
      <c r="A113" s="38"/>
      <c r="B113" s="38" t="s">
        <v>1884</v>
      </c>
      <c r="C113" s="64"/>
      <c r="D113" s="64"/>
      <c r="E113" s="38"/>
      <c r="F113" s="38"/>
      <c r="G113" s="43" t="s">
        <v>1888</v>
      </c>
      <c r="H113" s="42" t="s">
        <v>1817</v>
      </c>
      <c r="I113" s="253"/>
      <c r="J113" s="296" t="str">
        <f t="shared" si="10"/>
        <v/>
      </c>
      <c r="K113" s="303">
        <f ca="1">(L114*L115/(L114+L115))/L65</f>
        <v>1.6399359109357395E-11</v>
      </c>
      <c r="L113" s="193">
        <f ca="1">IF(ISBLANK(I113),IF(ISNUMBER(J113)=FALSE,K113,J113),I113)</f>
        <v>1.6399359109357395E-11</v>
      </c>
      <c r="M113" s="42" t="s">
        <v>1818</v>
      </c>
      <c r="N113" s="38"/>
      <c r="O113" s="42"/>
    </row>
    <row r="114" spans="1:15" ht="12.75" customHeight="1" x14ac:dyDescent="0.3">
      <c r="A114" s="42"/>
      <c r="B114" s="42"/>
      <c r="C114" s="38" t="s">
        <v>1069</v>
      </c>
      <c r="D114" s="38"/>
      <c r="E114" s="38"/>
      <c r="F114" s="38"/>
      <c r="G114" s="38" t="s">
        <v>458</v>
      </c>
      <c r="H114" s="39" t="s">
        <v>1802</v>
      </c>
      <c r="I114" s="253"/>
      <c r="J114" s="296" t="str">
        <f t="shared" si="10"/>
        <v/>
      </c>
      <c r="K114" s="168">
        <v>2.7779999999999999E-6</v>
      </c>
      <c r="L114" s="193">
        <f>IF(ISBLANK(I114),IF(ISNUMBER(J114)=FALSE,K114,J114),I114)</f>
        <v>2.7779999999999999E-6</v>
      </c>
      <c r="M114" s="38" t="s">
        <v>1517</v>
      </c>
      <c r="N114" s="38"/>
      <c r="O114" s="42"/>
    </row>
    <row r="115" spans="1:15" ht="12.75" customHeight="1" x14ac:dyDescent="0.3">
      <c r="A115" s="42"/>
      <c r="B115" s="42"/>
      <c r="C115" s="38" t="s">
        <v>1225</v>
      </c>
      <c r="D115" s="38"/>
      <c r="E115" s="38"/>
      <c r="F115" s="38"/>
      <c r="G115" s="38" t="s">
        <v>459</v>
      </c>
      <c r="H115" s="39" t="s">
        <v>1802</v>
      </c>
      <c r="I115" s="253"/>
      <c r="J115" s="296" t="str">
        <f t="shared" si="10"/>
        <v/>
      </c>
      <c r="K115" s="168">
        <v>2.7779999999999998E-8</v>
      </c>
      <c r="L115" s="193">
        <f>IF(ISBLANK(I115),IF(ISNUMBER(J115)=FALSE,K115,J115),I115)</f>
        <v>2.7779999999999998E-8</v>
      </c>
      <c r="M115" s="38" t="s">
        <v>1517</v>
      </c>
      <c r="N115" s="38"/>
      <c r="O115" s="42"/>
    </row>
    <row r="116" spans="1:15" ht="12.75" customHeight="1" x14ac:dyDescent="0.3">
      <c r="A116" s="38"/>
      <c r="B116" s="38"/>
      <c r="C116" s="38"/>
      <c r="D116" s="38"/>
      <c r="E116" s="38"/>
      <c r="F116" s="38"/>
      <c r="G116" s="38"/>
      <c r="H116" s="38"/>
      <c r="I116" s="203"/>
      <c r="J116" s="296"/>
      <c r="K116" s="162"/>
      <c r="L116" s="162"/>
      <c r="M116" s="38"/>
      <c r="N116" s="38"/>
      <c r="O116" s="42"/>
    </row>
    <row r="117" spans="1:15" ht="12.75" customHeight="1" x14ac:dyDescent="0.3">
      <c r="A117" s="42" t="s">
        <v>91</v>
      </c>
      <c r="B117" s="38"/>
      <c r="C117" s="38"/>
      <c r="D117" s="38"/>
      <c r="E117" s="38"/>
      <c r="F117" s="38"/>
      <c r="G117" s="43" t="s">
        <v>1249</v>
      </c>
      <c r="H117" s="42" t="s">
        <v>1801</v>
      </c>
      <c r="I117" s="253"/>
      <c r="J117" s="296" t="str">
        <f>IF(HLOOKUP(CaseName,CaseData,ROW()+600,FALSE)="","",HLOOKUP(CaseName,CaseData,ROW()+600,FALSE))</f>
        <v/>
      </c>
      <c r="K117" s="303">
        <f ca="1">(L90*L119/L68+L118)*L120/L17</f>
        <v>9.4277286986616554E-11</v>
      </c>
      <c r="L117" s="193">
        <f ca="1">IF(ISBLANK(I117),IF(ISNUMBER(J117)=FALSE,K117,J117),I117)</f>
        <v>9.4277286986616554E-11</v>
      </c>
      <c r="M117" s="38" t="s">
        <v>1515</v>
      </c>
      <c r="N117" s="38"/>
      <c r="O117" s="42"/>
    </row>
    <row r="118" spans="1:15" ht="12.75" customHeight="1" x14ac:dyDescent="0.3">
      <c r="A118" s="38"/>
      <c r="B118" s="64" t="s">
        <v>203</v>
      </c>
      <c r="C118" s="38"/>
      <c r="D118" s="38"/>
      <c r="E118" s="38"/>
      <c r="F118" s="38"/>
      <c r="G118" s="63" t="s">
        <v>182</v>
      </c>
      <c r="H118" s="64" t="s">
        <v>1812</v>
      </c>
      <c r="I118" s="252"/>
      <c r="J118" s="296" t="str">
        <f>IF(HLOOKUP(CaseName,CaseData,ROW()+600,FALSE)="","",HLOOKUP(CaseName,CaseData,ROW()+600,FALSE))</f>
        <v/>
      </c>
      <c r="K118" s="174">
        <v>0.03</v>
      </c>
      <c r="L118" s="193">
        <f>IF(ISBLANK(I118),IF(ISNUMBER(J118)=FALSE,K118/(1000*3600*24*365),J118/(1000*3600*24*365)),I118/(1000*3600*24*365))</f>
        <v>9.5129375951293754E-13</v>
      </c>
      <c r="M118" s="38" t="s">
        <v>1517</v>
      </c>
      <c r="N118" s="38"/>
      <c r="O118" s="42"/>
    </row>
    <row r="119" spans="1:15" ht="12.75" customHeight="1" x14ac:dyDescent="0.3">
      <c r="A119" s="38"/>
      <c r="B119" s="42" t="s">
        <v>963</v>
      </c>
      <c r="C119" s="38"/>
      <c r="D119" s="38"/>
      <c r="E119" s="38"/>
      <c r="F119" s="38"/>
      <c r="G119" s="63" t="s">
        <v>183</v>
      </c>
      <c r="H119" s="42" t="s">
        <v>28</v>
      </c>
      <c r="I119" s="252"/>
      <c r="J119" s="296" t="str">
        <f>IF(HLOOKUP(CaseName,CaseData,ROW()+600,FALSE)="","",HLOOKUP(CaseName,CaseData,ROW()+600,FALSE))</f>
        <v/>
      </c>
      <c r="K119" s="174">
        <v>0.25</v>
      </c>
      <c r="L119" s="193">
        <f>IF(ISBLANK(I119),IF(ISNUMBER(J119)=FALSE,K119,J119),I119)</f>
        <v>0.25</v>
      </c>
      <c r="M119" s="38" t="s">
        <v>477</v>
      </c>
      <c r="N119" s="38"/>
      <c r="O119" s="42"/>
    </row>
    <row r="120" spans="1:15" ht="12.75" customHeight="1" x14ac:dyDescent="0.3">
      <c r="A120" s="42"/>
      <c r="B120" s="38" t="s">
        <v>177</v>
      </c>
      <c r="C120" s="38"/>
      <c r="D120" s="64"/>
      <c r="E120" s="64"/>
      <c r="F120" s="38"/>
      <c r="G120" s="43" t="s">
        <v>876</v>
      </c>
      <c r="H120" s="38" t="s">
        <v>28</v>
      </c>
      <c r="I120" s="253"/>
      <c r="J120" s="296" t="str">
        <f>IF(HLOOKUP(CaseName,CaseData,ROW()+600,FALSE)="","",HLOOKUP(CaseName,CaseData,ROW()+600,FALSE))</f>
        <v/>
      </c>
      <c r="K120" s="174">
        <f>(EXP((-1/0.1)*0)*(1/0.1)*L17/(1-EXP((-1/0.1)*L17)))</f>
        <v>1.2707470412683992</v>
      </c>
      <c r="L120" s="193">
        <f>IF(ISBLANK(I120),IF(ISNUMBER(J120)=FALSE,K120,J120),I120)</f>
        <v>1.2707470412683992</v>
      </c>
      <c r="M120" s="42" t="s">
        <v>477</v>
      </c>
      <c r="N120" s="38" t="s">
        <v>956</v>
      </c>
      <c r="O120" s="42"/>
    </row>
    <row r="121" spans="1:15" ht="12.75" customHeight="1" x14ac:dyDescent="0.3">
      <c r="A121" s="38"/>
      <c r="B121" s="38"/>
      <c r="C121" s="38"/>
      <c r="D121" s="38"/>
      <c r="E121" s="38"/>
      <c r="F121" s="38"/>
      <c r="G121" s="38"/>
      <c r="H121" s="42"/>
      <c r="I121" s="200"/>
      <c r="J121" s="161"/>
      <c r="K121" s="162"/>
      <c r="L121" s="162"/>
      <c r="M121" s="38"/>
      <c r="N121" s="38"/>
      <c r="O121" s="42"/>
    </row>
    <row r="122" spans="1:15" customFormat="1" ht="12.75" customHeight="1" x14ac:dyDescent="0.3">
      <c r="A122" s="67" t="s">
        <v>414</v>
      </c>
      <c r="B122" s="66"/>
      <c r="C122" s="66"/>
      <c r="D122" s="66"/>
      <c r="E122" s="66"/>
      <c r="F122" s="66"/>
      <c r="G122" s="67" t="s">
        <v>969</v>
      </c>
      <c r="H122" s="67" t="s">
        <v>929</v>
      </c>
      <c r="I122" s="189" t="s">
        <v>748</v>
      </c>
      <c r="J122" s="163" t="s">
        <v>29</v>
      </c>
      <c r="K122" s="163" t="s">
        <v>747</v>
      </c>
      <c r="L122" s="163" t="s">
        <v>1353</v>
      </c>
      <c r="M122" s="66"/>
      <c r="N122" s="67" t="s">
        <v>1366</v>
      </c>
      <c r="O122" s="42"/>
    </row>
    <row r="123" spans="1:15" ht="12.75" customHeight="1" x14ac:dyDescent="0.3">
      <c r="A123" s="42"/>
      <c r="B123" s="38"/>
      <c r="C123" s="38"/>
      <c r="D123" s="38"/>
      <c r="E123" s="38"/>
      <c r="F123" s="38"/>
      <c r="G123" s="38"/>
      <c r="H123" s="42"/>
      <c r="I123" s="200"/>
      <c r="J123" s="200"/>
      <c r="K123" s="205"/>
      <c r="L123" s="165"/>
      <c r="M123" s="38"/>
      <c r="N123" s="38"/>
      <c r="O123" s="42"/>
    </row>
    <row r="124" spans="1:15" ht="12.75" customHeight="1" x14ac:dyDescent="0.3">
      <c r="A124" s="42" t="s">
        <v>216</v>
      </c>
      <c r="B124" s="38"/>
      <c r="C124" s="38"/>
      <c r="D124" s="38"/>
      <c r="E124" s="38"/>
      <c r="F124" s="38"/>
      <c r="G124" s="43" t="s">
        <v>837</v>
      </c>
      <c r="H124" s="42" t="s">
        <v>1801</v>
      </c>
      <c r="I124" s="253"/>
      <c r="J124" s="296" t="str">
        <f t="shared" ref="J124:J141" si="12">IF(HLOOKUP(CaseName,CaseData,ROW()+600,FALSE)="","",HLOOKUP(CaseName,CaseData,ROW()+600,FALSE))</f>
        <v/>
      </c>
      <c r="K124" s="174">
        <f>L129+L46*kdeg.air*(L131/C.OHrad)*L132</f>
        <v>3.663258818281463E-10</v>
      </c>
      <c r="L124" s="193">
        <f t="shared" ref="L124:L139" si="13">IF(ISBLANK(I124),IF(ISNUMBER(J124)=FALSE,K124,J124),I124)</f>
        <v>3.663258818281463E-10</v>
      </c>
      <c r="M124" s="38" t="s">
        <v>1515</v>
      </c>
      <c r="N124" s="38"/>
      <c r="O124" s="42"/>
    </row>
    <row r="125" spans="1:15" ht="12.75" customHeight="1" x14ac:dyDescent="0.3">
      <c r="A125" s="42" t="s">
        <v>1996</v>
      </c>
      <c r="B125" s="38"/>
      <c r="C125" s="38"/>
      <c r="D125" s="38"/>
      <c r="E125" s="38"/>
      <c r="F125" s="38"/>
      <c r="G125" s="43" t="s">
        <v>1006</v>
      </c>
      <c r="H125" s="42" t="s">
        <v>1801</v>
      </c>
      <c r="I125" s="253"/>
      <c r="J125" s="296" t="str">
        <f t="shared" si="12"/>
        <v/>
      </c>
      <c r="K125" s="174">
        <f ca="1">kdeg.water*L137*(L135/BACT.test)*L53</f>
        <v>3.9316237256932579E-21</v>
      </c>
      <c r="L125" s="193">
        <f t="shared" ca="1" si="13"/>
        <v>3.9316237256932579E-21</v>
      </c>
      <c r="M125" s="38" t="s">
        <v>1515</v>
      </c>
      <c r="N125" s="38"/>
      <c r="O125" s="42"/>
    </row>
    <row r="126" spans="1:15" ht="12.75" customHeight="1" x14ac:dyDescent="0.3">
      <c r="A126" s="42" t="s">
        <v>1161</v>
      </c>
      <c r="B126" s="38"/>
      <c r="C126" s="38"/>
      <c r="D126" s="38"/>
      <c r="E126" s="38"/>
      <c r="F126" s="38"/>
      <c r="G126" s="43" t="s">
        <v>1162</v>
      </c>
      <c r="H126" s="42" t="s">
        <v>1801</v>
      </c>
      <c r="I126" s="253"/>
      <c r="J126" s="296" t="str">
        <f t="shared" si="12"/>
        <v/>
      </c>
      <c r="K126" s="174">
        <f ca="1">kdeg.water*L137*(L136/BACT.test)*L54</f>
        <v>3.9316237256932579E-21</v>
      </c>
      <c r="L126" s="193">
        <f t="shared" ca="1" si="13"/>
        <v>3.9316237256932579E-21</v>
      </c>
      <c r="M126" s="38" t="s">
        <v>1515</v>
      </c>
      <c r="N126" s="38"/>
      <c r="O126" s="42"/>
    </row>
    <row r="127" spans="1:15" ht="12.75" customHeight="1" x14ac:dyDescent="0.3">
      <c r="A127" s="42" t="s">
        <v>217</v>
      </c>
      <c r="B127" s="38"/>
      <c r="C127" s="38"/>
      <c r="D127" s="38"/>
      <c r="E127" s="38"/>
      <c r="F127" s="38"/>
      <c r="G127" s="43" t="s">
        <v>1250</v>
      </c>
      <c r="H127" s="42" t="s">
        <v>1801</v>
      </c>
      <c r="I127" s="253"/>
      <c r="J127" s="296" t="str">
        <f t="shared" si="12"/>
        <v/>
      </c>
      <c r="K127" s="303">
        <f>L137*kdeg.sed+L110/L16</f>
        <v>2.9839343187174201E-12</v>
      </c>
      <c r="L127" s="193">
        <f t="shared" si="13"/>
        <v>2.9839343187174201E-12</v>
      </c>
      <c r="M127" s="38" t="s">
        <v>1515</v>
      </c>
      <c r="N127" s="38"/>
      <c r="O127" s="42"/>
    </row>
    <row r="128" spans="1:15" ht="12.75" customHeight="1" x14ac:dyDescent="0.3">
      <c r="A128" s="42" t="s">
        <v>838</v>
      </c>
      <c r="B128" s="38"/>
      <c r="C128" s="38"/>
      <c r="D128" s="38"/>
      <c r="E128" s="38"/>
      <c r="F128" s="38"/>
      <c r="G128" s="43" t="s">
        <v>839</v>
      </c>
      <c r="H128" s="42" t="s">
        <v>1801</v>
      </c>
      <c r="I128" s="253"/>
      <c r="J128" s="296" t="str">
        <f t="shared" si="12"/>
        <v/>
      </c>
      <c r="K128" s="303">
        <f ca="1">L137*kdeg.soil+L140*L90/L68*L141/L17</f>
        <v>4.7233151970943483E-13</v>
      </c>
      <c r="L128" s="193">
        <f t="shared" ca="1" si="13"/>
        <v>4.7233151970943483E-13</v>
      </c>
      <c r="M128" s="38" t="s">
        <v>1515</v>
      </c>
      <c r="N128" s="38"/>
      <c r="O128" s="42"/>
    </row>
    <row r="129" spans="1:15" ht="12.75" customHeight="1" x14ac:dyDescent="0.3">
      <c r="A129" s="42"/>
      <c r="B129" s="42" t="s">
        <v>791</v>
      </c>
      <c r="C129" s="64"/>
      <c r="D129" s="38"/>
      <c r="E129" s="38"/>
      <c r="F129" s="38"/>
      <c r="G129" s="63" t="s">
        <v>772</v>
      </c>
      <c r="H129" s="42" t="s">
        <v>1801</v>
      </c>
      <c r="I129" s="253"/>
      <c r="J129" s="296" t="str">
        <f t="shared" si="12"/>
        <v/>
      </c>
      <c r="K129" s="174">
        <f>LN(2)/(60*365*24*3600)</f>
        <v>3.663258818281463E-10</v>
      </c>
      <c r="L129" s="193">
        <f t="shared" si="13"/>
        <v>3.663258818281463E-10</v>
      </c>
      <c r="M129" s="42" t="s">
        <v>1515</v>
      </c>
      <c r="N129" s="38"/>
      <c r="O129" s="42"/>
    </row>
    <row r="130" spans="1:15" ht="12.75" customHeight="1" x14ac:dyDescent="0.3">
      <c r="A130" s="42"/>
      <c r="B130" s="42" t="s">
        <v>792</v>
      </c>
      <c r="C130" s="38"/>
      <c r="D130" s="38"/>
      <c r="E130" s="38"/>
      <c r="F130" s="38"/>
      <c r="G130" s="43" t="s">
        <v>184</v>
      </c>
      <c r="H130" s="42" t="s">
        <v>1801</v>
      </c>
      <c r="I130" s="252"/>
      <c r="J130" s="296" t="str">
        <f t="shared" si="12"/>
        <v/>
      </c>
      <c r="K130" s="174">
        <f>L46*kdeg.air*(L131/C.OHrad)*L132</f>
        <v>8.1051249849633717E-31</v>
      </c>
      <c r="L130" s="193">
        <f t="shared" si="13"/>
        <v>8.1051249849633717E-31</v>
      </c>
      <c r="M130" s="42" t="s">
        <v>1515</v>
      </c>
      <c r="N130" s="38"/>
      <c r="O130" s="42"/>
    </row>
    <row r="131" spans="1:15" ht="12.75" customHeight="1" x14ac:dyDescent="0.3">
      <c r="A131" s="64"/>
      <c r="B131" s="64"/>
      <c r="C131" s="42" t="s">
        <v>979</v>
      </c>
      <c r="D131" s="38"/>
      <c r="E131" s="38"/>
      <c r="F131" s="38"/>
      <c r="G131" s="43" t="s">
        <v>964</v>
      </c>
      <c r="H131" s="42" t="s">
        <v>1813</v>
      </c>
      <c r="I131" s="252"/>
      <c r="J131" s="296" t="str">
        <f t="shared" si="12"/>
        <v/>
      </c>
      <c r="K131" s="174">
        <v>500000</v>
      </c>
      <c r="L131" s="193">
        <f t="shared" si="13"/>
        <v>500000</v>
      </c>
      <c r="M131" s="42" t="s">
        <v>1527</v>
      </c>
      <c r="N131" s="38"/>
      <c r="O131" s="42"/>
    </row>
    <row r="132" spans="1:15" ht="12.75" customHeight="1" x14ac:dyDescent="0.3">
      <c r="A132" s="64"/>
      <c r="B132" s="64"/>
      <c r="C132" s="42" t="s">
        <v>27</v>
      </c>
      <c r="D132" s="38"/>
      <c r="E132" s="38"/>
      <c r="F132" s="38"/>
      <c r="G132" s="43" t="s">
        <v>965</v>
      </c>
      <c r="H132" s="42" t="s">
        <v>28</v>
      </c>
      <c r="I132" s="252"/>
      <c r="J132" s="296" t="str">
        <f t="shared" si="12"/>
        <v/>
      </c>
      <c r="K132" s="174">
        <f>EXP((Ea.OHrad/8.314)*(L50-298)/298^2)</f>
        <v>0.89974332049812744</v>
      </c>
      <c r="L132" s="193">
        <f t="shared" si="13"/>
        <v>0.89974332049812744</v>
      </c>
      <c r="M132" s="42" t="s">
        <v>477</v>
      </c>
      <c r="N132" s="38"/>
      <c r="O132" s="42"/>
    </row>
    <row r="133" spans="1:15" ht="12.75" customHeight="1" x14ac:dyDescent="0.3">
      <c r="A133" s="42"/>
      <c r="B133" s="42" t="s">
        <v>1997</v>
      </c>
      <c r="C133" s="38"/>
      <c r="D133" s="38"/>
      <c r="E133" s="38"/>
      <c r="F133" s="38"/>
      <c r="G133" s="43" t="s">
        <v>141</v>
      </c>
      <c r="H133" s="42" t="s">
        <v>1801</v>
      </c>
      <c r="I133" s="252"/>
      <c r="J133" s="296" t="str">
        <f t="shared" si="12"/>
        <v/>
      </c>
      <c r="K133" s="174">
        <f ca="1">kdeg.water*L137*(L135/BACT.test)*L53</f>
        <v>3.9316237256932579E-21</v>
      </c>
      <c r="L133" s="193">
        <f t="shared" ca="1" si="13"/>
        <v>3.9316237256932579E-21</v>
      </c>
      <c r="M133" s="42" t="s">
        <v>1515</v>
      </c>
      <c r="N133" s="38"/>
      <c r="O133" s="42"/>
    </row>
    <row r="134" spans="1:15" ht="12.75" customHeight="1" x14ac:dyDescent="0.3">
      <c r="A134" s="42"/>
      <c r="B134" s="42" t="s">
        <v>1131</v>
      </c>
      <c r="C134" s="38"/>
      <c r="D134" s="38"/>
      <c r="E134" s="38"/>
      <c r="F134" s="38"/>
      <c r="G134" s="43" t="s">
        <v>142</v>
      </c>
      <c r="H134" s="42" t="s">
        <v>1801</v>
      </c>
      <c r="I134" s="252"/>
      <c r="J134" s="296" t="str">
        <f t="shared" si="12"/>
        <v/>
      </c>
      <c r="K134" s="174">
        <f ca="1">kdeg.water*L137*(L136/BACT.test)*L54</f>
        <v>3.9316237256932579E-21</v>
      </c>
      <c r="L134" s="193">
        <f t="shared" ca="1" si="13"/>
        <v>3.9316237256932579E-21</v>
      </c>
      <c r="M134" s="42" t="s">
        <v>1515</v>
      </c>
      <c r="N134" s="38"/>
      <c r="O134" s="42"/>
    </row>
    <row r="135" spans="1:15" ht="12.75" customHeight="1" x14ac:dyDescent="0.3">
      <c r="A135" s="42"/>
      <c r="B135" s="42"/>
      <c r="C135" s="42" t="s">
        <v>1998</v>
      </c>
      <c r="D135" s="38"/>
      <c r="E135" s="38"/>
      <c r="F135" s="38"/>
      <c r="G135" s="63" t="s">
        <v>678</v>
      </c>
      <c r="H135" s="42" t="s">
        <v>724</v>
      </c>
      <c r="I135" s="252"/>
      <c r="J135" s="296" t="str">
        <f t="shared" si="12"/>
        <v/>
      </c>
      <c r="K135" s="174">
        <v>40000</v>
      </c>
      <c r="L135" s="193">
        <f t="shared" si="13"/>
        <v>40000</v>
      </c>
      <c r="M135" s="42" t="s">
        <v>725</v>
      </c>
      <c r="N135" s="38"/>
      <c r="O135" s="42"/>
    </row>
    <row r="136" spans="1:15" ht="12.75" customHeight="1" x14ac:dyDescent="0.3">
      <c r="A136" s="42"/>
      <c r="B136" s="42"/>
      <c r="C136" s="42" t="s">
        <v>677</v>
      </c>
      <c r="D136" s="38"/>
      <c r="E136" s="38"/>
      <c r="F136" s="38"/>
      <c r="G136" s="63" t="s">
        <v>679</v>
      </c>
      <c r="H136" s="42" t="s">
        <v>724</v>
      </c>
      <c r="I136" s="252"/>
      <c r="J136" s="296" t="str">
        <f t="shared" si="12"/>
        <v/>
      </c>
      <c r="K136" s="174">
        <v>40000</v>
      </c>
      <c r="L136" s="193">
        <f t="shared" si="13"/>
        <v>40000</v>
      </c>
      <c r="M136" s="42" t="s">
        <v>725</v>
      </c>
      <c r="N136" s="38"/>
      <c r="O136" s="42"/>
    </row>
    <row r="137" spans="1:15" ht="12.75" customHeight="1" x14ac:dyDescent="0.3">
      <c r="A137" s="64"/>
      <c r="B137" s="64"/>
      <c r="C137" s="42" t="s">
        <v>760</v>
      </c>
      <c r="D137" s="38"/>
      <c r="E137" s="38"/>
      <c r="F137" s="38"/>
      <c r="G137" s="43" t="s">
        <v>533</v>
      </c>
      <c r="H137" s="42" t="s">
        <v>28</v>
      </c>
      <c r="I137" s="252"/>
      <c r="J137" s="296" t="str">
        <f t="shared" si="12"/>
        <v/>
      </c>
      <c r="K137" s="174">
        <f>Q.10^((L50-298)/10)</f>
        <v>0.40612619817811774</v>
      </c>
      <c r="L137" s="193">
        <f t="shared" si="13"/>
        <v>0.40612619817811774</v>
      </c>
      <c r="M137" s="42" t="s">
        <v>477</v>
      </c>
      <c r="N137" s="38"/>
      <c r="O137" s="42"/>
    </row>
    <row r="138" spans="1:15" ht="12.75" customHeight="1" x14ac:dyDescent="0.3">
      <c r="A138" s="42"/>
      <c r="B138" s="42" t="s">
        <v>766</v>
      </c>
      <c r="C138" s="38"/>
      <c r="D138" s="38"/>
      <c r="E138" s="38"/>
      <c r="F138" s="38"/>
      <c r="G138" s="43" t="s">
        <v>185</v>
      </c>
      <c r="H138" s="42" t="s">
        <v>1801</v>
      </c>
      <c r="I138" s="252"/>
      <c r="J138" s="296" t="str">
        <f t="shared" si="12"/>
        <v/>
      </c>
      <c r="K138" s="174">
        <f>L137*kdeg.sed</f>
        <v>4.0612619817811774E-21</v>
      </c>
      <c r="L138" s="193">
        <f t="shared" si="13"/>
        <v>4.0612619817811774E-21</v>
      </c>
      <c r="M138" s="42" t="s">
        <v>1515</v>
      </c>
      <c r="N138" s="38"/>
      <c r="O138" s="42"/>
    </row>
    <row r="139" spans="1:15" ht="12.75" customHeight="1" x14ac:dyDescent="0.3">
      <c r="A139" s="42"/>
      <c r="B139" s="42" t="s">
        <v>767</v>
      </c>
      <c r="C139" s="38"/>
      <c r="D139" s="38"/>
      <c r="E139" s="38"/>
      <c r="F139" s="38"/>
      <c r="G139" s="43" t="s">
        <v>186</v>
      </c>
      <c r="H139" s="42" t="s">
        <v>1801</v>
      </c>
      <c r="I139" s="252"/>
      <c r="J139" s="296" t="str">
        <f t="shared" si="12"/>
        <v/>
      </c>
      <c r="K139" s="174">
        <f>L137*kdeg.soil</f>
        <v>4.0612619817811774E-21</v>
      </c>
      <c r="L139" s="193">
        <f t="shared" si="13"/>
        <v>4.0612619817811774E-21</v>
      </c>
      <c r="M139" s="42" t="s">
        <v>1515</v>
      </c>
      <c r="N139" s="38"/>
      <c r="O139" s="42"/>
    </row>
    <row r="140" spans="1:15" ht="12.75" customHeight="1" x14ac:dyDescent="0.3">
      <c r="A140" s="38"/>
      <c r="B140" s="42" t="s">
        <v>997</v>
      </c>
      <c r="C140" s="38"/>
      <c r="D140" s="38"/>
      <c r="E140" s="38"/>
      <c r="F140" s="38"/>
      <c r="G140" s="63" t="s">
        <v>264</v>
      </c>
      <c r="H140" s="42" t="s">
        <v>28</v>
      </c>
      <c r="I140" s="252"/>
      <c r="J140" s="296" t="str">
        <f t="shared" si="12"/>
        <v/>
      </c>
      <c r="K140" s="174">
        <v>0.25</v>
      </c>
      <c r="L140" s="193">
        <f>IF(ISBLANK(I140),IF(ISNUMBER(J140)=FALSE,K140,J140),I140)</f>
        <v>0.25</v>
      </c>
      <c r="M140" s="38" t="s">
        <v>477</v>
      </c>
      <c r="N140" s="38"/>
      <c r="O140" s="42"/>
    </row>
    <row r="141" spans="1:15" ht="12.75" customHeight="1" x14ac:dyDescent="0.3">
      <c r="A141" s="42"/>
      <c r="B141" s="38" t="s">
        <v>177</v>
      </c>
      <c r="C141" s="38"/>
      <c r="D141" s="64"/>
      <c r="E141" s="64"/>
      <c r="F141" s="64"/>
      <c r="G141" s="43" t="s">
        <v>877</v>
      </c>
      <c r="H141" s="38" t="s">
        <v>28</v>
      </c>
      <c r="I141" s="253"/>
      <c r="J141" s="296" t="str">
        <f t="shared" si="12"/>
        <v/>
      </c>
      <c r="K141" s="174">
        <f>(EXP((-1/0.1)*0.5)*(1/0.1)*L17/(1-EXP((-1/0.1)*L17)))</f>
        <v>8.5622262133111474E-3</v>
      </c>
      <c r="L141" s="193">
        <f>IF(ISBLANK(I141),IF(ISNUMBER(J141)=FALSE,K141,J141),I141)</f>
        <v>8.5622262133111474E-3</v>
      </c>
      <c r="M141" s="42" t="s">
        <v>477</v>
      </c>
      <c r="N141" s="38" t="s">
        <v>956</v>
      </c>
      <c r="O141" s="42"/>
    </row>
    <row r="142" spans="1:15" ht="12.75" customHeight="1" x14ac:dyDescent="0.3">
      <c r="A142" s="76"/>
      <c r="B142" s="76"/>
      <c r="C142" s="76"/>
      <c r="D142" s="76"/>
      <c r="E142" s="76"/>
      <c r="F142" s="76"/>
      <c r="G142" s="76"/>
      <c r="H142" s="71"/>
      <c r="I142" s="206"/>
      <c r="J142" s="300"/>
      <c r="K142" s="199"/>
      <c r="L142" s="199"/>
      <c r="M142" s="76"/>
      <c r="N142" s="76"/>
      <c r="O142" s="42"/>
    </row>
    <row r="143" spans="1:15" ht="12.75" customHeight="1" x14ac:dyDescent="0.3">
      <c r="A143" s="49"/>
      <c r="B143" s="38"/>
      <c r="C143" s="38"/>
      <c r="D143" s="38"/>
      <c r="E143" s="38"/>
      <c r="F143" s="38"/>
      <c r="G143" s="38"/>
      <c r="H143" s="38"/>
      <c r="I143" s="200"/>
      <c r="J143" s="296"/>
      <c r="K143" s="175"/>
      <c r="L143" s="175"/>
      <c r="M143" s="38"/>
      <c r="N143" s="38"/>
      <c r="O143" s="42"/>
    </row>
    <row r="144" spans="1:15" ht="12.75" customHeight="1" x14ac:dyDescent="0.3">
      <c r="A144" s="49"/>
      <c r="B144" s="38"/>
      <c r="C144" s="38"/>
      <c r="D144" s="38"/>
      <c r="E144" s="38"/>
      <c r="F144" s="38"/>
      <c r="G144" s="38"/>
      <c r="H144" s="38"/>
      <c r="I144" s="200"/>
      <c r="J144" s="296"/>
      <c r="K144" s="175"/>
      <c r="L144" s="175"/>
      <c r="M144" s="38"/>
      <c r="N144" s="38"/>
      <c r="O144" s="42"/>
    </row>
    <row r="145" spans="1:15" ht="12.75" customHeight="1" x14ac:dyDescent="0.3">
      <c r="A145" s="52" t="s">
        <v>1303</v>
      </c>
      <c r="B145" s="38"/>
      <c r="C145" s="38"/>
      <c r="D145" s="38"/>
      <c r="E145" s="38"/>
      <c r="F145" s="38"/>
      <c r="G145" s="38"/>
      <c r="H145" s="38"/>
      <c r="I145" s="200"/>
      <c r="J145" s="296"/>
      <c r="K145" s="175"/>
      <c r="L145" s="175"/>
      <c r="M145" s="38"/>
      <c r="N145" s="38"/>
      <c r="O145" s="42"/>
    </row>
    <row r="146" spans="1:15" ht="12.75" customHeight="1" x14ac:dyDescent="0.3">
      <c r="A146" s="38"/>
      <c r="B146" s="38"/>
      <c r="C146" s="38"/>
      <c r="D146" s="38"/>
      <c r="E146" s="38"/>
      <c r="F146" s="38"/>
      <c r="G146" s="38"/>
      <c r="H146" s="38"/>
      <c r="I146" s="200"/>
      <c r="J146" s="161"/>
      <c r="K146" s="175"/>
      <c r="L146" s="162"/>
      <c r="M146" s="38"/>
      <c r="N146" s="38"/>
      <c r="O146" s="42"/>
    </row>
    <row r="147" spans="1:15" customFormat="1" ht="12.75" customHeight="1" x14ac:dyDescent="0.3">
      <c r="A147" s="66" t="s">
        <v>1305</v>
      </c>
      <c r="B147" s="66"/>
      <c r="C147" s="66"/>
      <c r="D147" s="66"/>
      <c r="E147" s="66"/>
      <c r="F147" s="66"/>
      <c r="G147" s="67" t="s">
        <v>969</v>
      </c>
      <c r="H147" s="67" t="s">
        <v>929</v>
      </c>
      <c r="I147" s="189" t="s">
        <v>748</v>
      </c>
      <c r="J147" s="163" t="s">
        <v>29</v>
      </c>
      <c r="K147" s="163" t="s">
        <v>747</v>
      </c>
      <c r="L147" s="163" t="s">
        <v>1353</v>
      </c>
      <c r="M147" s="66"/>
      <c r="N147" s="67" t="s">
        <v>1366</v>
      </c>
      <c r="O147" s="42"/>
    </row>
    <row r="148" spans="1:15" ht="12.75" customHeight="1" x14ac:dyDescent="0.3">
      <c r="A148" s="42"/>
      <c r="B148" s="42"/>
      <c r="C148" s="38"/>
      <c r="D148" s="38"/>
      <c r="E148" s="38"/>
      <c r="F148" s="38"/>
      <c r="G148" s="38"/>
      <c r="H148" s="38"/>
      <c r="I148" s="200"/>
      <c r="J148" s="200"/>
      <c r="K148" s="175"/>
      <c r="L148" s="162"/>
      <c r="M148" s="38"/>
      <c r="N148" s="38"/>
      <c r="O148" s="42"/>
    </row>
    <row r="149" spans="1:15" ht="12.75" customHeight="1" x14ac:dyDescent="0.3">
      <c r="A149" s="42" t="s">
        <v>1082</v>
      </c>
      <c r="B149" s="38"/>
      <c r="C149" s="38"/>
      <c r="D149" s="38"/>
      <c r="E149" s="38"/>
      <c r="F149" s="38"/>
      <c r="G149" s="43" t="s">
        <v>265</v>
      </c>
      <c r="H149" s="38" t="s">
        <v>1804</v>
      </c>
      <c r="I149" s="252"/>
      <c r="J149" s="296" t="str">
        <f t="shared" ref="J149:J168" si="14">IF(HLOOKUP(CaseName,CaseData,ROW()+600,FALSE)="","",HLOOKUP(CaseName,CaseData,ROW()+600,FALSE))</f>
        <v/>
      </c>
      <c r="K149" s="174">
        <f>L154*L157</f>
        <v>4.25E+16</v>
      </c>
      <c r="L149" s="193">
        <f>IF(ISBLANK(I149),IF(ISNUMBER(J149)=FALSE,K149,J149),I149)</f>
        <v>4.25E+16</v>
      </c>
      <c r="M149" s="42" t="s">
        <v>1523</v>
      </c>
      <c r="N149" s="38"/>
      <c r="O149" s="42"/>
    </row>
    <row r="150" spans="1:15" ht="12.75" customHeight="1" x14ac:dyDescent="0.3">
      <c r="A150" s="38" t="s">
        <v>1999</v>
      </c>
      <c r="B150" s="38"/>
      <c r="C150" s="38"/>
      <c r="D150" s="38"/>
      <c r="E150" s="38"/>
      <c r="F150" s="38"/>
      <c r="G150" s="43" t="s">
        <v>904</v>
      </c>
      <c r="H150" s="38" t="s">
        <v>1804</v>
      </c>
      <c r="I150" s="252"/>
      <c r="J150" s="296" t="str">
        <f t="shared" si="14"/>
        <v/>
      </c>
      <c r="K150" s="174">
        <f>L154*L158*L155</f>
        <v>2550000000000000</v>
      </c>
      <c r="L150" s="193">
        <f>IF(ISBLANK(I150),IF(ISNUMBER(J150)=FALSE,K150,J150),I150)</f>
        <v>2550000000000000</v>
      </c>
      <c r="M150" s="42" t="s">
        <v>1523</v>
      </c>
      <c r="N150" s="38"/>
      <c r="O150" s="42"/>
    </row>
    <row r="151" spans="1:15" ht="12.75" customHeight="1" x14ac:dyDescent="0.3">
      <c r="A151" s="42" t="s">
        <v>96</v>
      </c>
      <c r="B151" s="38"/>
      <c r="C151" s="38"/>
      <c r="D151" s="38"/>
      <c r="E151" s="38"/>
      <c r="F151" s="38"/>
      <c r="G151" s="43" t="s">
        <v>903</v>
      </c>
      <c r="H151" s="38" t="s">
        <v>1804</v>
      </c>
      <c r="I151" s="252"/>
      <c r="J151" s="296" t="str">
        <f t="shared" si="14"/>
        <v/>
      </c>
      <c r="K151" s="174">
        <f>L154*L159*L155</f>
        <v>7.65E+16</v>
      </c>
      <c r="L151" s="193">
        <f>IF(ISBLANK(I151),IF(ISNUMBER(J151)=FALSE,K151,J151),I151)</f>
        <v>7.65E+16</v>
      </c>
      <c r="M151" s="42" t="s">
        <v>1523</v>
      </c>
      <c r="N151" s="38"/>
      <c r="O151" s="42"/>
    </row>
    <row r="152" spans="1:15" ht="12.75" customHeight="1" x14ac:dyDescent="0.3">
      <c r="A152" s="42" t="s">
        <v>728</v>
      </c>
      <c r="B152" s="38"/>
      <c r="C152" s="38"/>
      <c r="D152" s="38"/>
      <c r="E152" s="38"/>
      <c r="F152" s="38"/>
      <c r="G152" s="43" t="s">
        <v>266</v>
      </c>
      <c r="H152" s="38" t="s">
        <v>1804</v>
      </c>
      <c r="I152" s="252"/>
      <c r="J152" s="296" t="str">
        <f t="shared" si="14"/>
        <v/>
      </c>
      <c r="K152" s="174">
        <f>L154*L160*L155</f>
        <v>765000000000</v>
      </c>
      <c r="L152" s="193">
        <f>IF(ISBLANK(I152),IF(ISNUMBER(J152)=FALSE,K152,J152),I152)</f>
        <v>765000000000</v>
      </c>
      <c r="M152" s="42" t="s">
        <v>1523</v>
      </c>
      <c r="N152" s="38"/>
      <c r="O152" s="42"/>
    </row>
    <row r="153" spans="1:15" ht="12.75" customHeight="1" x14ac:dyDescent="0.3">
      <c r="A153" s="42" t="s">
        <v>729</v>
      </c>
      <c r="B153" s="38"/>
      <c r="C153" s="38"/>
      <c r="D153" s="38"/>
      <c r="E153" s="38"/>
      <c r="F153" s="38"/>
      <c r="G153" s="43" t="s">
        <v>267</v>
      </c>
      <c r="H153" s="38" t="s">
        <v>1804</v>
      </c>
      <c r="I153" s="252"/>
      <c r="J153" s="296" t="str">
        <f t="shared" si="14"/>
        <v/>
      </c>
      <c r="K153" s="174">
        <f>L154*L156*L161</f>
        <v>850000000000</v>
      </c>
      <c r="L153" s="193">
        <f>IF(ISBLANK(I153),IF(ISNUMBER(J153)=FALSE,K153,J153),I153)</f>
        <v>850000000000</v>
      </c>
      <c r="M153" s="42" t="s">
        <v>1523</v>
      </c>
      <c r="N153" s="38"/>
      <c r="O153" s="42"/>
    </row>
    <row r="154" spans="1:15" ht="12.75" customHeight="1" x14ac:dyDescent="0.3">
      <c r="A154" s="38"/>
      <c r="B154" s="42" t="s">
        <v>980</v>
      </c>
      <c r="C154" s="38"/>
      <c r="D154" s="38"/>
      <c r="E154" s="38"/>
      <c r="F154" s="38"/>
      <c r="G154" s="43" t="s">
        <v>268</v>
      </c>
      <c r="H154" s="38" t="s">
        <v>1805</v>
      </c>
      <c r="I154" s="253"/>
      <c r="J154" s="296" t="str">
        <f t="shared" si="14"/>
        <v/>
      </c>
      <c r="K154" s="174">
        <v>42500000</v>
      </c>
      <c r="L154" s="193">
        <f>IF(ISBLANK(I154),IF(ISNUMBER(J154)=FALSE,K154*1000000,J154*1000000),I154*1000000)</f>
        <v>42500000000000</v>
      </c>
      <c r="M154" s="42" t="s">
        <v>1519</v>
      </c>
      <c r="N154" s="38"/>
      <c r="O154" s="42"/>
    </row>
    <row r="155" spans="1:15" ht="12.75" customHeight="1" x14ac:dyDescent="0.3">
      <c r="A155" s="38"/>
      <c r="B155" s="42" t="s">
        <v>1975</v>
      </c>
      <c r="C155" s="38"/>
      <c r="D155" s="38"/>
      <c r="E155" s="38"/>
      <c r="F155" s="38"/>
      <c r="G155" s="63" t="s">
        <v>17</v>
      </c>
      <c r="H155" s="38" t="s">
        <v>28</v>
      </c>
      <c r="I155" s="252"/>
      <c r="J155" s="296" t="str">
        <f t="shared" si="14"/>
        <v/>
      </c>
      <c r="K155" s="174">
        <v>0.6</v>
      </c>
      <c r="L155" s="193">
        <f>IF(ISBLANK(I155),IF(ISNUMBER(J155)=FALSE,K155,J155),I155)</f>
        <v>0.6</v>
      </c>
      <c r="M155" s="38" t="s">
        <v>477</v>
      </c>
      <c r="N155" s="38"/>
      <c r="O155" s="42"/>
    </row>
    <row r="156" spans="1:15" ht="12.75" customHeight="1" x14ac:dyDescent="0.3">
      <c r="A156" s="38"/>
      <c r="B156" s="42" t="s">
        <v>1976</v>
      </c>
      <c r="C156" s="38"/>
      <c r="D156" s="38"/>
      <c r="E156" s="38"/>
      <c r="F156" s="38"/>
      <c r="G156" s="63" t="s">
        <v>18</v>
      </c>
      <c r="H156" s="38" t="s">
        <v>28</v>
      </c>
      <c r="I156" s="252"/>
      <c r="J156" s="296" t="str">
        <f t="shared" si="14"/>
        <v/>
      </c>
      <c r="K156" s="174">
        <f>1-L155</f>
        <v>0.4</v>
      </c>
      <c r="L156" s="193">
        <f>IF(ISBLANK(I156),IF(ISNUMBER(J156)=FALSE,K156,J156),I156)</f>
        <v>0.4</v>
      </c>
      <c r="M156" s="38" t="s">
        <v>477</v>
      </c>
      <c r="N156" s="38"/>
      <c r="O156" s="42"/>
    </row>
    <row r="157" spans="1:15" ht="12.75" customHeight="1" x14ac:dyDescent="0.3">
      <c r="A157" s="38"/>
      <c r="B157" s="38"/>
      <c r="C157" s="42" t="s">
        <v>761</v>
      </c>
      <c r="D157" s="38"/>
      <c r="E157" s="38"/>
      <c r="F157" s="38"/>
      <c r="G157" s="63" t="s">
        <v>19</v>
      </c>
      <c r="H157" s="42" t="s">
        <v>713</v>
      </c>
      <c r="I157" s="252"/>
      <c r="J157" s="296" t="str">
        <f t="shared" si="14"/>
        <v/>
      </c>
      <c r="K157" s="174">
        <v>1000</v>
      </c>
      <c r="L157" s="193">
        <f>IF(ISBLANK(I157),IF(ISNUMBER(J157)=FALSE,K157,J157),I157)</f>
        <v>1000</v>
      </c>
      <c r="M157" s="42" t="s">
        <v>714</v>
      </c>
      <c r="N157" s="38"/>
      <c r="O157" s="42"/>
    </row>
    <row r="158" spans="1:15" ht="12.75" customHeight="1" x14ac:dyDescent="0.3">
      <c r="A158" s="38"/>
      <c r="B158" s="38"/>
      <c r="C158" s="42" t="s">
        <v>98</v>
      </c>
      <c r="D158" s="38"/>
      <c r="E158" s="38"/>
      <c r="F158" s="38"/>
      <c r="G158" s="63" t="s">
        <v>911</v>
      </c>
      <c r="H158" s="42" t="s">
        <v>713</v>
      </c>
      <c r="I158" s="253"/>
      <c r="J158" s="296" t="str">
        <f t="shared" si="14"/>
        <v/>
      </c>
      <c r="K158" s="174">
        <v>100</v>
      </c>
      <c r="L158" s="193">
        <f>IF(ISBLANK(I158),IF(ISNUMBER(J158)=FALSE,K158,J158),I158)</f>
        <v>100</v>
      </c>
      <c r="M158" s="42" t="s">
        <v>714</v>
      </c>
      <c r="N158" s="38"/>
      <c r="O158" s="42"/>
    </row>
    <row r="159" spans="1:15" ht="12.75" customHeight="1" x14ac:dyDescent="0.3">
      <c r="A159" s="38"/>
      <c r="B159" s="38"/>
      <c r="C159" s="42" t="s">
        <v>97</v>
      </c>
      <c r="D159" s="38"/>
      <c r="E159" s="38"/>
      <c r="F159" s="38"/>
      <c r="G159" s="63" t="s">
        <v>912</v>
      </c>
      <c r="H159" s="42" t="s">
        <v>713</v>
      </c>
      <c r="I159" s="253"/>
      <c r="J159" s="296" t="str">
        <f t="shared" si="14"/>
        <v/>
      </c>
      <c r="K159" s="174">
        <v>3000</v>
      </c>
      <c r="L159" s="193">
        <f>IF(ISBLANK(I159),IF(ISNUMBER(J159)=FALSE,K159,J159),I159)</f>
        <v>3000</v>
      </c>
      <c r="M159" s="42" t="s">
        <v>714</v>
      </c>
      <c r="N159" s="38"/>
      <c r="O159" s="42"/>
    </row>
    <row r="160" spans="1:15" ht="12.75" customHeight="1" x14ac:dyDescent="0.3">
      <c r="A160" s="38"/>
      <c r="B160" s="38"/>
      <c r="C160" s="42" t="s">
        <v>1014</v>
      </c>
      <c r="D160" s="38"/>
      <c r="E160" s="38"/>
      <c r="F160" s="38"/>
      <c r="G160" s="63" t="s">
        <v>20</v>
      </c>
      <c r="H160" s="42" t="s">
        <v>715</v>
      </c>
      <c r="I160" s="252"/>
      <c r="J160" s="296" t="str">
        <f t="shared" si="14"/>
        <v/>
      </c>
      <c r="K160" s="174">
        <v>3</v>
      </c>
      <c r="L160" s="193">
        <f>IF(ISBLANK(I160),IF(ISNUMBER(J160)=FALSE,K160/100,J160/100),I160/100)</f>
        <v>0.03</v>
      </c>
      <c r="M160" s="42" t="s">
        <v>714</v>
      </c>
      <c r="N160" s="38"/>
      <c r="O160" s="42"/>
    </row>
    <row r="161" spans="1:15" ht="12.75" customHeight="1" x14ac:dyDescent="0.3">
      <c r="A161" s="42"/>
      <c r="B161" s="38"/>
      <c r="C161" s="42" t="s">
        <v>1977</v>
      </c>
      <c r="D161" s="64"/>
      <c r="E161" s="64"/>
      <c r="F161" s="64"/>
      <c r="G161" s="63" t="s">
        <v>21</v>
      </c>
      <c r="H161" s="42" t="s">
        <v>713</v>
      </c>
      <c r="I161" s="255"/>
      <c r="J161" s="296" t="str">
        <f t="shared" si="14"/>
        <v/>
      </c>
      <c r="K161" s="174">
        <v>0.05</v>
      </c>
      <c r="L161" s="193">
        <f t="shared" ref="L161:L168" si="15">IF(ISBLANK(I161),IF(ISNUMBER(J161)=FALSE,K161,J161),I161)</f>
        <v>0.05</v>
      </c>
      <c r="M161" s="38" t="s">
        <v>714</v>
      </c>
      <c r="N161" s="38"/>
      <c r="O161" s="42"/>
    </row>
    <row r="162" spans="1:15" ht="12.75" customHeight="1" x14ac:dyDescent="0.3">
      <c r="A162" s="38"/>
      <c r="B162" s="38"/>
      <c r="C162" s="38" t="s">
        <v>208</v>
      </c>
      <c r="D162" s="38"/>
      <c r="E162" s="38"/>
      <c r="F162" s="38"/>
      <c r="G162" s="42" t="s">
        <v>2000</v>
      </c>
      <c r="H162" s="42" t="s">
        <v>716</v>
      </c>
      <c r="I162" s="252"/>
      <c r="J162" s="296" t="str">
        <f t="shared" si="14"/>
        <v/>
      </c>
      <c r="K162" s="174">
        <v>1.9999999999999999E-11</v>
      </c>
      <c r="L162" s="193">
        <f t="shared" si="15"/>
        <v>1.9999999999999999E-11</v>
      </c>
      <c r="M162" s="42" t="s">
        <v>477</v>
      </c>
      <c r="N162" s="38" t="s">
        <v>1771</v>
      </c>
      <c r="O162" s="42"/>
    </row>
    <row r="163" spans="1:15" ht="12.75" customHeight="1" x14ac:dyDescent="0.3">
      <c r="A163" s="38"/>
      <c r="B163" s="38"/>
      <c r="C163" s="38" t="s">
        <v>209</v>
      </c>
      <c r="D163" s="38"/>
      <c r="E163" s="38"/>
      <c r="F163" s="38"/>
      <c r="G163" s="42" t="s">
        <v>2001</v>
      </c>
      <c r="H163" s="42" t="s">
        <v>716</v>
      </c>
      <c r="I163" s="252"/>
      <c r="J163" s="296" t="str">
        <f t="shared" si="14"/>
        <v/>
      </c>
      <c r="K163" s="174">
        <v>1.9999999999999999E-11</v>
      </c>
      <c r="L163" s="193">
        <f t="shared" si="15"/>
        <v>1.9999999999999999E-11</v>
      </c>
      <c r="M163" s="42" t="s">
        <v>477</v>
      </c>
      <c r="N163" s="38" t="s">
        <v>1771</v>
      </c>
      <c r="O163" s="42"/>
    </row>
    <row r="164" spans="1:15" ht="12.75" customHeight="1" x14ac:dyDescent="0.3">
      <c r="A164" s="38"/>
      <c r="B164" s="38"/>
      <c r="C164" s="42" t="s">
        <v>1015</v>
      </c>
      <c r="D164" s="64"/>
      <c r="E164" s="64"/>
      <c r="F164" s="64"/>
      <c r="G164" s="63" t="s">
        <v>465</v>
      </c>
      <c r="H164" s="42" t="s">
        <v>716</v>
      </c>
      <c r="I164" s="252"/>
      <c r="J164" s="296" t="str">
        <f t="shared" si="14"/>
        <v/>
      </c>
      <c r="K164" s="174">
        <v>0.2</v>
      </c>
      <c r="L164" s="193">
        <f t="shared" si="15"/>
        <v>0.2</v>
      </c>
      <c r="M164" s="38" t="s">
        <v>477</v>
      </c>
      <c r="N164" s="38"/>
      <c r="O164" s="42"/>
    </row>
    <row r="165" spans="1:15" ht="12.75" customHeight="1" x14ac:dyDescent="0.3">
      <c r="A165" s="38"/>
      <c r="B165" s="38"/>
      <c r="C165" s="42" t="s">
        <v>1016</v>
      </c>
      <c r="D165" s="38"/>
      <c r="E165" s="38"/>
      <c r="F165" s="38"/>
      <c r="G165" s="63" t="s">
        <v>1299</v>
      </c>
      <c r="H165" s="42" t="s">
        <v>716</v>
      </c>
      <c r="I165" s="252"/>
      <c r="J165" s="296" t="str">
        <f t="shared" si="14"/>
        <v/>
      </c>
      <c r="K165" s="174">
        <v>0.2</v>
      </c>
      <c r="L165" s="193">
        <f t="shared" si="15"/>
        <v>0.2</v>
      </c>
      <c r="M165" s="38" t="s">
        <v>477</v>
      </c>
      <c r="N165" s="38"/>
      <c r="O165" s="42"/>
    </row>
    <row r="166" spans="1:15" ht="12.75" customHeight="1" x14ac:dyDescent="0.3">
      <c r="A166" s="38"/>
      <c r="B166" s="38"/>
      <c r="C166" s="42" t="s">
        <v>1017</v>
      </c>
      <c r="D166" s="38"/>
      <c r="E166" s="38"/>
      <c r="F166" s="38"/>
      <c r="G166" s="63" t="s">
        <v>1300</v>
      </c>
      <c r="H166" s="42" t="s">
        <v>716</v>
      </c>
      <c r="I166" s="252"/>
      <c r="J166" s="296" t="str">
        <f t="shared" si="14"/>
        <v/>
      </c>
      <c r="K166" s="174">
        <f>1-L164-L165</f>
        <v>0.60000000000000009</v>
      </c>
      <c r="L166" s="193">
        <f t="shared" si="15"/>
        <v>0.60000000000000009</v>
      </c>
      <c r="M166" s="38" t="s">
        <v>477</v>
      </c>
      <c r="N166" s="38"/>
      <c r="O166" s="42"/>
    </row>
    <row r="167" spans="1:15" ht="12.75" customHeight="1" x14ac:dyDescent="0.3">
      <c r="A167" s="42"/>
      <c r="B167" s="38"/>
      <c r="C167" s="42" t="s">
        <v>429</v>
      </c>
      <c r="D167" s="64"/>
      <c r="E167" s="64"/>
      <c r="F167" s="64"/>
      <c r="G167" s="63" t="s">
        <v>1301</v>
      </c>
      <c r="H167" s="42" t="s">
        <v>716</v>
      </c>
      <c r="I167" s="252"/>
      <c r="J167" s="296" t="str">
        <f t="shared" si="14"/>
        <v/>
      </c>
      <c r="K167" s="174">
        <v>0.8</v>
      </c>
      <c r="L167" s="193">
        <f t="shared" si="15"/>
        <v>0.8</v>
      </c>
      <c r="M167" s="42" t="s">
        <v>477</v>
      </c>
      <c r="N167" s="38"/>
      <c r="O167" s="42"/>
    </row>
    <row r="168" spans="1:15" ht="12.75" customHeight="1" x14ac:dyDescent="0.3">
      <c r="A168" s="42"/>
      <c r="B168" s="38"/>
      <c r="C168" s="42" t="s">
        <v>466</v>
      </c>
      <c r="D168" s="64"/>
      <c r="E168" s="64"/>
      <c r="F168" s="64"/>
      <c r="G168" s="63" t="s">
        <v>467</v>
      </c>
      <c r="H168" s="42" t="s">
        <v>716</v>
      </c>
      <c r="I168" s="252"/>
      <c r="J168" s="296" t="str">
        <f t="shared" si="14"/>
        <v/>
      </c>
      <c r="K168" s="174">
        <f>1-L167</f>
        <v>0.19999999999999996</v>
      </c>
      <c r="L168" s="193">
        <f t="shared" si="15"/>
        <v>0.19999999999999996</v>
      </c>
      <c r="M168" s="42" t="s">
        <v>477</v>
      </c>
      <c r="N168" s="38"/>
      <c r="O168" s="42"/>
    </row>
    <row r="169" spans="1:15" ht="12.75" customHeight="1" x14ac:dyDescent="0.3">
      <c r="A169" s="38"/>
      <c r="B169" s="38"/>
      <c r="C169" s="38"/>
      <c r="D169" s="38"/>
      <c r="E169" s="38"/>
      <c r="F169" s="38"/>
      <c r="G169" s="38"/>
      <c r="H169" s="38"/>
      <c r="I169" s="203"/>
      <c r="J169" s="296"/>
      <c r="K169" s="162"/>
      <c r="L169" s="162"/>
      <c r="M169" s="38"/>
      <c r="N169" s="38"/>
      <c r="O169" s="42"/>
    </row>
    <row r="170" spans="1:15" ht="12.75" customHeight="1" x14ac:dyDescent="0.3">
      <c r="A170" s="42" t="s">
        <v>92</v>
      </c>
      <c r="B170" s="38"/>
      <c r="C170" s="38"/>
      <c r="D170" s="38"/>
      <c r="E170" s="38"/>
      <c r="F170" s="38"/>
      <c r="G170" s="42" t="s">
        <v>1253</v>
      </c>
      <c r="H170" s="42" t="s">
        <v>1801</v>
      </c>
      <c r="I170" s="253"/>
      <c r="J170" s="296" t="str">
        <f>IF(HLOOKUP(CaseName,CaseData,ROW()+600,FALSE)="","",HLOOKUP(CaseName,CaseData,ROW()+600,FALSE))</f>
        <v/>
      </c>
      <c r="K170" s="174">
        <f>1/L171</f>
        <v>5.1925638918420895E-7</v>
      </c>
      <c r="L170" s="193">
        <f>IF(ISBLANK(I170),IF(ISNUMBER(J170)=FALSE,K170,J170),I170)</f>
        <v>5.1925638918420895E-7</v>
      </c>
      <c r="M170" s="38" t="s">
        <v>1515</v>
      </c>
      <c r="N170" s="38"/>
      <c r="O170" s="42"/>
    </row>
    <row r="171" spans="1:15" ht="12.75" customHeight="1" x14ac:dyDescent="0.3">
      <c r="A171" s="42"/>
      <c r="B171" s="42" t="s">
        <v>536</v>
      </c>
      <c r="C171" s="38"/>
      <c r="D171" s="38"/>
      <c r="E171" s="38"/>
      <c r="F171" s="38"/>
      <c r="G171" s="43" t="s">
        <v>401</v>
      </c>
      <c r="H171" s="38" t="s">
        <v>717</v>
      </c>
      <c r="I171" s="252"/>
      <c r="J171" s="296" t="str">
        <f>IF(HLOOKUP(CaseName,CaseData,ROW()+600,FALSE)="","",HLOOKUP(CaseName,CaseData,ROW()+600,FALSE))</f>
        <v/>
      </c>
      <c r="K171" s="174">
        <f>(SQRT(L154*PI()/4)/L235)/(3600*24)</f>
        <v>22.289709506045405</v>
      </c>
      <c r="L171" s="193">
        <f>IF(ISBLANK(I171),IF(ISNUMBER(J171)=FALSE,K171*(3600*24),J171*(3600*24)),I171*(3600*24))</f>
        <v>1925830.9013223229</v>
      </c>
      <c r="M171" s="42" t="s">
        <v>107</v>
      </c>
      <c r="N171" s="38"/>
      <c r="O171" s="42"/>
    </row>
    <row r="172" spans="1:15" ht="12.75" customHeight="1" x14ac:dyDescent="0.3">
      <c r="A172" s="38"/>
      <c r="B172" s="38"/>
      <c r="C172" s="38"/>
      <c r="D172" s="38"/>
      <c r="E172" s="38"/>
      <c r="F172" s="38"/>
      <c r="G172" s="38"/>
      <c r="H172" s="38"/>
      <c r="I172" s="203"/>
      <c r="J172" s="296"/>
      <c r="K172" s="162"/>
      <c r="L172" s="162"/>
      <c r="M172" s="38"/>
      <c r="N172" s="38"/>
      <c r="O172" s="42"/>
    </row>
    <row r="173" spans="1:15" ht="12.75" customHeight="1" x14ac:dyDescent="0.3">
      <c r="A173" s="42" t="s">
        <v>1139</v>
      </c>
      <c r="B173" s="38"/>
      <c r="C173" s="38"/>
      <c r="D173" s="38"/>
      <c r="E173" s="38"/>
      <c r="F173" s="38"/>
      <c r="G173" s="42" t="s">
        <v>1252</v>
      </c>
      <c r="H173" s="42" t="s">
        <v>1801</v>
      </c>
      <c r="I173" s="253"/>
      <c r="J173" s="296" t="str">
        <f t="shared" ref="J173:J179" si="16">IF(HLOOKUP(CaseName,CaseData,ROW()+600,FALSE)="","",HLOOKUP(CaseName,CaseData,ROW()+600,FALSE))</f>
        <v/>
      </c>
      <c r="K173" s="196">
        <f>L175/L150</f>
        <v>0</v>
      </c>
      <c r="L173" s="193">
        <f t="shared" ref="L173:L178" si="17">IF(ISBLANK(I173),IF(ISNUMBER(J173)=FALSE,K173,J173),I173)</f>
        <v>0</v>
      </c>
      <c r="M173" s="38" t="s">
        <v>1515</v>
      </c>
      <c r="N173" s="38"/>
      <c r="O173" s="42"/>
    </row>
    <row r="174" spans="1:15" ht="12.75" customHeight="1" x14ac:dyDescent="0.3">
      <c r="A174" s="42" t="s">
        <v>1138</v>
      </c>
      <c r="B174" s="38"/>
      <c r="C174" s="38"/>
      <c r="D174" s="38"/>
      <c r="E174" s="38"/>
      <c r="F174" s="38"/>
      <c r="G174" s="42" t="s">
        <v>1108</v>
      </c>
      <c r="H174" s="42" t="s">
        <v>1801</v>
      </c>
      <c r="I174" s="253"/>
      <c r="J174" s="296" t="str">
        <f t="shared" si="16"/>
        <v/>
      </c>
      <c r="K174" s="196">
        <f>L38/L151</f>
        <v>1.9607843137254903E-9</v>
      </c>
      <c r="L174" s="193">
        <f t="shared" si="17"/>
        <v>1.9607843137254903E-9</v>
      </c>
      <c r="M174" s="38" t="s">
        <v>1515</v>
      </c>
      <c r="N174" s="38"/>
      <c r="O174" s="42"/>
    </row>
    <row r="175" spans="1:15" ht="12.75" customHeight="1" x14ac:dyDescent="0.3">
      <c r="A175" s="42"/>
      <c r="B175" s="42" t="s">
        <v>537</v>
      </c>
      <c r="C175" s="38"/>
      <c r="D175" s="38"/>
      <c r="E175" s="38"/>
      <c r="F175" s="38"/>
      <c r="G175" s="63" t="s">
        <v>1277</v>
      </c>
      <c r="H175" s="38" t="s">
        <v>1806</v>
      </c>
      <c r="I175" s="252"/>
      <c r="J175" s="296" t="str">
        <f t="shared" si="16"/>
        <v/>
      </c>
      <c r="K175" s="196">
        <f>0</f>
        <v>0</v>
      </c>
      <c r="L175" s="193">
        <f t="shared" si="17"/>
        <v>0</v>
      </c>
      <c r="M175" s="38" t="s">
        <v>1803</v>
      </c>
      <c r="N175" s="38"/>
      <c r="O175" s="42"/>
    </row>
    <row r="176" spans="1:15" ht="12.75" customHeight="1" x14ac:dyDescent="0.3">
      <c r="A176" s="42" t="s">
        <v>121</v>
      </c>
      <c r="B176" s="38"/>
      <c r="C176" s="38"/>
      <c r="D176" s="38"/>
      <c r="E176" s="38"/>
      <c r="F176" s="38"/>
      <c r="G176" s="42" t="s">
        <v>119</v>
      </c>
      <c r="H176" s="42" t="s">
        <v>1801</v>
      </c>
      <c r="I176" s="252"/>
      <c r="J176" s="296" t="str">
        <f t="shared" si="16"/>
        <v/>
      </c>
      <c r="K176" s="196">
        <f>(L38+L178)/L150</f>
        <v>2.6926123984947511E-7</v>
      </c>
      <c r="L176" s="193">
        <f t="shared" si="17"/>
        <v>2.6926123984947511E-7</v>
      </c>
      <c r="M176" s="38" t="s">
        <v>1515</v>
      </c>
      <c r="N176" s="38"/>
      <c r="O176" s="42"/>
    </row>
    <row r="177" spans="1:15" ht="12.75" customHeight="1" x14ac:dyDescent="0.3">
      <c r="A177" s="42" t="s">
        <v>122</v>
      </c>
      <c r="B177" s="38"/>
      <c r="C177" s="38"/>
      <c r="D177" s="38"/>
      <c r="E177" s="38"/>
      <c r="F177" s="38"/>
      <c r="G177" s="42" t="s">
        <v>120</v>
      </c>
      <c r="H177" s="42" t="s">
        <v>1801</v>
      </c>
      <c r="I177" s="253"/>
      <c r="J177" s="296" t="str">
        <f t="shared" si="16"/>
        <v/>
      </c>
      <c r="K177" s="196">
        <f>(L38+L178)/L151</f>
        <v>8.9753746616491718E-9</v>
      </c>
      <c r="L177" s="193">
        <f t="shared" si="17"/>
        <v>8.9753746616491718E-9</v>
      </c>
      <c r="M177" s="38" t="s">
        <v>1515</v>
      </c>
      <c r="N177" s="38"/>
      <c r="O177" s="42"/>
    </row>
    <row r="178" spans="1:15" ht="12.75" customHeight="1" x14ac:dyDescent="0.3">
      <c r="A178" s="42"/>
      <c r="B178" s="38" t="s">
        <v>687</v>
      </c>
      <c r="C178" s="38"/>
      <c r="D178" s="38"/>
      <c r="E178" s="38"/>
      <c r="F178" s="38"/>
      <c r="G178" s="43" t="s">
        <v>1276</v>
      </c>
      <c r="H178" s="38" t="s">
        <v>1806</v>
      </c>
      <c r="I178" s="253"/>
      <c r="J178" s="296" t="str">
        <f t="shared" si="16"/>
        <v/>
      </c>
      <c r="K178" s="172">
        <f>L150/L179</f>
        <v>536616161.61616164</v>
      </c>
      <c r="L178" s="193">
        <f t="shared" si="17"/>
        <v>536616161.61616164</v>
      </c>
      <c r="M178" s="38" t="s">
        <v>1803</v>
      </c>
      <c r="N178" s="38"/>
      <c r="O178" s="42"/>
    </row>
    <row r="179" spans="1:15" ht="12.75" customHeight="1" x14ac:dyDescent="0.3">
      <c r="A179" s="42"/>
      <c r="B179" s="42"/>
      <c r="C179" s="38" t="s">
        <v>1213</v>
      </c>
      <c r="D179" s="38"/>
      <c r="E179" s="38"/>
      <c r="F179" s="38"/>
      <c r="G179" s="43" t="s">
        <v>801</v>
      </c>
      <c r="H179" s="38" t="s">
        <v>717</v>
      </c>
      <c r="I179" s="253"/>
      <c r="J179" s="296" t="str">
        <f t="shared" si="16"/>
        <v/>
      </c>
      <c r="K179" s="174">
        <v>55</v>
      </c>
      <c r="L179" s="193">
        <f>IF(ISBLANK(I179),IF(ISNUMBER(J179)=FALSE,K179*(3600*24),J179*(3600*24)),I179*(3600*24))</f>
        <v>4752000</v>
      </c>
      <c r="M179" s="42" t="s">
        <v>107</v>
      </c>
      <c r="N179" s="38"/>
      <c r="O179" s="42"/>
    </row>
    <row r="180" spans="1:15" ht="12.75" customHeight="1" x14ac:dyDescent="0.3">
      <c r="A180" s="38"/>
      <c r="B180" s="38"/>
      <c r="C180" s="38"/>
      <c r="D180" s="38"/>
      <c r="E180" s="38"/>
      <c r="F180" s="38"/>
      <c r="G180" s="38"/>
      <c r="H180" s="38"/>
      <c r="I180" s="161"/>
      <c r="J180" s="161"/>
      <c r="K180" s="175"/>
      <c r="L180" s="162"/>
      <c r="M180" s="38"/>
      <c r="N180" s="38"/>
      <c r="O180" s="42"/>
    </row>
    <row r="181" spans="1:15" customFormat="1" ht="12.75" customHeight="1" x14ac:dyDescent="0.3">
      <c r="A181" s="67" t="s">
        <v>201</v>
      </c>
      <c r="B181" s="66"/>
      <c r="C181" s="66"/>
      <c r="D181" s="66"/>
      <c r="E181" s="66"/>
      <c r="F181" s="66"/>
      <c r="G181" s="67" t="s">
        <v>969</v>
      </c>
      <c r="H181" s="67" t="s">
        <v>929</v>
      </c>
      <c r="I181" s="189" t="s">
        <v>748</v>
      </c>
      <c r="J181" s="163" t="s">
        <v>29</v>
      </c>
      <c r="K181" s="163" t="s">
        <v>747</v>
      </c>
      <c r="L181" s="163" t="s">
        <v>1353</v>
      </c>
      <c r="M181" s="66"/>
      <c r="N181" s="67" t="s">
        <v>1366</v>
      </c>
      <c r="O181" s="42"/>
    </row>
    <row r="182" spans="1:15" ht="12.75" customHeight="1" x14ac:dyDescent="0.3">
      <c r="A182" s="42"/>
      <c r="B182" s="42"/>
      <c r="C182" s="38"/>
      <c r="D182" s="38"/>
      <c r="E182" s="38"/>
      <c r="F182" s="38"/>
      <c r="G182" s="38"/>
      <c r="H182" s="38"/>
      <c r="I182" s="161"/>
      <c r="J182" s="200"/>
      <c r="K182" s="175"/>
      <c r="L182" s="162"/>
      <c r="M182" s="38"/>
      <c r="N182" s="38"/>
      <c r="O182" s="42"/>
    </row>
    <row r="183" spans="1:15" ht="12.75" customHeight="1" x14ac:dyDescent="0.3">
      <c r="A183" s="38"/>
      <c r="B183" s="38" t="s">
        <v>947</v>
      </c>
      <c r="C183" s="38"/>
      <c r="D183" s="38"/>
      <c r="E183" s="38"/>
      <c r="F183" s="38"/>
      <c r="G183" s="42" t="s">
        <v>2002</v>
      </c>
      <c r="H183" s="42" t="s">
        <v>28</v>
      </c>
      <c r="I183" s="252">
        <f>IF(K183&lt;=0,0.999,K183)</f>
        <v>9.0082635795241117E-11</v>
      </c>
      <c r="J183" s="296" t="str">
        <f t="shared" ref="J183:J209" si="18">IF(HLOOKUP(CaseName,CaseData,ROW()+600,FALSE)="","",HLOOKUP(CaseName,CaseData,ROW()+600,FALSE))</f>
        <v/>
      </c>
      <c r="K183" s="195">
        <f>1-L184-L185</f>
        <v>9.0082635795241117E-11</v>
      </c>
      <c r="L183" s="193">
        <f>IF(ISBLANK(I183),IF(ISNUMBER(J183)=FALSE,K183,J183),I183)</f>
        <v>9.0082635795241117E-11</v>
      </c>
      <c r="M183" s="42" t="s">
        <v>477</v>
      </c>
      <c r="N183" s="38"/>
      <c r="O183" s="42"/>
    </row>
    <row r="184" spans="1:15" ht="12.75" customHeight="1" x14ac:dyDescent="0.3">
      <c r="A184" s="38"/>
      <c r="B184" s="38" t="s">
        <v>609</v>
      </c>
      <c r="C184" s="38"/>
      <c r="D184" s="38"/>
      <c r="E184" s="38"/>
      <c r="F184" s="38"/>
      <c r="G184" s="38" t="s">
        <v>633</v>
      </c>
      <c r="H184" s="38" t="s">
        <v>28</v>
      </c>
      <c r="I184" s="256"/>
      <c r="J184" s="296" t="str">
        <f t="shared" si="18"/>
        <v/>
      </c>
      <c r="K184" s="195">
        <f>L19 *L51/(1+L19*L51+L18*L52)</f>
        <v>0.77659421367858483</v>
      </c>
      <c r="L184" s="193">
        <f>IF(ISBLANK(I184),IF(ISNUMBER(J184)=FALSE,K184,J184),I184)</f>
        <v>0.77659421367858483</v>
      </c>
      <c r="M184" s="42" t="s">
        <v>477</v>
      </c>
      <c r="N184" s="38" t="s">
        <v>1772</v>
      </c>
      <c r="O184" s="42"/>
    </row>
    <row r="185" spans="1:15" ht="12.75" customHeight="1" x14ac:dyDescent="0.3">
      <c r="A185" s="38"/>
      <c r="B185" s="38" t="s">
        <v>610</v>
      </c>
      <c r="C185" s="38"/>
      <c r="D185" s="38"/>
      <c r="E185" s="38"/>
      <c r="F185" s="38"/>
      <c r="G185" s="38" t="s">
        <v>634</v>
      </c>
      <c r="H185" s="38" t="s">
        <v>28</v>
      </c>
      <c r="I185" s="252"/>
      <c r="J185" s="296" t="str">
        <f t="shared" si="18"/>
        <v/>
      </c>
      <c r="K185" s="195">
        <f>L18 *L52/(1+L19*L51+L18*L52)</f>
        <v>0.22340578623133253</v>
      </c>
      <c r="L185" s="193">
        <f>IF(ISBLANK(I185),IF(ISNUMBER(J185)=FALSE,K185,J185),I185)</f>
        <v>0.22340578623133253</v>
      </c>
      <c r="M185" s="42" t="s">
        <v>477</v>
      </c>
      <c r="N185" s="38" t="s">
        <v>1772</v>
      </c>
      <c r="O185" s="42"/>
    </row>
    <row r="186" spans="1:15" ht="12.75" customHeight="1" x14ac:dyDescent="0.3">
      <c r="A186" s="38"/>
      <c r="B186" s="38"/>
      <c r="C186" s="42" t="s">
        <v>1004</v>
      </c>
      <c r="D186" s="42"/>
      <c r="E186" s="42"/>
      <c r="F186" s="42"/>
      <c r="G186" s="42" t="s">
        <v>2003</v>
      </c>
      <c r="H186" s="42" t="s">
        <v>28</v>
      </c>
      <c r="I186" s="252"/>
      <c r="J186" s="296" t="str">
        <f t="shared" si="18"/>
        <v/>
      </c>
      <c r="K186" s="195">
        <f>Kaw*EXP((H0vap/8.314)*(1/298-1/L187))*EXP(-(H0sol/8.314)*(1/298-1/L187))*(298/L187)</f>
        <v>1.4012294503793327E-22</v>
      </c>
      <c r="L186" s="193">
        <f>IF(ISBLANK(I186),IF(ISNUMBER(J186)=FALSE,K186,J186),I186)</f>
        <v>1.4012294503793327E-22</v>
      </c>
      <c r="M186" s="42" t="s">
        <v>477</v>
      </c>
      <c r="N186" s="38"/>
      <c r="O186" s="42"/>
    </row>
    <row r="187" spans="1:15" ht="12.75" customHeight="1" x14ac:dyDescent="0.3">
      <c r="A187" s="42"/>
      <c r="B187" s="38"/>
      <c r="C187" s="38" t="s">
        <v>978</v>
      </c>
      <c r="D187" s="38"/>
      <c r="E187" s="38"/>
      <c r="F187" s="38"/>
      <c r="G187" s="38" t="s">
        <v>403</v>
      </c>
      <c r="H187" s="38" t="s">
        <v>1814</v>
      </c>
      <c r="I187" s="252"/>
      <c r="J187" s="296" t="str">
        <f t="shared" si="18"/>
        <v/>
      </c>
      <c r="K187" s="174">
        <v>-10</v>
      </c>
      <c r="L187" s="193">
        <f>IF(ISBLANK(I187),IF(ISNUMBER(J187)=FALSE,K187+273,J187+273),I187+273)</f>
        <v>263</v>
      </c>
      <c r="M187" s="42" t="s">
        <v>582</v>
      </c>
      <c r="N187" s="38"/>
      <c r="O187" s="42"/>
    </row>
    <row r="188" spans="1:15" ht="12.75" customHeight="1" x14ac:dyDescent="0.4">
      <c r="A188" s="38"/>
      <c r="B188" s="38"/>
      <c r="C188" s="38" t="s">
        <v>606</v>
      </c>
      <c r="D188" s="38"/>
      <c r="E188" s="38"/>
      <c r="F188" s="38"/>
      <c r="G188" s="38" t="s">
        <v>636</v>
      </c>
      <c r="H188" s="38" t="s">
        <v>1807</v>
      </c>
      <c r="I188" s="256"/>
      <c r="J188" s="296" t="str">
        <f t="shared" si="18"/>
        <v/>
      </c>
      <c r="K188" s="195">
        <f>1/(L186*FRorig.aerw)</f>
        <v>7.1365899405645935E+21</v>
      </c>
      <c r="L188" s="193">
        <f t="shared" ref="L188:L195" si="19">IF(ISBLANK(I188),IF(ISNUMBER(J188)=FALSE,K188,J188),I188)</f>
        <v>7.1365899405645935E+21</v>
      </c>
      <c r="M188" s="42" t="s">
        <v>1815</v>
      </c>
      <c r="N188" s="38"/>
      <c r="O188" s="42"/>
    </row>
    <row r="189" spans="1:15" ht="12.75" customHeight="1" x14ac:dyDescent="0.4">
      <c r="A189" s="38"/>
      <c r="B189" s="38"/>
      <c r="C189" s="38" t="s">
        <v>607</v>
      </c>
      <c r="D189" s="38"/>
      <c r="E189" s="38"/>
      <c r="F189" s="38"/>
      <c r="G189" s="38" t="s">
        <v>637</v>
      </c>
      <c r="H189" s="38" t="s">
        <v>1808</v>
      </c>
      <c r="I189" s="256"/>
      <c r="J189" s="296" t="str">
        <f t="shared" si="18"/>
        <v/>
      </c>
      <c r="K189" s="195">
        <f>0.54*(Kow/Kaw)*CORGaers*(RHOaers/1000)</f>
        <v>1.2400059112166343E+20</v>
      </c>
      <c r="L189" s="193">
        <f t="shared" si="19"/>
        <v>1.2400059112166343E+20</v>
      </c>
      <c r="M189" s="42" t="s">
        <v>1816</v>
      </c>
      <c r="N189" s="38" t="s">
        <v>885</v>
      </c>
      <c r="O189" s="42"/>
    </row>
    <row r="190" spans="1:15" ht="12.75" customHeight="1" x14ac:dyDescent="0.3">
      <c r="A190" s="42"/>
      <c r="B190" s="42" t="s">
        <v>1985</v>
      </c>
      <c r="C190" s="64"/>
      <c r="D190" s="38"/>
      <c r="E190" s="38"/>
      <c r="F190" s="38"/>
      <c r="G190" s="43" t="s">
        <v>1140</v>
      </c>
      <c r="H190" s="42" t="s">
        <v>28</v>
      </c>
      <c r="I190" s="252"/>
      <c r="J190" s="296" t="str">
        <f t="shared" si="18"/>
        <v/>
      </c>
      <c r="K190" s="174">
        <f ca="1">1/(1+L192*L196/1000+L198*L200/1000)</f>
        <v>0.96807931705231609</v>
      </c>
      <c r="L190" s="193">
        <f t="shared" ca="1" si="19"/>
        <v>0.96807931705231609</v>
      </c>
      <c r="M190" s="42" t="s">
        <v>477</v>
      </c>
      <c r="N190" s="38"/>
      <c r="O190" s="42"/>
    </row>
    <row r="191" spans="1:15" ht="12.75" customHeight="1" x14ac:dyDescent="0.3">
      <c r="A191" s="42"/>
      <c r="B191" s="42" t="s">
        <v>1112</v>
      </c>
      <c r="C191" s="64"/>
      <c r="D191" s="38"/>
      <c r="E191" s="38"/>
      <c r="F191" s="38"/>
      <c r="G191" s="43" t="s">
        <v>1141</v>
      </c>
      <c r="H191" s="42" t="s">
        <v>28</v>
      </c>
      <c r="I191" s="252"/>
      <c r="J191" s="296" t="str">
        <f t="shared" si="18"/>
        <v/>
      </c>
      <c r="K191" s="174">
        <f ca="1">1/(1+L193*L197/1000+L199*L201/1000)</f>
        <v>0.96807931705231609</v>
      </c>
      <c r="L191" s="193">
        <f t="shared" ca="1" si="19"/>
        <v>0.96807931705231609</v>
      </c>
      <c r="M191" s="42" t="s">
        <v>477</v>
      </c>
      <c r="N191" s="38"/>
      <c r="O191" s="42"/>
    </row>
    <row r="192" spans="1:15" ht="12.75" customHeight="1" x14ac:dyDescent="0.3">
      <c r="A192" s="42"/>
      <c r="B192" s="38"/>
      <c r="C192" s="42" t="s">
        <v>1986</v>
      </c>
      <c r="D192" s="38"/>
      <c r="E192" s="38"/>
      <c r="F192" s="38"/>
      <c r="G192" s="63" t="s">
        <v>1142</v>
      </c>
      <c r="H192" s="42" t="s">
        <v>1809</v>
      </c>
      <c r="I192" s="252"/>
      <c r="J192" s="296" t="str">
        <f t="shared" si="18"/>
        <v/>
      </c>
      <c r="K192" s="174">
        <f ca="1">(FRorig.w2*Ksw+(1-FRorig.w2)*Ksw.alt)*(1000/RHOsolid/CORG)*L194</f>
        <v>6594.4583635681238</v>
      </c>
      <c r="L192" s="193">
        <f t="shared" ca="1" si="19"/>
        <v>6594.4583635681238</v>
      </c>
      <c r="M192" s="42" t="s">
        <v>1525</v>
      </c>
      <c r="N192" s="38"/>
      <c r="O192" s="42"/>
    </row>
    <row r="193" spans="1:15" ht="12.75" customHeight="1" x14ac:dyDescent="0.3">
      <c r="A193" s="42"/>
      <c r="B193" s="38"/>
      <c r="C193" s="42" t="s">
        <v>1115</v>
      </c>
      <c r="D193" s="38"/>
      <c r="E193" s="38"/>
      <c r="F193" s="38"/>
      <c r="G193" s="63" t="s">
        <v>1143</v>
      </c>
      <c r="H193" s="42" t="s">
        <v>1809</v>
      </c>
      <c r="I193" s="252"/>
      <c r="J193" s="296" t="str">
        <f t="shared" si="18"/>
        <v/>
      </c>
      <c r="K193" s="174">
        <f ca="1">(FRorig.w2*Ksw+(1-FRorig.w2)*Ksw.alt)*(1000/RHOsolid/CORG)*L195</f>
        <v>6594.4583635681238</v>
      </c>
      <c r="L193" s="193">
        <f t="shared" ca="1" si="19"/>
        <v>6594.4583635681238</v>
      </c>
      <c r="M193" s="42" t="s">
        <v>1525</v>
      </c>
      <c r="N193" s="38"/>
      <c r="O193" s="42"/>
    </row>
    <row r="194" spans="1:15" ht="12.75" customHeight="1" x14ac:dyDescent="0.3">
      <c r="A194" s="42"/>
      <c r="B194" s="38"/>
      <c r="C194" s="42" t="s">
        <v>1987</v>
      </c>
      <c r="D194" s="38"/>
      <c r="E194" s="38"/>
      <c r="F194" s="38"/>
      <c r="G194" s="63" t="s">
        <v>1453</v>
      </c>
      <c r="H194" s="42" t="s">
        <v>28</v>
      </c>
      <c r="I194" s="252"/>
      <c r="J194" s="296" t="str">
        <f t="shared" si="18"/>
        <v/>
      </c>
      <c r="K194" s="174">
        <v>0.1</v>
      </c>
      <c r="L194" s="193">
        <f t="shared" si="19"/>
        <v>0.1</v>
      </c>
      <c r="M194" s="42" t="s">
        <v>477</v>
      </c>
      <c r="N194" s="38"/>
      <c r="O194" s="42"/>
    </row>
    <row r="195" spans="1:15" ht="12.75" customHeight="1" x14ac:dyDescent="0.3">
      <c r="A195" s="42"/>
      <c r="B195" s="38"/>
      <c r="C195" s="42" t="s">
        <v>1117</v>
      </c>
      <c r="D195" s="38"/>
      <c r="E195" s="38"/>
      <c r="F195" s="38"/>
      <c r="G195" s="63" t="s">
        <v>1454</v>
      </c>
      <c r="H195" s="42" t="s">
        <v>28</v>
      </c>
      <c r="I195" s="252"/>
      <c r="J195" s="296" t="str">
        <f t="shared" si="18"/>
        <v/>
      </c>
      <c r="K195" s="174">
        <v>0.1</v>
      </c>
      <c r="L195" s="193">
        <f t="shared" si="19"/>
        <v>0.1</v>
      </c>
      <c r="M195" s="42" t="s">
        <v>477</v>
      </c>
      <c r="N195" s="38"/>
      <c r="O195" s="42"/>
    </row>
    <row r="196" spans="1:15" ht="12.75" customHeight="1" x14ac:dyDescent="0.3">
      <c r="A196" s="42"/>
      <c r="B196" s="38"/>
      <c r="C196" s="42" t="s">
        <v>1988</v>
      </c>
      <c r="D196" s="38"/>
      <c r="E196" s="38"/>
      <c r="F196" s="38"/>
      <c r="G196" s="63" t="s">
        <v>1144</v>
      </c>
      <c r="H196" s="42" t="s">
        <v>1810</v>
      </c>
      <c r="I196" s="252"/>
      <c r="J196" s="296" t="str">
        <f t="shared" si="18"/>
        <v/>
      </c>
      <c r="K196" s="174">
        <v>5</v>
      </c>
      <c r="L196" s="193">
        <f>IF(ISBLANK(I196),IF(ISNUMBER(J196)=FALSE,K196/1000,J196/1000),I196/1000)</f>
        <v>5.0000000000000001E-3</v>
      </c>
      <c r="M196" s="42" t="s">
        <v>1524</v>
      </c>
      <c r="N196" s="38"/>
      <c r="O196" s="42"/>
    </row>
    <row r="197" spans="1:15" ht="12.75" customHeight="1" x14ac:dyDescent="0.3">
      <c r="A197" s="42"/>
      <c r="B197" s="38"/>
      <c r="C197" s="42" t="s">
        <v>1119</v>
      </c>
      <c r="D197" s="38"/>
      <c r="E197" s="38"/>
      <c r="F197" s="38"/>
      <c r="G197" s="63" t="s">
        <v>1145</v>
      </c>
      <c r="H197" s="42" t="s">
        <v>1810</v>
      </c>
      <c r="I197" s="252"/>
      <c r="J197" s="296" t="str">
        <f t="shared" si="18"/>
        <v/>
      </c>
      <c r="K197" s="174">
        <v>5</v>
      </c>
      <c r="L197" s="193">
        <f>IF(ISBLANK(I197),IF(ISNUMBER(J197)=FALSE,K197/1000,J197/1000),I197/1000)</f>
        <v>5.0000000000000001E-3</v>
      </c>
      <c r="M197" s="42" t="s">
        <v>1524</v>
      </c>
      <c r="N197" s="38"/>
      <c r="O197" s="42"/>
    </row>
    <row r="198" spans="1:15" ht="12.75" customHeight="1" x14ac:dyDescent="0.3">
      <c r="A198" s="42"/>
      <c r="B198" s="38"/>
      <c r="C198" s="42" t="s">
        <v>1989</v>
      </c>
      <c r="D198" s="38"/>
      <c r="E198" s="38"/>
      <c r="F198" s="38"/>
      <c r="G198" s="63" t="s">
        <v>1146</v>
      </c>
      <c r="H198" s="42" t="s">
        <v>1000</v>
      </c>
      <c r="I198" s="255"/>
      <c r="J198" s="296" t="str">
        <f t="shared" si="18"/>
        <v/>
      </c>
      <c r="K198" s="174">
        <f>0.08*D</f>
        <v>0.91852289719750679</v>
      </c>
      <c r="L198" s="193">
        <f>IF(ISBLANK(I198),IF(ISNUMBER(J198)=FALSE,K198,J198),I198)</f>
        <v>0.91852289719750679</v>
      </c>
      <c r="M198" s="42" t="s">
        <v>1525</v>
      </c>
      <c r="N198" s="38"/>
      <c r="O198" s="42"/>
    </row>
    <row r="199" spans="1:15" ht="12.75" customHeight="1" x14ac:dyDescent="0.3">
      <c r="A199" s="42"/>
      <c r="B199" s="38"/>
      <c r="C199" s="42" t="s">
        <v>1136</v>
      </c>
      <c r="D199" s="38"/>
      <c r="E199" s="38"/>
      <c r="F199" s="38"/>
      <c r="G199" s="63" t="s">
        <v>1147</v>
      </c>
      <c r="H199" s="42" t="s">
        <v>1000</v>
      </c>
      <c r="I199" s="255"/>
      <c r="J199" s="296" t="str">
        <f t="shared" si="18"/>
        <v/>
      </c>
      <c r="K199" s="174">
        <f>0.08*D</f>
        <v>0.91852289719750679</v>
      </c>
      <c r="L199" s="193">
        <f>IF(ISBLANK(I199),IF(ISNUMBER(J199)=FALSE,K199,J199),I199)</f>
        <v>0.91852289719750679</v>
      </c>
      <c r="M199" s="42" t="s">
        <v>1525</v>
      </c>
      <c r="N199" s="38"/>
      <c r="O199" s="42"/>
    </row>
    <row r="200" spans="1:15" ht="12.75" customHeight="1" x14ac:dyDescent="0.3">
      <c r="A200" s="42"/>
      <c r="B200" s="38"/>
      <c r="C200" s="42" t="s">
        <v>1990</v>
      </c>
      <c r="D200" s="38"/>
      <c r="E200" s="38"/>
      <c r="F200" s="38"/>
      <c r="G200" s="63" t="s">
        <v>1148</v>
      </c>
      <c r="H200" s="42" t="s">
        <v>999</v>
      </c>
      <c r="I200" s="255"/>
      <c r="J200" s="296" t="str">
        <f t="shared" si="18"/>
        <v/>
      </c>
      <c r="K200" s="174">
        <v>1</v>
      </c>
      <c r="L200" s="193">
        <f>IF(ISBLANK(I200),IF(ISNUMBER(J200)=FALSE,K200/1000,J200/1000),I200/1000)</f>
        <v>1E-3</v>
      </c>
      <c r="M200" s="42" t="s">
        <v>1524</v>
      </c>
      <c r="N200" s="38"/>
      <c r="O200" s="42"/>
    </row>
    <row r="201" spans="1:15" ht="12.75" customHeight="1" x14ac:dyDescent="0.3">
      <c r="A201" s="42"/>
      <c r="B201" s="38"/>
      <c r="C201" s="42" t="s">
        <v>1123</v>
      </c>
      <c r="D201" s="38"/>
      <c r="E201" s="38"/>
      <c r="F201" s="38"/>
      <c r="G201" s="63" t="s">
        <v>1149</v>
      </c>
      <c r="H201" s="42" t="s">
        <v>999</v>
      </c>
      <c r="I201" s="255"/>
      <c r="J201" s="296" t="str">
        <f t="shared" si="18"/>
        <v/>
      </c>
      <c r="K201" s="174">
        <v>1</v>
      </c>
      <c r="L201" s="193">
        <f>IF(ISBLANK(I201),IF(ISNUMBER(J201)=FALSE,K201/1000,J201/1000),I201/1000)</f>
        <v>1E-3</v>
      </c>
      <c r="M201" s="42" t="s">
        <v>1524</v>
      </c>
      <c r="N201" s="38"/>
      <c r="O201" s="42"/>
    </row>
    <row r="202" spans="1:15" ht="12.75" customHeight="1" x14ac:dyDescent="0.3">
      <c r="A202" s="42"/>
      <c r="B202" s="42" t="s">
        <v>1370</v>
      </c>
      <c r="C202" s="64"/>
      <c r="D202" s="38"/>
      <c r="E202" s="38"/>
      <c r="F202" s="38"/>
      <c r="G202" s="63" t="s">
        <v>406</v>
      </c>
      <c r="H202" s="42" t="s">
        <v>28</v>
      </c>
      <c r="I202" s="252"/>
      <c r="J202" s="296" t="str">
        <f t="shared" si="18"/>
        <v/>
      </c>
      <c r="K202" s="174">
        <f ca="1">L167+L168*L203*RHOsolid/1000</f>
        <v>1677.1966704086205</v>
      </c>
      <c r="L202" s="193">
        <f t="shared" ref="L202:L209" ca="1" si="20">IF(ISBLANK(I202),IF(ISNUMBER(J202)=FALSE,K202,J202),I202)</f>
        <v>1677.1966704086205</v>
      </c>
      <c r="M202" s="42" t="s">
        <v>477</v>
      </c>
      <c r="N202" s="38"/>
      <c r="O202" s="42"/>
    </row>
    <row r="203" spans="1:15" ht="12.75" customHeight="1" x14ac:dyDescent="0.3">
      <c r="A203" s="42"/>
      <c r="B203" s="38"/>
      <c r="C203" s="42" t="s">
        <v>1371</v>
      </c>
      <c r="D203" s="38"/>
      <c r="E203" s="38"/>
      <c r="F203" s="38"/>
      <c r="G203" s="63" t="s">
        <v>168</v>
      </c>
      <c r="H203" s="42" t="s">
        <v>1809</v>
      </c>
      <c r="I203" s="252"/>
      <c r="J203" s="296" t="str">
        <f t="shared" si="18"/>
        <v/>
      </c>
      <c r="K203" s="174">
        <f ca="1">(FRorig.sd2*Ksw+(1-FRorig.sd2)*Ksw.alt)*(1000/RHOsolid/CORG)*L204</f>
        <v>3297.2291817840619</v>
      </c>
      <c r="L203" s="193">
        <f t="shared" ca="1" si="20"/>
        <v>3297.2291817840619</v>
      </c>
      <c r="M203" s="42" t="s">
        <v>1525</v>
      </c>
      <c r="N203" s="38"/>
      <c r="O203" s="42"/>
    </row>
    <row r="204" spans="1:15" ht="12.75" customHeight="1" x14ac:dyDescent="0.3">
      <c r="A204" s="42"/>
      <c r="B204" s="38"/>
      <c r="C204" s="42" t="s">
        <v>538</v>
      </c>
      <c r="D204" s="38"/>
      <c r="E204" s="38"/>
      <c r="F204" s="38"/>
      <c r="G204" s="63" t="s">
        <v>404</v>
      </c>
      <c r="H204" s="42" t="s">
        <v>28</v>
      </c>
      <c r="I204" s="252"/>
      <c r="J204" s="296" t="str">
        <f t="shared" si="18"/>
        <v/>
      </c>
      <c r="K204" s="174">
        <v>0.05</v>
      </c>
      <c r="L204" s="193">
        <f t="shared" si="20"/>
        <v>0.05</v>
      </c>
      <c r="M204" s="42" t="s">
        <v>477</v>
      </c>
      <c r="N204" s="38"/>
      <c r="O204" s="42"/>
    </row>
    <row r="205" spans="1:15" ht="12.75" customHeight="1" x14ac:dyDescent="0.3">
      <c r="A205" s="42"/>
      <c r="B205" s="42" t="s">
        <v>1367</v>
      </c>
      <c r="C205" s="64"/>
      <c r="D205" s="38"/>
      <c r="E205" s="38"/>
      <c r="F205" s="38"/>
      <c r="G205" s="63" t="s">
        <v>2004</v>
      </c>
      <c r="H205" s="42" t="s">
        <v>28</v>
      </c>
      <c r="I205" s="252"/>
      <c r="J205" s="296" t="str">
        <f t="shared" si="18"/>
        <v/>
      </c>
      <c r="K205" s="174">
        <f ca="1">L164*(L186*FRorig.s1w)+L165+L166*L208*RHOsolid/1000</f>
        <v>2011.8760044903454</v>
      </c>
      <c r="L205" s="193">
        <f t="shared" ca="1" si="20"/>
        <v>2011.8760044903454</v>
      </c>
      <c r="M205" s="38" t="s">
        <v>477</v>
      </c>
      <c r="N205" s="38"/>
      <c r="O205" s="42"/>
    </row>
    <row r="206" spans="1:15" ht="12.75" customHeight="1" x14ac:dyDescent="0.3">
      <c r="A206" s="42"/>
      <c r="B206" s="42" t="s">
        <v>40</v>
      </c>
      <c r="C206" s="64"/>
      <c r="D206" s="38"/>
      <c r="E206" s="38"/>
      <c r="F206" s="38"/>
      <c r="G206" s="63" t="s">
        <v>1297</v>
      </c>
      <c r="H206" s="42" t="s">
        <v>28</v>
      </c>
      <c r="I206" s="252"/>
      <c r="J206" s="296" t="str">
        <f t="shared" si="18"/>
        <v/>
      </c>
      <c r="K206" s="174">
        <f ca="1">L165/(L164*(L186*FRorig.s1w)+L165+L166*L208*RHOsolid/1000)</f>
        <v>9.9409704948821942E-5</v>
      </c>
      <c r="L206" s="193">
        <f t="shared" ca="1" si="20"/>
        <v>9.9409704948821942E-5</v>
      </c>
      <c r="M206" s="38" t="s">
        <v>477</v>
      </c>
      <c r="N206" s="38"/>
      <c r="O206" s="42"/>
    </row>
    <row r="207" spans="1:15" ht="12.75" customHeight="1" x14ac:dyDescent="0.3">
      <c r="A207" s="42"/>
      <c r="B207" s="42" t="s">
        <v>1296</v>
      </c>
      <c r="C207" s="64"/>
      <c r="D207" s="38"/>
      <c r="E207" s="38"/>
      <c r="F207" s="38"/>
      <c r="G207" s="63" t="s">
        <v>1298</v>
      </c>
      <c r="H207" s="42" t="s">
        <v>28</v>
      </c>
      <c r="I207" s="252"/>
      <c r="J207" s="296" t="str">
        <f t="shared" si="18"/>
        <v/>
      </c>
      <c r="K207" s="174">
        <f ca="1">L166 / (L164*L186*FRorig.s1w/(L208*RHOsolid/1000)+L165/(L208*RHOsolid/1000)+L166 )</f>
        <v>0.99990059029505118</v>
      </c>
      <c r="L207" s="193">
        <f t="shared" ca="1" si="20"/>
        <v>0.99990059029505118</v>
      </c>
      <c r="M207" s="4" t="s">
        <v>477</v>
      </c>
      <c r="N207" s="38"/>
      <c r="O207" s="42"/>
    </row>
    <row r="208" spans="1:15" ht="12.75" customHeight="1" x14ac:dyDescent="0.3">
      <c r="A208" s="42"/>
      <c r="B208" s="38"/>
      <c r="C208" s="42" t="s">
        <v>1368</v>
      </c>
      <c r="D208" s="38"/>
      <c r="E208" s="38"/>
      <c r="F208" s="38"/>
      <c r="G208" s="63" t="s">
        <v>163</v>
      </c>
      <c r="H208" s="42" t="s">
        <v>1809</v>
      </c>
      <c r="I208" s="252"/>
      <c r="J208" s="296" t="str">
        <f t="shared" si="18"/>
        <v/>
      </c>
      <c r="K208" s="174">
        <f ca="1">(FRorig.s1*Ksw+(1-FRorig.s1)*Ksw.alt)*(1000/RHOsolid/CORG)*L209</f>
        <v>1318.8916727136248</v>
      </c>
      <c r="L208" s="193">
        <f t="shared" ca="1" si="20"/>
        <v>1318.8916727136248</v>
      </c>
      <c r="M208" s="42" t="s">
        <v>1525</v>
      </c>
      <c r="N208" s="38"/>
      <c r="O208" s="42"/>
    </row>
    <row r="209" spans="1:15" ht="12.75" customHeight="1" x14ac:dyDescent="0.3">
      <c r="A209" s="42"/>
      <c r="B209" s="38"/>
      <c r="C209" s="42" t="s">
        <v>1369</v>
      </c>
      <c r="D209" s="38"/>
      <c r="E209" s="38"/>
      <c r="F209" s="38"/>
      <c r="G209" s="63" t="s">
        <v>405</v>
      </c>
      <c r="H209" s="42" t="s">
        <v>28</v>
      </c>
      <c r="I209" s="252"/>
      <c r="J209" s="296" t="str">
        <f t="shared" si="18"/>
        <v/>
      </c>
      <c r="K209" s="174">
        <v>0.02</v>
      </c>
      <c r="L209" s="193">
        <f t="shared" si="20"/>
        <v>0.02</v>
      </c>
      <c r="M209" s="38" t="s">
        <v>477</v>
      </c>
      <c r="N209" s="38"/>
      <c r="O209" s="42"/>
    </row>
    <row r="210" spans="1:15" ht="12.75" customHeight="1" x14ac:dyDescent="0.3">
      <c r="A210" s="38"/>
      <c r="B210" s="38"/>
      <c r="C210" s="38"/>
      <c r="D210" s="38"/>
      <c r="E210" s="38"/>
      <c r="F210" s="38"/>
      <c r="G210" s="38"/>
      <c r="H210" s="38"/>
      <c r="I210" s="200"/>
      <c r="J210" s="161"/>
      <c r="K210" s="175"/>
      <c r="L210" s="162"/>
      <c r="M210" s="38"/>
      <c r="N210" s="38"/>
      <c r="O210" s="42"/>
    </row>
    <row r="211" spans="1:15" customFormat="1" ht="12.75" customHeight="1" x14ac:dyDescent="0.3">
      <c r="A211" s="67" t="s">
        <v>1306</v>
      </c>
      <c r="B211" s="66"/>
      <c r="C211" s="66"/>
      <c r="D211" s="66"/>
      <c r="E211" s="66"/>
      <c r="F211" s="66"/>
      <c r="G211" s="67" t="s">
        <v>969</v>
      </c>
      <c r="H211" s="67" t="s">
        <v>929</v>
      </c>
      <c r="I211" s="189" t="s">
        <v>748</v>
      </c>
      <c r="J211" s="163" t="s">
        <v>29</v>
      </c>
      <c r="K211" s="163" t="s">
        <v>747</v>
      </c>
      <c r="L211" s="163" t="s">
        <v>1353</v>
      </c>
      <c r="M211" s="66"/>
      <c r="N211" s="67" t="s">
        <v>1366</v>
      </c>
      <c r="O211" s="42"/>
    </row>
    <row r="212" spans="1:15" ht="12.75" customHeight="1" x14ac:dyDescent="0.3">
      <c r="A212" s="38"/>
      <c r="B212" s="38"/>
      <c r="C212" s="38"/>
      <c r="D212" s="38"/>
      <c r="E212" s="38"/>
      <c r="F212" s="38"/>
      <c r="G212" s="38"/>
      <c r="H212" s="65"/>
      <c r="I212" s="200"/>
      <c r="J212" s="200"/>
      <c r="K212" s="175"/>
      <c r="L212" s="162"/>
      <c r="M212" s="38"/>
      <c r="N212" s="38"/>
      <c r="O212" s="42"/>
    </row>
    <row r="213" spans="1:15" ht="12.75" customHeight="1" x14ac:dyDescent="0.3">
      <c r="A213" s="42" t="s">
        <v>85</v>
      </c>
      <c r="B213" s="38"/>
      <c r="C213" s="38"/>
      <c r="D213" s="38"/>
      <c r="E213" s="38"/>
      <c r="F213" s="38"/>
      <c r="G213" s="42" t="s">
        <v>1254</v>
      </c>
      <c r="H213" s="42" t="s">
        <v>1801</v>
      </c>
      <c r="I213" s="254"/>
      <c r="J213" s="296" t="str">
        <f t="shared" ref="J213:J238" si="21">IF(HLOOKUP(CaseName,CaseData,ROW()+600,FALSE)="","",HLOOKUP(CaseName,CaseData,ROW()+600,FALSE))</f>
        <v/>
      </c>
      <c r="K213" s="303">
        <f ca="1">(L217+L229/L157)*L155</f>
        <v>4.8349765339478567E-6</v>
      </c>
      <c r="L213" s="193">
        <f t="shared" ref="L213:L226" ca="1" si="22">IF(ISBLANK(I213),IF(ISNUMBER(J213)=FALSE,K213,J213),I213)</f>
        <v>4.8349765339478567E-6</v>
      </c>
      <c r="M213" s="38" t="s">
        <v>1515</v>
      </c>
      <c r="N213" s="38"/>
      <c r="O213" s="42"/>
    </row>
    <row r="214" spans="1:15" ht="12.75" customHeight="1" x14ac:dyDescent="0.3">
      <c r="A214" s="42" t="s">
        <v>86</v>
      </c>
      <c r="B214" s="38"/>
      <c r="C214" s="38"/>
      <c r="D214" s="38"/>
      <c r="E214" s="38"/>
      <c r="F214" s="38"/>
      <c r="G214" s="42" t="s">
        <v>841</v>
      </c>
      <c r="H214" s="42" t="s">
        <v>1801</v>
      </c>
      <c r="I214" s="254"/>
      <c r="J214" s="296" t="str">
        <f t="shared" si="21"/>
        <v/>
      </c>
      <c r="K214" s="303">
        <f ca="1">(L217+L230/L157)*L156</f>
        <v>3.2233176891352007E-6</v>
      </c>
      <c r="L214" s="193">
        <f t="shared" ca="1" si="22"/>
        <v>3.2233176891352007E-6</v>
      </c>
      <c r="M214" s="38" t="s">
        <v>1515</v>
      </c>
      <c r="N214" s="38"/>
      <c r="O214" s="42"/>
    </row>
    <row r="215" spans="1:15" ht="12.75" customHeight="1" x14ac:dyDescent="0.3">
      <c r="A215" s="42" t="s">
        <v>87</v>
      </c>
      <c r="B215" s="38"/>
      <c r="C215" s="38"/>
      <c r="D215" s="38"/>
      <c r="E215" s="38"/>
      <c r="F215" s="38"/>
      <c r="G215" s="42" t="s">
        <v>1255</v>
      </c>
      <c r="H215" s="42" t="s">
        <v>1801</v>
      </c>
      <c r="I215" s="254"/>
      <c r="J215" s="296" t="str">
        <f t="shared" si="21"/>
        <v/>
      </c>
      <c r="K215" s="303">
        <f ca="1">L231/L158</f>
        <v>7.5715646891947935E-27</v>
      </c>
      <c r="L215" s="193">
        <f t="shared" ca="1" si="22"/>
        <v>7.5715646891947935E-27</v>
      </c>
      <c r="M215" s="38" t="s">
        <v>1515</v>
      </c>
      <c r="N215" s="38"/>
      <c r="O215" s="42"/>
    </row>
    <row r="216" spans="1:15" ht="12.75" customHeight="1" x14ac:dyDescent="0.3">
      <c r="A216" s="42" t="s">
        <v>88</v>
      </c>
      <c r="B216" s="38"/>
      <c r="C216" s="38"/>
      <c r="D216" s="38"/>
      <c r="E216" s="38"/>
      <c r="F216" s="38"/>
      <c r="G216" s="42" t="s">
        <v>842</v>
      </c>
      <c r="H216" s="42" t="s">
        <v>1801</v>
      </c>
      <c r="I216" s="254"/>
      <c r="J216" s="296" t="str">
        <f t="shared" si="21"/>
        <v/>
      </c>
      <c r="K216" s="303">
        <f ca="1">L232/L161</f>
        <v>1.8546326174055336E-27</v>
      </c>
      <c r="L216" s="193">
        <f t="shared" ca="1" si="22"/>
        <v>1.8546326174055336E-27</v>
      </c>
      <c r="M216" s="38" t="s">
        <v>1515</v>
      </c>
      <c r="N216" s="38"/>
      <c r="O216" s="42"/>
    </row>
    <row r="217" spans="1:15" ht="12.75" customHeight="1" x14ac:dyDescent="0.3">
      <c r="A217" s="42"/>
      <c r="B217" s="42" t="s">
        <v>1874</v>
      </c>
      <c r="C217" s="38"/>
      <c r="D217" s="38"/>
      <c r="E217" s="38"/>
      <c r="F217" s="38"/>
      <c r="G217" s="43" t="s">
        <v>1891</v>
      </c>
      <c r="H217" s="42" t="s">
        <v>1801</v>
      </c>
      <c r="I217" s="254"/>
      <c r="J217" s="296" t="str">
        <f t="shared" si="21"/>
        <v/>
      </c>
      <c r="K217" s="303">
        <f ca="1">L218 - SUM((L229*L155+L230*L156)/L157,L267,L170)</f>
        <v>8.0582942227436162E-6</v>
      </c>
      <c r="L217" s="193">
        <f t="shared" ca="1" si="22"/>
        <v>8.0582942227436162E-6</v>
      </c>
      <c r="M217" s="38" t="s">
        <v>1597</v>
      </c>
      <c r="N217" s="38"/>
      <c r="O217" s="42"/>
    </row>
    <row r="218" spans="1:15" ht="12.75" customHeight="1" x14ac:dyDescent="0.3">
      <c r="A218" s="42"/>
      <c r="B218" s="42"/>
      <c r="C218" s="38" t="s">
        <v>1875</v>
      </c>
      <c r="D218" s="38"/>
      <c r="E218" s="38"/>
      <c r="F218" s="38"/>
      <c r="G218" s="43" t="s">
        <v>1892</v>
      </c>
      <c r="H218" s="42" t="s">
        <v>1801</v>
      </c>
      <c r="I218" s="254"/>
      <c r="J218" s="296" t="str">
        <f t="shared" si="21"/>
        <v/>
      </c>
      <c r="K218" s="174">
        <f ca="1">((1/L219)*L221/(L221+L222)+(1/L220)*L222/(L221+L222)-((1/L220-1/L219)^2/(L221+L222))*(1-EXP(-L219*L221))*(1-EXP(-L220*L222))/(1-EXP(-L219*L221-L220*L222)))^-1</f>
        <v>8.5775506122672667E-6</v>
      </c>
      <c r="L218" s="193">
        <f t="shared" ca="1" si="22"/>
        <v>8.5775506122672667E-6</v>
      </c>
      <c r="M218" s="38" t="s">
        <v>1515</v>
      </c>
      <c r="N218" s="38"/>
      <c r="O218" s="42"/>
    </row>
    <row r="219" spans="1:15" ht="12.75" customHeight="1" x14ac:dyDescent="0.3">
      <c r="A219" s="42"/>
      <c r="B219" s="42"/>
      <c r="C219" s="42"/>
      <c r="D219" s="42" t="s">
        <v>1956</v>
      </c>
      <c r="E219" s="38"/>
      <c r="F219" s="38"/>
      <c r="G219" s="43" t="s">
        <v>753</v>
      </c>
      <c r="H219" s="42" t="s">
        <v>1801</v>
      </c>
      <c r="I219" s="254"/>
      <c r="J219" s="296" t="str">
        <f t="shared" si="21"/>
        <v/>
      </c>
      <c r="K219" s="303">
        <f ca="1">L223/L157 + SUM((L229*L155+L230*L156)/L157,L267,L170)</f>
        <v>1.5192563894335679E-6</v>
      </c>
      <c r="L219" s="193">
        <f t="shared" ca="1" si="22"/>
        <v>1.5192563894335679E-6</v>
      </c>
      <c r="M219" s="38" t="s">
        <v>1515</v>
      </c>
      <c r="N219" s="38"/>
      <c r="O219" s="42"/>
    </row>
    <row r="220" spans="1:15" ht="12.75" customHeight="1" x14ac:dyDescent="0.3">
      <c r="A220" s="42"/>
      <c r="B220" s="42"/>
      <c r="C220" s="42"/>
      <c r="D220" s="42" t="s">
        <v>1957</v>
      </c>
      <c r="E220" s="38"/>
      <c r="F220" s="38"/>
      <c r="G220" s="43" t="s">
        <v>754</v>
      </c>
      <c r="H220" s="42" t="s">
        <v>1801</v>
      </c>
      <c r="I220" s="254"/>
      <c r="J220" s="296" t="str">
        <f t="shared" si="21"/>
        <v/>
      </c>
      <c r="K220" s="303">
        <f ca="1">(L224+L225)/L157 + SUM((L229*L155+L230*L156)/L157,L267,L170)</f>
        <v>84.940343449692904</v>
      </c>
      <c r="L220" s="193">
        <f t="shared" ca="1" si="22"/>
        <v>84.940343449692904</v>
      </c>
      <c r="M220" s="38" t="s">
        <v>1515</v>
      </c>
      <c r="N220" s="38"/>
      <c r="O220" s="42"/>
    </row>
    <row r="221" spans="1:15" ht="12.75" customHeight="1" x14ac:dyDescent="0.3">
      <c r="A221" s="42"/>
      <c r="B221" s="38" t="s">
        <v>890</v>
      </c>
      <c r="C221" s="38"/>
      <c r="D221" s="38"/>
      <c r="E221" s="38"/>
      <c r="F221" s="38"/>
      <c r="G221" s="38" t="s">
        <v>755</v>
      </c>
      <c r="H221" s="38" t="s">
        <v>1779</v>
      </c>
      <c r="I221" s="254"/>
      <c r="J221" s="296" t="str">
        <f t="shared" si="21"/>
        <v/>
      </c>
      <c r="K221" s="174">
        <f>3.3*24</f>
        <v>79.199999999999989</v>
      </c>
      <c r="L221" s="297">
        <f>IF(ISBLANK(I221),IF(ISNUMBER(J221)=FALSE,K221*3600,J221*3600),I221*3600)</f>
        <v>285119.99999999994</v>
      </c>
      <c r="M221" s="42" t="s">
        <v>107</v>
      </c>
      <c r="N221" s="38"/>
      <c r="O221" s="42"/>
    </row>
    <row r="222" spans="1:15" ht="12.75" customHeight="1" x14ac:dyDescent="0.3">
      <c r="A222" s="42"/>
      <c r="B222" s="38" t="s">
        <v>892</v>
      </c>
      <c r="C222" s="38"/>
      <c r="D222" s="38"/>
      <c r="E222" s="38"/>
      <c r="F222" s="38"/>
      <c r="G222" s="38" t="s">
        <v>756</v>
      </c>
      <c r="H222" s="38" t="s">
        <v>1779</v>
      </c>
      <c r="I222" s="254"/>
      <c r="J222" s="296" t="str">
        <f t="shared" si="21"/>
        <v/>
      </c>
      <c r="K222" s="174">
        <f>3.3*24*(0.06/(1-0.06))</f>
        <v>5.0553191489361691</v>
      </c>
      <c r="L222" s="297">
        <f>IF(ISBLANK(I222),IF(ISNUMBER(J222)=FALSE,K222*3600,J222*3600),I222*3600)</f>
        <v>18199.148936170208</v>
      </c>
      <c r="M222" s="42" t="s">
        <v>757</v>
      </c>
      <c r="N222" s="38"/>
      <c r="O222" s="42"/>
    </row>
    <row r="223" spans="1:15" ht="12.75" customHeight="1" x14ac:dyDescent="0.3">
      <c r="A223" s="42"/>
      <c r="B223" s="42" t="s">
        <v>484</v>
      </c>
      <c r="C223" s="38"/>
      <c r="D223" s="38"/>
      <c r="E223" s="38"/>
      <c r="F223" s="38"/>
      <c r="G223" s="63" t="s">
        <v>408</v>
      </c>
      <c r="H223" s="39" t="s">
        <v>1802</v>
      </c>
      <c r="I223" s="252"/>
      <c r="J223" s="296" t="str">
        <f t="shared" si="21"/>
        <v/>
      </c>
      <c r="K223" s="174">
        <f>L226*(L184+L185)</f>
        <v>9.9999999990991735E-4</v>
      </c>
      <c r="L223" s="193">
        <f t="shared" si="22"/>
        <v>9.9999999990991735E-4</v>
      </c>
      <c r="M223" s="38" t="s">
        <v>1517</v>
      </c>
      <c r="N223" s="38"/>
      <c r="O223" s="42"/>
    </row>
    <row r="224" spans="1:15" ht="12.75" customHeight="1" x14ac:dyDescent="0.3">
      <c r="A224" s="42"/>
      <c r="B224" s="42" t="s">
        <v>739</v>
      </c>
      <c r="C224" s="38"/>
      <c r="D224" s="38"/>
      <c r="E224" s="38"/>
      <c r="F224" s="38"/>
      <c r="G224" s="43" t="s">
        <v>984</v>
      </c>
      <c r="H224" s="64" t="s">
        <v>1802</v>
      </c>
      <c r="I224" s="252"/>
      <c r="J224" s="296" t="str">
        <f t="shared" si="21"/>
        <v/>
      </c>
      <c r="K224" s="174">
        <f>L185*(L221+L222)/L222*L227*L228</f>
        <v>5.9034591744707779E-3</v>
      </c>
      <c r="L224" s="193">
        <f t="shared" si="22"/>
        <v>5.9034591744707779E-3</v>
      </c>
      <c r="M224" s="38" t="s">
        <v>1517</v>
      </c>
      <c r="N224" s="38"/>
      <c r="O224" s="42"/>
    </row>
    <row r="225" spans="1:15" ht="12.75" customHeight="1" x14ac:dyDescent="0.3">
      <c r="A225" s="42"/>
      <c r="B225" s="42" t="s">
        <v>740</v>
      </c>
      <c r="C225" s="38"/>
      <c r="D225" s="38"/>
      <c r="E225" s="38"/>
      <c r="F225" s="38"/>
      <c r="G225" s="43" t="s">
        <v>985</v>
      </c>
      <c r="H225" s="64" t="s">
        <v>1802</v>
      </c>
      <c r="I225" s="252"/>
      <c r="J225" s="296" t="str">
        <f t="shared" si="21"/>
        <v/>
      </c>
      <c r="K225" s="174">
        <f>L183*(L221+L222)/L222*L227/(L186*FRorig.aerw)</f>
        <v>84940.337026977344</v>
      </c>
      <c r="L225" s="193">
        <f t="shared" si="22"/>
        <v>84940.337026977344</v>
      </c>
      <c r="M225" s="38" t="s">
        <v>1517</v>
      </c>
      <c r="N225" s="38"/>
      <c r="O225" s="42"/>
    </row>
    <row r="226" spans="1:15" ht="12.75" customHeight="1" x14ac:dyDescent="0.3">
      <c r="A226" s="42"/>
      <c r="B226" s="38"/>
      <c r="C226" s="64" t="s">
        <v>741</v>
      </c>
      <c r="D226" s="64"/>
      <c r="E226" s="64"/>
      <c r="F226" s="64"/>
      <c r="G226" s="63" t="s">
        <v>485</v>
      </c>
      <c r="H226" s="39" t="s">
        <v>1802</v>
      </c>
      <c r="I226" s="252"/>
      <c r="J226" s="296" t="str">
        <f t="shared" si="21"/>
        <v/>
      </c>
      <c r="K226" s="174">
        <v>1E-3</v>
      </c>
      <c r="L226" s="193">
        <f t="shared" si="22"/>
        <v>1E-3</v>
      </c>
      <c r="M226" s="38" t="s">
        <v>1517</v>
      </c>
      <c r="N226" s="38"/>
      <c r="O226" s="42"/>
    </row>
    <row r="227" spans="1:15" ht="12.75" customHeight="1" x14ac:dyDescent="0.3">
      <c r="A227" s="42"/>
      <c r="B227" s="38"/>
      <c r="C227" s="42" t="s">
        <v>742</v>
      </c>
      <c r="D227" s="64"/>
      <c r="E227" s="64"/>
      <c r="F227" s="64"/>
      <c r="G227" s="63" t="s">
        <v>486</v>
      </c>
      <c r="H227" s="64" t="s">
        <v>1812</v>
      </c>
      <c r="I227" s="252"/>
      <c r="J227" s="296" t="str">
        <f t="shared" si="21"/>
        <v/>
      </c>
      <c r="K227" s="174">
        <v>250</v>
      </c>
      <c r="L227" s="193">
        <f>IF(ISBLANK(I227),IF(ISNUMBER(J227)=FALSE,K227/(1000*3600*24*365),J227/(1000*3600*24*365)),I227/(1000*3600*24*365))</f>
        <v>7.9274479959411465E-9</v>
      </c>
      <c r="M227" s="38" t="s">
        <v>1517</v>
      </c>
      <c r="N227" s="38"/>
      <c r="O227" s="42"/>
    </row>
    <row r="228" spans="1:15" ht="12.75" customHeight="1" x14ac:dyDescent="0.3">
      <c r="A228" s="42"/>
      <c r="B228" s="38"/>
      <c r="C228" s="42" t="s">
        <v>440</v>
      </c>
      <c r="D228" s="38"/>
      <c r="E228" s="38"/>
      <c r="F228" s="38"/>
      <c r="G228" s="63" t="s">
        <v>487</v>
      </c>
      <c r="H228" s="42" t="s">
        <v>28</v>
      </c>
      <c r="I228" s="252"/>
      <c r="J228" s="296" t="str">
        <f t="shared" si="21"/>
        <v/>
      </c>
      <c r="K228" s="174">
        <v>200000</v>
      </c>
      <c r="L228" s="193">
        <f t="shared" ref="L228:L238" si="23">IF(ISBLANK(I228),IF(ISNUMBER(J228)=FALSE,K228,J228),I228)</f>
        <v>200000</v>
      </c>
      <c r="M228" s="42" t="s">
        <v>477</v>
      </c>
      <c r="N228" s="38"/>
      <c r="O228" s="42"/>
    </row>
    <row r="229" spans="1:15" ht="12.75" customHeight="1" x14ac:dyDescent="0.3">
      <c r="A229" s="42"/>
      <c r="B229" s="42" t="s">
        <v>1825</v>
      </c>
      <c r="C229" s="38"/>
      <c r="D229" s="38"/>
      <c r="E229" s="64"/>
      <c r="F229" s="64"/>
      <c r="G229" s="43" t="s">
        <v>1893</v>
      </c>
      <c r="H229" s="42" t="s">
        <v>1817</v>
      </c>
      <c r="I229" s="252"/>
      <c r="J229" s="296" t="str">
        <f t="shared" si="21"/>
        <v/>
      </c>
      <c r="K229" s="303">
        <f>L183*(L233*L234/(L233*(L186*FRorig.w2)+L234))</f>
        <v>5.0281303067007388E-13</v>
      </c>
      <c r="L229" s="193">
        <f t="shared" si="23"/>
        <v>5.0281303067007388E-13</v>
      </c>
      <c r="M229" s="42" t="s">
        <v>1818</v>
      </c>
      <c r="N229" s="38"/>
      <c r="O229" s="42"/>
    </row>
    <row r="230" spans="1:15" ht="12.75" customHeight="1" x14ac:dyDescent="0.3">
      <c r="A230" s="42"/>
      <c r="B230" s="42" t="s">
        <v>1826</v>
      </c>
      <c r="C230" s="38"/>
      <c r="D230" s="38"/>
      <c r="E230" s="64"/>
      <c r="F230" s="64"/>
      <c r="G230" s="43" t="s">
        <v>1894</v>
      </c>
      <c r="H230" s="42" t="s">
        <v>1817</v>
      </c>
      <c r="I230" s="252"/>
      <c r="J230" s="296" t="str">
        <f t="shared" si="21"/>
        <v/>
      </c>
      <c r="K230" s="303">
        <f ca="1">L183*(L236*L237)/(L236*((L186*FRorig.s1w)/L205)+L237)</f>
        <v>9.4384750028255484E-14</v>
      </c>
      <c r="L230" s="193">
        <f ca="1">IF(ISBLANK(I230),IF(ISNUMBER(J230)=FALSE,K230,J230),I230)</f>
        <v>9.4384750028255484E-14</v>
      </c>
      <c r="M230" s="42" t="s">
        <v>1818</v>
      </c>
      <c r="N230" s="38"/>
      <c r="O230" s="42"/>
    </row>
    <row r="231" spans="1:15" ht="12.75" customHeight="1" x14ac:dyDescent="0.3">
      <c r="A231" s="42"/>
      <c r="B231" s="42" t="s">
        <v>1878</v>
      </c>
      <c r="C231" s="38"/>
      <c r="D231" s="38"/>
      <c r="E231" s="38"/>
      <c r="F231" s="38"/>
      <c r="G231" s="43" t="s">
        <v>1895</v>
      </c>
      <c r="H231" s="42" t="s">
        <v>1817</v>
      </c>
      <c r="I231" s="252"/>
      <c r="J231" s="296" t="str">
        <f t="shared" si="21"/>
        <v/>
      </c>
      <c r="K231" s="303">
        <f ca="1">(L233*L234/(L233*(L186*FRorig.w2)+L234))*(L186*FRorig.w2)*L190</f>
        <v>7.5715646891947933E-25</v>
      </c>
      <c r="L231" s="193">
        <f t="shared" ca="1" si="23"/>
        <v>7.5715646891947933E-25</v>
      </c>
      <c r="M231" s="42" t="s">
        <v>1818</v>
      </c>
      <c r="N231" s="38"/>
      <c r="O231" s="42"/>
    </row>
    <row r="232" spans="1:15" ht="12.75" customHeight="1" x14ac:dyDescent="0.3">
      <c r="A232" s="42"/>
      <c r="B232" s="42" t="s">
        <v>1880</v>
      </c>
      <c r="C232" s="38"/>
      <c r="D232" s="38"/>
      <c r="E232" s="64"/>
      <c r="F232" s="64"/>
      <c r="G232" s="43" t="s">
        <v>1897</v>
      </c>
      <c r="H232" s="42" t="s">
        <v>1817</v>
      </c>
      <c r="I232" s="252"/>
      <c r="J232" s="296" t="str">
        <f t="shared" si="21"/>
        <v/>
      </c>
      <c r="K232" s="303">
        <f ca="1">(L236*L237)/(L236+L237/((L186*FRorig.s1w)/L205))*L238</f>
        <v>9.273163087027669E-29</v>
      </c>
      <c r="L232" s="193">
        <f ca="1">IF(ISBLANK(I232),IF(ISNUMBER(J232)=FALSE,K232,J232),I232)</f>
        <v>9.273163087027669E-29</v>
      </c>
      <c r="M232" s="42" t="s">
        <v>1818</v>
      </c>
      <c r="N232" s="38"/>
      <c r="O232" s="42"/>
    </row>
    <row r="233" spans="1:15" ht="12.75" customHeight="1" x14ac:dyDescent="0.3">
      <c r="A233" s="38"/>
      <c r="B233" s="42"/>
      <c r="C233" s="38" t="s">
        <v>1070</v>
      </c>
      <c r="D233" s="38"/>
      <c r="E233" s="38"/>
      <c r="F233" s="38"/>
      <c r="G233" s="38" t="s">
        <v>2005</v>
      </c>
      <c r="H233" s="39" t="s">
        <v>1802</v>
      </c>
      <c r="I233" s="252"/>
      <c r="J233" s="296" t="str">
        <f t="shared" si="21"/>
        <v/>
      </c>
      <c r="K233" s="174">
        <f>0.01*(0.3+0.2*L235)*((0.018/Molweight)^(0.67*0.5))</f>
        <v>5.5816864840963773E-3</v>
      </c>
      <c r="L233" s="193">
        <f t="shared" si="23"/>
        <v>5.5816864840963773E-3</v>
      </c>
      <c r="M233" s="38" t="s">
        <v>1517</v>
      </c>
      <c r="N233" s="38"/>
      <c r="O233" s="42"/>
    </row>
    <row r="234" spans="1:15" ht="12.75" customHeight="1" x14ac:dyDescent="0.3">
      <c r="A234" s="38"/>
      <c r="B234" s="42"/>
      <c r="C234" s="38" t="s">
        <v>1009</v>
      </c>
      <c r="D234" s="38"/>
      <c r="E234" s="38"/>
      <c r="F234" s="38"/>
      <c r="G234" s="38" t="s">
        <v>2006</v>
      </c>
      <c r="H234" s="39" t="s">
        <v>1802</v>
      </c>
      <c r="I234" s="252"/>
      <c r="J234" s="296" t="str">
        <f t="shared" si="21"/>
        <v/>
      </c>
      <c r="K234" s="174">
        <f>0.01*(0.0004+0.00004*L235^2)*((0.032/Molweight)^(0.5*0.5))</f>
        <v>6.1439733890516994E-6</v>
      </c>
      <c r="L234" s="193">
        <f t="shared" si="23"/>
        <v>6.1439733890516994E-6</v>
      </c>
      <c r="M234" s="38" t="s">
        <v>1517</v>
      </c>
      <c r="N234" s="38"/>
      <c r="O234" s="42"/>
    </row>
    <row r="235" spans="1:15" ht="12.75" customHeight="1" x14ac:dyDescent="0.3">
      <c r="A235" s="42"/>
      <c r="B235" s="38"/>
      <c r="C235" s="38"/>
      <c r="D235" s="64" t="s">
        <v>699</v>
      </c>
      <c r="E235" s="38"/>
      <c r="F235" s="38"/>
      <c r="G235" s="43" t="s">
        <v>402</v>
      </c>
      <c r="H235" s="39" t="s">
        <v>1802</v>
      </c>
      <c r="I235" s="252"/>
      <c r="J235" s="296" t="str">
        <f t="shared" si="21"/>
        <v/>
      </c>
      <c r="K235" s="174">
        <v>3</v>
      </c>
      <c r="L235" s="193">
        <f t="shared" si="23"/>
        <v>3</v>
      </c>
      <c r="M235" s="38" t="s">
        <v>1517</v>
      </c>
      <c r="N235" s="38"/>
      <c r="O235" s="42"/>
    </row>
    <row r="236" spans="1:15" ht="12.75" customHeight="1" x14ac:dyDescent="0.3">
      <c r="A236" s="42"/>
      <c r="B236" s="42"/>
      <c r="C236" s="38" t="s">
        <v>1010</v>
      </c>
      <c r="D236" s="38"/>
      <c r="E236" s="64"/>
      <c r="F236" s="64"/>
      <c r="G236" s="38" t="s">
        <v>2007</v>
      </c>
      <c r="H236" s="39" t="s">
        <v>1802</v>
      </c>
      <c r="I236" s="252"/>
      <c r="J236" s="296" t="str">
        <f t="shared" si="21"/>
        <v/>
      </c>
      <c r="K236" s="174">
        <f>0.43/(24*3600)/0.00475</f>
        <v>1.0477582846003899E-3</v>
      </c>
      <c r="L236" s="193">
        <f>IF(ISBLANK(I236),IF(ISNUMBER(J236)=FALSE,K236,J236),I236)</f>
        <v>1.0477582846003899E-3</v>
      </c>
      <c r="M236" s="38" t="s">
        <v>1517</v>
      </c>
      <c r="N236" s="38"/>
      <c r="O236" s="42"/>
    </row>
    <row r="237" spans="1:15" ht="12.75" customHeight="1" x14ac:dyDescent="0.3">
      <c r="A237" s="42"/>
      <c r="B237" s="42"/>
      <c r="C237" s="38" t="s">
        <v>850</v>
      </c>
      <c r="D237" s="38"/>
      <c r="E237" s="38"/>
      <c r="F237" s="38"/>
      <c r="G237" s="38" t="s">
        <v>2008</v>
      </c>
      <c r="H237" s="64" t="s">
        <v>1802</v>
      </c>
      <c r="I237" s="252"/>
      <c r="J237" s="296" t="str">
        <f t="shared" si="21"/>
        <v/>
      </c>
      <c r="K237" s="174">
        <f>0.1*L276</f>
        <v>8.8388347648318441E-23</v>
      </c>
      <c r="L237" s="193">
        <f>IF(ISBLANK(I237),IF(ISNUMBER(J237)=FALSE,K237,J237),I237)</f>
        <v>8.8388347648318441E-23</v>
      </c>
      <c r="M237" s="38" t="s">
        <v>1517</v>
      </c>
      <c r="N237" s="38" t="s">
        <v>1410</v>
      </c>
      <c r="O237" s="42"/>
    </row>
    <row r="238" spans="1:15" ht="12.75" customHeight="1" x14ac:dyDescent="0.3">
      <c r="A238" s="42"/>
      <c r="B238" s="42"/>
      <c r="C238" s="38" t="s">
        <v>177</v>
      </c>
      <c r="D238" s="38"/>
      <c r="E238" s="64"/>
      <c r="F238" s="38"/>
      <c r="G238" s="43" t="s">
        <v>878</v>
      </c>
      <c r="H238" s="38" t="s">
        <v>28</v>
      </c>
      <c r="I238" s="252"/>
      <c r="J238" s="296" t="str">
        <f t="shared" si="21"/>
        <v/>
      </c>
      <c r="K238" s="174">
        <f>(EXP((-1/0.1)*0)*(1/0.1)*L161/(1-EXP((-1/0.1)*L161)))</f>
        <v>1.2707470412683992</v>
      </c>
      <c r="L238" s="193">
        <f t="shared" si="23"/>
        <v>1.2707470412683992</v>
      </c>
      <c r="M238" s="42" t="s">
        <v>477</v>
      </c>
      <c r="N238" s="38" t="s">
        <v>956</v>
      </c>
      <c r="O238" s="42"/>
    </row>
    <row r="239" spans="1:15" ht="12.75" customHeight="1" x14ac:dyDescent="0.3">
      <c r="A239" s="38"/>
      <c r="B239" s="38"/>
      <c r="C239" s="38"/>
      <c r="D239" s="38"/>
      <c r="E239" s="38"/>
      <c r="F239" s="38"/>
      <c r="G239" s="38"/>
      <c r="H239" s="38"/>
      <c r="I239" s="203"/>
      <c r="J239" s="296"/>
      <c r="K239" s="162"/>
      <c r="L239" s="162"/>
      <c r="M239" s="38"/>
      <c r="N239" s="38"/>
      <c r="O239" s="42"/>
    </row>
    <row r="240" spans="1:15" ht="12.75" customHeight="1" x14ac:dyDescent="0.3">
      <c r="A240" s="42" t="s">
        <v>89</v>
      </c>
      <c r="B240" s="38"/>
      <c r="C240" s="38"/>
      <c r="D240" s="38"/>
      <c r="E240" s="38"/>
      <c r="F240" s="38"/>
      <c r="G240" s="43" t="s">
        <v>1157</v>
      </c>
      <c r="H240" s="42" t="s">
        <v>1801</v>
      </c>
      <c r="I240" s="253"/>
      <c r="J240" s="296" t="str">
        <f t="shared" ref="J240:J252" si="24">IF(HLOOKUP(CaseName,CaseData,ROW()+600,FALSE)="","",HLOOKUP(CaseName,CaseData,ROW()+600,FALSE))</f>
        <v/>
      </c>
      <c r="K240" s="303">
        <f ca="1">(L242+L249)/L159</f>
        <v>3.1674403892186581E-10</v>
      </c>
      <c r="L240" s="193">
        <f t="shared" ref="L240:L247" ca="1" si="25">IF(ISBLANK(I240),IF(ISNUMBER(J240)=FALSE,K240,J240),I240)</f>
        <v>3.1674403892186581E-10</v>
      </c>
      <c r="M240" s="38" t="s">
        <v>1515</v>
      </c>
      <c r="N240" s="38"/>
      <c r="O240" s="42"/>
    </row>
    <row r="241" spans="1:15" ht="12.75" customHeight="1" x14ac:dyDescent="0.3">
      <c r="A241" s="42" t="s">
        <v>90</v>
      </c>
      <c r="B241" s="38"/>
      <c r="C241" s="38"/>
      <c r="D241" s="38"/>
      <c r="E241" s="38"/>
      <c r="F241" s="38"/>
      <c r="G241" s="43" t="s">
        <v>1158</v>
      </c>
      <c r="H241" s="42" t="s">
        <v>1801</v>
      </c>
      <c r="I241" s="253"/>
      <c r="J241" s="296" t="str">
        <f t="shared" si="24"/>
        <v/>
      </c>
      <c r="K241" s="303">
        <f ca="1">(L243+L250)/L160</f>
        <v>1.0029750285175677E-8</v>
      </c>
      <c r="L241" s="193">
        <f t="shared" ca="1" si="25"/>
        <v>1.0029750285175677E-8</v>
      </c>
      <c r="M241" s="38" t="s">
        <v>1515</v>
      </c>
      <c r="N241" s="38"/>
      <c r="O241" s="42"/>
    </row>
    <row r="242" spans="1:15" ht="12.75" customHeight="1" x14ac:dyDescent="0.3">
      <c r="A242" s="42"/>
      <c r="B242" s="42" t="s">
        <v>1881</v>
      </c>
      <c r="C242" s="38"/>
      <c r="D242" s="38"/>
      <c r="E242" s="38"/>
      <c r="F242" s="38"/>
      <c r="G242" s="43" t="s">
        <v>1898</v>
      </c>
      <c r="H242" s="42" t="s">
        <v>1817</v>
      </c>
      <c r="I242" s="252"/>
      <c r="J242" s="296" t="str">
        <f t="shared" si="24"/>
        <v/>
      </c>
      <c r="K242" s="303">
        <f ca="1">(L244*L168*RHOsolid/L196)*((L192*L196/1000)*L190)</f>
        <v>9.2360514307479212E-7</v>
      </c>
      <c r="L242" s="193">
        <f t="shared" ca="1" si="25"/>
        <v>9.2360514307479212E-7</v>
      </c>
      <c r="M242" s="42" t="s">
        <v>1818</v>
      </c>
      <c r="N242" s="38"/>
      <c r="O242" s="42"/>
    </row>
    <row r="243" spans="1:15" ht="12.75" customHeight="1" x14ac:dyDescent="0.3">
      <c r="A243" s="42"/>
      <c r="B243" s="42" t="s">
        <v>1882</v>
      </c>
      <c r="C243" s="38"/>
      <c r="D243" s="38"/>
      <c r="E243" s="38"/>
      <c r="F243" s="38"/>
      <c r="G243" s="43" t="s">
        <v>1899</v>
      </c>
      <c r="H243" s="42" t="s">
        <v>1817</v>
      </c>
      <c r="I243" s="252"/>
      <c r="J243" s="296" t="str">
        <f t="shared" si="24"/>
        <v/>
      </c>
      <c r="K243" s="303">
        <f ca="1">L245</f>
        <v>2.844931494459129E-10</v>
      </c>
      <c r="L243" s="193">
        <f t="shared" ca="1" si="25"/>
        <v>2.844931494459129E-10</v>
      </c>
      <c r="M243" s="42" t="s">
        <v>1818</v>
      </c>
      <c r="N243" s="38"/>
      <c r="O243" s="42"/>
    </row>
    <row r="244" spans="1:15" ht="12.75" customHeight="1" x14ac:dyDescent="0.3">
      <c r="A244" s="42"/>
      <c r="B244" s="42"/>
      <c r="C244" s="42" t="s">
        <v>1223</v>
      </c>
      <c r="D244" s="42"/>
      <c r="E244" s="38"/>
      <c r="F244" s="38"/>
      <c r="G244" s="63" t="s">
        <v>154</v>
      </c>
      <c r="H244" s="39" t="s">
        <v>1802</v>
      </c>
      <c r="I244" s="252"/>
      <c r="J244" s="296" t="str">
        <f t="shared" si="24"/>
        <v/>
      </c>
      <c r="K244" s="174">
        <f ca="1">IF(L246*L196/(L168*RHOsolid)&gt;L247,L246*L196/(L168*RHOsolid),L247)</f>
        <v>2.8455656902988043E-10</v>
      </c>
      <c r="L244" s="207">
        <f t="shared" ca="1" si="25"/>
        <v>2.8455656902988043E-10</v>
      </c>
      <c r="M244" s="38" t="s">
        <v>1517</v>
      </c>
      <c r="N244" s="38"/>
      <c r="O244" s="42"/>
    </row>
    <row r="245" spans="1:15" ht="12.75" customHeight="1" x14ac:dyDescent="0.3">
      <c r="A245" s="42"/>
      <c r="B245" s="42"/>
      <c r="C245" s="64" t="s">
        <v>574</v>
      </c>
      <c r="D245" s="42"/>
      <c r="E245" s="38"/>
      <c r="F245" s="38"/>
      <c r="G245" s="63" t="s">
        <v>1279</v>
      </c>
      <c r="H245" s="39" t="s">
        <v>1802</v>
      </c>
      <c r="I245" s="252"/>
      <c r="J245" s="296" t="str">
        <f t="shared" si="24"/>
        <v/>
      </c>
      <c r="K245" s="174">
        <f ca="1">L244-L247</f>
        <v>2.844931494459129E-10</v>
      </c>
      <c r="L245" s="207">
        <f t="shared" ca="1" si="25"/>
        <v>2.844931494459129E-10</v>
      </c>
      <c r="M245" s="38" t="s">
        <v>1517</v>
      </c>
      <c r="N245" s="38"/>
      <c r="O245" s="42"/>
    </row>
    <row r="246" spans="1:15" ht="12.75" customHeight="1" x14ac:dyDescent="0.3">
      <c r="A246" s="42"/>
      <c r="B246" s="42"/>
      <c r="C246" s="38"/>
      <c r="D246" s="42" t="s">
        <v>576</v>
      </c>
      <c r="E246" s="64"/>
      <c r="F246" s="64"/>
      <c r="G246" s="63" t="s">
        <v>1280</v>
      </c>
      <c r="H246" s="39" t="s">
        <v>1802</v>
      </c>
      <c r="I246" s="252"/>
      <c r="J246" s="296" t="str">
        <f t="shared" si="24"/>
        <v/>
      </c>
      <c r="K246" s="174">
        <f>2.5/(24*3600)</f>
        <v>2.8935185185185186E-5</v>
      </c>
      <c r="L246" s="207">
        <f t="shared" si="25"/>
        <v>2.8935185185185186E-5</v>
      </c>
      <c r="M246" s="38" t="s">
        <v>1517</v>
      </c>
      <c r="N246" s="38"/>
      <c r="O246" s="42"/>
    </row>
    <row r="247" spans="1:15" ht="12.75" customHeight="1" x14ac:dyDescent="0.3">
      <c r="A247" s="42"/>
      <c r="B247" s="42"/>
      <c r="C247" s="38"/>
      <c r="D247" s="42" t="s">
        <v>557</v>
      </c>
      <c r="E247" s="64"/>
      <c r="F247" s="64"/>
      <c r="G247" s="63" t="s">
        <v>1282</v>
      </c>
      <c r="H247" s="39" t="s">
        <v>1802</v>
      </c>
      <c r="I247" s="252"/>
      <c r="J247" s="296" t="str">
        <f t="shared" si="24"/>
        <v/>
      </c>
      <c r="K247" s="174">
        <v>6.3419583967528499E-14</v>
      </c>
      <c r="L247" s="193">
        <f t="shared" si="25"/>
        <v>6.3419583967528499E-14</v>
      </c>
      <c r="M247" s="38" t="s">
        <v>1517</v>
      </c>
      <c r="N247" s="38" t="s">
        <v>884</v>
      </c>
      <c r="O247" s="42"/>
    </row>
    <row r="248" spans="1:15" ht="12.75" customHeight="1" x14ac:dyDescent="0.3">
      <c r="A248" s="42"/>
      <c r="B248" s="42"/>
      <c r="C248" s="42"/>
      <c r="D248" s="38"/>
      <c r="E248" s="42" t="s">
        <v>798</v>
      </c>
      <c r="F248" s="42"/>
      <c r="G248" s="63" t="s">
        <v>1281</v>
      </c>
      <c r="H248" s="42" t="s">
        <v>1811</v>
      </c>
      <c r="I248" s="252"/>
      <c r="J248" s="296" t="str">
        <f t="shared" si="24"/>
        <v/>
      </c>
      <c r="K248" s="174">
        <v>1</v>
      </c>
      <c r="L248" s="193">
        <f>IF(ISBLANK(I248),IF(ISNUMBER(J248)=FALSE,K248/(1000*3600*24*365)*L155*L154,J248/(1000*3600*24*365)*L155*L154),I248/(1000*3600*24*365)*L155*L154)</f>
        <v>808.59969558599687</v>
      </c>
      <c r="M248" s="42" t="s">
        <v>1526</v>
      </c>
      <c r="N248" s="38"/>
      <c r="O248" s="42"/>
    </row>
    <row r="249" spans="1:15" ht="12.75" customHeight="1" x14ac:dyDescent="0.3">
      <c r="A249" s="38"/>
      <c r="B249" s="38" t="s">
        <v>1883</v>
      </c>
      <c r="C249" s="64"/>
      <c r="D249" s="64"/>
      <c r="E249" s="38"/>
      <c r="F249" s="38"/>
      <c r="G249" s="43" t="s">
        <v>1900</v>
      </c>
      <c r="H249" s="42" t="s">
        <v>1817</v>
      </c>
      <c r="I249" s="252"/>
      <c r="J249" s="296" t="str">
        <f t="shared" si="24"/>
        <v/>
      </c>
      <c r="K249" s="303">
        <f ca="1">(L251*L252)/(L251+L252)*L190</f>
        <v>2.6626973690805289E-8</v>
      </c>
      <c r="L249" s="193">
        <f ca="1">IF(ISBLANK(I249),IF(ISNUMBER(J249)=FALSE,K249,J249),I249)</f>
        <v>2.6626973690805289E-8</v>
      </c>
      <c r="M249" s="42" t="s">
        <v>1818</v>
      </c>
      <c r="N249" s="38"/>
      <c r="O249" s="42"/>
    </row>
    <row r="250" spans="1:15" ht="12.75" customHeight="1" x14ac:dyDescent="0.3">
      <c r="A250" s="38"/>
      <c r="B250" s="38" t="s">
        <v>1884</v>
      </c>
      <c r="C250" s="64"/>
      <c r="D250" s="64"/>
      <c r="E250" s="38"/>
      <c r="F250" s="38"/>
      <c r="G250" s="43" t="s">
        <v>1901</v>
      </c>
      <c r="H250" s="42" t="s">
        <v>1817</v>
      </c>
      <c r="I250" s="252"/>
      <c r="J250" s="296" t="str">
        <f t="shared" si="24"/>
        <v/>
      </c>
      <c r="K250" s="303">
        <f ca="1">(L251*L252/(L251+L252))/L202</f>
        <v>1.6399359109357395E-11</v>
      </c>
      <c r="L250" s="193">
        <f ca="1">IF(ISBLANK(I250),IF(ISNUMBER(J250)=FALSE,K250,J250),I250)</f>
        <v>1.6399359109357395E-11</v>
      </c>
      <c r="M250" s="42" t="s">
        <v>1818</v>
      </c>
      <c r="N250" s="38"/>
      <c r="O250" s="42"/>
    </row>
    <row r="251" spans="1:15" ht="12.75" customHeight="1" x14ac:dyDescent="0.3">
      <c r="A251" s="42"/>
      <c r="B251" s="42"/>
      <c r="C251" s="38" t="s">
        <v>1069</v>
      </c>
      <c r="D251" s="38"/>
      <c r="E251" s="38"/>
      <c r="F251" s="38"/>
      <c r="G251" s="38" t="s">
        <v>1283</v>
      </c>
      <c r="H251" s="39" t="s">
        <v>1802</v>
      </c>
      <c r="I251" s="252"/>
      <c r="J251" s="296" t="str">
        <f t="shared" si="24"/>
        <v/>
      </c>
      <c r="K251" s="168">
        <v>2.7779999999999999E-6</v>
      </c>
      <c r="L251" s="193">
        <f>IF(ISBLANK(I251),IF(ISNUMBER(J251)=FALSE,K251,J251),I251)</f>
        <v>2.7779999999999999E-6</v>
      </c>
      <c r="M251" s="38" t="s">
        <v>1517</v>
      </c>
      <c r="N251" s="38"/>
      <c r="O251" s="42"/>
    </row>
    <row r="252" spans="1:15" ht="12.75" customHeight="1" x14ac:dyDescent="0.3">
      <c r="A252" s="42"/>
      <c r="B252" s="42"/>
      <c r="C252" s="38" t="s">
        <v>1225</v>
      </c>
      <c r="D252" s="38"/>
      <c r="E252" s="38"/>
      <c r="F252" s="38"/>
      <c r="G252" s="38" t="s">
        <v>1284</v>
      </c>
      <c r="H252" s="39" t="s">
        <v>1802</v>
      </c>
      <c r="I252" s="252"/>
      <c r="J252" s="296" t="str">
        <f t="shared" si="24"/>
        <v/>
      </c>
      <c r="K252" s="168">
        <v>2.7779999999999998E-8</v>
      </c>
      <c r="L252" s="193">
        <f>IF(ISBLANK(I252),IF(ISNUMBER(J252)=FALSE,K252,J252),I252)</f>
        <v>2.7779999999999998E-8</v>
      </c>
      <c r="M252" s="38" t="s">
        <v>1517</v>
      </c>
      <c r="N252" s="38"/>
      <c r="O252" s="42"/>
    </row>
    <row r="253" spans="1:15" ht="12.75" customHeight="1" x14ac:dyDescent="0.3">
      <c r="A253" s="38"/>
      <c r="B253" s="38"/>
      <c r="C253" s="38"/>
      <c r="D253" s="38"/>
      <c r="E253" s="38"/>
      <c r="F253" s="38"/>
      <c r="G253" s="38"/>
      <c r="H253" s="38"/>
      <c r="I253" s="203"/>
      <c r="J253" s="296"/>
      <c r="K253" s="162"/>
      <c r="L253" s="162"/>
      <c r="M253" s="38"/>
      <c r="N253" s="38"/>
      <c r="O253" s="42"/>
    </row>
    <row r="254" spans="1:15" ht="12.75" customHeight="1" x14ac:dyDescent="0.3">
      <c r="A254" s="42" t="s">
        <v>81</v>
      </c>
      <c r="B254" s="38"/>
      <c r="C254" s="38"/>
      <c r="D254" s="38"/>
      <c r="E254" s="38"/>
      <c r="F254" s="38"/>
      <c r="G254" s="43" t="s">
        <v>1256</v>
      </c>
      <c r="H254" s="42" t="s">
        <v>1801</v>
      </c>
      <c r="I254" s="253"/>
      <c r="J254" s="296" t="str">
        <f>IF(HLOOKUP(CaseName,CaseData,ROW()+600,FALSE)="","",HLOOKUP(CaseName,CaseData,ROW()+600,FALSE))</f>
        <v/>
      </c>
      <c r="K254" s="303">
        <f ca="1">(L227*L256/L205+L255)*L257/L161</f>
        <v>4.9212864741653662E-11</v>
      </c>
      <c r="L254" s="193">
        <f ca="1">IF(ISBLANK(I254),IF(ISNUMBER(J254)=FALSE,K254,J254),I254)</f>
        <v>4.9212864741653662E-11</v>
      </c>
      <c r="M254" s="38" t="s">
        <v>1515</v>
      </c>
      <c r="N254" s="38"/>
      <c r="O254" s="42"/>
    </row>
    <row r="255" spans="1:15" ht="12.75" customHeight="1" x14ac:dyDescent="0.3">
      <c r="A255" s="38"/>
      <c r="B255" s="38"/>
      <c r="C255" s="64" t="s">
        <v>203</v>
      </c>
      <c r="D255" s="38"/>
      <c r="E255" s="38"/>
      <c r="F255" s="38"/>
      <c r="G255" s="63" t="s">
        <v>663</v>
      </c>
      <c r="H255" s="64" t="s">
        <v>1812</v>
      </c>
      <c r="I255" s="252"/>
      <c r="J255" s="296" t="str">
        <f>IF(HLOOKUP(CaseName,CaseData,ROW()+600,FALSE)="","",HLOOKUP(CaseName,CaseData,ROW()+600,FALSE))</f>
        <v/>
      </c>
      <c r="K255" s="174">
        <v>0.03</v>
      </c>
      <c r="L255" s="193">
        <f>IF(ISBLANK(I255),IF(ISNUMBER(J255)=FALSE,K255/(1000*3600*24*365),J255/(1000*3600*24*365)),I255/(1000*3600*24*365))</f>
        <v>9.5129375951293754E-13</v>
      </c>
      <c r="M255" s="38" t="s">
        <v>1517</v>
      </c>
      <c r="N255" s="38"/>
      <c r="O255" s="42"/>
    </row>
    <row r="256" spans="1:15" ht="12.75" customHeight="1" x14ac:dyDescent="0.3">
      <c r="A256" s="38"/>
      <c r="B256" s="38"/>
      <c r="C256" s="42" t="s">
        <v>963</v>
      </c>
      <c r="D256" s="38"/>
      <c r="E256" s="38"/>
      <c r="F256" s="38"/>
      <c r="G256" s="63" t="s">
        <v>664</v>
      </c>
      <c r="H256" s="42" t="s">
        <v>28</v>
      </c>
      <c r="I256" s="252"/>
      <c r="J256" s="296" t="str">
        <f>IF(HLOOKUP(CaseName,CaseData,ROW()+600,FALSE)="","",HLOOKUP(CaseName,CaseData,ROW()+600,FALSE))</f>
        <v/>
      </c>
      <c r="K256" s="174">
        <v>0.25</v>
      </c>
      <c r="L256" s="193">
        <f>IF(ISBLANK(I256),IF(ISNUMBER(J256)=FALSE,K256,J256),I256)</f>
        <v>0.25</v>
      </c>
      <c r="M256" s="38" t="s">
        <v>477</v>
      </c>
      <c r="N256" s="38"/>
      <c r="O256" s="42"/>
    </row>
    <row r="257" spans="1:15" ht="12.75" customHeight="1" x14ac:dyDescent="0.3">
      <c r="A257" s="42"/>
      <c r="B257" s="42"/>
      <c r="C257" s="38" t="s">
        <v>177</v>
      </c>
      <c r="D257" s="38"/>
      <c r="E257" s="64"/>
      <c r="F257" s="64"/>
      <c r="G257" s="43" t="s">
        <v>879</v>
      </c>
      <c r="H257" s="38" t="s">
        <v>28</v>
      </c>
      <c r="I257" s="253"/>
      <c r="J257" s="296" t="str">
        <f>IF(HLOOKUP(CaseName,CaseData,ROW()+600,FALSE)="","",HLOOKUP(CaseName,CaseData,ROW()+600,FALSE))</f>
        <v/>
      </c>
      <c r="K257" s="174">
        <f>(EXP((-1/0.1)*0)*(1/0.1)*L161/(1-EXP((-1/0.1)*L161)))</f>
        <v>1.2707470412683992</v>
      </c>
      <c r="L257" s="193">
        <f>IF(ISBLANK(I257),IF(ISNUMBER(J257)=FALSE,K257,J257),I257)</f>
        <v>1.2707470412683992</v>
      </c>
      <c r="M257" s="42" t="s">
        <v>477</v>
      </c>
      <c r="N257" s="38" t="s">
        <v>956</v>
      </c>
      <c r="O257" s="42"/>
    </row>
    <row r="258" spans="1:15" ht="12.75" customHeight="1" x14ac:dyDescent="0.3">
      <c r="A258" s="38"/>
      <c r="B258" s="38"/>
      <c r="C258" s="38"/>
      <c r="D258" s="64"/>
      <c r="E258" s="38"/>
      <c r="F258" s="38"/>
      <c r="G258" s="38"/>
      <c r="H258" s="38"/>
      <c r="I258" s="208"/>
      <c r="J258" s="161"/>
      <c r="K258" s="175"/>
      <c r="L258" s="162"/>
      <c r="M258" s="38"/>
      <c r="N258" s="38"/>
      <c r="O258" s="42"/>
    </row>
    <row r="259" spans="1:15" customFormat="1" ht="12.75" customHeight="1" x14ac:dyDescent="0.3">
      <c r="A259" s="67" t="s">
        <v>414</v>
      </c>
      <c r="B259" s="66"/>
      <c r="C259" s="66"/>
      <c r="D259" s="66"/>
      <c r="E259" s="66"/>
      <c r="F259" s="66"/>
      <c r="G259" s="67" t="s">
        <v>969</v>
      </c>
      <c r="H259" s="67" t="s">
        <v>929</v>
      </c>
      <c r="I259" s="189" t="s">
        <v>748</v>
      </c>
      <c r="J259" s="163" t="s">
        <v>29</v>
      </c>
      <c r="K259" s="163" t="s">
        <v>747</v>
      </c>
      <c r="L259" s="163" t="s">
        <v>1353</v>
      </c>
      <c r="M259" s="66"/>
      <c r="N259" s="67" t="s">
        <v>1366</v>
      </c>
      <c r="O259" s="42"/>
    </row>
    <row r="260" spans="1:15" ht="12.75" customHeight="1" x14ac:dyDescent="0.3">
      <c r="A260" s="42"/>
      <c r="B260" s="38"/>
      <c r="C260" s="38"/>
      <c r="D260" s="38"/>
      <c r="E260" s="38"/>
      <c r="F260" s="38"/>
      <c r="G260" s="38"/>
      <c r="H260" s="38"/>
      <c r="I260" s="200"/>
      <c r="J260" s="200"/>
      <c r="K260" s="205"/>
      <c r="L260" s="165"/>
      <c r="M260" s="38"/>
      <c r="N260" s="38"/>
      <c r="O260" s="42"/>
    </row>
    <row r="261" spans="1:15" ht="12.75" customHeight="1" x14ac:dyDescent="0.3">
      <c r="A261" s="42" t="s">
        <v>216</v>
      </c>
      <c r="B261" s="38"/>
      <c r="C261" s="38"/>
      <c r="D261" s="38"/>
      <c r="E261" s="38"/>
      <c r="F261" s="38"/>
      <c r="G261" s="43" t="s">
        <v>1360</v>
      </c>
      <c r="H261" s="42" t="s">
        <v>1801</v>
      </c>
      <c r="I261" s="253"/>
      <c r="J261" s="296" t="str">
        <f t="shared" ref="J261:J278" si="26">IF(HLOOKUP(CaseName,CaseData,ROW()+600,FALSE)="","",HLOOKUP(CaseName,CaseData,ROW()+600,FALSE))</f>
        <v/>
      </c>
      <c r="K261" s="174">
        <f>L266+L183*kdeg.air*(L268/C.OHrad)*L269</f>
        <v>3.663258818281463E-10</v>
      </c>
      <c r="L261" s="193">
        <f t="shared" ref="L261:L276" si="27">IF(ISBLANK(I261),IF(ISNUMBER(J261)=FALSE,K261,J261),I261)</f>
        <v>3.663258818281463E-10</v>
      </c>
      <c r="M261" s="38" t="s">
        <v>1515</v>
      </c>
      <c r="N261" s="38"/>
      <c r="O261" s="42"/>
    </row>
    <row r="262" spans="1:15" ht="12.75" customHeight="1" x14ac:dyDescent="0.3">
      <c r="A262" s="42" t="s">
        <v>1996</v>
      </c>
      <c r="B262" s="38"/>
      <c r="C262" s="38"/>
      <c r="D262" s="38"/>
      <c r="E262" s="38"/>
      <c r="F262" s="38"/>
      <c r="G262" s="43" t="s">
        <v>1007</v>
      </c>
      <c r="H262" s="42" t="s">
        <v>1801</v>
      </c>
      <c r="I262" s="253"/>
      <c r="J262" s="296" t="str">
        <f t="shared" si="26"/>
        <v/>
      </c>
      <c r="K262" s="174">
        <f ca="1">kdeg.water*L274*(L272/BACT.test)*L190</f>
        <v>8.5566931226766806E-22</v>
      </c>
      <c r="L262" s="193">
        <f t="shared" ca="1" si="27"/>
        <v>8.5566931226766806E-22</v>
      </c>
      <c r="M262" s="38" t="s">
        <v>1515</v>
      </c>
      <c r="N262" s="38"/>
      <c r="O262" s="42"/>
    </row>
    <row r="263" spans="1:15" ht="12.75" customHeight="1" x14ac:dyDescent="0.3">
      <c r="A263" s="42" t="s">
        <v>1161</v>
      </c>
      <c r="B263" s="38"/>
      <c r="C263" s="38"/>
      <c r="D263" s="38"/>
      <c r="E263" s="38"/>
      <c r="F263" s="38"/>
      <c r="G263" s="43" t="s">
        <v>1163</v>
      </c>
      <c r="H263" s="42" t="s">
        <v>1801</v>
      </c>
      <c r="I263" s="253"/>
      <c r="J263" s="296" t="str">
        <f t="shared" si="26"/>
        <v/>
      </c>
      <c r="K263" s="174">
        <f ca="1">kdeg.water*L274*(L273/BACT.test)*L191</f>
        <v>8.5566931226766806E-22</v>
      </c>
      <c r="L263" s="193">
        <f t="shared" ca="1" si="27"/>
        <v>8.5566931226766806E-22</v>
      </c>
      <c r="M263" s="38" t="s">
        <v>1515</v>
      </c>
      <c r="N263" s="38"/>
      <c r="O263" s="42"/>
    </row>
    <row r="264" spans="1:15" ht="12.75" customHeight="1" x14ac:dyDescent="0.3">
      <c r="A264" s="42" t="s">
        <v>217</v>
      </c>
      <c r="B264" s="38"/>
      <c r="C264" s="38"/>
      <c r="D264" s="38"/>
      <c r="E264" s="38"/>
      <c r="F264" s="38"/>
      <c r="G264" s="43" t="s">
        <v>1257</v>
      </c>
      <c r="H264" s="42" t="s">
        <v>1801</v>
      </c>
      <c r="I264" s="253"/>
      <c r="J264" s="296" t="str">
        <f t="shared" si="26"/>
        <v/>
      </c>
      <c r="K264" s="303">
        <f>L274*kdeg.sed +L247/L160</f>
        <v>2.1139861331348332E-12</v>
      </c>
      <c r="L264" s="193">
        <f t="shared" si="27"/>
        <v>2.1139861331348332E-12</v>
      </c>
      <c r="M264" s="38" t="s">
        <v>1515</v>
      </c>
      <c r="N264" s="38"/>
      <c r="O264" s="42"/>
    </row>
    <row r="265" spans="1:15" ht="12.75" customHeight="1" x14ac:dyDescent="0.3">
      <c r="A265" s="42" t="s">
        <v>838</v>
      </c>
      <c r="B265" s="38"/>
      <c r="C265" s="38"/>
      <c r="D265" s="38"/>
      <c r="E265" s="38"/>
      <c r="F265" s="38"/>
      <c r="G265" s="43" t="s">
        <v>1361</v>
      </c>
      <c r="H265" s="42" t="s">
        <v>1801</v>
      </c>
      <c r="I265" s="253"/>
      <c r="J265" s="296" t="str">
        <f t="shared" si="26"/>
        <v/>
      </c>
      <c r="K265" s="303">
        <f ca="1">L274*kdeg.soil+L277*L227/L205*L415/L161</f>
        <v>1.6868982790108804E-13</v>
      </c>
      <c r="L265" s="193">
        <f t="shared" ca="1" si="27"/>
        <v>1.6868982790108804E-13</v>
      </c>
      <c r="M265" s="38" t="s">
        <v>1515</v>
      </c>
      <c r="N265" s="38"/>
      <c r="O265" s="42"/>
    </row>
    <row r="266" spans="1:15" ht="12.75" customHeight="1" x14ac:dyDescent="0.3">
      <c r="A266" s="42"/>
      <c r="B266" s="42" t="s">
        <v>791</v>
      </c>
      <c r="C266" s="64"/>
      <c r="D266" s="38"/>
      <c r="E266" s="38"/>
      <c r="F266" s="38"/>
      <c r="G266" s="63" t="s">
        <v>668</v>
      </c>
      <c r="H266" s="42" t="s">
        <v>1801</v>
      </c>
      <c r="I266" s="253"/>
      <c r="J266" s="296" t="str">
        <f t="shared" si="26"/>
        <v/>
      </c>
      <c r="K266" s="174">
        <f>LN(2)/(60*365*24*3600)</f>
        <v>3.663258818281463E-10</v>
      </c>
      <c r="L266" s="193">
        <f t="shared" si="27"/>
        <v>3.663258818281463E-10</v>
      </c>
      <c r="M266" s="42" t="s">
        <v>1515</v>
      </c>
      <c r="N266" s="38"/>
      <c r="O266" s="42"/>
    </row>
    <row r="267" spans="1:15" ht="12.75" customHeight="1" x14ac:dyDescent="0.3">
      <c r="A267" s="42"/>
      <c r="B267" s="42" t="s">
        <v>792</v>
      </c>
      <c r="C267" s="38"/>
      <c r="D267" s="38"/>
      <c r="E267" s="38"/>
      <c r="F267" s="38"/>
      <c r="G267" s="43" t="s">
        <v>665</v>
      </c>
      <c r="H267" s="42" t="s">
        <v>1801</v>
      </c>
      <c r="I267" s="252"/>
      <c r="J267" s="296" t="str">
        <f t="shared" si="26"/>
        <v/>
      </c>
      <c r="K267" s="174">
        <f>L183*kdeg.air*(L268/C.OHrad)*L269</f>
        <v>6.7781991232043885E-31</v>
      </c>
      <c r="L267" s="193">
        <f t="shared" si="27"/>
        <v>6.7781991232043885E-31</v>
      </c>
      <c r="M267" s="42" t="s">
        <v>1515</v>
      </c>
      <c r="N267" s="38"/>
      <c r="O267" s="42"/>
    </row>
    <row r="268" spans="1:15" ht="12.75" customHeight="1" x14ac:dyDescent="0.3">
      <c r="A268" s="64"/>
      <c r="B268" s="64"/>
      <c r="C268" s="42" t="s">
        <v>982</v>
      </c>
      <c r="D268" s="38"/>
      <c r="E268" s="38"/>
      <c r="F268" s="38"/>
      <c r="G268" s="43" t="s">
        <v>799</v>
      </c>
      <c r="H268" s="42" t="s">
        <v>1813</v>
      </c>
      <c r="I268" s="252"/>
      <c r="J268" s="296" t="str">
        <f t="shared" si="26"/>
        <v/>
      </c>
      <c r="K268" s="174">
        <v>500000</v>
      </c>
      <c r="L268" s="193">
        <f t="shared" si="27"/>
        <v>500000</v>
      </c>
      <c r="M268" s="42" t="s">
        <v>1527</v>
      </c>
      <c r="N268" s="38"/>
      <c r="O268" s="42"/>
    </row>
    <row r="269" spans="1:15" ht="12.75" customHeight="1" x14ac:dyDescent="0.3">
      <c r="A269" s="64"/>
      <c r="B269" s="64"/>
      <c r="C269" s="42" t="s">
        <v>27</v>
      </c>
      <c r="D269" s="38"/>
      <c r="E269" s="38"/>
      <c r="F269" s="38"/>
      <c r="G269" s="43" t="s">
        <v>800</v>
      </c>
      <c r="H269" s="42" t="s">
        <v>28</v>
      </c>
      <c r="I269" s="252"/>
      <c r="J269" s="296" t="str">
        <f t="shared" si="26"/>
        <v/>
      </c>
      <c r="K269" s="174">
        <f>EXP((Ea.OHrad/8.314)*(L187-298)/298^2)</f>
        <v>0.75244236176784551</v>
      </c>
      <c r="L269" s="193">
        <f t="shared" si="27"/>
        <v>0.75244236176784551</v>
      </c>
      <c r="M269" s="42" t="s">
        <v>477</v>
      </c>
      <c r="N269" s="38"/>
      <c r="O269" s="42"/>
    </row>
    <row r="270" spans="1:15" ht="12.75" customHeight="1" x14ac:dyDescent="0.3">
      <c r="A270" s="42"/>
      <c r="B270" s="42" t="s">
        <v>1997</v>
      </c>
      <c r="C270" s="38"/>
      <c r="D270" s="38"/>
      <c r="E270" s="38"/>
      <c r="F270" s="38"/>
      <c r="G270" s="43" t="s">
        <v>1151</v>
      </c>
      <c r="H270" s="42" t="s">
        <v>1801</v>
      </c>
      <c r="I270" s="252"/>
      <c r="J270" s="296" t="str">
        <f t="shared" si="26"/>
        <v/>
      </c>
      <c r="K270" s="195">
        <f ca="1">kdeg.water*L274*(L272/BACT.test)*L190</f>
        <v>8.5566931226766806E-22</v>
      </c>
      <c r="L270" s="193">
        <f t="shared" ca="1" si="27"/>
        <v>8.5566931226766806E-22</v>
      </c>
      <c r="M270" s="42" t="s">
        <v>1515</v>
      </c>
      <c r="N270" s="38"/>
      <c r="O270" s="42"/>
    </row>
    <row r="271" spans="1:15" ht="12.75" customHeight="1" x14ac:dyDescent="0.3">
      <c r="A271" s="42"/>
      <c r="B271" s="42" t="s">
        <v>1131</v>
      </c>
      <c r="C271" s="38"/>
      <c r="D271" s="38"/>
      <c r="E271" s="38"/>
      <c r="F271" s="38"/>
      <c r="G271" s="43" t="s">
        <v>1152</v>
      </c>
      <c r="H271" s="42" t="s">
        <v>1801</v>
      </c>
      <c r="I271" s="252"/>
      <c r="J271" s="296" t="str">
        <f t="shared" si="26"/>
        <v/>
      </c>
      <c r="K271" s="195">
        <f ca="1">kdeg.water*L274*(L273/BACT.test)*L191</f>
        <v>8.5566931226766806E-22</v>
      </c>
      <c r="L271" s="193">
        <f t="shared" ca="1" si="27"/>
        <v>8.5566931226766806E-22</v>
      </c>
      <c r="M271" s="42" t="s">
        <v>1515</v>
      </c>
      <c r="N271" s="38"/>
      <c r="O271" s="42"/>
    </row>
    <row r="272" spans="1:15" ht="12.75" customHeight="1" x14ac:dyDescent="0.3">
      <c r="A272" s="42"/>
      <c r="B272" s="42"/>
      <c r="C272" s="42" t="s">
        <v>1998</v>
      </c>
      <c r="D272" s="38"/>
      <c r="E272" s="38"/>
      <c r="F272" s="38"/>
      <c r="G272" s="63" t="s">
        <v>1153</v>
      </c>
      <c r="H272" s="42" t="s">
        <v>724</v>
      </c>
      <c r="I272" s="252"/>
      <c r="J272" s="296" t="str">
        <f t="shared" si="26"/>
        <v/>
      </c>
      <c r="K272" s="174">
        <v>40000</v>
      </c>
      <c r="L272" s="193">
        <f t="shared" si="27"/>
        <v>40000</v>
      </c>
      <c r="M272" s="42" t="s">
        <v>725</v>
      </c>
      <c r="N272" s="38"/>
      <c r="O272" s="42"/>
    </row>
    <row r="273" spans="1:15" ht="12.75" customHeight="1" x14ac:dyDescent="0.3">
      <c r="A273" s="42"/>
      <c r="B273" s="42"/>
      <c r="C273" s="42" t="s">
        <v>1133</v>
      </c>
      <c r="D273" s="38"/>
      <c r="E273" s="38"/>
      <c r="F273" s="38"/>
      <c r="G273" s="63" t="s">
        <v>1154</v>
      </c>
      <c r="H273" s="42" t="s">
        <v>724</v>
      </c>
      <c r="I273" s="252"/>
      <c r="J273" s="296" t="str">
        <f t="shared" si="26"/>
        <v/>
      </c>
      <c r="K273" s="174">
        <v>40000</v>
      </c>
      <c r="L273" s="193">
        <f t="shared" si="27"/>
        <v>40000</v>
      </c>
      <c r="M273" s="42" t="s">
        <v>725</v>
      </c>
      <c r="N273" s="38"/>
      <c r="O273" s="42"/>
    </row>
    <row r="274" spans="1:15" ht="12.75" customHeight="1" x14ac:dyDescent="0.3">
      <c r="A274" s="64"/>
      <c r="B274" s="64"/>
      <c r="C274" s="42" t="s">
        <v>760</v>
      </c>
      <c r="D274" s="38"/>
      <c r="E274" s="38"/>
      <c r="F274" s="38"/>
      <c r="G274" s="43" t="s">
        <v>534</v>
      </c>
      <c r="H274" s="42" t="s">
        <v>28</v>
      </c>
      <c r="I274" s="252"/>
      <c r="J274" s="296" t="str">
        <f t="shared" si="26"/>
        <v/>
      </c>
      <c r="K274" s="195">
        <f>Q.10^((L187-298)/10)</f>
        <v>8.8388347648318447E-2</v>
      </c>
      <c r="L274" s="193">
        <f t="shared" si="27"/>
        <v>8.8388347648318447E-2</v>
      </c>
      <c r="M274" s="42" t="s">
        <v>477</v>
      </c>
      <c r="N274" s="38"/>
      <c r="O274" s="42"/>
    </row>
    <row r="275" spans="1:15" ht="12.75" customHeight="1" x14ac:dyDescent="0.3">
      <c r="A275" s="42"/>
      <c r="B275" s="42" t="s">
        <v>766</v>
      </c>
      <c r="C275" s="38"/>
      <c r="D275" s="38"/>
      <c r="E275" s="38"/>
      <c r="F275" s="38"/>
      <c r="G275" s="43" t="s">
        <v>666</v>
      </c>
      <c r="H275" s="42" t="s">
        <v>1801</v>
      </c>
      <c r="I275" s="252"/>
      <c r="J275" s="296" t="str">
        <f t="shared" si="26"/>
        <v/>
      </c>
      <c r="K275" s="195">
        <f>L274*kdeg.sed</f>
        <v>8.8388347648318438E-22</v>
      </c>
      <c r="L275" s="193">
        <f t="shared" si="27"/>
        <v>8.8388347648318438E-22</v>
      </c>
      <c r="M275" s="42" t="s">
        <v>1515</v>
      </c>
      <c r="N275" s="38"/>
      <c r="O275" s="42"/>
    </row>
    <row r="276" spans="1:15" ht="12.75" customHeight="1" x14ac:dyDescent="0.3">
      <c r="A276" s="42"/>
      <c r="B276" s="42" t="s">
        <v>767</v>
      </c>
      <c r="C276" s="38"/>
      <c r="D276" s="38"/>
      <c r="E276" s="38"/>
      <c r="F276" s="38"/>
      <c r="G276" s="43" t="s">
        <v>667</v>
      </c>
      <c r="H276" s="42" t="s">
        <v>1801</v>
      </c>
      <c r="I276" s="252"/>
      <c r="J276" s="296" t="str">
        <f t="shared" si="26"/>
        <v/>
      </c>
      <c r="K276" s="195">
        <f>L274*kdeg.soil</f>
        <v>8.8388347648318438E-22</v>
      </c>
      <c r="L276" s="193">
        <f t="shared" si="27"/>
        <v>8.8388347648318438E-22</v>
      </c>
      <c r="M276" s="42" t="s">
        <v>1515</v>
      </c>
      <c r="N276" s="38"/>
      <c r="O276" s="42"/>
    </row>
    <row r="277" spans="1:15" ht="12.75" customHeight="1" x14ac:dyDescent="0.3">
      <c r="A277" s="38"/>
      <c r="B277" s="42" t="s">
        <v>997</v>
      </c>
      <c r="C277" s="38"/>
      <c r="D277" s="38"/>
      <c r="E277" s="38"/>
      <c r="F277" s="38"/>
      <c r="G277" s="63" t="s">
        <v>855</v>
      </c>
      <c r="H277" s="42" t="s">
        <v>28</v>
      </c>
      <c r="I277" s="252"/>
      <c r="J277" s="296" t="str">
        <f t="shared" si="26"/>
        <v/>
      </c>
      <c r="K277" s="174">
        <v>0.25</v>
      </c>
      <c r="L277" s="193">
        <f>IF(ISBLANK(I277),IF(ISNUMBER(J277)=FALSE,K277,J277),I277)</f>
        <v>0.25</v>
      </c>
      <c r="M277" s="38" t="s">
        <v>477</v>
      </c>
      <c r="N277" s="38"/>
      <c r="O277" s="42"/>
    </row>
    <row r="278" spans="1:15" ht="12.75" customHeight="1" x14ac:dyDescent="0.3">
      <c r="A278" s="42"/>
      <c r="B278" s="38" t="s">
        <v>177</v>
      </c>
      <c r="C278" s="38"/>
      <c r="D278" s="38"/>
      <c r="E278" s="64"/>
      <c r="F278" s="64"/>
      <c r="G278" s="43" t="s">
        <v>880</v>
      </c>
      <c r="H278" s="38" t="s">
        <v>28</v>
      </c>
      <c r="I278" s="253"/>
      <c r="J278" s="296" t="str">
        <f t="shared" si="26"/>
        <v/>
      </c>
      <c r="K278" s="174">
        <f>(EXP((-1/0.1)*0.5)*(1/0.1)*L161/(1-EXP((-1/0.1)*L161)))</f>
        <v>8.5622262133111474E-3</v>
      </c>
      <c r="L278" s="193">
        <f>IF(ISBLANK(I278),IF(ISNUMBER(J278)=FALSE,K278,J278),I278)</f>
        <v>8.5622262133111474E-3</v>
      </c>
      <c r="M278" s="42" t="s">
        <v>477</v>
      </c>
      <c r="N278" s="38" t="s">
        <v>956</v>
      </c>
      <c r="O278" s="42"/>
    </row>
    <row r="279" spans="1:15" ht="12.75" customHeight="1" x14ac:dyDescent="0.3">
      <c r="A279" s="76"/>
      <c r="B279" s="76"/>
      <c r="C279" s="76"/>
      <c r="D279" s="76"/>
      <c r="E279" s="76"/>
      <c r="F279" s="76"/>
      <c r="G279" s="76"/>
      <c r="H279" s="76"/>
      <c r="I279" s="206"/>
      <c r="J279" s="300"/>
      <c r="K279" s="199"/>
      <c r="L279" s="178"/>
      <c r="M279" s="76"/>
      <c r="N279" s="76"/>
      <c r="O279" s="42"/>
    </row>
    <row r="280" spans="1:15" ht="12.75" customHeight="1" x14ac:dyDescent="0.3">
      <c r="A280" s="49"/>
      <c r="B280" s="4"/>
      <c r="C280" s="38"/>
      <c r="D280" s="38"/>
      <c r="E280" s="38"/>
      <c r="F280" s="38"/>
      <c r="G280" s="38"/>
      <c r="H280" s="42"/>
      <c r="I280" s="200"/>
      <c r="J280" s="296"/>
      <c r="K280" s="175"/>
      <c r="L280" s="175"/>
      <c r="M280" s="38"/>
      <c r="N280" s="38"/>
      <c r="O280" s="42"/>
    </row>
    <row r="281" spans="1:15" ht="12.75" customHeight="1" x14ac:dyDescent="0.3">
      <c r="A281" s="49"/>
      <c r="B281" s="4"/>
      <c r="C281" s="38"/>
      <c r="D281" s="38"/>
      <c r="E281" s="38"/>
      <c r="F281" s="38"/>
      <c r="G281" s="38"/>
      <c r="H281" s="42"/>
      <c r="I281" s="200"/>
      <c r="J281" s="296"/>
      <c r="K281" s="175"/>
      <c r="L281" s="175"/>
      <c r="M281" s="38"/>
      <c r="N281" s="38"/>
      <c r="O281" s="42"/>
    </row>
    <row r="282" spans="1:15" ht="12.75" customHeight="1" x14ac:dyDescent="0.3">
      <c r="A282" s="52" t="s">
        <v>1399</v>
      </c>
      <c r="B282" s="4"/>
      <c r="C282" s="38"/>
      <c r="D282" s="38"/>
      <c r="E282" s="38"/>
      <c r="F282" s="38"/>
      <c r="G282" s="38"/>
      <c r="H282" s="42"/>
      <c r="I282" s="200"/>
      <c r="J282" s="296"/>
      <c r="K282" s="175"/>
      <c r="L282" s="175"/>
      <c r="M282" s="38"/>
      <c r="N282" s="38"/>
      <c r="O282" s="42"/>
    </row>
    <row r="283" spans="1:15" ht="12.75" customHeight="1" x14ac:dyDescent="0.3">
      <c r="A283" s="38"/>
      <c r="B283" s="38"/>
      <c r="C283" s="38"/>
      <c r="D283" s="38"/>
      <c r="E283" s="38"/>
      <c r="F283" s="38"/>
      <c r="G283" s="38"/>
      <c r="H283" s="42"/>
      <c r="I283" s="200"/>
      <c r="J283" s="161"/>
      <c r="K283" s="175"/>
      <c r="L283" s="162"/>
      <c r="M283" s="38"/>
      <c r="N283" s="38"/>
      <c r="O283" s="42"/>
    </row>
    <row r="284" spans="1:15" customFormat="1" ht="12.75" customHeight="1" x14ac:dyDescent="0.3">
      <c r="A284" s="66" t="s">
        <v>1305</v>
      </c>
      <c r="B284" s="66"/>
      <c r="C284" s="66"/>
      <c r="D284" s="66"/>
      <c r="E284" s="66"/>
      <c r="F284" s="66"/>
      <c r="G284" s="67" t="s">
        <v>969</v>
      </c>
      <c r="H284" s="67" t="s">
        <v>929</v>
      </c>
      <c r="I284" s="189" t="s">
        <v>748</v>
      </c>
      <c r="J284" s="163" t="s">
        <v>29</v>
      </c>
      <c r="K284" s="163" t="s">
        <v>747</v>
      </c>
      <c r="L284" s="163" t="s">
        <v>1353</v>
      </c>
      <c r="M284" s="66"/>
      <c r="N284" s="67" t="s">
        <v>1366</v>
      </c>
      <c r="O284" s="42"/>
    </row>
    <row r="285" spans="1:15" ht="12.75" customHeight="1" x14ac:dyDescent="0.3">
      <c r="A285" s="38"/>
      <c r="B285" s="38"/>
      <c r="C285" s="38"/>
      <c r="D285" s="38"/>
      <c r="E285" s="38"/>
      <c r="F285" s="38"/>
      <c r="G285" s="38"/>
      <c r="H285" s="42"/>
      <c r="I285" s="200"/>
      <c r="J285" s="200"/>
      <c r="K285" s="175"/>
      <c r="L285" s="162"/>
      <c r="M285" s="38"/>
      <c r="N285" s="38"/>
      <c r="O285" s="42"/>
    </row>
    <row r="286" spans="1:15" ht="12.75" customHeight="1" x14ac:dyDescent="0.3">
      <c r="A286" s="42" t="s">
        <v>1082</v>
      </c>
      <c r="B286" s="38"/>
      <c r="C286" s="38"/>
      <c r="D286" s="38"/>
      <c r="E286" s="38"/>
      <c r="F286" s="38"/>
      <c r="G286" s="43" t="s">
        <v>1401</v>
      </c>
      <c r="H286" s="42" t="s">
        <v>1804</v>
      </c>
      <c r="I286" s="252"/>
      <c r="J286" s="296" t="str">
        <f t="shared" ref="J286:J305" si="28">IF(HLOOKUP(CaseName,CaseData,ROW()+600,FALSE)="","",HLOOKUP(CaseName,CaseData,ROW()+600,FALSE))</f>
        <v/>
      </c>
      <c r="K286" s="174">
        <f>L291*L294</f>
        <v>1.275E+17</v>
      </c>
      <c r="L286" s="193">
        <f>IF(ISBLANK(I286),IF(ISNUMBER(J286)=FALSE,K286,J286),I286)</f>
        <v>1.275E+17</v>
      </c>
      <c r="M286" s="42" t="s">
        <v>1523</v>
      </c>
      <c r="N286" s="38"/>
      <c r="O286" s="42"/>
    </row>
    <row r="287" spans="1:15" ht="12.75" customHeight="1" x14ac:dyDescent="0.3">
      <c r="A287" s="38" t="s">
        <v>1999</v>
      </c>
      <c r="B287" s="38"/>
      <c r="C287" s="38"/>
      <c r="D287" s="38"/>
      <c r="E287" s="38"/>
      <c r="F287" s="38"/>
      <c r="G287" s="43" t="s">
        <v>905</v>
      </c>
      <c r="H287" s="38" t="s">
        <v>1804</v>
      </c>
      <c r="I287" s="252"/>
      <c r="J287" s="296" t="str">
        <f t="shared" si="28"/>
        <v/>
      </c>
      <c r="K287" s="174">
        <f>L291*L295*L292</f>
        <v>8924999999999999</v>
      </c>
      <c r="L287" s="193">
        <f>IF(ISBLANK(I287),IF(ISNUMBER(J287)=FALSE,K287,J287),I287)</f>
        <v>8924999999999999</v>
      </c>
      <c r="M287" s="42" t="s">
        <v>1523</v>
      </c>
      <c r="N287" s="38"/>
      <c r="O287" s="42"/>
    </row>
    <row r="288" spans="1:15" ht="12.75" customHeight="1" x14ac:dyDescent="0.3">
      <c r="A288" s="42" t="s">
        <v>96</v>
      </c>
      <c r="B288" s="38"/>
      <c r="C288" s="38"/>
      <c r="D288" s="38"/>
      <c r="E288" s="38"/>
      <c r="F288" s="38"/>
      <c r="G288" s="43" t="s">
        <v>906</v>
      </c>
      <c r="H288" s="38" t="s">
        <v>1804</v>
      </c>
      <c r="I288" s="252"/>
      <c r="J288" s="296" t="str">
        <f t="shared" si="28"/>
        <v/>
      </c>
      <c r="K288" s="174">
        <f>L291*L296*L292</f>
        <v>2.6774999999999997E+17</v>
      </c>
      <c r="L288" s="193">
        <f>IF(ISBLANK(I288),IF(ISNUMBER(J288)=FALSE,K288,J288),I288)</f>
        <v>2.6774999999999997E+17</v>
      </c>
      <c r="M288" s="42" t="s">
        <v>1523</v>
      </c>
      <c r="N288" s="38"/>
      <c r="O288" s="42"/>
    </row>
    <row r="289" spans="1:15" ht="12.75" customHeight="1" x14ac:dyDescent="0.3">
      <c r="A289" s="42" t="s">
        <v>728</v>
      </c>
      <c r="B289" s="38"/>
      <c r="C289" s="38"/>
      <c r="D289" s="38"/>
      <c r="E289" s="38"/>
      <c r="F289" s="38"/>
      <c r="G289" s="43" t="s">
        <v>1402</v>
      </c>
      <c r="H289" s="42" t="s">
        <v>1804</v>
      </c>
      <c r="I289" s="252"/>
      <c r="J289" s="296" t="str">
        <f t="shared" si="28"/>
        <v/>
      </c>
      <c r="K289" s="174">
        <f>L291*L297*L292</f>
        <v>2677500000000</v>
      </c>
      <c r="L289" s="193">
        <f>IF(ISBLANK(I289),IF(ISNUMBER(J289)=FALSE,K289,J289),I289)</f>
        <v>2677500000000</v>
      </c>
      <c r="M289" s="42" t="s">
        <v>1523</v>
      </c>
      <c r="N289" s="38"/>
      <c r="O289" s="42"/>
    </row>
    <row r="290" spans="1:15" ht="12.75" customHeight="1" x14ac:dyDescent="0.3">
      <c r="A290" s="42" t="s">
        <v>729</v>
      </c>
      <c r="B290" s="38"/>
      <c r="C290" s="38"/>
      <c r="D290" s="38"/>
      <c r="E290" s="38"/>
      <c r="F290" s="38"/>
      <c r="G290" s="43" t="s">
        <v>1403</v>
      </c>
      <c r="H290" s="42" t="s">
        <v>1804</v>
      </c>
      <c r="I290" s="252"/>
      <c r="J290" s="296" t="str">
        <f t="shared" si="28"/>
        <v/>
      </c>
      <c r="K290" s="174">
        <f>L291*L293*L298</f>
        <v>1912500000000.0005</v>
      </c>
      <c r="L290" s="193">
        <f>IF(ISBLANK(I290),IF(ISNUMBER(J290)=FALSE,K290,J290),I290)</f>
        <v>1912500000000.0005</v>
      </c>
      <c r="M290" s="42" t="s">
        <v>1523</v>
      </c>
      <c r="N290" s="38"/>
      <c r="O290" s="42"/>
    </row>
    <row r="291" spans="1:15" ht="12.75" customHeight="1" x14ac:dyDescent="0.3">
      <c r="A291" s="38"/>
      <c r="B291" s="42" t="s">
        <v>983</v>
      </c>
      <c r="C291" s="38"/>
      <c r="D291" s="38"/>
      <c r="E291" s="38"/>
      <c r="F291" s="38"/>
      <c r="G291" s="43" t="s">
        <v>1404</v>
      </c>
      <c r="H291" s="42" t="s">
        <v>1805</v>
      </c>
      <c r="I291" s="252"/>
      <c r="J291" s="296" t="str">
        <f t="shared" si="28"/>
        <v/>
      </c>
      <c r="K291" s="168">
        <v>127500000</v>
      </c>
      <c r="L291" s="193">
        <f>IF(ISBLANK(I291),IF(ISNUMBER(J291)=FALSE,K291*1000000,J291*1000000),I291*1000000)</f>
        <v>127500000000000</v>
      </c>
      <c r="M291" s="42" t="s">
        <v>1519</v>
      </c>
      <c r="N291" s="38"/>
      <c r="O291" s="42"/>
    </row>
    <row r="292" spans="1:15" ht="12.75" customHeight="1" x14ac:dyDescent="0.3">
      <c r="A292" s="38"/>
      <c r="B292" s="42" t="s">
        <v>1975</v>
      </c>
      <c r="C292" s="38"/>
      <c r="D292" s="38"/>
      <c r="E292" s="38"/>
      <c r="F292" s="38"/>
      <c r="G292" s="63" t="s">
        <v>1405</v>
      </c>
      <c r="H292" s="42" t="s">
        <v>28</v>
      </c>
      <c r="I292" s="252"/>
      <c r="J292" s="296" t="str">
        <f t="shared" si="28"/>
        <v/>
      </c>
      <c r="K292" s="168">
        <v>0.7</v>
      </c>
      <c r="L292" s="193">
        <f>IF(ISBLANK(I292),IF(ISNUMBER(J292)=FALSE,K292,J292),I292)</f>
        <v>0.7</v>
      </c>
      <c r="M292" s="38" t="s">
        <v>477</v>
      </c>
      <c r="N292" s="38"/>
      <c r="O292" s="42"/>
    </row>
    <row r="293" spans="1:15" ht="12.75" customHeight="1" x14ac:dyDescent="0.3">
      <c r="A293" s="38"/>
      <c r="B293" s="42" t="s">
        <v>1976</v>
      </c>
      <c r="C293" s="38"/>
      <c r="D293" s="38"/>
      <c r="E293" s="38"/>
      <c r="F293" s="38"/>
      <c r="G293" s="63" t="s">
        <v>1406</v>
      </c>
      <c r="H293" s="42" t="s">
        <v>28</v>
      </c>
      <c r="I293" s="252"/>
      <c r="J293" s="296" t="str">
        <f t="shared" si="28"/>
        <v/>
      </c>
      <c r="K293" s="174">
        <f>1-L292</f>
        <v>0.30000000000000004</v>
      </c>
      <c r="L293" s="193">
        <f>IF(ISBLANK(I293),IF(ISNUMBER(J293)=FALSE,K293,J293),I293)</f>
        <v>0.30000000000000004</v>
      </c>
      <c r="M293" s="38" t="s">
        <v>477</v>
      </c>
      <c r="N293" s="38"/>
      <c r="O293" s="42"/>
    </row>
    <row r="294" spans="1:15" ht="12.75" customHeight="1" x14ac:dyDescent="0.3">
      <c r="A294" s="38"/>
      <c r="B294" s="38"/>
      <c r="C294" s="42" t="s">
        <v>761</v>
      </c>
      <c r="D294" s="38"/>
      <c r="E294" s="38"/>
      <c r="F294" s="38"/>
      <c r="G294" s="63" t="s">
        <v>1407</v>
      </c>
      <c r="H294" s="42" t="s">
        <v>713</v>
      </c>
      <c r="I294" s="252"/>
      <c r="J294" s="296" t="str">
        <f t="shared" si="28"/>
        <v/>
      </c>
      <c r="K294" s="168">
        <v>1000</v>
      </c>
      <c r="L294" s="193">
        <f>IF(ISBLANK(I294),IF(ISNUMBER(J294)=FALSE,K294,J294),I294)</f>
        <v>1000</v>
      </c>
      <c r="M294" s="42" t="s">
        <v>714</v>
      </c>
      <c r="N294" s="38"/>
      <c r="O294" s="42"/>
    </row>
    <row r="295" spans="1:15" ht="12.75" customHeight="1" x14ac:dyDescent="0.3">
      <c r="A295" s="38"/>
      <c r="B295" s="38"/>
      <c r="C295" s="42" t="s">
        <v>98</v>
      </c>
      <c r="D295" s="38"/>
      <c r="E295" s="38"/>
      <c r="F295" s="38"/>
      <c r="G295" s="63" t="s">
        <v>908</v>
      </c>
      <c r="H295" s="42" t="s">
        <v>713</v>
      </c>
      <c r="I295" s="253"/>
      <c r="J295" s="296" t="str">
        <f t="shared" si="28"/>
        <v/>
      </c>
      <c r="K295" s="168">
        <v>100</v>
      </c>
      <c r="L295" s="193">
        <f>IF(ISBLANK(I295),IF(ISNUMBER(J295)=FALSE,K295,J295),I295)</f>
        <v>100</v>
      </c>
      <c r="M295" s="42" t="s">
        <v>714</v>
      </c>
      <c r="N295" s="38"/>
      <c r="O295" s="42"/>
    </row>
    <row r="296" spans="1:15" ht="12.75" customHeight="1" x14ac:dyDescent="0.3">
      <c r="A296" s="38"/>
      <c r="B296" s="38"/>
      <c r="C296" s="42" t="s">
        <v>97</v>
      </c>
      <c r="D296" s="38"/>
      <c r="E296" s="38"/>
      <c r="F296" s="38"/>
      <c r="G296" s="63" t="s">
        <v>909</v>
      </c>
      <c r="H296" s="42" t="s">
        <v>713</v>
      </c>
      <c r="I296" s="253"/>
      <c r="J296" s="296" t="str">
        <f t="shared" si="28"/>
        <v/>
      </c>
      <c r="K296" s="174">
        <v>3000</v>
      </c>
      <c r="L296" s="193">
        <f>IF(ISBLANK(I296),IF(ISNUMBER(J296)=FALSE,K296,J296),I296)</f>
        <v>3000</v>
      </c>
      <c r="M296" s="42" t="s">
        <v>714</v>
      </c>
      <c r="N296" s="38"/>
      <c r="O296" s="42"/>
    </row>
    <row r="297" spans="1:15" ht="12.75" customHeight="1" x14ac:dyDescent="0.3">
      <c r="A297" s="38"/>
      <c r="B297" s="38"/>
      <c r="C297" s="42" t="s">
        <v>1014</v>
      </c>
      <c r="D297" s="38"/>
      <c r="E297" s="38"/>
      <c r="F297" s="38"/>
      <c r="G297" s="63" t="s">
        <v>1408</v>
      </c>
      <c r="H297" s="42" t="s">
        <v>715</v>
      </c>
      <c r="I297" s="252"/>
      <c r="J297" s="296" t="str">
        <f t="shared" si="28"/>
        <v/>
      </c>
      <c r="K297" s="168">
        <v>3</v>
      </c>
      <c r="L297" s="193">
        <f>IF(ISBLANK(I297),IF(ISNUMBER(J297)=FALSE,K297/100,J297/100),I297/100)</f>
        <v>0.03</v>
      </c>
      <c r="M297" s="42" t="s">
        <v>714</v>
      </c>
      <c r="N297" s="38"/>
      <c r="O297" s="42"/>
    </row>
    <row r="298" spans="1:15" ht="12.75" customHeight="1" x14ac:dyDescent="0.3">
      <c r="A298" s="42"/>
      <c r="B298" s="38"/>
      <c r="C298" s="42" t="s">
        <v>1977</v>
      </c>
      <c r="D298" s="64"/>
      <c r="E298" s="64"/>
      <c r="F298" s="64"/>
      <c r="G298" s="63" t="s">
        <v>1409</v>
      </c>
      <c r="H298" s="42" t="s">
        <v>713</v>
      </c>
      <c r="I298" s="255"/>
      <c r="J298" s="296" t="str">
        <f t="shared" si="28"/>
        <v/>
      </c>
      <c r="K298" s="174">
        <v>0.05</v>
      </c>
      <c r="L298" s="193">
        <f t="shared" ref="L298:L305" si="29">IF(ISBLANK(I298),IF(ISNUMBER(J298)=FALSE,K298,J298),I298)</f>
        <v>0.05</v>
      </c>
      <c r="M298" s="38" t="s">
        <v>714</v>
      </c>
      <c r="N298" s="38"/>
      <c r="O298" s="42"/>
    </row>
    <row r="299" spans="1:15" ht="12.75" customHeight="1" x14ac:dyDescent="0.3">
      <c r="A299" s="38"/>
      <c r="B299" s="38"/>
      <c r="C299" s="38" t="s">
        <v>208</v>
      </c>
      <c r="D299" s="38"/>
      <c r="E299" s="38"/>
      <c r="F299" s="38"/>
      <c r="G299" s="42" t="s">
        <v>2009</v>
      </c>
      <c r="H299" s="42" t="s">
        <v>716</v>
      </c>
      <c r="I299" s="252"/>
      <c r="J299" s="296" t="str">
        <f t="shared" si="28"/>
        <v/>
      </c>
      <c r="K299" s="174">
        <v>1.9999999999999999E-11</v>
      </c>
      <c r="L299" s="193">
        <f t="shared" si="29"/>
        <v>1.9999999999999999E-11</v>
      </c>
      <c r="M299" s="42" t="s">
        <v>477</v>
      </c>
      <c r="N299" s="38" t="s">
        <v>1771</v>
      </c>
      <c r="O299" s="42"/>
    </row>
    <row r="300" spans="1:15" ht="12.75" customHeight="1" x14ac:dyDescent="0.3">
      <c r="A300" s="38"/>
      <c r="B300" s="38"/>
      <c r="C300" s="38" t="s">
        <v>209</v>
      </c>
      <c r="D300" s="38"/>
      <c r="E300" s="38"/>
      <c r="F300" s="38"/>
      <c r="G300" s="42" t="s">
        <v>2010</v>
      </c>
      <c r="H300" s="42" t="s">
        <v>716</v>
      </c>
      <c r="I300" s="252"/>
      <c r="J300" s="296" t="str">
        <f t="shared" si="28"/>
        <v/>
      </c>
      <c r="K300" s="174">
        <v>1.9999999999999999E-11</v>
      </c>
      <c r="L300" s="193">
        <f t="shared" si="29"/>
        <v>1.9999999999999999E-11</v>
      </c>
      <c r="M300" s="42" t="s">
        <v>477</v>
      </c>
      <c r="N300" s="38" t="s">
        <v>1771</v>
      </c>
      <c r="O300" s="42"/>
    </row>
    <row r="301" spans="1:15" ht="12.75" customHeight="1" x14ac:dyDescent="0.3">
      <c r="A301" s="38"/>
      <c r="B301" s="38"/>
      <c r="C301" s="42" t="s">
        <v>1015</v>
      </c>
      <c r="D301" s="64"/>
      <c r="E301" s="64"/>
      <c r="F301" s="64"/>
      <c r="G301" s="63" t="s">
        <v>1074</v>
      </c>
      <c r="H301" s="42" t="s">
        <v>716</v>
      </c>
      <c r="I301" s="252"/>
      <c r="J301" s="296" t="str">
        <f t="shared" si="28"/>
        <v/>
      </c>
      <c r="K301" s="168">
        <v>0.2</v>
      </c>
      <c r="L301" s="193">
        <f t="shared" si="29"/>
        <v>0.2</v>
      </c>
      <c r="M301" s="38" t="s">
        <v>477</v>
      </c>
      <c r="N301" s="38"/>
      <c r="O301" s="42"/>
    </row>
    <row r="302" spans="1:15" ht="12.75" customHeight="1" x14ac:dyDescent="0.3">
      <c r="A302" s="38"/>
      <c r="B302" s="38"/>
      <c r="C302" s="42" t="s">
        <v>1016</v>
      </c>
      <c r="D302" s="38"/>
      <c r="E302" s="38"/>
      <c r="F302" s="38"/>
      <c r="G302" s="63" t="s">
        <v>1072</v>
      </c>
      <c r="H302" s="42" t="s">
        <v>716</v>
      </c>
      <c r="I302" s="252"/>
      <c r="J302" s="296" t="str">
        <f t="shared" si="28"/>
        <v/>
      </c>
      <c r="K302" s="168">
        <v>0.2</v>
      </c>
      <c r="L302" s="193">
        <f t="shared" si="29"/>
        <v>0.2</v>
      </c>
      <c r="M302" s="38" t="s">
        <v>477</v>
      </c>
      <c r="N302" s="38"/>
      <c r="O302" s="42"/>
    </row>
    <row r="303" spans="1:15" ht="12.75" customHeight="1" x14ac:dyDescent="0.3">
      <c r="A303" s="38"/>
      <c r="B303" s="38"/>
      <c r="C303" s="42" t="s">
        <v>1017</v>
      </c>
      <c r="D303" s="38"/>
      <c r="E303" s="38"/>
      <c r="F303" s="38"/>
      <c r="G303" s="63" t="s">
        <v>1073</v>
      </c>
      <c r="H303" s="42" t="s">
        <v>716</v>
      </c>
      <c r="I303" s="252"/>
      <c r="J303" s="296" t="str">
        <f t="shared" si="28"/>
        <v/>
      </c>
      <c r="K303" s="174">
        <f>1-L301-L302</f>
        <v>0.60000000000000009</v>
      </c>
      <c r="L303" s="193">
        <f t="shared" si="29"/>
        <v>0.60000000000000009</v>
      </c>
      <c r="M303" s="38" t="s">
        <v>477</v>
      </c>
      <c r="N303" s="38"/>
      <c r="O303" s="42"/>
    </row>
    <row r="304" spans="1:15" ht="12.75" customHeight="1" x14ac:dyDescent="0.3">
      <c r="A304" s="42"/>
      <c r="B304" s="38"/>
      <c r="C304" s="42" t="s">
        <v>429</v>
      </c>
      <c r="D304" s="64"/>
      <c r="E304" s="64"/>
      <c r="F304" s="64"/>
      <c r="G304" s="63" t="s">
        <v>1071</v>
      </c>
      <c r="H304" s="42" t="s">
        <v>716</v>
      </c>
      <c r="I304" s="252"/>
      <c r="J304" s="296" t="str">
        <f t="shared" si="28"/>
        <v/>
      </c>
      <c r="K304" s="168">
        <v>0.8</v>
      </c>
      <c r="L304" s="193">
        <f t="shared" si="29"/>
        <v>0.8</v>
      </c>
      <c r="M304" s="42" t="s">
        <v>477</v>
      </c>
      <c r="N304" s="38"/>
      <c r="O304" s="42"/>
    </row>
    <row r="305" spans="1:15" ht="12.75" customHeight="1" x14ac:dyDescent="0.3">
      <c r="A305" s="42"/>
      <c r="B305" s="38"/>
      <c r="C305" s="42" t="s">
        <v>860</v>
      </c>
      <c r="D305" s="64"/>
      <c r="E305" s="64"/>
      <c r="F305" s="64"/>
      <c r="G305" s="63" t="s">
        <v>1075</v>
      </c>
      <c r="H305" s="42" t="s">
        <v>716</v>
      </c>
      <c r="I305" s="252"/>
      <c r="J305" s="296" t="str">
        <f t="shared" si="28"/>
        <v/>
      </c>
      <c r="K305" s="174">
        <f>1-L304</f>
        <v>0.19999999999999996</v>
      </c>
      <c r="L305" s="193">
        <f t="shared" si="29"/>
        <v>0.19999999999999996</v>
      </c>
      <c r="M305" s="42" t="s">
        <v>477</v>
      </c>
      <c r="N305" s="38"/>
      <c r="O305" s="42"/>
    </row>
    <row r="306" spans="1:15" ht="12.75" customHeight="1" x14ac:dyDescent="0.3">
      <c r="A306" s="38"/>
      <c r="B306" s="38"/>
      <c r="C306" s="38"/>
      <c r="D306" s="38"/>
      <c r="E306" s="38"/>
      <c r="F306" s="38"/>
      <c r="G306" s="38"/>
      <c r="H306" s="38"/>
      <c r="I306" s="203"/>
      <c r="J306" s="296"/>
      <c r="K306" s="162"/>
      <c r="L306" s="162"/>
      <c r="M306" s="38"/>
      <c r="N306" s="38"/>
      <c r="O306" s="42"/>
    </row>
    <row r="307" spans="1:15" ht="12.75" customHeight="1" x14ac:dyDescent="0.3">
      <c r="A307" s="42" t="s">
        <v>93</v>
      </c>
      <c r="B307" s="38"/>
      <c r="C307" s="38"/>
      <c r="D307" s="38"/>
      <c r="E307" s="38"/>
      <c r="F307" s="38"/>
      <c r="G307" s="42" t="s">
        <v>840</v>
      </c>
      <c r="H307" s="42" t="s">
        <v>1801</v>
      </c>
      <c r="I307" s="253"/>
      <c r="J307" s="296" t="str">
        <f>IF(HLOOKUP(CaseName,CaseData,ROW()+600,FALSE)="","",HLOOKUP(CaseName,CaseData,ROW()+600,FALSE))</f>
        <v/>
      </c>
      <c r="K307" s="174">
        <f>1/L308</f>
        <v>2.9979281607393609E-7</v>
      </c>
      <c r="L307" s="193">
        <f>IF(ISBLANK(I307),IF(ISNUMBER(J307)=FALSE,K307,J307),I307)</f>
        <v>2.9979281607393609E-7</v>
      </c>
      <c r="M307" s="38" t="s">
        <v>1515</v>
      </c>
      <c r="N307" s="38"/>
      <c r="O307" s="42"/>
    </row>
    <row r="308" spans="1:15" ht="12.75" customHeight="1" x14ac:dyDescent="0.3">
      <c r="A308" s="42"/>
      <c r="B308" s="42" t="s">
        <v>503</v>
      </c>
      <c r="C308" s="38"/>
      <c r="D308" s="38"/>
      <c r="E308" s="38"/>
      <c r="F308" s="38"/>
      <c r="G308" s="43" t="s">
        <v>1198</v>
      </c>
      <c r="H308" s="38" t="s">
        <v>717</v>
      </c>
      <c r="I308" s="252"/>
      <c r="J308" s="296" t="str">
        <f>IF(HLOOKUP(CaseName,CaseData,ROW()+600,FALSE)="","",HLOOKUP(CaseName,CaseData,ROW()+600,FALSE))</f>
        <v/>
      </c>
      <c r="K308" s="174">
        <f>(SQRT(L291*PI()/4)/L372)/(3600*24)</f>
        <v>38.606909350421624</v>
      </c>
      <c r="L308" s="193">
        <f>IF(ISBLANK(I308),IF(ISNUMBER(J308)=FALSE,K308*(3600*24),J308*(3600*24)),I308*(3600*24))</f>
        <v>3335636.9678764283</v>
      </c>
      <c r="M308" s="42" t="s">
        <v>107</v>
      </c>
      <c r="N308" s="38"/>
      <c r="O308" s="42"/>
    </row>
    <row r="309" spans="1:15" ht="12.75" customHeight="1" x14ac:dyDescent="0.3">
      <c r="A309" s="38"/>
      <c r="B309" s="38"/>
      <c r="C309" s="38"/>
      <c r="D309" s="38"/>
      <c r="E309" s="38"/>
      <c r="F309" s="38"/>
      <c r="G309" s="38"/>
      <c r="H309" s="38"/>
      <c r="I309" s="203"/>
      <c r="J309" s="296"/>
      <c r="K309" s="162"/>
      <c r="L309" s="162"/>
      <c r="M309" s="38"/>
      <c r="N309" s="38"/>
      <c r="O309" s="42"/>
    </row>
    <row r="310" spans="1:15" ht="12.75" customHeight="1" x14ac:dyDescent="0.3">
      <c r="A310" s="42" t="s">
        <v>94</v>
      </c>
      <c r="B310" s="38"/>
      <c r="C310" s="38"/>
      <c r="D310" s="38"/>
      <c r="E310" s="38"/>
      <c r="F310" s="38"/>
      <c r="G310" s="42" t="s">
        <v>1258</v>
      </c>
      <c r="H310" s="42" t="s">
        <v>1801</v>
      </c>
      <c r="I310" s="253"/>
      <c r="J310" s="296" t="str">
        <f t="shared" ref="J310:J316" si="30">IF(HLOOKUP(CaseName,CaseData,ROW()+600,FALSE)="","",HLOOKUP(CaseName,CaseData,ROW()+600,FALSE))</f>
        <v/>
      </c>
      <c r="K310" s="196">
        <f>L312/L287</f>
        <v>1.6806722689075633E-8</v>
      </c>
      <c r="L310" s="193">
        <f t="shared" ref="L310:L315" si="31">IF(ISBLANK(I310),IF(ISNUMBER(J310)=FALSE,K310,J310),I310)</f>
        <v>1.6806722689075633E-8</v>
      </c>
      <c r="M310" s="38" t="s">
        <v>1515</v>
      </c>
      <c r="N310" s="38"/>
      <c r="O310" s="42"/>
    </row>
    <row r="311" spans="1:15" ht="12.75" customHeight="1" x14ac:dyDescent="0.3">
      <c r="A311" s="42" t="s">
        <v>95</v>
      </c>
      <c r="B311" s="38"/>
      <c r="C311" s="38"/>
      <c r="D311" s="38"/>
      <c r="E311" s="38"/>
      <c r="F311" s="38"/>
      <c r="G311" s="42" t="s">
        <v>51</v>
      </c>
      <c r="H311" s="42" t="s">
        <v>1801</v>
      </c>
      <c r="I311" s="253"/>
      <c r="J311" s="296" t="str">
        <f t="shared" si="30"/>
        <v/>
      </c>
      <c r="K311" s="196">
        <v>0</v>
      </c>
      <c r="L311" s="193">
        <f t="shared" si="31"/>
        <v>0</v>
      </c>
      <c r="M311" s="38" t="s">
        <v>1515</v>
      </c>
      <c r="N311" s="38"/>
      <c r="O311" s="42"/>
    </row>
    <row r="312" spans="1:15" ht="12.75" customHeight="1" x14ac:dyDescent="0.3">
      <c r="A312" s="42"/>
      <c r="B312" s="42" t="s">
        <v>504</v>
      </c>
      <c r="C312" s="38"/>
      <c r="D312" s="38"/>
      <c r="E312" s="38"/>
      <c r="F312" s="38"/>
      <c r="G312" s="63" t="s">
        <v>54</v>
      </c>
      <c r="H312" s="38" t="s">
        <v>1806</v>
      </c>
      <c r="I312" s="252"/>
      <c r="J312" s="296" t="str">
        <f t="shared" si="30"/>
        <v/>
      </c>
      <c r="K312" s="196">
        <f>L38</f>
        <v>150000000</v>
      </c>
      <c r="L312" s="193">
        <f t="shared" si="31"/>
        <v>150000000</v>
      </c>
      <c r="M312" s="38" t="s">
        <v>1803</v>
      </c>
      <c r="N312" s="38"/>
      <c r="O312" s="42"/>
    </row>
    <row r="313" spans="1:15" ht="12.75" customHeight="1" x14ac:dyDescent="0.3">
      <c r="A313" s="42" t="s">
        <v>121</v>
      </c>
      <c r="B313" s="38"/>
      <c r="C313" s="38"/>
      <c r="D313" s="38"/>
      <c r="E313" s="38"/>
      <c r="F313" s="38"/>
      <c r="G313" s="42" t="s">
        <v>52</v>
      </c>
      <c r="H313" s="42" t="s">
        <v>1801</v>
      </c>
      <c r="I313" s="253"/>
      <c r="J313" s="296" t="str">
        <f t="shared" si="30"/>
        <v/>
      </c>
      <c r="K313" s="196">
        <f>(L38+L315)/L287</f>
        <v>2.2724443312678606E-7</v>
      </c>
      <c r="L313" s="193">
        <f t="shared" si="31"/>
        <v>2.2724443312678606E-7</v>
      </c>
      <c r="M313" s="38" t="s">
        <v>1515</v>
      </c>
      <c r="N313" s="38"/>
      <c r="O313" s="42"/>
    </row>
    <row r="314" spans="1:15" ht="12.75" customHeight="1" x14ac:dyDescent="0.3">
      <c r="A314" s="42" t="s">
        <v>122</v>
      </c>
      <c r="B314" s="38"/>
      <c r="C314" s="38"/>
      <c r="D314" s="38"/>
      <c r="E314" s="38"/>
      <c r="F314" s="38"/>
      <c r="G314" s="42" t="s">
        <v>53</v>
      </c>
      <c r="H314" s="42" t="s">
        <v>1801</v>
      </c>
      <c r="I314" s="253"/>
      <c r="J314" s="296" t="str">
        <f t="shared" si="30"/>
        <v/>
      </c>
      <c r="K314" s="196">
        <f>(L38+L315)/L288</f>
        <v>7.5748144375595357E-9</v>
      </c>
      <c r="L314" s="193">
        <f t="shared" si="31"/>
        <v>7.5748144375595357E-9</v>
      </c>
      <c r="M314" s="38" t="s">
        <v>1515</v>
      </c>
      <c r="N314" s="38"/>
      <c r="O314" s="42"/>
    </row>
    <row r="315" spans="1:15" ht="12.75" customHeight="1" x14ac:dyDescent="0.3">
      <c r="A315" s="42"/>
      <c r="B315" s="38" t="s">
        <v>687</v>
      </c>
      <c r="C315" s="38"/>
      <c r="D315" s="38"/>
      <c r="E315" s="38"/>
      <c r="F315" s="38"/>
      <c r="G315" s="43" t="s">
        <v>1278</v>
      </c>
      <c r="H315" s="38" t="s">
        <v>1806</v>
      </c>
      <c r="I315" s="253"/>
      <c r="J315" s="296" t="str">
        <f t="shared" si="30"/>
        <v/>
      </c>
      <c r="K315" s="174">
        <f>L287/L316</f>
        <v>1878156565.6565654</v>
      </c>
      <c r="L315" s="193">
        <f t="shared" si="31"/>
        <v>1878156565.6565654</v>
      </c>
      <c r="M315" s="38" t="s">
        <v>1803</v>
      </c>
      <c r="N315" s="38"/>
      <c r="O315" s="42"/>
    </row>
    <row r="316" spans="1:15" ht="12.75" customHeight="1" x14ac:dyDescent="0.3">
      <c r="A316" s="42"/>
      <c r="B316" s="42"/>
      <c r="C316" s="38" t="s">
        <v>1213</v>
      </c>
      <c r="D316" s="38"/>
      <c r="E316" s="38"/>
      <c r="F316" s="38"/>
      <c r="G316" s="43" t="s">
        <v>802</v>
      </c>
      <c r="H316" s="38" t="s">
        <v>717</v>
      </c>
      <c r="I316" s="253"/>
      <c r="J316" s="296" t="str">
        <f t="shared" si="30"/>
        <v/>
      </c>
      <c r="K316" s="174">
        <v>55</v>
      </c>
      <c r="L316" s="193">
        <f>IF(ISBLANK(I316),IF(ISNUMBER(J316)=FALSE,K316*(3600*24),J316*(3600*24)),I316*(3600*24))</f>
        <v>4752000</v>
      </c>
      <c r="M316" s="42" t="s">
        <v>107</v>
      </c>
      <c r="N316" s="38"/>
      <c r="O316" s="42"/>
    </row>
    <row r="317" spans="1:15" ht="12.75" customHeight="1" x14ac:dyDescent="0.3">
      <c r="A317" s="38"/>
      <c r="B317" s="38"/>
      <c r="C317" s="38"/>
      <c r="D317" s="38"/>
      <c r="E317" s="38"/>
      <c r="F317" s="38"/>
      <c r="G317" s="38"/>
      <c r="H317" s="42"/>
      <c r="I317" s="161"/>
      <c r="J317" s="161"/>
      <c r="K317" s="175"/>
      <c r="L317" s="162"/>
      <c r="M317" s="38"/>
      <c r="N317" s="38"/>
      <c r="O317" s="42"/>
    </row>
    <row r="318" spans="1:15" customFormat="1" ht="12.75" customHeight="1" x14ac:dyDescent="0.3">
      <c r="A318" s="67" t="s">
        <v>1836</v>
      </c>
      <c r="B318" s="66"/>
      <c r="C318" s="66"/>
      <c r="D318" s="66"/>
      <c r="E318" s="66"/>
      <c r="F318" s="66"/>
      <c r="G318" s="67" t="s">
        <v>969</v>
      </c>
      <c r="H318" s="67" t="s">
        <v>929</v>
      </c>
      <c r="I318" s="189" t="s">
        <v>748</v>
      </c>
      <c r="J318" s="163" t="s">
        <v>29</v>
      </c>
      <c r="K318" s="163" t="s">
        <v>747</v>
      </c>
      <c r="L318" s="163" t="s">
        <v>1353</v>
      </c>
      <c r="M318" s="66"/>
      <c r="N318" s="67" t="s">
        <v>1366</v>
      </c>
      <c r="O318" s="42"/>
    </row>
    <row r="319" spans="1:15" ht="12.75" customHeight="1" x14ac:dyDescent="0.3">
      <c r="A319" s="38"/>
      <c r="B319" s="38"/>
      <c r="C319" s="38"/>
      <c r="D319" s="38"/>
      <c r="E319" s="38"/>
      <c r="F319" s="38"/>
      <c r="G319" s="38"/>
      <c r="H319" s="42"/>
      <c r="I319" s="161"/>
      <c r="J319" s="200"/>
      <c r="K319" s="175"/>
      <c r="L319" s="162"/>
      <c r="M319" s="38"/>
      <c r="N319" s="38"/>
      <c r="O319" s="42"/>
    </row>
    <row r="320" spans="1:15" ht="12.75" customHeight="1" x14ac:dyDescent="0.3">
      <c r="A320" s="38"/>
      <c r="B320" s="42" t="s">
        <v>947</v>
      </c>
      <c r="C320" s="42"/>
      <c r="D320" s="42"/>
      <c r="E320" s="42"/>
      <c r="F320" s="42"/>
      <c r="G320" s="42" t="s">
        <v>2011</v>
      </c>
      <c r="H320" s="42" t="s">
        <v>28</v>
      </c>
      <c r="I320" s="252">
        <f>IF(K320&lt;=0,0.999,K320)</f>
        <v>2.232136697699616E-10</v>
      </c>
      <c r="J320" s="296" t="str">
        <f t="shared" ref="J320:J346" si="32">IF(HLOOKUP(CaseName,CaseData,ROW()+600,FALSE)="","",HLOOKUP(CaseName,CaseData,ROW()+600,FALSE))</f>
        <v/>
      </c>
      <c r="K320" s="195">
        <f>1-L321-L322</f>
        <v>2.232136697699616E-10</v>
      </c>
      <c r="L320" s="193">
        <f>IF(ISBLANK(I320),IF(ISNUMBER(J320)=FALSE,K320,J320),I320)</f>
        <v>2.232136697699616E-10</v>
      </c>
      <c r="M320" s="32" t="s">
        <v>477</v>
      </c>
      <c r="N320" s="38"/>
      <c r="O320" s="42"/>
    </row>
    <row r="321" spans="1:15" ht="12.75" customHeight="1" x14ac:dyDescent="0.3">
      <c r="A321" s="38"/>
      <c r="B321" s="38" t="s">
        <v>609</v>
      </c>
      <c r="C321" s="38"/>
      <c r="D321" s="38"/>
      <c r="E321" s="38"/>
      <c r="F321" s="38"/>
      <c r="G321" s="38" t="s">
        <v>623</v>
      </c>
      <c r="H321" s="38" t="s">
        <v>28</v>
      </c>
      <c r="I321" s="256"/>
      <c r="J321" s="296" t="str">
        <f t="shared" si="32"/>
        <v/>
      </c>
      <c r="K321" s="195">
        <f>L300 *L325/(1+L300*L325+L299*L326)</f>
        <v>0.44642739323560415</v>
      </c>
      <c r="L321" s="193">
        <f>IF(ISBLANK(I321),IF(ISNUMBER(J321)=FALSE,K321,J321),I321)</f>
        <v>0.44642739323560415</v>
      </c>
      <c r="M321" s="42" t="s">
        <v>477</v>
      </c>
      <c r="N321" s="38" t="s">
        <v>1772</v>
      </c>
      <c r="O321" s="42"/>
    </row>
    <row r="322" spans="1:15" ht="12.75" customHeight="1" x14ac:dyDescent="0.3">
      <c r="A322" s="38"/>
      <c r="B322" s="38" t="s">
        <v>610</v>
      </c>
      <c r="C322" s="38"/>
      <c r="D322" s="38"/>
      <c r="E322" s="38"/>
      <c r="F322" s="38"/>
      <c r="G322" s="38" t="s">
        <v>624</v>
      </c>
      <c r="H322" s="38" t="s">
        <v>28</v>
      </c>
      <c r="I322" s="252"/>
      <c r="J322" s="296" t="str">
        <f t="shared" si="32"/>
        <v/>
      </c>
      <c r="K322" s="195">
        <f>L299 *L326/(1+L300*L325+L299*L326)</f>
        <v>0.55357260654118212</v>
      </c>
      <c r="L322" s="193">
        <f>IF(ISBLANK(I322),IF(ISNUMBER(J322)=FALSE,K322,J322),I322)</f>
        <v>0.55357260654118212</v>
      </c>
      <c r="M322" s="42" t="s">
        <v>477</v>
      </c>
      <c r="N322" s="38" t="s">
        <v>1772</v>
      </c>
      <c r="O322" s="42"/>
    </row>
    <row r="323" spans="1:15" ht="12.75" customHeight="1" x14ac:dyDescent="0.3">
      <c r="A323" s="38"/>
      <c r="B323" s="38"/>
      <c r="C323" s="42" t="s">
        <v>1004</v>
      </c>
      <c r="D323" s="42"/>
      <c r="E323" s="42"/>
      <c r="F323" s="42"/>
      <c r="G323" s="42" t="s">
        <v>2012</v>
      </c>
      <c r="H323" s="42" t="s">
        <v>28</v>
      </c>
      <c r="I323" s="252"/>
      <c r="J323" s="296" t="str">
        <f t="shared" si="32"/>
        <v/>
      </c>
      <c r="K323" s="195">
        <f>Kaw*EXP((H0vap/8.314)*(1/298-1/L324))*EXP(-(H0sol/8.314)*(1/298-1/L324))*(298/L324)</f>
        <v>9.9999999999999995E-21</v>
      </c>
      <c r="L323" s="193">
        <f>IF(ISBLANK(I323),IF(ISNUMBER(J323)=FALSE,K323,J323),I323)</f>
        <v>9.9999999999999995E-21</v>
      </c>
      <c r="M323" s="42" t="s">
        <v>477</v>
      </c>
      <c r="N323" s="38"/>
      <c r="O323" s="42"/>
    </row>
    <row r="324" spans="1:15" ht="12.75" customHeight="1" x14ac:dyDescent="0.3">
      <c r="A324" s="42"/>
      <c r="B324" s="42"/>
      <c r="C324" s="42" t="s">
        <v>505</v>
      </c>
      <c r="D324" s="42"/>
      <c r="E324" s="42"/>
      <c r="F324" s="42"/>
      <c r="G324" s="42" t="s">
        <v>1013</v>
      </c>
      <c r="H324" s="42" t="s">
        <v>1814</v>
      </c>
      <c r="I324" s="252"/>
      <c r="J324" s="296" t="str">
        <f t="shared" si="32"/>
        <v/>
      </c>
      <c r="K324" s="195">
        <v>25</v>
      </c>
      <c r="L324" s="193">
        <f>IF(ISBLANK(I324),IF(ISNUMBER(J324)=FALSE,K324+273,J324+273),I324+273)</f>
        <v>298</v>
      </c>
      <c r="M324" s="42" t="s">
        <v>582</v>
      </c>
      <c r="N324" s="38"/>
      <c r="O324" s="42"/>
    </row>
    <row r="325" spans="1:15" ht="12.75" customHeight="1" x14ac:dyDescent="0.4">
      <c r="A325" s="38"/>
      <c r="B325" s="38"/>
      <c r="C325" s="38" t="s">
        <v>606</v>
      </c>
      <c r="D325" s="38"/>
      <c r="E325" s="38"/>
      <c r="F325" s="38"/>
      <c r="G325" s="38" t="s">
        <v>626</v>
      </c>
      <c r="H325" s="38" t="s">
        <v>1807</v>
      </c>
      <c r="I325" s="256"/>
      <c r="J325" s="296" t="str">
        <f t="shared" si="32"/>
        <v/>
      </c>
      <c r="K325" s="195">
        <f>1/(L323*FRorig.aerw)</f>
        <v>1E+20</v>
      </c>
      <c r="L325" s="193">
        <f t="shared" ref="L325:L332" si="33">IF(ISBLANK(I325),IF(ISNUMBER(J325)=FALSE,K325,J325),I325)</f>
        <v>1E+20</v>
      </c>
      <c r="M325" s="42" t="s">
        <v>1815</v>
      </c>
      <c r="N325" s="38"/>
      <c r="O325" s="42"/>
    </row>
    <row r="326" spans="1:15" ht="12.75" customHeight="1" x14ac:dyDescent="0.4">
      <c r="A326" s="38"/>
      <c r="B326" s="38"/>
      <c r="C326" s="38" t="s">
        <v>607</v>
      </c>
      <c r="D326" s="38"/>
      <c r="E326" s="38"/>
      <c r="F326" s="38"/>
      <c r="G326" s="38" t="s">
        <v>627</v>
      </c>
      <c r="H326" s="38" t="s">
        <v>1808</v>
      </c>
      <c r="I326" s="256"/>
      <c r="J326" s="296" t="str">
        <f t="shared" si="32"/>
        <v/>
      </c>
      <c r="K326" s="195">
        <f>0.54*(Kow/Kaw)*CORGaers*(RHOaers/1000)</f>
        <v>1.2400059112166343E+20</v>
      </c>
      <c r="L326" s="193">
        <f t="shared" si="33"/>
        <v>1.2400059112166343E+20</v>
      </c>
      <c r="M326" s="42" t="s">
        <v>1816</v>
      </c>
      <c r="N326" s="38" t="s">
        <v>885</v>
      </c>
      <c r="O326" s="42"/>
    </row>
    <row r="327" spans="1:15" ht="12.75" customHeight="1" x14ac:dyDescent="0.3">
      <c r="A327" s="42"/>
      <c r="B327" s="42" t="s">
        <v>1985</v>
      </c>
      <c r="C327" s="64"/>
      <c r="D327" s="38"/>
      <c r="E327" s="38"/>
      <c r="F327" s="38"/>
      <c r="G327" s="43" t="s">
        <v>99</v>
      </c>
      <c r="H327" s="42" t="s">
        <v>28</v>
      </c>
      <c r="I327" s="252"/>
      <c r="J327" s="296" t="str">
        <f t="shared" si="32"/>
        <v/>
      </c>
      <c r="K327" s="195">
        <f ca="1">1/(1+L329*L333/1000+L335*L337/1000)</f>
        <v>0.96807931705231609</v>
      </c>
      <c r="L327" s="193">
        <f t="shared" ca="1" si="33"/>
        <v>0.96807931705231609</v>
      </c>
      <c r="M327" s="42" t="s">
        <v>477</v>
      </c>
      <c r="N327" s="38"/>
      <c r="O327" s="42"/>
    </row>
    <row r="328" spans="1:15" ht="12.75" customHeight="1" x14ac:dyDescent="0.3">
      <c r="A328" s="42"/>
      <c r="B328" s="42" t="s">
        <v>1112</v>
      </c>
      <c r="C328" s="64"/>
      <c r="D328" s="38"/>
      <c r="E328" s="38"/>
      <c r="F328" s="38"/>
      <c r="G328" s="43" t="s">
        <v>1113</v>
      </c>
      <c r="H328" s="42" t="s">
        <v>28</v>
      </c>
      <c r="I328" s="252"/>
      <c r="J328" s="296" t="str">
        <f t="shared" si="32"/>
        <v/>
      </c>
      <c r="K328" s="195">
        <f ca="1">1/(1+L330*L334/1000+L336*L338/1000)</f>
        <v>0.96807931705231609</v>
      </c>
      <c r="L328" s="193">
        <f t="shared" ca="1" si="33"/>
        <v>0.96807931705231609</v>
      </c>
      <c r="M328" s="42" t="s">
        <v>477</v>
      </c>
      <c r="N328" s="38"/>
      <c r="O328" s="42"/>
    </row>
    <row r="329" spans="1:15" ht="12.75" customHeight="1" x14ac:dyDescent="0.3">
      <c r="A329" s="42"/>
      <c r="B329" s="38"/>
      <c r="C329" s="42" t="s">
        <v>1986</v>
      </c>
      <c r="D329" s="38"/>
      <c r="E329" s="38"/>
      <c r="F329" s="38"/>
      <c r="G329" s="63" t="s">
        <v>1114</v>
      </c>
      <c r="H329" s="42" t="s">
        <v>1809</v>
      </c>
      <c r="I329" s="252"/>
      <c r="J329" s="296" t="str">
        <f t="shared" si="32"/>
        <v/>
      </c>
      <c r="K329" s="174">
        <f ca="1">(FRorig.w2*Ksw+(1-FRorig.w2)*Ksw.alt)*(1000/RHOsolid/CORG)*L331</f>
        <v>6594.4583635681238</v>
      </c>
      <c r="L329" s="193">
        <f t="shared" ca="1" si="33"/>
        <v>6594.4583635681238</v>
      </c>
      <c r="M329" s="42" t="s">
        <v>1525</v>
      </c>
      <c r="N329" s="38"/>
      <c r="O329" s="42"/>
    </row>
    <row r="330" spans="1:15" ht="12.75" customHeight="1" x14ac:dyDescent="0.3">
      <c r="A330" s="42"/>
      <c r="B330" s="38"/>
      <c r="C330" s="42" t="s">
        <v>1115</v>
      </c>
      <c r="D330" s="38"/>
      <c r="E330" s="38"/>
      <c r="F330" s="38"/>
      <c r="G330" s="63" t="s">
        <v>1116</v>
      </c>
      <c r="H330" s="42" t="s">
        <v>1809</v>
      </c>
      <c r="I330" s="252"/>
      <c r="J330" s="296" t="str">
        <f t="shared" si="32"/>
        <v/>
      </c>
      <c r="K330" s="174">
        <f ca="1">(FRorig.w2*Ksw+(1-FRorig.w2)*Ksw.alt)*(1000/RHOsolid/CORG)*L332</f>
        <v>6594.4583635681238</v>
      </c>
      <c r="L330" s="193">
        <f t="shared" ca="1" si="33"/>
        <v>6594.4583635681238</v>
      </c>
      <c r="M330" s="42" t="s">
        <v>1525</v>
      </c>
      <c r="N330" s="38"/>
      <c r="O330" s="42"/>
    </row>
    <row r="331" spans="1:15" ht="12.75" customHeight="1" x14ac:dyDescent="0.3">
      <c r="A331" s="42"/>
      <c r="B331" s="38"/>
      <c r="C331" s="42" t="s">
        <v>1987</v>
      </c>
      <c r="D331" s="38"/>
      <c r="E331" s="38"/>
      <c r="F331" s="38"/>
      <c r="G331" s="63" t="s">
        <v>1455</v>
      </c>
      <c r="H331" s="42" t="s">
        <v>28</v>
      </c>
      <c r="I331" s="252"/>
      <c r="J331" s="296" t="str">
        <f t="shared" si="32"/>
        <v/>
      </c>
      <c r="K331" s="195">
        <v>0.1</v>
      </c>
      <c r="L331" s="193">
        <f t="shared" si="33"/>
        <v>0.1</v>
      </c>
      <c r="M331" s="42" t="s">
        <v>477</v>
      </c>
      <c r="N331" s="38"/>
      <c r="O331" s="42"/>
    </row>
    <row r="332" spans="1:15" ht="12.75" customHeight="1" x14ac:dyDescent="0.3">
      <c r="A332" s="42"/>
      <c r="B332" s="38"/>
      <c r="C332" s="42" t="s">
        <v>1117</v>
      </c>
      <c r="D332" s="38"/>
      <c r="E332" s="38"/>
      <c r="F332" s="38"/>
      <c r="G332" s="63" t="s">
        <v>1456</v>
      </c>
      <c r="H332" s="42" t="s">
        <v>28</v>
      </c>
      <c r="I332" s="252"/>
      <c r="J332" s="296" t="str">
        <f t="shared" si="32"/>
        <v/>
      </c>
      <c r="K332" s="195">
        <v>0.1</v>
      </c>
      <c r="L332" s="193">
        <f t="shared" si="33"/>
        <v>0.1</v>
      </c>
      <c r="M332" s="42" t="s">
        <v>477</v>
      </c>
      <c r="N332" s="38"/>
      <c r="O332" s="42"/>
    </row>
    <row r="333" spans="1:15" ht="12.75" customHeight="1" x14ac:dyDescent="0.3">
      <c r="A333" s="42"/>
      <c r="B333" s="38"/>
      <c r="C333" s="42" t="s">
        <v>1988</v>
      </c>
      <c r="D333" s="38"/>
      <c r="E333" s="38"/>
      <c r="F333" s="38"/>
      <c r="G333" s="63" t="s">
        <v>1118</v>
      </c>
      <c r="H333" s="42" t="s">
        <v>1810</v>
      </c>
      <c r="I333" s="252"/>
      <c r="J333" s="296" t="str">
        <f t="shared" si="32"/>
        <v/>
      </c>
      <c r="K333" s="195">
        <v>5</v>
      </c>
      <c r="L333" s="193">
        <f>IF(ISBLANK(I333),IF(ISNUMBER(J333)=FALSE,K333/1000,J333/1000),I333/1000)</f>
        <v>5.0000000000000001E-3</v>
      </c>
      <c r="M333" s="42" t="s">
        <v>1524</v>
      </c>
      <c r="N333" s="38"/>
      <c r="O333" s="42"/>
    </row>
    <row r="334" spans="1:15" ht="12.75" customHeight="1" x14ac:dyDescent="0.3">
      <c r="A334" s="42"/>
      <c r="B334" s="38"/>
      <c r="C334" s="42" t="s">
        <v>1119</v>
      </c>
      <c r="D334" s="38"/>
      <c r="E334" s="38"/>
      <c r="F334" s="38"/>
      <c r="G334" s="63" t="s">
        <v>1120</v>
      </c>
      <c r="H334" s="42" t="s">
        <v>1810</v>
      </c>
      <c r="I334" s="252"/>
      <c r="J334" s="296" t="str">
        <f t="shared" si="32"/>
        <v/>
      </c>
      <c r="K334" s="195">
        <v>5</v>
      </c>
      <c r="L334" s="193">
        <f>IF(ISBLANK(I334),IF(ISNUMBER(J334)=FALSE,K334/1000,J334/1000),I334/1000)</f>
        <v>5.0000000000000001E-3</v>
      </c>
      <c r="M334" s="42" t="s">
        <v>1524</v>
      </c>
      <c r="N334" s="38"/>
      <c r="O334" s="42"/>
    </row>
    <row r="335" spans="1:15" ht="12.75" customHeight="1" x14ac:dyDescent="0.3">
      <c r="A335" s="42"/>
      <c r="B335" s="38"/>
      <c r="C335" s="42" t="s">
        <v>1989</v>
      </c>
      <c r="D335" s="38"/>
      <c r="E335" s="38"/>
      <c r="F335" s="38"/>
      <c r="G335" s="63" t="s">
        <v>1121</v>
      </c>
      <c r="H335" s="42" t="s">
        <v>1000</v>
      </c>
      <c r="I335" s="255"/>
      <c r="J335" s="296" t="str">
        <f t="shared" si="32"/>
        <v/>
      </c>
      <c r="K335" s="174">
        <f>0.08*D</f>
        <v>0.91852289719750679</v>
      </c>
      <c r="L335" s="193">
        <f>IF(ISBLANK(I335),IF(ISNUMBER(J335)=FALSE,K335,J335),I335)</f>
        <v>0.91852289719750679</v>
      </c>
      <c r="M335" s="42" t="s">
        <v>1525</v>
      </c>
      <c r="N335" s="38"/>
      <c r="O335" s="42"/>
    </row>
    <row r="336" spans="1:15" ht="12.75" customHeight="1" x14ac:dyDescent="0.3">
      <c r="A336" s="42"/>
      <c r="B336" s="38"/>
      <c r="C336" s="42" t="s">
        <v>1136</v>
      </c>
      <c r="D336" s="38"/>
      <c r="E336" s="38"/>
      <c r="F336" s="38"/>
      <c r="G336" s="63" t="s">
        <v>1122</v>
      </c>
      <c r="H336" s="42" t="s">
        <v>1000</v>
      </c>
      <c r="I336" s="255"/>
      <c r="J336" s="296" t="str">
        <f t="shared" si="32"/>
        <v/>
      </c>
      <c r="K336" s="174">
        <f>0.08*D</f>
        <v>0.91852289719750679</v>
      </c>
      <c r="L336" s="193">
        <f>IF(ISBLANK(I336),IF(ISNUMBER(J336)=FALSE,K336,J336),I336)</f>
        <v>0.91852289719750679</v>
      </c>
      <c r="M336" s="42" t="s">
        <v>1525</v>
      </c>
      <c r="N336" s="38"/>
      <c r="O336" s="42"/>
    </row>
    <row r="337" spans="1:15" ht="12.75" customHeight="1" x14ac:dyDescent="0.3">
      <c r="A337" s="42"/>
      <c r="B337" s="38"/>
      <c r="C337" s="42" t="s">
        <v>1990</v>
      </c>
      <c r="D337" s="38"/>
      <c r="E337" s="38"/>
      <c r="F337" s="38"/>
      <c r="G337" s="63" t="s">
        <v>1137</v>
      </c>
      <c r="H337" s="42" t="s">
        <v>999</v>
      </c>
      <c r="I337" s="255"/>
      <c r="J337" s="296" t="str">
        <f t="shared" si="32"/>
        <v/>
      </c>
      <c r="K337" s="174">
        <v>1</v>
      </c>
      <c r="L337" s="193">
        <f>IF(ISBLANK(I337),IF(ISNUMBER(J337)=FALSE,K337/1000,J337/1000),I337/1000)</f>
        <v>1E-3</v>
      </c>
      <c r="M337" s="42" t="s">
        <v>1524</v>
      </c>
      <c r="N337" s="38"/>
      <c r="O337" s="42"/>
    </row>
    <row r="338" spans="1:15" ht="12.75" customHeight="1" x14ac:dyDescent="0.3">
      <c r="A338" s="42"/>
      <c r="B338" s="38"/>
      <c r="C338" s="42" t="s">
        <v>1123</v>
      </c>
      <c r="D338" s="38"/>
      <c r="E338" s="38"/>
      <c r="F338" s="38"/>
      <c r="G338" s="63" t="s">
        <v>1124</v>
      </c>
      <c r="H338" s="42" t="s">
        <v>999</v>
      </c>
      <c r="I338" s="255"/>
      <c r="J338" s="296" t="str">
        <f t="shared" si="32"/>
        <v/>
      </c>
      <c r="K338" s="174">
        <v>1</v>
      </c>
      <c r="L338" s="193">
        <f>IF(ISBLANK(I338),IF(ISNUMBER(J338)=FALSE,K338/1000,J338/1000),I338/1000)</f>
        <v>1E-3</v>
      </c>
      <c r="M338" s="42" t="s">
        <v>1524</v>
      </c>
      <c r="N338" s="38"/>
      <c r="O338" s="42"/>
    </row>
    <row r="339" spans="1:15" ht="12.75" customHeight="1" x14ac:dyDescent="0.3">
      <c r="A339" s="42"/>
      <c r="B339" s="42" t="s">
        <v>1370</v>
      </c>
      <c r="C339" s="64"/>
      <c r="D339" s="38"/>
      <c r="E339" s="38"/>
      <c r="F339" s="38"/>
      <c r="G339" s="63" t="s">
        <v>105</v>
      </c>
      <c r="H339" s="42" t="s">
        <v>28</v>
      </c>
      <c r="I339" s="252"/>
      <c r="J339" s="296" t="str">
        <f t="shared" si="32"/>
        <v/>
      </c>
      <c r="K339" s="174">
        <f ca="1">L304+L305*L340*RHOsolid/1000</f>
        <v>1677.1966704086205</v>
      </c>
      <c r="L339" s="193">
        <f t="shared" ref="L339:L346" ca="1" si="34">IF(ISBLANK(I339),IF(ISNUMBER(J339)=FALSE,K339,J339),I339)</f>
        <v>1677.1966704086205</v>
      </c>
      <c r="M339" s="42" t="s">
        <v>477</v>
      </c>
      <c r="N339" s="38"/>
      <c r="O339" s="42"/>
    </row>
    <row r="340" spans="1:15" ht="12.75" customHeight="1" x14ac:dyDescent="0.3">
      <c r="A340" s="42"/>
      <c r="B340" s="38"/>
      <c r="C340" s="42" t="s">
        <v>1371</v>
      </c>
      <c r="D340" s="38"/>
      <c r="E340" s="38"/>
      <c r="F340" s="38"/>
      <c r="G340" s="63" t="s">
        <v>170</v>
      </c>
      <c r="H340" s="42" t="s">
        <v>1809</v>
      </c>
      <c r="I340" s="252"/>
      <c r="J340" s="296" t="str">
        <f t="shared" si="32"/>
        <v/>
      </c>
      <c r="K340" s="174">
        <f ca="1">(FRorig.sd2*Ksw+(1-FRorig.sd2)*Ksw.alt)*(1000/RHOsolid/CORG)*L341</f>
        <v>3297.2291817840619</v>
      </c>
      <c r="L340" s="193">
        <f t="shared" ca="1" si="34"/>
        <v>3297.2291817840619</v>
      </c>
      <c r="M340" s="42" t="s">
        <v>1525</v>
      </c>
      <c r="N340" s="38"/>
      <c r="O340" s="42"/>
    </row>
    <row r="341" spans="1:15" ht="12.75" customHeight="1" x14ac:dyDescent="0.3">
      <c r="A341" s="42"/>
      <c r="B341" s="38"/>
      <c r="C341" s="42" t="s">
        <v>538</v>
      </c>
      <c r="D341" s="38"/>
      <c r="E341" s="38"/>
      <c r="F341" s="38"/>
      <c r="G341" s="63" t="s">
        <v>106</v>
      </c>
      <c r="H341" s="42" t="s">
        <v>28</v>
      </c>
      <c r="I341" s="252"/>
      <c r="J341" s="296" t="str">
        <f t="shared" si="32"/>
        <v/>
      </c>
      <c r="K341" s="174">
        <v>0.05</v>
      </c>
      <c r="L341" s="193">
        <f t="shared" si="34"/>
        <v>0.05</v>
      </c>
      <c r="M341" s="42" t="s">
        <v>477</v>
      </c>
      <c r="N341" s="38"/>
      <c r="O341" s="42"/>
    </row>
    <row r="342" spans="1:15" ht="12.75" customHeight="1" x14ac:dyDescent="0.3">
      <c r="A342" s="42"/>
      <c r="B342" s="42" t="s">
        <v>1367</v>
      </c>
      <c r="C342" s="64"/>
      <c r="D342" s="38"/>
      <c r="E342" s="38"/>
      <c r="F342" s="38"/>
      <c r="G342" s="63" t="s">
        <v>2013</v>
      </c>
      <c r="H342" s="42" t="s">
        <v>28</v>
      </c>
      <c r="I342" s="252"/>
      <c r="J342" s="296" t="str">
        <f t="shared" si="32"/>
        <v/>
      </c>
      <c r="K342" s="174">
        <f ca="1">L301*(L323*FRorig.s1w)+L302+L303*L345*RHOsolid/1000</f>
        <v>2011.8760044903454</v>
      </c>
      <c r="L342" s="193">
        <f t="shared" ca="1" si="34"/>
        <v>2011.8760044903454</v>
      </c>
      <c r="M342" s="38" t="s">
        <v>477</v>
      </c>
      <c r="N342" s="38"/>
      <c r="O342" s="42"/>
    </row>
    <row r="343" spans="1:15" ht="12.75" customHeight="1" x14ac:dyDescent="0.3">
      <c r="A343" s="42"/>
      <c r="B343" s="42" t="s">
        <v>40</v>
      </c>
      <c r="C343" s="64"/>
      <c r="D343" s="38"/>
      <c r="E343" s="38"/>
      <c r="F343" s="38"/>
      <c r="G343" s="63" t="s">
        <v>469</v>
      </c>
      <c r="H343" s="42" t="s">
        <v>28</v>
      </c>
      <c r="I343" s="252"/>
      <c r="J343" s="296" t="str">
        <f t="shared" si="32"/>
        <v/>
      </c>
      <c r="K343" s="174">
        <f ca="1">L302/(L301*(L323*FRorig.s1w)+L302+L303*L345*RHOsolid/1000)</f>
        <v>9.9409704948821942E-5</v>
      </c>
      <c r="L343" s="193">
        <f t="shared" ca="1" si="34"/>
        <v>9.9409704948821942E-5</v>
      </c>
      <c r="M343" s="38" t="s">
        <v>477</v>
      </c>
      <c r="N343" s="38"/>
      <c r="O343" s="42"/>
    </row>
    <row r="344" spans="1:15" ht="12.75" customHeight="1" x14ac:dyDescent="0.3">
      <c r="A344" s="42"/>
      <c r="B344" s="42" t="s">
        <v>1296</v>
      </c>
      <c r="C344" s="64"/>
      <c r="D344" s="38"/>
      <c r="E344" s="38"/>
      <c r="F344" s="38"/>
      <c r="G344" s="63" t="s">
        <v>468</v>
      </c>
      <c r="H344" s="42" t="s">
        <v>28</v>
      </c>
      <c r="I344" s="252"/>
      <c r="J344" s="296" t="str">
        <f t="shared" si="32"/>
        <v/>
      </c>
      <c r="K344" s="174">
        <f ca="1">L303 / (L301*L323*FRorig.s1w/(L345*RHOsolid/1000)+L302/(L345*RHOsolid/1000)+L303 )</f>
        <v>0.99990059029505118</v>
      </c>
      <c r="L344" s="193">
        <f t="shared" ca="1" si="34"/>
        <v>0.99990059029505118</v>
      </c>
      <c r="M344" s="4" t="s">
        <v>477</v>
      </c>
      <c r="N344" s="38"/>
      <c r="O344" s="42"/>
    </row>
    <row r="345" spans="1:15" ht="12.75" customHeight="1" x14ac:dyDescent="0.3">
      <c r="A345" s="42"/>
      <c r="B345" s="38"/>
      <c r="C345" s="42" t="s">
        <v>1368</v>
      </c>
      <c r="D345" s="38"/>
      <c r="E345" s="38"/>
      <c r="F345" s="38"/>
      <c r="G345" s="63" t="s">
        <v>172</v>
      </c>
      <c r="H345" s="42" t="s">
        <v>1809</v>
      </c>
      <c r="I345" s="252"/>
      <c r="J345" s="296" t="str">
        <f t="shared" si="32"/>
        <v/>
      </c>
      <c r="K345" s="174">
        <f ca="1">(FRorig.s1*Ksw+(1-FRorig.s1)*Ksw.alt)*(1000/RHOsolid/CORG)*L346</f>
        <v>1318.8916727136248</v>
      </c>
      <c r="L345" s="193">
        <f t="shared" ca="1" si="34"/>
        <v>1318.8916727136248</v>
      </c>
      <c r="M345" s="42" t="s">
        <v>1525</v>
      </c>
      <c r="N345" s="38"/>
      <c r="O345" s="42"/>
    </row>
    <row r="346" spans="1:15" ht="12.75" customHeight="1" x14ac:dyDescent="0.3">
      <c r="A346" s="42"/>
      <c r="B346" s="38"/>
      <c r="C346" s="42" t="s">
        <v>1369</v>
      </c>
      <c r="D346" s="38"/>
      <c r="E346" s="38"/>
      <c r="F346" s="38"/>
      <c r="G346" s="63" t="s">
        <v>1005</v>
      </c>
      <c r="H346" s="42" t="s">
        <v>28</v>
      </c>
      <c r="I346" s="252"/>
      <c r="J346" s="296" t="str">
        <f t="shared" si="32"/>
        <v/>
      </c>
      <c r="K346" s="174">
        <v>0.02</v>
      </c>
      <c r="L346" s="193">
        <f t="shared" si="34"/>
        <v>0.02</v>
      </c>
      <c r="M346" s="38" t="s">
        <v>477</v>
      </c>
      <c r="N346" s="38"/>
      <c r="O346" s="42"/>
    </row>
    <row r="347" spans="1:15" ht="12.75" customHeight="1" x14ac:dyDescent="0.3">
      <c r="A347" s="38"/>
      <c r="B347" s="38"/>
      <c r="C347" s="38"/>
      <c r="D347" s="38"/>
      <c r="E347" s="38"/>
      <c r="F347" s="38"/>
      <c r="G347" s="38"/>
      <c r="H347" s="42"/>
      <c r="I347" s="200"/>
      <c r="J347" s="161"/>
      <c r="K347" s="175"/>
      <c r="L347" s="162"/>
      <c r="M347" s="38"/>
      <c r="N347" s="38"/>
      <c r="O347" s="42"/>
    </row>
    <row r="348" spans="1:15" customFormat="1" ht="12.75" customHeight="1" x14ac:dyDescent="0.3">
      <c r="A348" s="67" t="s">
        <v>1306</v>
      </c>
      <c r="B348" s="66"/>
      <c r="C348" s="66"/>
      <c r="D348" s="66"/>
      <c r="E348" s="66"/>
      <c r="F348" s="66"/>
      <c r="G348" s="67" t="s">
        <v>969</v>
      </c>
      <c r="H348" s="67" t="s">
        <v>929</v>
      </c>
      <c r="I348" s="189" t="s">
        <v>748</v>
      </c>
      <c r="J348" s="163" t="s">
        <v>29</v>
      </c>
      <c r="K348" s="163" t="s">
        <v>747</v>
      </c>
      <c r="L348" s="163" t="s">
        <v>1353</v>
      </c>
      <c r="M348" s="66"/>
      <c r="N348" s="67" t="s">
        <v>1366</v>
      </c>
      <c r="O348" s="42"/>
    </row>
    <row r="349" spans="1:15" ht="12.75" customHeight="1" x14ac:dyDescent="0.3">
      <c r="A349" s="38"/>
      <c r="B349" s="38"/>
      <c r="C349" s="38"/>
      <c r="D349" s="38"/>
      <c r="E349" s="38"/>
      <c r="F349" s="38"/>
      <c r="G349" s="38"/>
      <c r="H349" s="42"/>
      <c r="I349" s="200"/>
      <c r="J349" s="200"/>
      <c r="K349" s="175"/>
      <c r="L349" s="162"/>
      <c r="M349" s="38"/>
      <c r="N349" s="38"/>
      <c r="O349" s="42"/>
    </row>
    <row r="350" spans="1:15" ht="12.75" customHeight="1" x14ac:dyDescent="0.3">
      <c r="A350" s="42" t="s">
        <v>85</v>
      </c>
      <c r="B350" s="38"/>
      <c r="C350" s="38"/>
      <c r="D350" s="38"/>
      <c r="E350" s="38"/>
      <c r="F350" s="38"/>
      <c r="G350" s="42" t="s">
        <v>1259</v>
      </c>
      <c r="H350" s="42" t="s">
        <v>1801</v>
      </c>
      <c r="I350" s="252"/>
      <c r="J350" s="296" t="str">
        <f t="shared" ref="J350:J375" si="35">IF(HLOOKUP(CaseName,CaseData,ROW()+600,FALSE)="","",HLOOKUP(CaseName,CaseData,ROW()+600,FALSE))</f>
        <v/>
      </c>
      <c r="K350" s="303">
        <f ca="1">(L354+L366/L294)*L292</f>
        <v>5.678480308706855E-6</v>
      </c>
      <c r="L350" s="193">
        <f t="shared" ref="L350:L363" ca="1" si="36">IF(ISBLANK(I350),IF(ISNUMBER(J350)=FALSE,K350,J350),I350)</f>
        <v>5.678480308706855E-6</v>
      </c>
      <c r="M350" s="38" t="s">
        <v>1515</v>
      </c>
      <c r="N350" s="38"/>
      <c r="O350" s="42"/>
    </row>
    <row r="351" spans="1:15" ht="12.75" customHeight="1" x14ac:dyDescent="0.3">
      <c r="A351" s="42" t="s">
        <v>86</v>
      </c>
      <c r="B351" s="38"/>
      <c r="C351" s="38"/>
      <c r="D351" s="38"/>
      <c r="E351" s="38"/>
      <c r="F351" s="38"/>
      <c r="G351" s="42" t="s">
        <v>1362</v>
      </c>
      <c r="H351" s="42" t="s">
        <v>1801</v>
      </c>
      <c r="I351" s="252"/>
      <c r="J351" s="296" t="str">
        <f t="shared" si="35"/>
        <v/>
      </c>
      <c r="K351" s="303">
        <f ca="1">(L354+L367/L294)*L293</f>
        <v>2.4336344177136131E-6</v>
      </c>
      <c r="L351" s="193">
        <f t="shared" ca="1" si="36"/>
        <v>2.4336344177136131E-6</v>
      </c>
      <c r="M351" s="38" t="s">
        <v>1515</v>
      </c>
      <c r="N351" s="38"/>
      <c r="O351" s="42"/>
    </row>
    <row r="352" spans="1:15" ht="12.75" customHeight="1" x14ac:dyDescent="0.3">
      <c r="A352" s="42" t="s">
        <v>87</v>
      </c>
      <c r="B352" s="38"/>
      <c r="C352" s="38"/>
      <c r="D352" s="38"/>
      <c r="E352" s="38"/>
      <c r="F352" s="38"/>
      <c r="G352" s="42" t="s">
        <v>1260</v>
      </c>
      <c r="H352" s="42" t="s">
        <v>1801</v>
      </c>
      <c r="I352" s="252"/>
      <c r="J352" s="296" t="str">
        <f t="shared" si="35"/>
        <v/>
      </c>
      <c r="K352" s="303">
        <f ca="1">L368/L295</f>
        <v>5.4035152395241643E-25</v>
      </c>
      <c r="L352" s="193">
        <f t="shared" ca="1" si="36"/>
        <v>5.4035152395241643E-25</v>
      </c>
      <c r="M352" s="38" t="s">
        <v>1515</v>
      </c>
      <c r="N352" s="38"/>
      <c r="O352" s="42"/>
    </row>
    <row r="353" spans="1:15" ht="12.75" customHeight="1" x14ac:dyDescent="0.3">
      <c r="A353" s="42" t="s">
        <v>88</v>
      </c>
      <c r="B353" s="38"/>
      <c r="C353" s="38"/>
      <c r="D353" s="38"/>
      <c r="E353" s="38"/>
      <c r="F353" s="38"/>
      <c r="G353" s="42" t="s">
        <v>1363</v>
      </c>
      <c r="H353" s="42" t="s">
        <v>1801</v>
      </c>
      <c r="I353" s="252"/>
      <c r="J353" s="296" t="str">
        <f t="shared" si="35"/>
        <v/>
      </c>
      <c r="K353" s="303">
        <f ca="1">L369/L298</f>
        <v>1.3235694478630747E-25</v>
      </c>
      <c r="L353" s="193">
        <f t="shared" ca="1" si="36"/>
        <v>1.3235694478630747E-25</v>
      </c>
      <c r="M353" s="38" t="s">
        <v>1515</v>
      </c>
      <c r="N353" s="38"/>
      <c r="O353" s="42"/>
    </row>
    <row r="354" spans="1:15" ht="12.75" customHeight="1" x14ac:dyDescent="0.3">
      <c r="A354" s="42"/>
      <c r="B354" s="42" t="s">
        <v>1874</v>
      </c>
      <c r="C354" s="38"/>
      <c r="D354" s="38"/>
      <c r="E354" s="38"/>
      <c r="F354" s="38"/>
      <c r="G354" s="43" t="s">
        <v>1902</v>
      </c>
      <c r="H354" s="42" t="s">
        <v>1579</v>
      </c>
      <c r="I354" s="252"/>
      <c r="J354" s="296" t="str">
        <f t="shared" si="35"/>
        <v/>
      </c>
      <c r="K354" s="303">
        <f ca="1">L355 - SUM((L366*L292+L367*L293)/L294,L404,L307)</f>
        <v>8.1121147254781693E-6</v>
      </c>
      <c r="L354" s="193">
        <f t="shared" ca="1" si="36"/>
        <v>8.1121147254781693E-6</v>
      </c>
      <c r="M354" s="38" t="s">
        <v>1597</v>
      </c>
      <c r="N354" s="38"/>
      <c r="O354" s="42"/>
    </row>
    <row r="355" spans="1:15" ht="12.75" customHeight="1" x14ac:dyDescent="0.3">
      <c r="A355" s="42"/>
      <c r="B355" s="42"/>
      <c r="C355" s="38" t="s">
        <v>1875</v>
      </c>
      <c r="D355" s="38"/>
      <c r="E355" s="38"/>
      <c r="F355" s="38"/>
      <c r="G355" s="43" t="s">
        <v>1903</v>
      </c>
      <c r="H355" s="42" t="s">
        <v>1579</v>
      </c>
      <c r="I355" s="252"/>
      <c r="J355" s="296" t="str">
        <f t="shared" si="35"/>
        <v/>
      </c>
      <c r="K355" s="174">
        <f ca="1">((1/L356)*L358/(L358+L359)+(1/L357)*L359/(L358+L359)-((1/L357-1/L356)^2/(L358+L359))*(1-EXP(-L356*L358))*(1-EXP(-L357*L359))/(1-EXP(-L356*L358-L357*L359)))^-1</f>
        <v>8.4119075424944033E-6</v>
      </c>
      <c r="L355" s="193">
        <f t="shared" ca="1" si="36"/>
        <v>8.4119075424944033E-6</v>
      </c>
      <c r="M355" s="38" t="s">
        <v>1515</v>
      </c>
      <c r="N355" s="38"/>
      <c r="O355" s="42"/>
    </row>
    <row r="356" spans="1:15" ht="12.75" customHeight="1" x14ac:dyDescent="0.3">
      <c r="A356" s="42"/>
      <c r="B356" s="42"/>
      <c r="C356" s="42"/>
      <c r="D356" s="42" t="s">
        <v>1956</v>
      </c>
      <c r="E356" s="38"/>
      <c r="F356" s="38"/>
      <c r="G356" s="43" t="s">
        <v>423</v>
      </c>
      <c r="H356" s="42" t="s">
        <v>1801</v>
      </c>
      <c r="I356" s="252"/>
      <c r="J356" s="296" t="str">
        <f t="shared" si="35"/>
        <v/>
      </c>
      <c r="K356" s="303">
        <f ca="1">L360/L294 + SUM((L366*L292+L367*L293)/L294,L404,L307)</f>
        <v>1.2997928167930204E-6</v>
      </c>
      <c r="L356" s="193">
        <f t="shared" ca="1" si="36"/>
        <v>1.2997928167930204E-6</v>
      </c>
      <c r="M356" s="38" t="s">
        <v>1515</v>
      </c>
      <c r="N356" s="38"/>
      <c r="O356" s="42"/>
    </row>
    <row r="357" spans="1:15" ht="12.75" customHeight="1" x14ac:dyDescent="0.3">
      <c r="A357" s="42"/>
      <c r="B357" s="42"/>
      <c r="C357" s="42"/>
      <c r="D357" s="42" t="s">
        <v>1957</v>
      </c>
      <c r="E357" s="38"/>
      <c r="F357" s="38"/>
      <c r="G357" s="43" t="s">
        <v>424</v>
      </c>
      <c r="H357" s="42" t="s">
        <v>1801</v>
      </c>
      <c r="I357" s="252"/>
      <c r="J357" s="296" t="str">
        <f t="shared" si="35"/>
        <v/>
      </c>
      <c r="K357" s="303">
        <f ca="1">(L361+L362)/L294 + SUM((L366*L292+L367*L293)/L294,L404,L307)</f>
        <v>15.335932287624161</v>
      </c>
      <c r="L357" s="193">
        <f t="shared" ca="1" si="36"/>
        <v>15.335932287624161</v>
      </c>
      <c r="M357" s="38" t="s">
        <v>1515</v>
      </c>
      <c r="N357" s="38"/>
      <c r="O357" s="42"/>
    </row>
    <row r="358" spans="1:15" ht="12.75" customHeight="1" x14ac:dyDescent="0.3">
      <c r="A358" s="42"/>
      <c r="B358" s="38" t="s">
        <v>890</v>
      </c>
      <c r="C358" s="38"/>
      <c r="D358" s="38"/>
      <c r="E358" s="38"/>
      <c r="F358" s="38"/>
      <c r="G358" s="38" t="s">
        <v>425</v>
      </c>
      <c r="H358" s="38" t="s">
        <v>1779</v>
      </c>
      <c r="I358" s="252"/>
      <c r="J358" s="296" t="str">
        <f t="shared" si="35"/>
        <v/>
      </c>
      <c r="K358" s="174">
        <f>3.3*24</f>
        <v>79.199999999999989</v>
      </c>
      <c r="L358" s="297">
        <f>IF(ISBLANK(I358),IF(ISNUMBER(J358)=FALSE,K358*3600,J358*3600),I358*3600)</f>
        <v>285119.99999999994</v>
      </c>
      <c r="M358" s="42" t="s">
        <v>107</v>
      </c>
      <c r="N358" s="38"/>
      <c r="O358" s="42"/>
    </row>
    <row r="359" spans="1:15" ht="12.75" customHeight="1" x14ac:dyDescent="0.3">
      <c r="A359" s="42"/>
      <c r="B359" s="38" t="s">
        <v>892</v>
      </c>
      <c r="C359" s="38"/>
      <c r="D359" s="38"/>
      <c r="E359" s="38"/>
      <c r="F359" s="38"/>
      <c r="G359" s="38" t="s">
        <v>426</v>
      </c>
      <c r="H359" s="38" t="s">
        <v>1779</v>
      </c>
      <c r="I359" s="252"/>
      <c r="J359" s="296" t="str">
        <f t="shared" si="35"/>
        <v/>
      </c>
      <c r="K359" s="174">
        <f>3.3*24*(0.06/(1-0.06))</f>
        <v>5.0553191489361691</v>
      </c>
      <c r="L359" s="297">
        <f>IF(ISBLANK(I359),IF(ISNUMBER(J359)=FALSE,K359*3600,J359*3600),I359*3600)</f>
        <v>18199.148936170208</v>
      </c>
      <c r="M359" s="42" t="s">
        <v>757</v>
      </c>
      <c r="N359" s="38"/>
      <c r="O359" s="42"/>
    </row>
    <row r="360" spans="1:15" ht="12.75" customHeight="1" x14ac:dyDescent="0.3">
      <c r="A360" s="42"/>
      <c r="B360" s="42" t="s">
        <v>484</v>
      </c>
      <c r="C360" s="38"/>
      <c r="D360" s="38"/>
      <c r="E360" s="38"/>
      <c r="F360" s="38"/>
      <c r="G360" s="63" t="s">
        <v>914</v>
      </c>
      <c r="H360" s="39" t="s">
        <v>1802</v>
      </c>
      <c r="I360" s="252"/>
      <c r="J360" s="296" t="str">
        <f t="shared" si="35"/>
        <v/>
      </c>
      <c r="K360" s="174">
        <f>L363*(L321+L322)</f>
        <v>9.9999999977678643E-4</v>
      </c>
      <c r="L360" s="193">
        <f t="shared" si="36"/>
        <v>9.9999999977678643E-4</v>
      </c>
      <c r="M360" s="38" t="s">
        <v>1517</v>
      </c>
      <c r="N360" s="38"/>
      <c r="O360" s="42"/>
    </row>
    <row r="361" spans="1:15" ht="12.75" customHeight="1" x14ac:dyDescent="0.3">
      <c r="A361" s="42"/>
      <c r="B361" s="42" t="s">
        <v>739</v>
      </c>
      <c r="C361" s="38"/>
      <c r="D361" s="38"/>
      <c r="E361" s="38"/>
      <c r="F361" s="38"/>
      <c r="G361" s="43" t="s">
        <v>1395</v>
      </c>
      <c r="H361" s="64" t="s">
        <v>1802</v>
      </c>
      <c r="I361" s="252"/>
      <c r="J361" s="296" t="str">
        <f t="shared" si="35"/>
        <v/>
      </c>
      <c r="K361" s="174">
        <f>(L321+L322)*(L358+L359)/L359*L364*L365</f>
        <v>0.13740909856564162</v>
      </c>
      <c r="L361" s="193">
        <f t="shared" si="36"/>
        <v>0.13740909856564162</v>
      </c>
      <c r="M361" s="38" t="s">
        <v>1517</v>
      </c>
      <c r="N361" s="38"/>
      <c r="O361" s="42"/>
    </row>
    <row r="362" spans="1:15" ht="12.75" customHeight="1" x14ac:dyDescent="0.3">
      <c r="A362" s="42"/>
      <c r="B362" s="42" t="s">
        <v>740</v>
      </c>
      <c r="C362" s="38"/>
      <c r="D362" s="38"/>
      <c r="E362" s="38"/>
      <c r="F362" s="38"/>
      <c r="G362" s="43" t="s">
        <v>1396</v>
      </c>
      <c r="H362" s="64" t="s">
        <v>1802</v>
      </c>
      <c r="I362" s="252"/>
      <c r="J362" s="296" t="str">
        <f t="shared" si="35"/>
        <v/>
      </c>
      <c r="K362" s="174">
        <f>L320*(L358+L359)/L359*L364/(L323*FRorig.aerw)</f>
        <v>15335.794578732777</v>
      </c>
      <c r="L362" s="193">
        <f t="shared" si="36"/>
        <v>15335.794578732777</v>
      </c>
      <c r="M362" s="38" t="s">
        <v>1517</v>
      </c>
      <c r="N362" s="38"/>
      <c r="O362" s="42"/>
    </row>
    <row r="363" spans="1:15" ht="12.75" customHeight="1" x14ac:dyDescent="0.3">
      <c r="A363" s="42"/>
      <c r="B363" s="38"/>
      <c r="C363" s="64" t="s">
        <v>741</v>
      </c>
      <c r="D363" s="64"/>
      <c r="E363" s="64"/>
      <c r="F363" s="64"/>
      <c r="G363" s="63" t="s">
        <v>915</v>
      </c>
      <c r="H363" s="39" t="s">
        <v>1802</v>
      </c>
      <c r="I363" s="252"/>
      <c r="J363" s="296" t="str">
        <f t="shared" si="35"/>
        <v/>
      </c>
      <c r="K363" s="168">
        <v>1E-3</v>
      </c>
      <c r="L363" s="193">
        <f t="shared" si="36"/>
        <v>1E-3</v>
      </c>
      <c r="M363" s="38" t="s">
        <v>1517</v>
      </c>
      <c r="N363" s="38"/>
      <c r="O363" s="42"/>
    </row>
    <row r="364" spans="1:15" ht="12.75" customHeight="1" x14ac:dyDescent="0.3">
      <c r="A364" s="42"/>
      <c r="B364" s="38"/>
      <c r="C364" s="42" t="s">
        <v>742</v>
      </c>
      <c r="D364" s="64"/>
      <c r="E364" s="64"/>
      <c r="F364" s="64"/>
      <c r="G364" s="63" t="s">
        <v>916</v>
      </c>
      <c r="H364" s="64" t="s">
        <v>1812</v>
      </c>
      <c r="I364" s="252"/>
      <c r="J364" s="296" t="str">
        <f t="shared" si="35"/>
        <v/>
      </c>
      <c r="K364" s="168">
        <v>1300</v>
      </c>
      <c r="L364" s="193">
        <f>IF(ISBLANK(I364),IF(ISNUMBER(J364)=FALSE,K364/(1000*3600*24*365),J364/(1000*3600*24*365)),I364/(1000*3600*24*365))</f>
        <v>4.1222729578893962E-8</v>
      </c>
      <c r="M364" s="38" t="s">
        <v>1517</v>
      </c>
      <c r="N364" s="38"/>
      <c r="O364" s="42"/>
    </row>
    <row r="365" spans="1:15" ht="12.75" customHeight="1" x14ac:dyDescent="0.3">
      <c r="A365" s="42"/>
      <c r="B365" s="38"/>
      <c r="C365" s="42" t="s">
        <v>440</v>
      </c>
      <c r="D365" s="38"/>
      <c r="E365" s="38"/>
      <c r="F365" s="38"/>
      <c r="G365" s="63" t="s">
        <v>917</v>
      </c>
      <c r="H365" s="42" t="s">
        <v>28</v>
      </c>
      <c r="I365" s="252"/>
      <c r="J365" s="296" t="str">
        <f t="shared" si="35"/>
        <v/>
      </c>
      <c r="K365" s="168">
        <v>200000</v>
      </c>
      <c r="L365" s="193">
        <f t="shared" ref="L365:L375" si="37">IF(ISBLANK(I365),IF(ISNUMBER(J365)=FALSE,K365,J365),I365)</f>
        <v>200000</v>
      </c>
      <c r="M365" s="42" t="s">
        <v>477</v>
      </c>
      <c r="N365" s="38"/>
      <c r="O365" s="42"/>
    </row>
    <row r="366" spans="1:15" ht="12.75" customHeight="1" x14ac:dyDescent="0.3">
      <c r="A366" s="42"/>
      <c r="B366" s="42" t="s">
        <v>1825</v>
      </c>
      <c r="C366" s="38"/>
      <c r="D366" s="38"/>
      <c r="E366" s="64"/>
      <c r="F366" s="64"/>
      <c r="G366" s="43" t="s">
        <v>1904</v>
      </c>
      <c r="H366" s="42" t="s">
        <v>1817</v>
      </c>
      <c r="I366" s="252"/>
      <c r="J366" s="296" t="str">
        <f t="shared" si="35"/>
        <v/>
      </c>
      <c r="K366" s="303">
        <f>L320*(L370*L371/(L370*(L323*FRorig.w2)+L371))</f>
        <v>1.2459087236205468E-12</v>
      </c>
      <c r="L366" s="193">
        <f t="shared" si="37"/>
        <v>1.2459087236205468E-12</v>
      </c>
      <c r="M366" s="42" t="s">
        <v>1818</v>
      </c>
      <c r="N366" s="38"/>
      <c r="O366" s="42"/>
    </row>
    <row r="367" spans="1:15" ht="12.75" customHeight="1" x14ac:dyDescent="0.3">
      <c r="A367" s="42"/>
      <c r="B367" s="42" t="s">
        <v>1826</v>
      </c>
      <c r="C367" s="38"/>
      <c r="D367" s="38"/>
      <c r="E367" s="64"/>
      <c r="F367" s="64"/>
      <c r="G367" s="43" t="s">
        <v>1905</v>
      </c>
      <c r="H367" s="42" t="s">
        <v>1817</v>
      </c>
      <c r="I367" s="252"/>
      <c r="J367" s="296" t="str">
        <f t="shared" si="35"/>
        <v/>
      </c>
      <c r="K367" s="303">
        <f ca="1">L320*(L373*L374)/(L373*((L323*FRorig.s1w)/L342)+L374)</f>
        <v>2.3387275375931386E-13</v>
      </c>
      <c r="L367" s="193">
        <f ca="1">IF(ISBLANK(I367),IF(ISNUMBER(J367)=FALSE,K367,J367),I367)</f>
        <v>2.3387275375931386E-13</v>
      </c>
      <c r="M367" s="42" t="s">
        <v>1818</v>
      </c>
      <c r="N367" s="38"/>
      <c r="O367" s="42"/>
    </row>
    <row r="368" spans="1:15" ht="12.75" customHeight="1" x14ac:dyDescent="0.3">
      <c r="A368" s="42"/>
      <c r="B368" s="42" t="s">
        <v>1878</v>
      </c>
      <c r="C368" s="38"/>
      <c r="D368" s="38"/>
      <c r="E368" s="38"/>
      <c r="F368" s="38"/>
      <c r="G368" s="43" t="s">
        <v>1906</v>
      </c>
      <c r="H368" s="42" t="s">
        <v>1817</v>
      </c>
      <c r="I368" s="252"/>
      <c r="J368" s="296" t="str">
        <f t="shared" si="35"/>
        <v/>
      </c>
      <c r="K368" s="303">
        <f ca="1">(L370*L371/(L370*(L323*FRorig.w2)+L371))*(L323*FRorig.w2)*L327</f>
        <v>5.4035152395241644E-23</v>
      </c>
      <c r="L368" s="193">
        <f t="shared" ca="1" si="37"/>
        <v>5.4035152395241644E-23</v>
      </c>
      <c r="M368" s="42" t="s">
        <v>1818</v>
      </c>
      <c r="N368" s="38"/>
      <c r="O368" s="42"/>
    </row>
    <row r="369" spans="1:15" ht="12.75" customHeight="1" x14ac:dyDescent="0.3">
      <c r="A369" s="42"/>
      <c r="B369" s="42" t="s">
        <v>1880</v>
      </c>
      <c r="C369" s="38"/>
      <c r="D369" s="38"/>
      <c r="E369" s="64"/>
      <c r="F369" s="64"/>
      <c r="G369" s="43" t="s">
        <v>1907</v>
      </c>
      <c r="H369" s="42" t="s">
        <v>1817</v>
      </c>
      <c r="I369" s="252"/>
      <c r="J369" s="296" t="str">
        <f t="shared" si="35"/>
        <v/>
      </c>
      <c r="K369" s="303">
        <f ca="1">(L373*L374)/(L373+L374/((L323*FRorig.s1w)/L342))*L375</f>
        <v>6.6178472393153735E-27</v>
      </c>
      <c r="L369" s="193">
        <f ca="1">IF(ISBLANK(I369),IF(ISNUMBER(J369)=FALSE,K369,J369),I369)</f>
        <v>6.6178472393153735E-27</v>
      </c>
      <c r="M369" s="42" t="s">
        <v>1818</v>
      </c>
      <c r="N369" s="38"/>
      <c r="O369" s="42"/>
    </row>
    <row r="370" spans="1:15" ht="12.75" customHeight="1" x14ac:dyDescent="0.3">
      <c r="A370" s="38"/>
      <c r="B370" s="42"/>
      <c r="C370" s="38" t="s">
        <v>1070</v>
      </c>
      <c r="D370" s="38"/>
      <c r="E370" s="38"/>
      <c r="F370" s="38"/>
      <c r="G370" s="38" t="s">
        <v>2014</v>
      </c>
      <c r="H370" s="39" t="s">
        <v>1802</v>
      </c>
      <c r="I370" s="252"/>
      <c r="J370" s="296" t="str">
        <f t="shared" si="35"/>
        <v/>
      </c>
      <c r="K370" s="174">
        <f>0.01*(0.3+0.2*L372)*((0.018/Molweight)^(0.67*0.5))</f>
        <v>5.5816864840963773E-3</v>
      </c>
      <c r="L370" s="193">
        <f t="shared" si="37"/>
        <v>5.5816864840963773E-3</v>
      </c>
      <c r="M370" s="38" t="s">
        <v>1517</v>
      </c>
      <c r="N370" s="38"/>
      <c r="O370" s="42"/>
    </row>
    <row r="371" spans="1:15" ht="12.75" customHeight="1" x14ac:dyDescent="0.3">
      <c r="A371" s="38"/>
      <c r="B371" s="42"/>
      <c r="C371" s="38" t="s">
        <v>1009</v>
      </c>
      <c r="D371" s="38"/>
      <c r="E371" s="38"/>
      <c r="F371" s="38"/>
      <c r="G371" s="38" t="s">
        <v>2015</v>
      </c>
      <c r="H371" s="39" t="s">
        <v>1802</v>
      </c>
      <c r="I371" s="252"/>
      <c r="J371" s="296" t="str">
        <f t="shared" si="35"/>
        <v/>
      </c>
      <c r="K371" s="174">
        <f>0.01*(0.0004+0.00004*L372^2)*((0.032/Molweight)^(0.5*0.5))</f>
        <v>6.1439733890516994E-6</v>
      </c>
      <c r="L371" s="193">
        <f t="shared" si="37"/>
        <v>6.1439733890516994E-6</v>
      </c>
      <c r="M371" s="38" t="s">
        <v>1517</v>
      </c>
      <c r="N371" s="38"/>
      <c r="O371" s="42"/>
    </row>
    <row r="372" spans="1:15" ht="12.75" customHeight="1" x14ac:dyDescent="0.3">
      <c r="A372" s="42"/>
      <c r="B372" s="38"/>
      <c r="C372" s="38"/>
      <c r="D372" s="64" t="s">
        <v>699</v>
      </c>
      <c r="E372" s="38"/>
      <c r="F372" s="38"/>
      <c r="G372" s="43" t="s">
        <v>1012</v>
      </c>
      <c r="H372" s="39" t="s">
        <v>1802</v>
      </c>
      <c r="I372" s="252"/>
      <c r="J372" s="296" t="str">
        <f t="shared" si="35"/>
        <v/>
      </c>
      <c r="K372" s="168">
        <v>3</v>
      </c>
      <c r="L372" s="193">
        <f t="shared" si="37"/>
        <v>3</v>
      </c>
      <c r="M372" s="38" t="s">
        <v>1517</v>
      </c>
      <c r="N372" s="38"/>
      <c r="O372" s="42"/>
    </row>
    <row r="373" spans="1:15" ht="12.75" customHeight="1" x14ac:dyDescent="0.3">
      <c r="A373" s="38"/>
      <c r="B373" s="42"/>
      <c r="C373" s="38" t="s">
        <v>1010</v>
      </c>
      <c r="D373" s="38"/>
      <c r="E373" s="64"/>
      <c r="F373" s="64"/>
      <c r="G373" s="38" t="s">
        <v>2016</v>
      </c>
      <c r="H373" s="39" t="s">
        <v>1802</v>
      </c>
      <c r="I373" s="252"/>
      <c r="J373" s="296" t="str">
        <f t="shared" si="35"/>
        <v/>
      </c>
      <c r="K373" s="174">
        <f>0.43/(24*3600)/0.00475</f>
        <v>1.0477582846003899E-3</v>
      </c>
      <c r="L373" s="193">
        <f>IF(ISBLANK(I373),IF(ISNUMBER(J373)=FALSE,K373,J373),I373)</f>
        <v>1.0477582846003899E-3</v>
      </c>
      <c r="M373" s="38" t="s">
        <v>1517</v>
      </c>
      <c r="N373" s="38"/>
      <c r="O373" s="42"/>
    </row>
    <row r="374" spans="1:15" ht="12.75" customHeight="1" x14ac:dyDescent="0.3">
      <c r="A374" s="38"/>
      <c r="B374" s="42"/>
      <c r="C374" s="38" t="s">
        <v>850</v>
      </c>
      <c r="D374" s="38"/>
      <c r="E374" s="38"/>
      <c r="F374" s="38"/>
      <c r="G374" s="38" t="s">
        <v>2017</v>
      </c>
      <c r="H374" s="64" t="s">
        <v>1802</v>
      </c>
      <c r="I374" s="252"/>
      <c r="J374" s="296" t="str">
        <f t="shared" si="35"/>
        <v/>
      </c>
      <c r="K374" s="174">
        <f>0.1*L413</f>
        <v>9.9999999999999991E-22</v>
      </c>
      <c r="L374" s="193">
        <f>IF(ISBLANK(I374),IF(ISNUMBER(J374)=FALSE,K374,J374),I374)</f>
        <v>9.9999999999999991E-22</v>
      </c>
      <c r="M374" s="38" t="s">
        <v>1517</v>
      </c>
      <c r="N374" s="38" t="s">
        <v>1410</v>
      </c>
      <c r="O374" s="42"/>
    </row>
    <row r="375" spans="1:15" ht="12.75" customHeight="1" x14ac:dyDescent="0.3">
      <c r="A375" s="38"/>
      <c r="B375" s="42"/>
      <c r="C375" s="38" t="s">
        <v>177</v>
      </c>
      <c r="D375" s="38"/>
      <c r="E375" s="64"/>
      <c r="F375" s="38"/>
      <c r="G375" s="43" t="s">
        <v>806</v>
      </c>
      <c r="H375" s="38" t="s">
        <v>28</v>
      </c>
      <c r="I375" s="253"/>
      <c r="J375" s="296" t="str">
        <f t="shared" si="35"/>
        <v/>
      </c>
      <c r="K375" s="174">
        <f>(EXP((-1/0.1)*0)*(1/0.1)*L298/(1-EXP((-1/0.1)*L298)))</f>
        <v>1.2707470412683992</v>
      </c>
      <c r="L375" s="193">
        <f t="shared" si="37"/>
        <v>1.2707470412683992</v>
      </c>
      <c r="M375" s="42" t="s">
        <v>477</v>
      </c>
      <c r="N375" s="38" t="s">
        <v>956</v>
      </c>
      <c r="O375" s="42"/>
    </row>
    <row r="376" spans="1:15" ht="12.75" customHeight="1" x14ac:dyDescent="0.3">
      <c r="A376" s="38"/>
      <c r="B376" s="38"/>
      <c r="C376" s="38"/>
      <c r="D376" s="38"/>
      <c r="E376" s="38"/>
      <c r="F376" s="38"/>
      <c r="G376" s="38"/>
      <c r="H376" s="38"/>
      <c r="I376" s="203"/>
      <c r="J376" s="296"/>
      <c r="K376" s="162"/>
      <c r="L376" s="162"/>
      <c r="M376" s="38"/>
      <c r="N376" s="38"/>
      <c r="O376" s="42"/>
    </row>
    <row r="377" spans="1:15" ht="12.75" customHeight="1" x14ac:dyDescent="0.3">
      <c r="A377" s="42" t="s">
        <v>89</v>
      </c>
      <c r="B377" s="38"/>
      <c r="C377" s="38"/>
      <c r="D377" s="38"/>
      <c r="E377" s="38"/>
      <c r="F377" s="38"/>
      <c r="G377" s="43" t="s">
        <v>1128</v>
      </c>
      <c r="H377" s="42" t="s">
        <v>1801</v>
      </c>
      <c r="I377" s="253"/>
      <c r="J377" s="296" t="str">
        <f t="shared" ref="J377:J389" si="38">IF(HLOOKUP(CaseName,CaseData,ROW()+600,FALSE)="","",HLOOKUP(CaseName,CaseData,ROW()+600,FALSE))</f>
        <v/>
      </c>
      <c r="K377" s="303">
        <f ca="1">(L379+L386)/L296</f>
        <v>3.1674403892186581E-10</v>
      </c>
      <c r="L377" s="193">
        <f t="shared" ref="L377:L384" ca="1" si="39">IF(ISBLANK(I377),IF(ISNUMBER(J377)=FALSE,K377,J377),I377)</f>
        <v>3.1674403892186581E-10</v>
      </c>
      <c r="M377" s="38" t="s">
        <v>1515</v>
      </c>
      <c r="N377" s="38"/>
      <c r="O377" s="42"/>
    </row>
    <row r="378" spans="1:15" ht="12.75" customHeight="1" x14ac:dyDescent="0.3">
      <c r="A378" s="42" t="s">
        <v>90</v>
      </c>
      <c r="B378" s="38"/>
      <c r="C378" s="38"/>
      <c r="D378" s="38"/>
      <c r="E378" s="38"/>
      <c r="F378" s="38"/>
      <c r="G378" s="43" t="s">
        <v>1129</v>
      </c>
      <c r="H378" s="42" t="s">
        <v>1801</v>
      </c>
      <c r="I378" s="253"/>
      <c r="J378" s="296" t="str">
        <f t="shared" si="38"/>
        <v/>
      </c>
      <c r="K378" s="303">
        <f ca="1">(L380+L387)/L297</f>
        <v>1.0029750285175677E-8</v>
      </c>
      <c r="L378" s="193">
        <f t="shared" ca="1" si="39"/>
        <v>1.0029750285175677E-8</v>
      </c>
      <c r="M378" s="38" t="s">
        <v>1515</v>
      </c>
      <c r="N378" s="38"/>
      <c r="O378" s="42"/>
    </row>
    <row r="379" spans="1:15" ht="12.75" customHeight="1" x14ac:dyDescent="0.3">
      <c r="A379" s="42"/>
      <c r="B379" s="42" t="s">
        <v>1881</v>
      </c>
      <c r="C379" s="38"/>
      <c r="D379" s="38"/>
      <c r="E379" s="38"/>
      <c r="F379" s="38"/>
      <c r="G379" s="43" t="s">
        <v>1908</v>
      </c>
      <c r="H379" s="42" t="s">
        <v>1817</v>
      </c>
      <c r="I379" s="253"/>
      <c r="J379" s="296" t="str">
        <f t="shared" si="38"/>
        <v/>
      </c>
      <c r="K379" s="303">
        <f ca="1">(L381*L305*RHOsolid/L333)*((L329*L333/1000)*L327)</f>
        <v>9.2360514307479212E-7</v>
      </c>
      <c r="L379" s="193">
        <f t="shared" ca="1" si="39"/>
        <v>9.2360514307479212E-7</v>
      </c>
      <c r="M379" s="42" t="s">
        <v>1818</v>
      </c>
      <c r="N379" s="38"/>
      <c r="O379" s="42"/>
    </row>
    <row r="380" spans="1:15" ht="12.75" customHeight="1" x14ac:dyDescent="0.3">
      <c r="A380" s="42"/>
      <c r="B380" s="42" t="s">
        <v>1882</v>
      </c>
      <c r="C380" s="38"/>
      <c r="D380" s="38"/>
      <c r="E380" s="38"/>
      <c r="F380" s="38"/>
      <c r="G380" s="43" t="s">
        <v>1909</v>
      </c>
      <c r="H380" s="42" t="s">
        <v>1817</v>
      </c>
      <c r="I380" s="253"/>
      <c r="J380" s="296" t="str">
        <f t="shared" si="38"/>
        <v/>
      </c>
      <c r="K380" s="303">
        <f ca="1">L382</f>
        <v>2.844931494459129E-10</v>
      </c>
      <c r="L380" s="193">
        <f t="shared" ca="1" si="39"/>
        <v>2.844931494459129E-10</v>
      </c>
      <c r="M380" s="42" t="s">
        <v>1818</v>
      </c>
      <c r="N380" s="38"/>
      <c r="O380" s="42"/>
    </row>
    <row r="381" spans="1:15" ht="12.75" customHeight="1" x14ac:dyDescent="0.3">
      <c r="A381" s="38"/>
      <c r="B381" s="42"/>
      <c r="C381" s="42" t="s">
        <v>1223</v>
      </c>
      <c r="D381" s="38"/>
      <c r="E381" s="38"/>
      <c r="F381" s="38"/>
      <c r="G381" s="63" t="s">
        <v>149</v>
      </c>
      <c r="H381" s="39" t="s">
        <v>1802</v>
      </c>
      <c r="I381" s="253"/>
      <c r="J381" s="296" t="str">
        <f t="shared" si="38"/>
        <v/>
      </c>
      <c r="K381" s="174">
        <f ca="1">IF(L383*L333/(L305*RHOsolid)&gt;L384,L383*L333/(L305*RHOsolid),L384)</f>
        <v>2.8455656902988043E-10</v>
      </c>
      <c r="L381" s="207">
        <f t="shared" ca="1" si="39"/>
        <v>2.8455656902988043E-10</v>
      </c>
      <c r="M381" s="38" t="s">
        <v>1517</v>
      </c>
      <c r="N381" s="38"/>
      <c r="O381" s="42"/>
    </row>
    <row r="382" spans="1:15" ht="12.75" customHeight="1" x14ac:dyDescent="0.3">
      <c r="A382" s="38"/>
      <c r="B382" s="42"/>
      <c r="C382" s="64" t="s">
        <v>574</v>
      </c>
      <c r="D382" s="38"/>
      <c r="E382" s="38"/>
      <c r="F382" s="38"/>
      <c r="G382" s="63" t="s">
        <v>779</v>
      </c>
      <c r="H382" s="39" t="s">
        <v>1802</v>
      </c>
      <c r="I382" s="253"/>
      <c r="J382" s="296" t="str">
        <f t="shared" si="38"/>
        <v/>
      </c>
      <c r="K382" s="174">
        <f ca="1">L381-L384</f>
        <v>2.844931494459129E-10</v>
      </c>
      <c r="L382" s="207">
        <f t="shared" ca="1" si="39"/>
        <v>2.844931494459129E-10</v>
      </c>
      <c r="M382" s="38" t="s">
        <v>1517</v>
      </c>
      <c r="N382" s="38"/>
      <c r="O382" s="42"/>
    </row>
    <row r="383" spans="1:15" ht="12.75" customHeight="1" x14ac:dyDescent="0.3">
      <c r="A383" s="42"/>
      <c r="B383" s="38"/>
      <c r="C383" s="42"/>
      <c r="D383" s="42" t="s">
        <v>576</v>
      </c>
      <c r="E383" s="64"/>
      <c r="F383" s="64"/>
      <c r="G383" s="63" t="s">
        <v>773</v>
      </c>
      <c r="H383" s="39" t="s">
        <v>1802</v>
      </c>
      <c r="I383" s="253"/>
      <c r="J383" s="296" t="str">
        <f t="shared" si="38"/>
        <v/>
      </c>
      <c r="K383" s="168">
        <f>2.5/(24*3600)</f>
        <v>2.8935185185185186E-5</v>
      </c>
      <c r="L383" s="207">
        <f t="shared" si="39"/>
        <v>2.8935185185185186E-5</v>
      </c>
      <c r="M383" s="38" t="s">
        <v>1517</v>
      </c>
      <c r="N383" s="38"/>
      <c r="O383" s="42"/>
    </row>
    <row r="384" spans="1:15" ht="12.75" customHeight="1" x14ac:dyDescent="0.3">
      <c r="A384" s="42"/>
      <c r="B384" s="38"/>
      <c r="C384" s="42"/>
      <c r="D384" s="42" t="s">
        <v>557</v>
      </c>
      <c r="E384" s="64"/>
      <c r="F384" s="64"/>
      <c r="G384" s="63" t="s">
        <v>775</v>
      </c>
      <c r="H384" s="39" t="s">
        <v>1802</v>
      </c>
      <c r="I384" s="253"/>
      <c r="J384" s="296" t="str">
        <f t="shared" si="38"/>
        <v/>
      </c>
      <c r="K384" s="174">
        <v>6.3419583967529484E-14</v>
      </c>
      <c r="L384" s="193">
        <f t="shared" si="39"/>
        <v>6.3419583967529484E-14</v>
      </c>
      <c r="M384" s="38" t="s">
        <v>1517</v>
      </c>
      <c r="N384" s="38" t="s">
        <v>884</v>
      </c>
      <c r="O384" s="42"/>
    </row>
    <row r="385" spans="1:15" ht="12.75" customHeight="1" x14ac:dyDescent="0.3">
      <c r="A385" s="38"/>
      <c r="B385" s="42"/>
      <c r="C385" s="42"/>
      <c r="D385" s="42"/>
      <c r="E385" s="42" t="s">
        <v>798</v>
      </c>
      <c r="F385" s="42"/>
      <c r="G385" s="63" t="s">
        <v>774</v>
      </c>
      <c r="H385" s="42" t="s">
        <v>1811</v>
      </c>
      <c r="I385" s="253"/>
      <c r="J385" s="296" t="str">
        <f t="shared" si="38"/>
        <v/>
      </c>
      <c r="K385" s="168">
        <v>1</v>
      </c>
      <c r="L385" s="193">
        <f>IF(ISBLANK(I385),IF(ISNUMBER(J385)=FALSE,K385/(1000*3600*24*365)*L292*L291,J385/(1000*3600*24*365)*L292*L291),I385/(1000*3600*24*365)*L292*L291)</f>
        <v>2830.0989345509893</v>
      </c>
      <c r="M385" s="42" t="s">
        <v>1526</v>
      </c>
      <c r="N385" s="38"/>
      <c r="O385" s="42"/>
    </row>
    <row r="386" spans="1:15" ht="12.75" customHeight="1" x14ac:dyDescent="0.3">
      <c r="A386" s="38"/>
      <c r="B386" s="38" t="s">
        <v>1883</v>
      </c>
      <c r="C386" s="64"/>
      <c r="D386" s="64"/>
      <c r="E386" s="38"/>
      <c r="F386" s="38"/>
      <c r="G386" s="43" t="s">
        <v>1910</v>
      </c>
      <c r="H386" s="42" t="s">
        <v>1817</v>
      </c>
      <c r="I386" s="253"/>
      <c r="J386" s="296" t="str">
        <f t="shared" si="38"/>
        <v/>
      </c>
      <c r="K386" s="303">
        <f ca="1">(L388*L389)/(L388+L389)*L327</f>
        <v>2.6626973690805289E-8</v>
      </c>
      <c r="L386" s="193">
        <f ca="1">IF(ISBLANK(I386),IF(ISNUMBER(J386)=FALSE,K386,J386),I386)</f>
        <v>2.6626973690805289E-8</v>
      </c>
      <c r="M386" s="42" t="s">
        <v>1818</v>
      </c>
      <c r="N386" s="38"/>
      <c r="O386" s="42"/>
    </row>
    <row r="387" spans="1:15" ht="12.75" customHeight="1" x14ac:dyDescent="0.3">
      <c r="A387" s="38"/>
      <c r="B387" s="38" t="s">
        <v>1884</v>
      </c>
      <c r="C387" s="64"/>
      <c r="D387" s="64"/>
      <c r="E387" s="38"/>
      <c r="F387" s="38"/>
      <c r="G387" s="43" t="s">
        <v>1911</v>
      </c>
      <c r="H387" s="42" t="s">
        <v>1817</v>
      </c>
      <c r="I387" s="253"/>
      <c r="J387" s="296" t="str">
        <f t="shared" si="38"/>
        <v/>
      </c>
      <c r="K387" s="303">
        <f ca="1">(L388*L389/(L388+L389))/L339</f>
        <v>1.6399359109357395E-11</v>
      </c>
      <c r="L387" s="193">
        <f ca="1">IF(ISBLANK(I387),IF(ISNUMBER(J387)=FALSE,K387,J387),I387)</f>
        <v>1.6399359109357395E-11</v>
      </c>
      <c r="M387" s="42" t="s">
        <v>1818</v>
      </c>
      <c r="N387" s="38"/>
      <c r="O387" s="42"/>
    </row>
    <row r="388" spans="1:15" ht="12.75" customHeight="1" x14ac:dyDescent="0.3">
      <c r="A388" s="38"/>
      <c r="B388" s="42"/>
      <c r="C388" s="38" t="s">
        <v>1069</v>
      </c>
      <c r="D388" s="38"/>
      <c r="E388" s="38"/>
      <c r="F388" s="38"/>
      <c r="G388" s="38" t="s">
        <v>1166</v>
      </c>
      <c r="H388" s="39" t="s">
        <v>1802</v>
      </c>
      <c r="I388" s="252"/>
      <c r="J388" s="296" t="str">
        <f t="shared" si="38"/>
        <v/>
      </c>
      <c r="K388" s="168">
        <v>2.7779999999999999E-6</v>
      </c>
      <c r="L388" s="193">
        <f>IF(ISBLANK(I388),IF(ISNUMBER(J388)=FALSE,K388,J388),I388)</f>
        <v>2.7779999999999999E-6</v>
      </c>
      <c r="M388" s="38" t="s">
        <v>1517</v>
      </c>
      <c r="N388" s="38"/>
      <c r="O388" s="42"/>
    </row>
    <row r="389" spans="1:15" ht="12.75" customHeight="1" x14ac:dyDescent="0.3">
      <c r="A389" s="38"/>
      <c r="B389" s="42"/>
      <c r="C389" s="38" t="s">
        <v>1225</v>
      </c>
      <c r="D389" s="38"/>
      <c r="E389" s="38"/>
      <c r="F389" s="38"/>
      <c r="G389" s="38" t="s">
        <v>41</v>
      </c>
      <c r="H389" s="39" t="s">
        <v>1802</v>
      </c>
      <c r="I389" s="252"/>
      <c r="J389" s="296" t="str">
        <f t="shared" si="38"/>
        <v/>
      </c>
      <c r="K389" s="168">
        <v>2.7779999999999998E-8</v>
      </c>
      <c r="L389" s="193">
        <f>IF(ISBLANK(I389),IF(ISNUMBER(J389)=FALSE,K389,J389),I389)</f>
        <v>2.7779999999999998E-8</v>
      </c>
      <c r="M389" s="38" t="s">
        <v>1517</v>
      </c>
      <c r="N389" s="38"/>
      <c r="O389" s="42"/>
    </row>
    <row r="390" spans="1:15" ht="12.75" customHeight="1" x14ac:dyDescent="0.3">
      <c r="A390" s="38"/>
      <c r="B390" s="38"/>
      <c r="C390" s="38"/>
      <c r="D390" s="38"/>
      <c r="E390" s="38"/>
      <c r="F390" s="38"/>
      <c r="G390" s="38"/>
      <c r="H390" s="38"/>
      <c r="I390" s="203"/>
      <c r="J390" s="296"/>
      <c r="K390" s="162"/>
      <c r="L390" s="162"/>
      <c r="M390" s="38"/>
      <c r="N390" s="38"/>
      <c r="O390" s="42"/>
    </row>
    <row r="391" spans="1:15" ht="12.75" customHeight="1" x14ac:dyDescent="0.3">
      <c r="A391" s="42" t="s">
        <v>91</v>
      </c>
      <c r="B391" s="38"/>
      <c r="C391" s="38"/>
      <c r="D391" s="38"/>
      <c r="E391" s="38"/>
      <c r="F391" s="38"/>
      <c r="G391" s="43" t="s">
        <v>1261</v>
      </c>
      <c r="H391" s="42" t="s">
        <v>1801</v>
      </c>
      <c r="I391" s="253"/>
      <c r="J391" s="296" t="str">
        <f>IF(HLOOKUP(CaseName,CaseData,ROW()+600,FALSE)="","",HLOOKUP(CaseName,CaseData,ROW()+600,FALSE))</f>
        <v/>
      </c>
      <c r="K391" s="303">
        <f ca="1">(L364*L393/L342+L392)*L394/L298</f>
        <v>1.5436318331323376E-10</v>
      </c>
      <c r="L391" s="193">
        <f ca="1">IF(ISBLANK(I391),IF(ISNUMBER(J391)=FALSE,K391,J391),I391)</f>
        <v>1.5436318331323376E-10</v>
      </c>
      <c r="M391" s="38" t="s">
        <v>1515</v>
      </c>
      <c r="N391" s="38"/>
      <c r="O391" s="42"/>
    </row>
    <row r="392" spans="1:15" ht="12.75" customHeight="1" x14ac:dyDescent="0.3">
      <c r="A392" s="38"/>
      <c r="B392" s="64" t="s">
        <v>203</v>
      </c>
      <c r="C392" s="38"/>
      <c r="D392" s="38"/>
      <c r="E392" s="38"/>
      <c r="F392" s="38"/>
      <c r="G392" s="63" t="s">
        <v>42</v>
      </c>
      <c r="H392" s="64" t="s">
        <v>1812</v>
      </c>
      <c r="I392" s="252"/>
      <c r="J392" s="296" t="str">
        <f>IF(HLOOKUP(CaseName,CaseData,ROW()+600,FALSE)="","",HLOOKUP(CaseName,CaseData,ROW()+600,FALSE))</f>
        <v/>
      </c>
      <c r="K392" s="168">
        <v>0.03</v>
      </c>
      <c r="L392" s="193">
        <f>IF(ISBLANK(I392),IF(ISNUMBER(J392)=FALSE,K392/(1000*3600*24*365),J392/(1000*3600*24*365)),I392/(1000*3600*24*365))</f>
        <v>9.5129375951293754E-13</v>
      </c>
      <c r="M392" s="38" t="s">
        <v>1517</v>
      </c>
      <c r="N392" s="38"/>
      <c r="O392" s="42"/>
    </row>
    <row r="393" spans="1:15" ht="12.75" customHeight="1" x14ac:dyDescent="0.3">
      <c r="A393" s="38"/>
      <c r="B393" s="42" t="s">
        <v>963</v>
      </c>
      <c r="C393" s="38"/>
      <c r="D393" s="38"/>
      <c r="E393" s="38"/>
      <c r="F393" s="38"/>
      <c r="G393" s="63" t="s">
        <v>43</v>
      </c>
      <c r="H393" s="42" t="s">
        <v>28</v>
      </c>
      <c r="I393" s="252"/>
      <c r="J393" s="296" t="str">
        <f>IF(HLOOKUP(CaseName,CaseData,ROW()+600,FALSE)="","",HLOOKUP(CaseName,CaseData,ROW()+600,FALSE))</f>
        <v/>
      </c>
      <c r="K393" s="168">
        <v>0.25</v>
      </c>
      <c r="L393" s="193">
        <f>IF(ISBLANK(I393),IF(ISNUMBER(J393)=FALSE,K393,J393),I393)</f>
        <v>0.25</v>
      </c>
      <c r="M393" s="38" t="s">
        <v>477</v>
      </c>
      <c r="N393" s="38"/>
      <c r="O393" s="42"/>
    </row>
    <row r="394" spans="1:15" ht="12.75" customHeight="1" x14ac:dyDescent="0.3">
      <c r="A394" s="42"/>
      <c r="B394" s="38" t="s">
        <v>177</v>
      </c>
      <c r="C394" s="38"/>
      <c r="D394" s="64"/>
      <c r="E394" s="64"/>
      <c r="F394" s="64"/>
      <c r="G394" s="43" t="s">
        <v>852</v>
      </c>
      <c r="H394" s="38" t="s">
        <v>28</v>
      </c>
      <c r="I394" s="253"/>
      <c r="J394" s="296" t="str">
        <f>IF(HLOOKUP(CaseName,CaseData,ROW()+600,FALSE)="","",HLOOKUP(CaseName,CaseData,ROW()+600,FALSE))</f>
        <v/>
      </c>
      <c r="K394" s="174">
        <f>(EXP((-1/0.1)*0)*(1/0.1)*L298/(1-EXP((-1/0.1)*L298)))</f>
        <v>1.2707470412683992</v>
      </c>
      <c r="L394" s="193">
        <f>IF(ISBLANK(I394),IF(ISNUMBER(J394)=FALSE,K394,J394),I394)</f>
        <v>1.2707470412683992</v>
      </c>
      <c r="M394" s="42" t="s">
        <v>477</v>
      </c>
      <c r="N394" s="38" t="s">
        <v>956</v>
      </c>
      <c r="O394" s="42"/>
    </row>
    <row r="395" spans="1:15" ht="12.75" customHeight="1" x14ac:dyDescent="0.3">
      <c r="A395" s="38"/>
      <c r="B395" s="38"/>
      <c r="C395" s="38"/>
      <c r="D395" s="38"/>
      <c r="E395" s="38"/>
      <c r="F395" s="38"/>
      <c r="G395" s="38"/>
      <c r="H395" s="42"/>
      <c r="I395" s="161"/>
      <c r="J395" s="161"/>
      <c r="K395" s="175"/>
      <c r="L395" s="162"/>
      <c r="M395" s="38"/>
      <c r="N395" s="38"/>
      <c r="O395" s="42"/>
    </row>
    <row r="396" spans="1:15" customFormat="1" ht="12.75" customHeight="1" x14ac:dyDescent="0.3">
      <c r="A396" s="67" t="s">
        <v>414</v>
      </c>
      <c r="B396" s="66"/>
      <c r="C396" s="66"/>
      <c r="D396" s="66"/>
      <c r="E396" s="66"/>
      <c r="F396" s="66"/>
      <c r="G396" s="67" t="s">
        <v>969</v>
      </c>
      <c r="H396" s="67" t="s">
        <v>929</v>
      </c>
      <c r="I396" s="189" t="s">
        <v>748</v>
      </c>
      <c r="J396" s="163" t="s">
        <v>29</v>
      </c>
      <c r="K396" s="163" t="s">
        <v>747</v>
      </c>
      <c r="L396" s="163" t="s">
        <v>1353</v>
      </c>
      <c r="M396" s="66"/>
      <c r="N396" s="67" t="s">
        <v>1366</v>
      </c>
      <c r="O396" s="42"/>
    </row>
    <row r="397" spans="1:15" ht="12.75" customHeight="1" x14ac:dyDescent="0.3">
      <c r="A397" s="42"/>
      <c r="B397" s="38"/>
      <c r="C397" s="38"/>
      <c r="D397" s="38"/>
      <c r="E397" s="38"/>
      <c r="F397" s="38"/>
      <c r="G397" s="38"/>
      <c r="H397" s="42"/>
      <c r="I397" s="200"/>
      <c r="J397" s="200"/>
      <c r="K397" s="205"/>
      <c r="L397" s="165"/>
      <c r="M397" s="38"/>
      <c r="N397" s="38"/>
      <c r="O397" s="42"/>
    </row>
    <row r="398" spans="1:15" ht="12.75" customHeight="1" x14ac:dyDescent="0.3">
      <c r="A398" s="42" t="s">
        <v>216</v>
      </c>
      <c r="B398" s="38"/>
      <c r="C398" s="38"/>
      <c r="D398" s="38"/>
      <c r="E398" s="38"/>
      <c r="F398" s="38"/>
      <c r="G398" s="43" t="s">
        <v>1364</v>
      </c>
      <c r="H398" s="42" t="s">
        <v>1801</v>
      </c>
      <c r="I398" s="253"/>
      <c r="J398" s="296" t="str">
        <f t="shared" ref="J398:J415" si="40">IF(HLOOKUP(CaseName,CaseData,ROW()+600,FALSE)="","",HLOOKUP(CaseName,CaseData,ROW()+600,FALSE))</f>
        <v/>
      </c>
      <c r="K398" s="174">
        <f>L403+L320*kdeg.air*(L405/C.OHrad)*L406</f>
        <v>3.663258818281463E-10</v>
      </c>
      <c r="L398" s="193">
        <f t="shared" ref="L398:L413" si="41">IF(ISBLANK(I398),IF(ISNUMBER(J398)=FALSE,K398,J398),I398)</f>
        <v>3.663258818281463E-10</v>
      </c>
      <c r="M398" s="38" t="s">
        <v>1515</v>
      </c>
      <c r="N398" s="38"/>
      <c r="O398" s="42"/>
    </row>
    <row r="399" spans="1:15" ht="12.75" customHeight="1" x14ac:dyDescent="0.3">
      <c r="A399" s="42" t="s">
        <v>1996</v>
      </c>
      <c r="B399" s="38"/>
      <c r="C399" s="38"/>
      <c r="D399" s="38"/>
      <c r="E399" s="38"/>
      <c r="F399" s="38"/>
      <c r="G399" s="43" t="s">
        <v>1008</v>
      </c>
      <c r="H399" s="42" t="s">
        <v>1801</v>
      </c>
      <c r="I399" s="253"/>
      <c r="J399" s="296" t="str">
        <f t="shared" si="40"/>
        <v/>
      </c>
      <c r="K399" s="174">
        <f ca="1">kdeg.water*L411*(L409/BACT.test)*L327</f>
        <v>9.6807931705231605E-21</v>
      </c>
      <c r="L399" s="193">
        <f t="shared" ca="1" si="41"/>
        <v>9.6807931705231605E-21</v>
      </c>
      <c r="M399" s="38" t="s">
        <v>1515</v>
      </c>
      <c r="N399" s="38"/>
      <c r="O399" s="42"/>
    </row>
    <row r="400" spans="1:15" ht="12.75" customHeight="1" x14ac:dyDescent="0.3">
      <c r="A400" s="42" t="s">
        <v>1161</v>
      </c>
      <c r="B400" s="38"/>
      <c r="C400" s="38"/>
      <c r="D400" s="38"/>
      <c r="E400" s="38"/>
      <c r="F400" s="38"/>
      <c r="G400" s="43" t="s">
        <v>1164</v>
      </c>
      <c r="H400" s="42" t="s">
        <v>1801</v>
      </c>
      <c r="I400" s="253"/>
      <c r="J400" s="296" t="str">
        <f t="shared" si="40"/>
        <v/>
      </c>
      <c r="K400" s="174">
        <f ca="1">kdeg.water*L411*(L410/BACT.test)*L328</f>
        <v>9.6807931705231605E-21</v>
      </c>
      <c r="L400" s="193">
        <f t="shared" ca="1" si="41"/>
        <v>9.6807931705231605E-21</v>
      </c>
      <c r="M400" s="38" t="s">
        <v>1515</v>
      </c>
      <c r="N400" s="38"/>
      <c r="O400" s="42"/>
    </row>
    <row r="401" spans="1:15" ht="12.75" customHeight="1" x14ac:dyDescent="0.3">
      <c r="A401" s="42" t="s">
        <v>217</v>
      </c>
      <c r="B401" s="38"/>
      <c r="C401" s="38"/>
      <c r="D401" s="38"/>
      <c r="E401" s="38"/>
      <c r="F401" s="38"/>
      <c r="G401" s="43" t="s">
        <v>1262</v>
      </c>
      <c r="H401" s="42" t="s">
        <v>1801</v>
      </c>
      <c r="I401" s="253"/>
      <c r="J401" s="296" t="str">
        <f t="shared" si="40"/>
        <v/>
      </c>
      <c r="K401" s="303">
        <f>L411*kdeg.sed+L384/L297</f>
        <v>2.1139861422509831E-12</v>
      </c>
      <c r="L401" s="193">
        <f t="shared" si="41"/>
        <v>2.1139861422509831E-12</v>
      </c>
      <c r="M401" s="38" t="s">
        <v>1515</v>
      </c>
      <c r="N401" s="38"/>
      <c r="O401" s="42"/>
    </row>
    <row r="402" spans="1:15" ht="12.75" customHeight="1" x14ac:dyDescent="0.3">
      <c r="A402" s="42" t="s">
        <v>838</v>
      </c>
      <c r="B402" s="38"/>
      <c r="C402" s="38"/>
      <c r="D402" s="38"/>
      <c r="E402" s="38"/>
      <c r="F402" s="38"/>
      <c r="G402" s="43" t="s">
        <v>1365</v>
      </c>
      <c r="H402" s="42" t="s">
        <v>1801</v>
      </c>
      <c r="I402" s="253"/>
      <c r="J402" s="296" t="str">
        <f t="shared" si="40"/>
        <v/>
      </c>
      <c r="K402" s="303">
        <f ca="1">L411*kdeg.soil+L414*L364/L342*L415/L298</f>
        <v>8.7718711048946358E-13</v>
      </c>
      <c r="L402" s="193">
        <f t="shared" ca="1" si="41"/>
        <v>8.7718711048946358E-13</v>
      </c>
      <c r="M402" s="38" t="s">
        <v>1515</v>
      </c>
      <c r="N402" s="38"/>
      <c r="O402" s="42"/>
    </row>
    <row r="403" spans="1:15" ht="12.75" customHeight="1" x14ac:dyDescent="0.3">
      <c r="A403" s="42"/>
      <c r="B403" s="42" t="s">
        <v>791</v>
      </c>
      <c r="C403" s="64"/>
      <c r="D403" s="38"/>
      <c r="E403" s="38"/>
      <c r="F403" s="38"/>
      <c r="G403" s="63" t="s">
        <v>1385</v>
      </c>
      <c r="H403" s="42" t="s">
        <v>1801</v>
      </c>
      <c r="I403" s="253"/>
      <c r="J403" s="296" t="str">
        <f t="shared" si="40"/>
        <v/>
      </c>
      <c r="K403" s="174">
        <f>LN(2)/(60*365*24*3600)</f>
        <v>3.663258818281463E-10</v>
      </c>
      <c r="L403" s="193">
        <f t="shared" si="41"/>
        <v>3.663258818281463E-10</v>
      </c>
      <c r="M403" s="42" t="s">
        <v>1515</v>
      </c>
      <c r="N403" s="38"/>
      <c r="O403" s="42"/>
    </row>
    <row r="404" spans="1:15" ht="12.75" customHeight="1" x14ac:dyDescent="0.3">
      <c r="A404" s="42"/>
      <c r="B404" s="42" t="s">
        <v>792</v>
      </c>
      <c r="C404" s="38"/>
      <c r="D404" s="38"/>
      <c r="E404" s="38"/>
      <c r="F404" s="38"/>
      <c r="G404" s="43" t="s">
        <v>44</v>
      </c>
      <c r="H404" s="42" t="s">
        <v>1801</v>
      </c>
      <c r="I404" s="252"/>
      <c r="J404" s="296" t="str">
        <f t="shared" si="40"/>
        <v/>
      </c>
      <c r="K404" s="174">
        <f>L320*kdeg.air*(L405/C.OHrad)*L406</f>
        <v>2.2321366976996159E-30</v>
      </c>
      <c r="L404" s="193">
        <f t="shared" si="41"/>
        <v>2.2321366976996159E-30</v>
      </c>
      <c r="M404" s="42" t="s">
        <v>1515</v>
      </c>
      <c r="N404" s="38"/>
      <c r="O404" s="42"/>
    </row>
    <row r="405" spans="1:15" ht="12.75" customHeight="1" x14ac:dyDescent="0.3">
      <c r="A405" s="64"/>
      <c r="B405" s="64"/>
      <c r="C405" s="42" t="s">
        <v>506</v>
      </c>
      <c r="D405" s="38"/>
      <c r="E405" s="38"/>
      <c r="F405" s="38"/>
      <c r="G405" s="43" t="s">
        <v>1397</v>
      </c>
      <c r="H405" s="42" t="s">
        <v>1813</v>
      </c>
      <c r="I405" s="252"/>
      <c r="J405" s="296" t="str">
        <f t="shared" si="40"/>
        <v/>
      </c>
      <c r="K405" s="174">
        <v>500000</v>
      </c>
      <c r="L405" s="193">
        <f t="shared" si="41"/>
        <v>500000</v>
      </c>
      <c r="M405" s="42" t="s">
        <v>1527</v>
      </c>
      <c r="N405" s="38"/>
      <c r="O405" s="42"/>
    </row>
    <row r="406" spans="1:15" ht="12.75" customHeight="1" x14ac:dyDescent="0.3">
      <c r="A406" s="64"/>
      <c r="B406" s="64"/>
      <c r="C406" s="42" t="s">
        <v>27</v>
      </c>
      <c r="D406" s="38"/>
      <c r="E406" s="38"/>
      <c r="F406" s="38"/>
      <c r="G406" s="43" t="s">
        <v>1398</v>
      </c>
      <c r="H406" s="42" t="s">
        <v>28</v>
      </c>
      <c r="I406" s="252"/>
      <c r="J406" s="296" t="str">
        <f t="shared" si="40"/>
        <v/>
      </c>
      <c r="K406" s="174">
        <f>EXP((Ea.OHrad/8.314)*(L324-298)/298^2)</f>
        <v>1</v>
      </c>
      <c r="L406" s="193">
        <f t="shared" si="41"/>
        <v>1</v>
      </c>
      <c r="M406" s="42" t="s">
        <v>477</v>
      </c>
      <c r="N406" s="38"/>
      <c r="O406" s="42"/>
    </row>
    <row r="407" spans="1:15" ht="12.75" customHeight="1" x14ac:dyDescent="0.3">
      <c r="A407" s="42"/>
      <c r="B407" s="42" t="s">
        <v>1997</v>
      </c>
      <c r="C407" s="38"/>
      <c r="D407" s="38"/>
      <c r="E407" s="38"/>
      <c r="F407" s="38"/>
      <c r="G407" s="43" t="s">
        <v>1130</v>
      </c>
      <c r="H407" s="42" t="s">
        <v>1801</v>
      </c>
      <c r="I407" s="252"/>
      <c r="J407" s="296" t="str">
        <f t="shared" si="40"/>
        <v/>
      </c>
      <c r="K407" s="174">
        <f ca="1">kdeg.water*L411*(L409/BACT.test)*L327</f>
        <v>9.6807931705231605E-21</v>
      </c>
      <c r="L407" s="193">
        <f t="shared" ca="1" si="41"/>
        <v>9.6807931705231605E-21</v>
      </c>
      <c r="M407" s="42" t="s">
        <v>1515</v>
      </c>
      <c r="N407" s="38"/>
      <c r="O407" s="42"/>
    </row>
    <row r="408" spans="1:15" ht="12.75" customHeight="1" x14ac:dyDescent="0.3">
      <c r="A408" s="42"/>
      <c r="B408" s="42" t="s">
        <v>1131</v>
      </c>
      <c r="C408" s="38"/>
      <c r="D408" s="38"/>
      <c r="E408" s="38"/>
      <c r="F408" s="38"/>
      <c r="G408" s="43" t="s">
        <v>1132</v>
      </c>
      <c r="H408" s="42" t="s">
        <v>1801</v>
      </c>
      <c r="I408" s="252"/>
      <c r="J408" s="296" t="str">
        <f t="shared" si="40"/>
        <v/>
      </c>
      <c r="K408" s="174">
        <f ca="1">kdeg.water*L411*(L410/BACT.test)*L328</f>
        <v>9.6807931705231605E-21</v>
      </c>
      <c r="L408" s="193">
        <f t="shared" ca="1" si="41"/>
        <v>9.6807931705231605E-21</v>
      </c>
      <c r="M408" s="42" t="s">
        <v>1515</v>
      </c>
      <c r="N408" s="38"/>
      <c r="O408" s="42"/>
    </row>
    <row r="409" spans="1:15" ht="12.75" customHeight="1" x14ac:dyDescent="0.3">
      <c r="A409" s="42"/>
      <c r="B409" s="42"/>
      <c r="C409" s="42" t="s">
        <v>1998</v>
      </c>
      <c r="D409" s="38"/>
      <c r="E409" s="38"/>
      <c r="F409" s="38"/>
      <c r="G409" s="63" t="s">
        <v>1134</v>
      </c>
      <c r="H409" s="42" t="s">
        <v>724</v>
      </c>
      <c r="I409" s="252"/>
      <c r="J409" s="296" t="str">
        <f t="shared" si="40"/>
        <v/>
      </c>
      <c r="K409" s="168">
        <v>40000</v>
      </c>
      <c r="L409" s="193">
        <f t="shared" si="41"/>
        <v>40000</v>
      </c>
      <c r="M409" s="42" t="s">
        <v>725</v>
      </c>
      <c r="N409" s="38"/>
      <c r="O409" s="42"/>
    </row>
    <row r="410" spans="1:15" ht="12.75" customHeight="1" x14ac:dyDescent="0.3">
      <c r="A410" s="42"/>
      <c r="B410" s="42"/>
      <c r="C410" s="42" t="s">
        <v>1133</v>
      </c>
      <c r="D410" s="38"/>
      <c r="E410" s="38"/>
      <c r="F410" s="38"/>
      <c r="G410" s="63" t="s">
        <v>1135</v>
      </c>
      <c r="H410" s="42" t="s">
        <v>724</v>
      </c>
      <c r="I410" s="252"/>
      <c r="J410" s="296" t="str">
        <f t="shared" si="40"/>
        <v/>
      </c>
      <c r="K410" s="168">
        <v>40000</v>
      </c>
      <c r="L410" s="193">
        <f t="shared" si="41"/>
        <v>40000</v>
      </c>
      <c r="M410" s="42" t="s">
        <v>725</v>
      </c>
      <c r="N410" s="38"/>
      <c r="O410" s="42"/>
    </row>
    <row r="411" spans="1:15" ht="12.75" customHeight="1" x14ac:dyDescent="0.3">
      <c r="A411" s="64"/>
      <c r="B411" s="64"/>
      <c r="C411" s="42" t="s">
        <v>760</v>
      </c>
      <c r="D411" s="38"/>
      <c r="E411" s="38"/>
      <c r="F411" s="38"/>
      <c r="G411" s="43" t="s">
        <v>977</v>
      </c>
      <c r="H411" s="42" t="s">
        <v>28</v>
      </c>
      <c r="I411" s="252"/>
      <c r="J411" s="296" t="str">
        <f t="shared" si="40"/>
        <v/>
      </c>
      <c r="K411" s="174">
        <f>Q.10^((L324-298)/10)</f>
        <v>1</v>
      </c>
      <c r="L411" s="193">
        <f t="shared" si="41"/>
        <v>1</v>
      </c>
      <c r="M411" s="42" t="s">
        <v>477</v>
      </c>
      <c r="N411" s="38"/>
      <c r="O411" s="42"/>
    </row>
    <row r="412" spans="1:15" ht="12.75" customHeight="1" x14ac:dyDescent="0.3">
      <c r="A412" s="42"/>
      <c r="B412" s="42" t="s">
        <v>766</v>
      </c>
      <c r="C412" s="38"/>
      <c r="D412" s="38"/>
      <c r="E412" s="38"/>
      <c r="F412" s="38"/>
      <c r="G412" s="43" t="s">
        <v>45</v>
      </c>
      <c r="H412" s="42" t="s">
        <v>1801</v>
      </c>
      <c r="I412" s="252"/>
      <c r="J412" s="296" t="str">
        <f t="shared" si="40"/>
        <v/>
      </c>
      <c r="K412" s="174">
        <f>L411*kdeg.sed</f>
        <v>9.9999999999999995E-21</v>
      </c>
      <c r="L412" s="193">
        <f t="shared" si="41"/>
        <v>9.9999999999999995E-21</v>
      </c>
      <c r="M412" s="42" t="s">
        <v>1515</v>
      </c>
      <c r="N412" s="38"/>
      <c r="O412" s="42"/>
    </row>
    <row r="413" spans="1:15" ht="12.75" customHeight="1" x14ac:dyDescent="0.3">
      <c r="A413" s="42"/>
      <c r="B413" s="42" t="s">
        <v>767</v>
      </c>
      <c r="C413" s="38"/>
      <c r="D413" s="38"/>
      <c r="E413" s="38"/>
      <c r="F413" s="38"/>
      <c r="G413" s="43" t="s">
        <v>46</v>
      </c>
      <c r="H413" s="42" t="s">
        <v>1801</v>
      </c>
      <c r="I413" s="252"/>
      <c r="J413" s="296" t="str">
        <f t="shared" si="40"/>
        <v/>
      </c>
      <c r="K413" s="174">
        <f>L411*kdeg.soil</f>
        <v>9.9999999999999995E-21</v>
      </c>
      <c r="L413" s="193">
        <f t="shared" si="41"/>
        <v>9.9999999999999995E-21</v>
      </c>
      <c r="M413" s="42" t="s">
        <v>1515</v>
      </c>
      <c r="N413" s="38"/>
      <c r="O413" s="42"/>
    </row>
    <row r="414" spans="1:15" ht="12.75" customHeight="1" x14ac:dyDescent="0.3">
      <c r="A414" s="38"/>
      <c r="B414" s="42" t="s">
        <v>997</v>
      </c>
      <c r="C414" s="38"/>
      <c r="D414" s="38"/>
      <c r="E414" s="38"/>
      <c r="F414" s="38"/>
      <c r="G414" s="63" t="s">
        <v>1388</v>
      </c>
      <c r="H414" s="42" t="s">
        <v>28</v>
      </c>
      <c r="I414" s="252"/>
      <c r="J414" s="296" t="str">
        <f t="shared" si="40"/>
        <v/>
      </c>
      <c r="K414" s="168">
        <v>0.25</v>
      </c>
      <c r="L414" s="193">
        <f>IF(ISBLANK(I414),IF(ISNUMBER(J414)=FALSE,K414,J414),I414)</f>
        <v>0.25</v>
      </c>
      <c r="M414" s="38" t="s">
        <v>477</v>
      </c>
      <c r="N414" s="38"/>
      <c r="O414" s="42"/>
    </row>
    <row r="415" spans="1:15" ht="12.75" customHeight="1" x14ac:dyDescent="0.3">
      <c r="A415" s="42"/>
      <c r="B415" s="38" t="s">
        <v>177</v>
      </c>
      <c r="C415" s="38"/>
      <c r="D415" s="64"/>
      <c r="E415" s="64"/>
      <c r="F415" s="64"/>
      <c r="G415" s="43" t="s">
        <v>851</v>
      </c>
      <c r="H415" s="38" t="s">
        <v>28</v>
      </c>
      <c r="I415" s="253"/>
      <c r="J415" s="296" t="str">
        <f t="shared" si="40"/>
        <v/>
      </c>
      <c r="K415" s="174">
        <f>(EXP((-1/0.1)*0.5)*(1/0.1)*L298/(1-EXP((-1/0.1)*L298)))</f>
        <v>8.5622262133111474E-3</v>
      </c>
      <c r="L415" s="193">
        <f>IF(ISBLANK(I415),IF(ISNUMBER(J415)=FALSE,K415,J415),I415)</f>
        <v>8.5622262133111474E-3</v>
      </c>
      <c r="M415" s="42" t="s">
        <v>477</v>
      </c>
      <c r="N415" s="38" t="s">
        <v>956</v>
      </c>
      <c r="O415" s="42"/>
    </row>
    <row r="416" spans="1:15" ht="12.75" customHeight="1" x14ac:dyDescent="0.3">
      <c r="A416" s="76"/>
      <c r="B416" s="76"/>
      <c r="C416" s="76"/>
      <c r="D416" s="76"/>
      <c r="E416" s="76"/>
      <c r="F416" s="76"/>
      <c r="G416" s="71"/>
      <c r="H416" s="71"/>
      <c r="I416" s="197"/>
      <c r="J416" s="197"/>
      <c r="K416" s="199"/>
      <c r="L416" s="199"/>
      <c r="M416" s="76"/>
      <c r="N416" s="76"/>
      <c r="O416" s="42"/>
    </row>
    <row r="417" spans="1:15" ht="12.75" customHeight="1" x14ac:dyDescent="0.3">
      <c r="A417" s="38"/>
      <c r="B417" s="38"/>
      <c r="C417" s="38"/>
      <c r="D417" s="38"/>
      <c r="E417" s="38"/>
      <c r="F417" s="38"/>
      <c r="G417" s="42"/>
      <c r="H417" s="42"/>
      <c r="I417" s="191"/>
      <c r="J417" s="191"/>
      <c r="K417" s="175"/>
      <c r="L417" s="175"/>
      <c r="M417" s="38"/>
      <c r="N417" s="38"/>
      <c r="O417" s="42"/>
    </row>
    <row r="418" spans="1:15" ht="12.75" customHeight="1" x14ac:dyDescent="0.3">
      <c r="J418" s="201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L101 L257 L120 L141 L238 L278 L375 L394 L415 I239:L239 K80:L81 J107:L111 I49:L52 J53:L54 J18:L19 I1:L1 I47:L47 J48:L48 J46:L46 J162:L163 I184:L184 I186:L189 J185:L185 J190:L191 J183:L183 J299:L300 I321:L321 I323:L326 J322:L322 J327:L328 J320:L320 I329:L346 I55:L72 I192:L209 K223:L228 I102:L102 I116:L119 I376:L376 L76:L79 I89:I100 L92:L95 L103:L106 J114:L115 L112:L113 K218:L218 L213:L217 K233:L237 L229:L232 I242:J243 L240:L243 L350:L353 I379:J380 L377:L380 I244:L256 I381:L393 K96:L100 K86:L91 I5:L17 I2:I4 K2:L4 I43:I45 K43:L45 K73:L75 I124:L140 I121:I123 K121:L123 I149:L161 I146:I148 K146:L148 I180:I182 K180:L182 I210:I212 K210:L212 I261:L277 I258:I260 K258:L260 I286:L298 I283:I285 K283:L285 I317:I319 K317:L319 I347:I349 K347:L349 I398:L414 I395:I397 K395:L397 I20:L42 K76:K80 I73:I86 I142:L145 I279:L282 K354:L357 I351:I374 I416:L1048576 L82:L85 L219:L222 K360:L374 L358:L359 J5:J42 J46:J72 J76:J101 J103:J115 J117:J120 J124:J141 J149:J168 I164:L179 J183:J209 I213:J238 J240:J252 J254:J257 J261:J278 J286:J305 I301:L316 J320:J346 J350:J375 J377:J389 J391:J394 J398:J415">
    <cfRule type="cellIs" dxfId="90" priority="160" operator="equal">
      <formula>0</formula>
    </cfRule>
  </conditionalFormatting>
  <conditionalFormatting sqref="J1 J419:J1048576 J5:J42 J46:J72 J76:J120 J124:J145 J149:J179 J183:J209 J213:J257 J261:J282 J286:J316 J320:J346 J350:J394 J398:J415">
    <cfRule type="expression" dxfId="89" priority="159">
      <formula>"HLOOKUP(CaseName,CaseData,ROW()+682,FALSE)&lt;&gt;"""""</formula>
    </cfRule>
  </conditionalFormatting>
  <conditionalFormatting sqref="I101">
    <cfRule type="cellIs" dxfId="88" priority="132" operator="equal">
      <formula>0</formula>
    </cfRule>
  </conditionalFormatting>
  <conditionalFormatting sqref="I120">
    <cfRule type="cellIs" dxfId="87" priority="131" operator="equal">
      <formula>0</formula>
    </cfRule>
  </conditionalFormatting>
  <conditionalFormatting sqref="I141">
    <cfRule type="cellIs" dxfId="86" priority="130" operator="equal">
      <formula>0</formula>
    </cfRule>
  </conditionalFormatting>
  <conditionalFormatting sqref="I375">
    <cfRule type="cellIs" dxfId="85" priority="126" operator="equal">
      <formula>0</formula>
    </cfRule>
  </conditionalFormatting>
  <conditionalFormatting sqref="I257">
    <cfRule type="cellIs" dxfId="84" priority="128" operator="equal">
      <formula>0</formula>
    </cfRule>
  </conditionalFormatting>
  <conditionalFormatting sqref="I278">
    <cfRule type="cellIs" dxfId="83" priority="127" operator="equal">
      <formula>0</formula>
    </cfRule>
  </conditionalFormatting>
  <conditionalFormatting sqref="I394">
    <cfRule type="cellIs" dxfId="82" priority="125" operator="equal">
      <formula>0</formula>
    </cfRule>
  </conditionalFormatting>
  <conditionalFormatting sqref="I415">
    <cfRule type="cellIs" dxfId="81" priority="124" operator="equal">
      <formula>0</formula>
    </cfRule>
  </conditionalFormatting>
  <conditionalFormatting sqref="I18:I19">
    <cfRule type="cellIs" dxfId="80" priority="123" operator="equal">
      <formula>0</formula>
    </cfRule>
  </conditionalFormatting>
  <conditionalFormatting sqref="I48">
    <cfRule type="cellIs" dxfId="79" priority="121" operator="equal">
      <formula>0</formula>
    </cfRule>
  </conditionalFormatting>
  <conditionalFormatting sqref="I53:I54">
    <cfRule type="cellIs" dxfId="78" priority="120" operator="equal">
      <formula>0</formula>
    </cfRule>
  </conditionalFormatting>
  <conditionalFormatting sqref="I162:I163">
    <cfRule type="cellIs" dxfId="77" priority="117" operator="equal">
      <formula>0</formula>
    </cfRule>
  </conditionalFormatting>
  <conditionalFormatting sqref="I87:I88">
    <cfRule type="cellIs" dxfId="76" priority="118" operator="equal">
      <formula>0</formula>
    </cfRule>
  </conditionalFormatting>
  <conditionalFormatting sqref="I190:I191">
    <cfRule type="cellIs" dxfId="75" priority="114" operator="equal">
      <formula>0</formula>
    </cfRule>
  </conditionalFormatting>
  <conditionalFormatting sqref="I185">
    <cfRule type="cellIs" dxfId="74" priority="115" operator="equal">
      <formula>0</formula>
    </cfRule>
  </conditionalFormatting>
  <conditionalFormatting sqref="I322">
    <cfRule type="cellIs" dxfId="73" priority="109" operator="equal">
      <formula>0</formula>
    </cfRule>
  </conditionalFormatting>
  <conditionalFormatting sqref="I299:I300">
    <cfRule type="cellIs" dxfId="72" priority="111" operator="equal">
      <formula>0</formula>
    </cfRule>
  </conditionalFormatting>
  <conditionalFormatting sqref="I327:I328">
    <cfRule type="cellIs" dxfId="71" priority="108" operator="equal">
      <formula>0</formula>
    </cfRule>
  </conditionalFormatting>
  <conditionalFormatting sqref="K101">
    <cfRule type="cellIs" dxfId="70" priority="105" operator="equal">
      <formula>0</formula>
    </cfRule>
  </conditionalFormatting>
  <conditionalFormatting sqref="K120">
    <cfRule type="cellIs" dxfId="69" priority="104" operator="equal">
      <formula>0</formula>
    </cfRule>
  </conditionalFormatting>
  <conditionalFormatting sqref="K141">
    <cfRule type="cellIs" dxfId="68" priority="103" operator="equal">
      <formula>0</formula>
    </cfRule>
  </conditionalFormatting>
  <conditionalFormatting sqref="K238">
    <cfRule type="cellIs" dxfId="67" priority="102" operator="equal">
      <formula>0</formula>
    </cfRule>
  </conditionalFormatting>
  <conditionalFormatting sqref="K257">
    <cfRule type="cellIs" dxfId="66" priority="101" operator="equal">
      <formula>0</formula>
    </cfRule>
  </conditionalFormatting>
  <conditionalFormatting sqref="K278">
    <cfRule type="cellIs" dxfId="65" priority="100" operator="equal">
      <formula>0</formula>
    </cfRule>
  </conditionalFormatting>
  <conditionalFormatting sqref="K375">
    <cfRule type="cellIs" dxfId="64" priority="99" operator="equal">
      <formula>0</formula>
    </cfRule>
  </conditionalFormatting>
  <conditionalFormatting sqref="K394">
    <cfRule type="cellIs" dxfId="63" priority="98" operator="equal">
      <formula>0</formula>
    </cfRule>
  </conditionalFormatting>
  <conditionalFormatting sqref="K415">
    <cfRule type="cellIs" dxfId="62" priority="97" operator="equal">
      <formula>0</formula>
    </cfRule>
  </conditionalFormatting>
  <conditionalFormatting sqref="I103:I115">
    <cfRule type="cellIs" dxfId="61" priority="48" operator="equal">
      <formula>0</formula>
    </cfRule>
  </conditionalFormatting>
  <conditionalFormatting sqref="I240:I241">
    <cfRule type="cellIs" dxfId="60" priority="43" operator="equal">
      <formula>0</formula>
    </cfRule>
  </conditionalFormatting>
  <conditionalFormatting sqref="I350">
    <cfRule type="cellIs" dxfId="59" priority="42" operator="equal">
      <formula>0</formula>
    </cfRule>
  </conditionalFormatting>
  <conditionalFormatting sqref="I377:I378">
    <cfRule type="cellIs" dxfId="58" priority="41" operator="equal">
      <formula>0</formula>
    </cfRule>
  </conditionalFormatting>
  <conditionalFormatting sqref="K76:K79">
    <cfRule type="cellIs" dxfId="57" priority="40" operator="equal">
      <formula>0</formula>
    </cfRule>
  </conditionalFormatting>
  <conditionalFormatting sqref="K76:K79">
    <cfRule type="cellIs" dxfId="56" priority="39" operator="equal">
      <formula>0</formula>
    </cfRule>
  </conditionalFormatting>
  <conditionalFormatting sqref="K82:K83">
    <cfRule type="cellIs" dxfId="55" priority="36" operator="equal">
      <formula>0</formula>
    </cfRule>
  </conditionalFormatting>
  <conditionalFormatting sqref="K92:K95">
    <cfRule type="cellIs" dxfId="54" priority="35" operator="equal">
      <formula>0</formula>
    </cfRule>
  </conditionalFormatting>
  <conditionalFormatting sqref="K103:K106">
    <cfRule type="cellIs" dxfId="53" priority="33" operator="equal">
      <formula>0</formula>
    </cfRule>
  </conditionalFormatting>
  <conditionalFormatting sqref="K112:K113">
    <cfRule type="cellIs" dxfId="52" priority="31" operator="equal">
      <formula>0</formula>
    </cfRule>
  </conditionalFormatting>
  <conditionalFormatting sqref="K354">
    <cfRule type="cellIs" dxfId="51" priority="21" operator="equal">
      <formula>0</formula>
    </cfRule>
  </conditionalFormatting>
  <conditionalFormatting sqref="K356:K357">
    <cfRule type="cellIs" dxfId="50" priority="20" operator="equal">
      <formula>0</formula>
    </cfRule>
  </conditionalFormatting>
  <conditionalFormatting sqref="K366:K369">
    <cfRule type="cellIs" dxfId="49" priority="19" operator="equal">
      <formula>0</formula>
    </cfRule>
  </conditionalFormatting>
  <conditionalFormatting sqref="K229:K232 K219:K220 K213:K217">
    <cfRule type="cellIs" dxfId="48" priority="16" operator="equal">
      <formula>0</formula>
    </cfRule>
  </conditionalFormatting>
  <conditionalFormatting sqref="K240:K243">
    <cfRule type="cellIs" dxfId="47" priority="14" operator="equal">
      <formula>0</formula>
    </cfRule>
  </conditionalFormatting>
  <conditionalFormatting sqref="K350:K353">
    <cfRule type="cellIs" dxfId="46" priority="13" operator="equal">
      <formula>0</formula>
    </cfRule>
  </conditionalFormatting>
  <conditionalFormatting sqref="K377:K380">
    <cfRule type="cellIs" dxfId="45" priority="12" operator="equal">
      <formula>0</formula>
    </cfRule>
  </conditionalFormatting>
  <conditionalFormatting sqref="J417">
    <cfRule type="cellIs" dxfId="44" priority="4" operator="equal">
      <formula>0</formula>
    </cfRule>
  </conditionalFormatting>
  <conditionalFormatting sqref="J5:J42 J46:J72 J76:J120 J124:J145 J149:J179 J183:J209 J213:J257 J261:J282 J286:J316 J320:J346 J350:J394 J398:J415">
    <cfRule type="cellIs" dxfId="43" priority="5" operator="notEqual">
      <formula>""""""</formula>
    </cfRule>
  </conditionalFormatting>
  <conditionalFormatting sqref="I46">
    <cfRule type="cellIs" dxfId="42" priority="3" operator="equal">
      <formula>0</formula>
    </cfRule>
  </conditionalFormatting>
  <conditionalFormatting sqref="I183">
    <cfRule type="cellIs" dxfId="41" priority="2" operator="equal">
      <formula>0</formula>
    </cfRule>
  </conditionalFormatting>
  <conditionalFormatting sqref="I320">
    <cfRule type="cellIs" dxfId="40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syncVertical="1" syncRef="A13" transitionEvaluation="1" transitionEntry="1" codeName="Sheet7"/>
  <dimension ref="A1:AN110"/>
  <sheetViews>
    <sheetView topLeftCell="A13" zoomScale="85" zoomScaleNormal="85" workbookViewId="0">
      <selection activeCell="D21" sqref="D21"/>
    </sheetView>
  </sheetViews>
  <sheetFormatPr defaultColWidth="9.09765625" defaultRowHeight="12.75" customHeight="1" x14ac:dyDescent="0.3"/>
  <cols>
    <col min="1" max="1" width="2.09765625" customWidth="1"/>
    <col min="2" max="2" width="25.09765625" customWidth="1"/>
    <col min="3" max="8" width="9.09765625" customWidth="1"/>
    <col min="9" max="9" width="9.09765625" style="83" customWidth="1"/>
    <col min="10" max="17" width="9.09765625" customWidth="1"/>
    <col min="18" max="18" width="9.09765625" style="83" customWidth="1"/>
    <col min="19" max="40" width="9.09765625" customWidth="1"/>
    <col min="41" max="16384" width="9.09765625" style="36"/>
  </cols>
  <sheetData>
    <row r="1" spans="2:40" ht="12.75" customHeight="1" x14ac:dyDescent="0.3">
      <c r="B1" s="270" t="s">
        <v>263</v>
      </c>
    </row>
    <row r="2" spans="2:40" ht="12.75" customHeight="1" x14ac:dyDescent="0.3">
      <c r="B2" s="51"/>
    </row>
    <row r="3" spans="2:40" ht="12.75" customHeight="1" x14ac:dyDescent="0.3">
      <c r="B3" s="84"/>
      <c r="C3" s="85"/>
      <c r="D3" s="427" t="s">
        <v>2441</v>
      </c>
      <c r="E3" s="427" t="s">
        <v>2442</v>
      </c>
      <c r="F3" s="427" t="s">
        <v>2443</v>
      </c>
      <c r="G3" s="720" t="s">
        <v>2542</v>
      </c>
      <c r="H3" s="209" t="s">
        <v>1307</v>
      </c>
      <c r="I3" s="209" t="s">
        <v>270</v>
      </c>
      <c r="J3" s="209" t="s">
        <v>1308</v>
      </c>
      <c r="K3" s="209" t="s">
        <v>1309</v>
      </c>
      <c r="L3" s="209" t="s">
        <v>1310</v>
      </c>
      <c r="M3" s="209" t="s">
        <v>1311</v>
      </c>
      <c r="N3" s="209" t="s">
        <v>1312</v>
      </c>
      <c r="O3" s="209" t="s">
        <v>1313</v>
      </c>
      <c r="P3" s="209" t="s">
        <v>1314</v>
      </c>
      <c r="Q3" s="209" t="s">
        <v>511</v>
      </c>
      <c r="R3" s="209" t="s">
        <v>271</v>
      </c>
      <c r="S3" s="209" t="s">
        <v>1315</v>
      </c>
      <c r="T3" s="209" t="s">
        <v>1316</v>
      </c>
      <c r="U3" s="209" t="s">
        <v>1317</v>
      </c>
      <c r="V3" s="209" t="s">
        <v>1318</v>
      </c>
      <c r="W3" s="209" t="s">
        <v>1319</v>
      </c>
      <c r="X3" s="209" t="s">
        <v>1320</v>
      </c>
      <c r="Y3" s="209" t="s">
        <v>510</v>
      </c>
      <c r="Z3" s="209" t="s">
        <v>512</v>
      </c>
      <c r="AA3" s="209" t="s">
        <v>1505</v>
      </c>
      <c r="AB3" s="209" t="s">
        <v>1506</v>
      </c>
      <c r="AC3" s="209" t="s">
        <v>513</v>
      </c>
      <c r="AD3" s="209" t="s">
        <v>518</v>
      </c>
      <c r="AE3" s="209" t="s">
        <v>514</v>
      </c>
      <c r="AF3" s="209" t="s">
        <v>1507</v>
      </c>
      <c r="AG3" s="209" t="s">
        <v>1508</v>
      </c>
      <c r="AH3" s="209" t="s">
        <v>515</v>
      </c>
      <c r="AI3" s="209" t="s">
        <v>519</v>
      </c>
      <c r="AJ3" s="209" t="s">
        <v>516</v>
      </c>
      <c r="AK3" s="209" t="s">
        <v>1509</v>
      </c>
      <c r="AL3" s="209" t="s">
        <v>1510</v>
      </c>
      <c r="AM3" s="209" t="s">
        <v>517</v>
      </c>
      <c r="AN3" s="210" t="s">
        <v>520</v>
      </c>
    </row>
    <row r="4" spans="2:40" ht="12.75" customHeight="1" x14ac:dyDescent="0.3">
      <c r="B4" s="86" t="s">
        <v>523</v>
      </c>
      <c r="C4" s="55" t="s">
        <v>1011</v>
      </c>
      <c r="D4" s="430" cm="1">
        <f t="array" aca="1" ref="D4" ca="1">_xll.RiskOutput(,"volumes",1)+VOLUME.aL</f>
        <v>10271311947.500166</v>
      </c>
      <c r="E4" s="430" cm="1">
        <f t="array" aca="1" ref="E4" ca="1">_xll.RiskOutput(,"volumes",2)+VOLUME.wL</f>
        <v>3199273.0450335019</v>
      </c>
      <c r="F4" s="430" cm="1">
        <f t="array" ref="F4">_xll.RiskOutput(,"volumes",3)+VOLUME.sL</f>
        <v>1472000</v>
      </c>
      <c r="G4" s="720" cm="1">
        <f t="array" aca="1" ref="G4" ca="1">_xll.RiskOutput(,"volumes",4)+VOLUME.sdL</f>
        <v>93688.416834340256</v>
      </c>
      <c r="H4" s="211" cm="1">
        <f t="array" aca="1" ref="H4" ca="1">_xll.RiskOutput(,"volumes",5)+VOLUME.aR</f>
        <v>119593324254.29425</v>
      </c>
      <c r="I4" s="211" cm="1">
        <f t="array" ref="I4">_xll.RiskOutput(,"volumes",6)+VOLUME.w0R</f>
        <v>2.1999999999999999E-10</v>
      </c>
      <c r="J4" s="211" cm="1">
        <f t="array" aca="1" ref="J4" ca="1">_xll.RiskOutput(,"volumes",7)+VOLUME.w1R</f>
        <v>117031868.65249604</v>
      </c>
      <c r="K4" s="211" cm="1">
        <f t="array" ref="K4">_xll.RiskOutput(,"volumes",8)+VOLUME.w2R</f>
        <v>1E-13</v>
      </c>
      <c r="L4" s="211" cm="1">
        <f t="array" aca="1" ref="L4" ca="1">_xll.RiskOutput(,"volumes",9)+VOLUME.sd1R</f>
        <v>3743137.4045845298</v>
      </c>
      <c r="M4" s="211" cm="1">
        <f t="array" ref="M4">_xll.RiskOutput(,"volumes",10)+VOLUME.sd2R</f>
        <v>2.9999999999999999E-16</v>
      </c>
      <c r="N4" s="211" cm="1">
        <f t="array" ref="N4">_xll.RiskOutput(,"volumes",11)+VOLUME.s1R</f>
        <v>1.1E-13</v>
      </c>
      <c r="O4" s="211" cm="1">
        <f t="array" ref="O4">_xll.RiskOutput(,"volumes",12)+VOLUME.s2R</f>
        <v>7920000</v>
      </c>
      <c r="P4" s="211" cm="1">
        <f t="array" ref="P4">_xll.RiskOutput(,"volumes",13)+VOLUME.s3R</f>
        <v>6380000</v>
      </c>
      <c r="Q4" s="211" cm="1">
        <f t="array" aca="1" ref="Q4" ca="1">_xll.RiskOutput(,"volumes",14)+VOLUME.aC</f>
        <v>2132506253807144</v>
      </c>
      <c r="R4" s="211" cm="1">
        <f t="array" ref="R4">_xll.RiskOutput(,"volumes",15)+VOLUME.w0C</f>
        <v>1058313750000</v>
      </c>
      <c r="S4" s="211" cm="1">
        <f t="array" aca="1" ref="S4" ca="1">_xll.RiskOutput(,"volumes",16)+VOLUME.w1C</f>
        <v>359572981277.32349</v>
      </c>
      <c r="T4" s="211" cm="1">
        <f t="array" ref="T4">_xll.RiskOutput(,"volumes",17)+VOLUME.w2C</f>
        <v>846607000000000.13</v>
      </c>
      <c r="U4" s="211" cm="1">
        <f t="array" aca="1" ref="U4" ca="1">_xll.RiskOutput(,"volumes",18)+VOLUME.sd1C</f>
        <v>4470106284.6100712</v>
      </c>
      <c r="V4" s="211" cm="1">
        <f t="array" aca="1" ref="V4" ca="1">_xll.RiskOutput(,"volumes",19)+VOLUME.sd2C</f>
        <v>202417612343.00949</v>
      </c>
      <c r="W4" s="211" cm="1">
        <f t="array" ref="W4">_xll.RiskOutput(,"volumes",20)+VOLUME.s1C</f>
        <v>57148942500</v>
      </c>
      <c r="X4" s="211" cm="1">
        <f t="array" ref="X4">_xll.RiskOutput(,"volumes",21)+VOLUME.s2C</f>
        <v>507990600000</v>
      </c>
      <c r="Y4" s="211" cm="1">
        <f t="array" ref="Y4">_xll.RiskOutput(,"volumes",22)+VOLUME.s3C</f>
        <v>21166275000</v>
      </c>
      <c r="Z4" s="211" cm="1">
        <f t="array" ref="Z4">_xll.RiskOutput(,"volumes",23)+VOLUME.aM</f>
        <v>7.653349E+16</v>
      </c>
      <c r="AA4" s="211" cm="1">
        <f t="array" ref="AA4">_xll.RiskOutput(,"volumes",24)+VOLUME.w2M</f>
        <v>3826674500000000</v>
      </c>
      <c r="AB4" s="211" cm="1">
        <f t="array" ref="AB4">_xll.RiskOutput(,"volumes",25)+VOLUME.w3M</f>
        <v>1.14800235E+17</v>
      </c>
      <c r="AC4" s="211" cm="1">
        <f t="array" ref="AC4">_xll.RiskOutput(,"volumes",26)+VOLUME.sdM</f>
        <v>1148002350000</v>
      </c>
      <c r="AD4" s="211" cm="1">
        <f t="array" ref="AD4">_xll.RiskOutput(,"volumes",27)+VOLUME.sM</f>
        <v>1913337250000</v>
      </c>
      <c r="AE4" s="211" cm="1">
        <f t="array" ref="AE4">_xll.RiskOutput(,"volumes",28)+VOLUME.aA</f>
        <v>4.25E+16</v>
      </c>
      <c r="AF4" s="211" cm="1">
        <f t="array" ref="AF4">_xll.RiskOutput(,"volumes",29)+VOLUME.w2A</f>
        <v>2550000000000000</v>
      </c>
      <c r="AG4" s="211" cm="1">
        <f t="array" ref="AG4">_xll.RiskOutput(,"volumes",30)+VOLUME.w3A</f>
        <v>7.65E+16</v>
      </c>
      <c r="AH4" s="211" cm="1">
        <f t="array" ref="AH4">_xll.RiskOutput(,"volumes",31)+VOLUME.sdA</f>
        <v>765000000000</v>
      </c>
      <c r="AI4" s="211" cm="1">
        <f t="array" ref="AI4">_xll.RiskOutput(,"volumes",32)+VOLUME.sA</f>
        <v>850000000000</v>
      </c>
      <c r="AJ4" s="211" cm="1">
        <f t="array" ref="AJ4">_xll.RiskOutput(,"volumes",33)+VOLUME.aT</f>
        <v>1.275E+17</v>
      </c>
      <c r="AK4" s="211" cm="1">
        <f t="array" ref="AK4">_xll.RiskOutput(,"volumes",34)+VOLUME.w2T</f>
        <v>8924999999999999</v>
      </c>
      <c r="AL4" s="211" cm="1">
        <f t="array" ref="AL4">_xll.RiskOutput(,"volumes",35)+VOLUME.w3T</f>
        <v>2.6774999999999997E+17</v>
      </c>
      <c r="AM4" s="211" cm="1">
        <f t="array" ref="AM4">_xll.RiskOutput(,"volumes",36)+VOLUME.sdT</f>
        <v>2677500000000</v>
      </c>
      <c r="AN4" s="212" cm="1">
        <f t="array" ref="AN4">_xll.RiskOutput(,"volumes",37)+VOLUME.sT</f>
        <v>1912500000000.0005</v>
      </c>
    </row>
    <row r="5" spans="2:40" ht="12.75" customHeight="1" x14ac:dyDescent="0.3">
      <c r="B5" s="87" t="s">
        <v>1203</v>
      </c>
      <c r="C5" s="56" t="s">
        <v>524</v>
      </c>
      <c r="D5" s="431">
        <f>E.aL</f>
        <v>4.2323965296742981E-9</v>
      </c>
      <c r="E5" s="431">
        <f>E.wL</f>
        <v>4.2323965296742981E-9</v>
      </c>
      <c r="F5" s="431">
        <f>E.sL</f>
        <v>4.2323965296742981E-9</v>
      </c>
      <c r="G5" s="431"/>
      <c r="H5" s="213">
        <f>E.aR</f>
        <v>4.2323965296742974E-6</v>
      </c>
      <c r="I5" s="213"/>
      <c r="J5" s="213">
        <f>E.w1R</f>
        <v>4.2323965296742974E-6</v>
      </c>
      <c r="K5" s="213">
        <f>E.w2R</f>
        <v>0</v>
      </c>
      <c r="L5" s="213"/>
      <c r="M5" s="213"/>
      <c r="N5" s="213">
        <f>E.s1R</f>
        <v>4.2323965296742974E-6</v>
      </c>
      <c r="O5" s="213">
        <f>E.s2R</f>
        <v>4.2323965296742974E-6</v>
      </c>
      <c r="P5" s="213">
        <f>E.s3R</f>
        <v>4.2323965296742974E-6</v>
      </c>
      <c r="Q5" s="213">
        <f>E.aC</f>
        <v>4.2323965296742974E-6</v>
      </c>
      <c r="R5" s="213"/>
      <c r="S5" s="213">
        <f>E.w1C</f>
        <v>4.2323965296742974E-6</v>
      </c>
      <c r="T5" s="213">
        <f>E.w2C</f>
        <v>4.2323965296742974E-6</v>
      </c>
      <c r="U5" s="213"/>
      <c r="V5" s="213"/>
      <c r="W5" s="213">
        <f>E.s1C</f>
        <v>4.2323965296742974E-6</v>
      </c>
      <c r="X5" s="213">
        <f>E.s2C</f>
        <v>4.2323965296742974E-6</v>
      </c>
      <c r="Y5" s="213">
        <f>E.s3C</f>
        <v>4.2323965296742974E-6</v>
      </c>
      <c r="Z5" s="213">
        <f>E.aM</f>
        <v>0</v>
      </c>
      <c r="AA5" s="213">
        <f>E.w2M</f>
        <v>0</v>
      </c>
      <c r="AB5" s="213"/>
      <c r="AC5" s="214"/>
      <c r="AD5" s="213">
        <f>E.sM</f>
        <v>0</v>
      </c>
      <c r="AE5" s="213">
        <f>E.aA</f>
        <v>0</v>
      </c>
      <c r="AF5" s="213">
        <f>E.w2A</f>
        <v>0</v>
      </c>
      <c r="AG5" s="213"/>
      <c r="AH5" s="214"/>
      <c r="AI5" s="213">
        <f>E.sA</f>
        <v>0</v>
      </c>
      <c r="AJ5" s="213">
        <f>E.aT</f>
        <v>0</v>
      </c>
      <c r="AK5" s="213">
        <f>E.w2T</f>
        <v>0</v>
      </c>
      <c r="AL5" s="213"/>
      <c r="AM5" s="214"/>
      <c r="AN5" s="215">
        <f>E.sT</f>
        <v>0</v>
      </c>
    </row>
    <row r="6" spans="2:40" ht="12.75" customHeight="1" x14ac:dyDescent="0.3">
      <c r="B6" s="58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216"/>
      <c r="AN6" s="216"/>
    </row>
    <row r="7" spans="2:40" ht="12.75" customHeight="1" x14ac:dyDescent="0.3">
      <c r="B7" s="89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112"/>
      <c r="AI7" s="217"/>
      <c r="AJ7" s="217"/>
      <c r="AK7" s="217"/>
      <c r="AL7" s="217"/>
      <c r="AM7" s="216"/>
      <c r="AN7" s="216"/>
    </row>
    <row r="8" spans="2:40" ht="12.75" customHeight="1" x14ac:dyDescent="0.3">
      <c r="B8" s="91" t="s">
        <v>1488</v>
      </c>
      <c r="C8" s="57" t="s">
        <v>582</v>
      </c>
      <c r="D8" s="428" t="s">
        <v>2444</v>
      </c>
      <c r="E8" s="428" t="s">
        <v>2445</v>
      </c>
      <c r="F8" s="428" t="s">
        <v>2446</v>
      </c>
      <c r="G8" s="719" t="s">
        <v>2540</v>
      </c>
      <c r="H8" s="218" t="s">
        <v>1534</v>
      </c>
      <c r="I8" s="218" t="s">
        <v>273</v>
      </c>
      <c r="J8" s="218" t="s">
        <v>1535</v>
      </c>
      <c r="K8" s="218" t="s">
        <v>1536</v>
      </c>
      <c r="L8" s="218" t="s">
        <v>1537</v>
      </c>
      <c r="M8" s="218" t="s">
        <v>1538</v>
      </c>
      <c r="N8" s="218" t="s">
        <v>1539</v>
      </c>
      <c r="O8" s="218" t="s">
        <v>1540</v>
      </c>
      <c r="P8" s="218" t="s">
        <v>1541</v>
      </c>
      <c r="Q8" s="218" t="s">
        <v>1542</v>
      </c>
      <c r="R8" s="218" t="s">
        <v>272</v>
      </c>
      <c r="S8" s="218" t="s">
        <v>1543</v>
      </c>
      <c r="T8" s="218" t="s">
        <v>1544</v>
      </c>
      <c r="U8" s="218" t="s">
        <v>1545</v>
      </c>
      <c r="V8" s="218" t="s">
        <v>1546</v>
      </c>
      <c r="W8" s="218" t="s">
        <v>1547</v>
      </c>
      <c r="X8" s="218" t="s">
        <v>1548</v>
      </c>
      <c r="Y8" s="218" t="s">
        <v>1549</v>
      </c>
      <c r="Z8" s="218" t="s">
        <v>1550</v>
      </c>
      <c r="AA8" s="218" t="s">
        <v>1511</v>
      </c>
      <c r="AB8" s="218" t="s">
        <v>1263</v>
      </c>
      <c r="AC8" s="218" t="s">
        <v>1551</v>
      </c>
      <c r="AD8" s="218" t="s">
        <v>1552</v>
      </c>
      <c r="AE8" s="218" t="s">
        <v>1553</v>
      </c>
      <c r="AF8" s="218" t="s">
        <v>1529</v>
      </c>
      <c r="AG8" s="218" t="s">
        <v>1264</v>
      </c>
      <c r="AH8" s="218" t="s">
        <v>1554</v>
      </c>
      <c r="AI8" s="218" t="s">
        <v>1555</v>
      </c>
      <c r="AJ8" s="218" t="s">
        <v>1556</v>
      </c>
      <c r="AK8" s="218" t="s">
        <v>1530</v>
      </c>
      <c r="AL8" s="218" t="s">
        <v>1265</v>
      </c>
      <c r="AM8" s="218" t="s">
        <v>1557</v>
      </c>
      <c r="AN8" s="219" t="s">
        <v>1558</v>
      </c>
    </row>
    <row r="9" spans="2:40" ht="12.75" customHeight="1" x14ac:dyDescent="0.3">
      <c r="B9" s="432" t="s">
        <v>2447</v>
      </c>
      <c r="C9" s="435"/>
      <c r="D9" s="681" cm="1">
        <f t="array" aca="1" ref="D9" ca="1">_xll.RiskOutput(,"matrix r1-12",1)+-k.aL-SUM(D10:D45)</f>
        <v>-1.0191233881286521</v>
      </c>
      <c r="E9" s="682" cm="1">
        <f t="array" aca="1" ref="E9" ca="1">_xll.RiskOutput(,"matrix r1-12",2)+k.wL.aL</f>
        <v>9.7048972126742688E-24</v>
      </c>
      <c r="F9" s="682" cm="1">
        <f t="array" aca="1" ref="F9" ca="1">_xll.RiskOutput(,"matrix r1-12",3)+k.sL.aL</f>
        <v>1.3058243273612244E-18</v>
      </c>
      <c r="G9" s="682" cm="1">
        <f t="array" ref="G9">_xll.RiskOutput(,"matrix r1-12",4)+0</f>
        <v>0</v>
      </c>
      <c r="H9" s="682" cm="1">
        <f t="array" aca="1" ref="H9" ca="1">_xll.RiskOutput(,"matrix r1-12",5)+AIRflow.aL.aR/VOLUME.aR</f>
        <v>1.8392767470587807E-4</v>
      </c>
      <c r="I9" s="682" cm="1">
        <f t="array" ref="I9">_xll.RiskOutput(,"matrix r1-12",6)+0</f>
        <v>0</v>
      </c>
      <c r="J9" s="682" cm="1">
        <f t="array" ref="J9">_xll.RiskOutput(,"matrix r1-12",7)+0</f>
        <v>0</v>
      </c>
      <c r="K9" s="682" cm="1">
        <f t="array" ref="K9">_xll.RiskOutput(,"matrix r1-12",8)+0</f>
        <v>0</v>
      </c>
      <c r="L9" s="682" cm="1">
        <f t="array" ref="L9">_xll.RiskOutput(,"matrix r1-12",9)+0</f>
        <v>0</v>
      </c>
      <c r="M9" s="682" cm="1">
        <f t="array" ref="M9">_xll.RiskOutput(,"matrix r1-12",10)+0</f>
        <v>0</v>
      </c>
      <c r="N9" s="682" cm="1">
        <f t="array" ref="N9">_xll.RiskOutput(,"matrix r1-12",11)+0</f>
        <v>0</v>
      </c>
      <c r="O9" s="682" cm="1">
        <f t="array" ref="O9">_xll.RiskOutput(,"matrix r1-12",12)+0</f>
        <v>0</v>
      </c>
      <c r="P9" s="682" cm="1">
        <f t="array" ref="P9">_xll.RiskOutput(,"matrix r1-12",13)+0</f>
        <v>0</v>
      </c>
      <c r="Q9" s="682" cm="1">
        <f t="array" ref="Q9">_xll.RiskOutput(,"matrix r1-12",14)+0</f>
        <v>0</v>
      </c>
      <c r="R9" s="682" cm="1">
        <f t="array" ref="R9">_xll.RiskOutput(,"matrix r1-12",15)+0</f>
        <v>0</v>
      </c>
      <c r="S9" s="682" cm="1">
        <f t="array" ref="S9">_xll.RiskOutput(,"matrix r1-12",16)+0</f>
        <v>0</v>
      </c>
      <c r="T9" s="682" cm="1">
        <f t="array" ref="T9">_xll.RiskOutput(,"matrix r1-12",17)+0</f>
        <v>0</v>
      </c>
      <c r="U9" s="682" cm="1">
        <f t="array" ref="U9">_xll.RiskOutput(,"matrix r1-12",18)+0</f>
        <v>0</v>
      </c>
      <c r="V9" s="682" cm="1">
        <f t="array" ref="V9">_xll.RiskOutput(,"matrix r1-12",19)+0</f>
        <v>0</v>
      </c>
      <c r="W9" s="682" cm="1">
        <f t="array" ref="W9">_xll.RiskOutput(,"matrix r1-12",20)+0</f>
        <v>0</v>
      </c>
      <c r="X9" s="682" cm="1">
        <f t="array" ref="X9">_xll.RiskOutput(,"matrix r1-12",21)+0</f>
        <v>0</v>
      </c>
      <c r="Y9" s="682" cm="1">
        <f t="array" ref="Y9">_xll.RiskOutput(,"matrix r1-12",22)+0</f>
        <v>0</v>
      </c>
      <c r="Z9" s="682" cm="1">
        <f t="array" ref="Z9">_xll.RiskOutput(,"matrix r1-12",23)+0</f>
        <v>0</v>
      </c>
      <c r="AA9" s="682" cm="1">
        <f t="array" ref="AA9">_xll.RiskOutput(,"matrix r1-12",24)+0</f>
        <v>0</v>
      </c>
      <c r="AB9" s="682" cm="1">
        <f t="array" ref="AB9">_xll.RiskOutput(,"matrix r1-12",25)+0</f>
        <v>0</v>
      </c>
      <c r="AC9" s="682" cm="1">
        <f t="array" ref="AC9">_xll.RiskOutput(,"matrix r1-12",26)+0</f>
        <v>0</v>
      </c>
      <c r="AD9" s="682" cm="1">
        <f t="array" ref="AD9">_xll.RiskOutput(,"matrix r1-12",27)+0</f>
        <v>0</v>
      </c>
      <c r="AE9" s="682" cm="1">
        <f t="array" ref="AE9">_xll.RiskOutput(,"matrix r1-12",28)+0</f>
        <v>0</v>
      </c>
      <c r="AF9" s="682" cm="1">
        <f t="array" ref="AF9">_xll.RiskOutput(,"matrix r1-12",29)+0</f>
        <v>0</v>
      </c>
      <c r="AG9" s="682" cm="1">
        <f t="array" ref="AG9">_xll.RiskOutput(,"matrix r1-12",30)+0</f>
        <v>0</v>
      </c>
      <c r="AH9" s="682" cm="1">
        <f t="array" ref="AH9">_xll.RiskOutput(,"matrix r1-12",31)+0</f>
        <v>0</v>
      </c>
      <c r="AI9" s="682" cm="1">
        <f t="array" ref="AI9">_xll.RiskOutput(,"matrix r1-12",32)+0</f>
        <v>0</v>
      </c>
      <c r="AJ9" s="682" cm="1">
        <f t="array" ref="AJ9">_xll.RiskOutput(,"matrix r1-12",33)+0</f>
        <v>0</v>
      </c>
      <c r="AK9" s="682" cm="1">
        <f t="array" ref="AK9">_xll.RiskOutput(,"matrix r1-12",34)+0</f>
        <v>0</v>
      </c>
      <c r="AL9" s="682" cm="1">
        <f t="array" ref="AL9">_xll.RiskOutput(,"matrix r1-12",35)+0</f>
        <v>0</v>
      </c>
      <c r="AM9" s="682" cm="1">
        <f t="array" ref="AM9">_xll.RiskOutput(,"matrix r1-12",36)+0</f>
        <v>0</v>
      </c>
      <c r="AN9" s="683" cm="1">
        <f t="array" ref="AN9">_xll.RiskOutput(,"matrix r1-12",37)+0</f>
        <v>0</v>
      </c>
    </row>
    <row r="10" spans="2:40" ht="12.75" customHeight="1" x14ac:dyDescent="0.3">
      <c r="B10" s="432" t="s">
        <v>2448</v>
      </c>
      <c r="C10" s="435"/>
      <c r="D10" s="682" cm="1">
        <f t="array" aca="1" ref="D10" ca="1">_xll.RiskOutput(,"matrix r1-12",38)+k.aL.wL</f>
        <v>8.1358547068191331E-2</v>
      </c>
      <c r="E10" s="681" cm="1">
        <f t="array" aca="1" ref="E10" ca="1">_xll.RiskOutput(,"matrix r1-12",39)+-k.wL-SUM(E9,E11:E45)</f>
        <v>-1.4640515715234315E-6</v>
      </c>
      <c r="F10" s="682" cm="1">
        <f t="array" aca="1" ref="F10" ca="1">_xll.RiskOutput(,"matrix r1-12",40)+k.sL.wL</f>
        <v>1.6994252831073437E-11</v>
      </c>
      <c r="G10" s="718" cm="1">
        <f t="array" aca="1" ref="G10" ca="1">_xll.RiskOutput(,"matrix r1-12",41)+k.sdL.wL</f>
        <v>1.7977989971090048E-4</v>
      </c>
      <c r="H10" s="682" cm="1">
        <f t="array" ref="H10">_xll.RiskOutput(,"matrix r1-12",42)+0</f>
        <v>0</v>
      </c>
      <c r="I10" s="682" cm="1">
        <f t="array" ref="I10">_xll.RiskOutput(,"matrix r1-12",43)+0</f>
        <v>0</v>
      </c>
      <c r="J10" s="682" cm="1">
        <f t="array" aca="1" ref="J10" ca="1">_xll.RiskOutput(,"matrix r1-12",44)+WATERflow.w1R.wL/VOLUME.w1R</f>
        <v>0</v>
      </c>
      <c r="K10" s="682" cm="1">
        <f t="array" ref="K10">_xll.RiskOutput(,"matrix r1-12",45)+0</f>
        <v>0</v>
      </c>
      <c r="L10" s="682" cm="1">
        <f t="array" ref="L10">_xll.RiskOutput(,"matrix r1-12",46)+0</f>
        <v>0</v>
      </c>
      <c r="M10" s="682" cm="1">
        <f t="array" ref="M10">_xll.RiskOutput(,"matrix r1-12",47)+0</f>
        <v>0</v>
      </c>
      <c r="N10" s="682" cm="1">
        <f t="array" ref="N10">_xll.RiskOutput(,"matrix r1-12",48)+0</f>
        <v>0</v>
      </c>
      <c r="O10" s="682" cm="1">
        <f t="array" ref="O10">_xll.RiskOutput(,"matrix r1-12",49)+0</f>
        <v>0</v>
      </c>
      <c r="P10" s="682" cm="1">
        <f t="array" ref="P10">_xll.RiskOutput(,"matrix r1-12",50)+0</f>
        <v>0</v>
      </c>
      <c r="Q10" s="682" cm="1">
        <f t="array" ref="Q10">_xll.RiskOutput(,"matrix r1-12",51)+0</f>
        <v>0</v>
      </c>
      <c r="R10" s="682" cm="1">
        <f t="array" ref="R10">_xll.RiskOutput(,"matrix r1-12",52)+0</f>
        <v>0</v>
      </c>
      <c r="S10" s="682" cm="1">
        <f t="array" ref="S10">_xll.RiskOutput(,"matrix r1-12",53)+0</f>
        <v>0</v>
      </c>
      <c r="T10" s="682" cm="1">
        <f t="array" ref="T10">_xll.RiskOutput(,"matrix r1-12",54)+0</f>
        <v>0</v>
      </c>
      <c r="U10" s="682" cm="1">
        <f t="array" ref="U10">_xll.RiskOutput(,"matrix r1-12",55)+0</f>
        <v>0</v>
      </c>
      <c r="V10" s="682" cm="1">
        <f t="array" ref="V10">_xll.RiskOutput(,"matrix r1-12",56)+0</f>
        <v>0</v>
      </c>
      <c r="W10" s="682" cm="1">
        <f t="array" ref="W10">_xll.RiskOutput(,"matrix r1-12",57)+0</f>
        <v>0</v>
      </c>
      <c r="X10" s="682" cm="1">
        <f t="array" ref="X10">_xll.RiskOutput(,"matrix r1-12",58)+0</f>
        <v>0</v>
      </c>
      <c r="Y10" s="682" cm="1">
        <f t="array" ref="Y10">_xll.RiskOutput(,"matrix r1-12",59)+0</f>
        <v>0</v>
      </c>
      <c r="Z10" s="682" cm="1">
        <f t="array" ref="Z10">_xll.RiskOutput(,"matrix r1-12",60)+0</f>
        <v>0</v>
      </c>
      <c r="AA10" s="682" cm="1">
        <f t="array" ref="AA10">_xll.RiskOutput(,"matrix r1-12",61)+0</f>
        <v>0</v>
      </c>
      <c r="AB10" s="682" cm="1">
        <f t="array" ref="AB10">_xll.RiskOutput(,"matrix r1-12",62)+0</f>
        <v>0</v>
      </c>
      <c r="AC10" s="682" cm="1">
        <f t="array" ref="AC10">_xll.RiskOutput(,"matrix r1-12",63)+0</f>
        <v>0</v>
      </c>
      <c r="AD10" s="682" cm="1">
        <f t="array" ref="AD10">_xll.RiskOutput(,"matrix r1-12",64)+0</f>
        <v>0</v>
      </c>
      <c r="AE10" s="682" cm="1">
        <f t="array" ref="AE10">_xll.RiskOutput(,"matrix r1-12",65)+0</f>
        <v>0</v>
      </c>
      <c r="AF10" s="682" cm="1">
        <f t="array" ref="AF10">_xll.RiskOutput(,"matrix r1-12",66)+0</f>
        <v>0</v>
      </c>
      <c r="AG10" s="682" cm="1">
        <f t="array" ref="AG10">_xll.RiskOutput(,"matrix r1-12",67)+0</f>
        <v>0</v>
      </c>
      <c r="AH10" s="682" cm="1">
        <f t="array" ref="AH10">_xll.RiskOutput(,"matrix r1-12",68)+0</f>
        <v>0</v>
      </c>
      <c r="AI10" s="682" cm="1">
        <f t="array" ref="AI10">_xll.RiskOutput(,"matrix r1-12",69)+0</f>
        <v>0</v>
      </c>
      <c r="AJ10" s="682" cm="1">
        <f t="array" ref="AJ10">_xll.RiskOutput(,"matrix r1-12",70)+0</f>
        <v>0</v>
      </c>
      <c r="AK10" s="682" cm="1">
        <f t="array" ref="AK10">_xll.RiskOutput(,"matrix r1-12",71)+0</f>
        <v>0</v>
      </c>
      <c r="AL10" s="682" cm="1">
        <f t="array" ref="AL10">_xll.RiskOutput(,"matrix r1-12",72)+0</f>
        <v>0</v>
      </c>
      <c r="AM10" s="682" cm="1">
        <f t="array" ref="AM10">_xll.RiskOutput(,"matrix r1-12",73)+0</f>
        <v>0</v>
      </c>
      <c r="AN10" s="683" cm="1">
        <f t="array" ref="AN10">_xll.RiskOutput(,"matrix r1-12",74)+0</f>
        <v>0</v>
      </c>
    </row>
    <row r="11" spans="2:40" ht="12.75" customHeight="1" x14ac:dyDescent="0.3">
      <c r="B11" s="432" t="s">
        <v>2449</v>
      </c>
      <c r="C11" s="435"/>
      <c r="D11" s="682" cm="1">
        <f t="array" aca="1" ref="D11" ca="1">_xll.RiskOutput(,"matrix r1-12",75)+k.aL.sL</f>
        <v>0.93562329128419885</v>
      </c>
      <c r="E11" s="682" cm="1">
        <f t="array" ref="E11">_xll.RiskOutput(,"matrix r1-12",76)+0</f>
        <v>0</v>
      </c>
      <c r="F11" s="681" cm="1">
        <f t="array" aca="1" ref="F11" ca="1">_xll.RiskOutput(,"matrix r1-12",77)+-k.sL-SUM(F9:F10,F12:F45)</f>
        <v>-1.7028529991086977E-11</v>
      </c>
      <c r="G11" s="682" cm="1">
        <f t="array" ref="G11">_xll.RiskOutput(,"matrix r1-12",78)+0</f>
        <v>0</v>
      </c>
      <c r="H11" s="682" cm="1">
        <f t="array" ref="H11">_xll.RiskOutput(,"matrix r1-12",79)+0</f>
        <v>0</v>
      </c>
      <c r="I11" s="682" cm="1">
        <f t="array" ref="I11">_xll.RiskOutput(,"matrix r1-12",80)+0</f>
        <v>0</v>
      </c>
      <c r="J11" s="682" cm="1">
        <f t="array" ref="J11">_xll.RiskOutput(,"matrix r1-12",81)+0</f>
        <v>0</v>
      </c>
      <c r="K11" s="682" cm="1">
        <f t="array" ref="K11">_xll.RiskOutput(,"matrix r1-12",82)+0</f>
        <v>0</v>
      </c>
      <c r="L11" s="682" cm="1">
        <f t="array" ref="L11">_xll.RiskOutput(,"matrix r1-12",83)+0</f>
        <v>0</v>
      </c>
      <c r="M11" s="682" cm="1">
        <f t="array" ref="M11">_xll.RiskOutput(,"matrix r1-12",84)+0</f>
        <v>0</v>
      </c>
      <c r="N11" s="682" cm="1">
        <f t="array" ref="N11">_xll.RiskOutput(,"matrix r1-12",85)+0</f>
        <v>0</v>
      </c>
      <c r="O11" s="682" cm="1">
        <f t="array" ref="O11">_xll.RiskOutput(,"matrix r1-12",86)+0</f>
        <v>0</v>
      </c>
      <c r="P11" s="682" cm="1">
        <f t="array" ref="P11">_xll.RiskOutput(,"matrix r1-12",87)+0</f>
        <v>0</v>
      </c>
      <c r="Q11" s="682" cm="1">
        <f t="array" ref="Q11">_xll.RiskOutput(,"matrix r1-12",88)+0</f>
        <v>0</v>
      </c>
      <c r="R11" s="682" cm="1">
        <f t="array" ref="R11">_xll.RiskOutput(,"matrix r1-12",89)+0</f>
        <v>0</v>
      </c>
      <c r="S11" s="682" cm="1">
        <f t="array" ref="S11">_xll.RiskOutput(,"matrix r1-12",90)+0</f>
        <v>0</v>
      </c>
      <c r="T11" s="682" cm="1">
        <f t="array" ref="T11">_xll.RiskOutput(,"matrix r1-12",91)+0</f>
        <v>0</v>
      </c>
      <c r="U11" s="682" cm="1">
        <f t="array" ref="U11">_xll.RiskOutput(,"matrix r1-12",92)+0</f>
        <v>0</v>
      </c>
      <c r="V11" s="682" cm="1">
        <f t="array" ref="V11">_xll.RiskOutput(,"matrix r1-12",93)+0</f>
        <v>0</v>
      </c>
      <c r="W11" s="682" cm="1">
        <f t="array" ref="W11">_xll.RiskOutput(,"matrix r1-12",94)+0</f>
        <v>0</v>
      </c>
      <c r="X11" s="682" cm="1">
        <f t="array" ref="X11">_xll.RiskOutput(,"matrix r1-12",95)+0</f>
        <v>0</v>
      </c>
      <c r="Y11" s="682" cm="1">
        <f t="array" ref="Y11">_xll.RiskOutput(,"matrix r1-12",96)+0</f>
        <v>0</v>
      </c>
      <c r="Z11" s="682" cm="1">
        <f t="array" ref="Z11">_xll.RiskOutput(,"matrix r1-12",97)+0</f>
        <v>0</v>
      </c>
      <c r="AA11" s="682" cm="1">
        <f t="array" ref="AA11">_xll.RiskOutput(,"matrix r1-12",98)+0</f>
        <v>0</v>
      </c>
      <c r="AB11" s="682" cm="1">
        <f t="array" ref="AB11">_xll.RiskOutput(,"matrix r1-12",99)+0</f>
        <v>0</v>
      </c>
      <c r="AC11" s="682" cm="1">
        <f t="array" ref="AC11">_xll.RiskOutput(,"matrix r1-12",100)+0</f>
        <v>0</v>
      </c>
      <c r="AD11" s="682" cm="1">
        <f t="array" ref="AD11">_xll.RiskOutput(,"matrix r1-12",101)+0</f>
        <v>0</v>
      </c>
      <c r="AE11" s="682" cm="1">
        <f t="array" ref="AE11">_xll.RiskOutput(,"matrix r1-12",102)+0</f>
        <v>0</v>
      </c>
      <c r="AF11" s="682" cm="1">
        <f t="array" ref="AF11">_xll.RiskOutput(,"matrix r1-12",103)+0</f>
        <v>0</v>
      </c>
      <c r="AG11" s="682" cm="1">
        <f t="array" ref="AG11">_xll.RiskOutput(,"matrix r1-12",104)+0</f>
        <v>0</v>
      </c>
      <c r="AH11" s="682" cm="1">
        <f t="array" ref="AH11">_xll.RiskOutput(,"matrix r1-12",105)+0</f>
        <v>0</v>
      </c>
      <c r="AI11" s="682" cm="1">
        <f t="array" ref="AI11">_xll.RiskOutput(,"matrix r1-12",106)+0</f>
        <v>0</v>
      </c>
      <c r="AJ11" s="682" cm="1">
        <f t="array" ref="AJ11">_xll.RiskOutput(,"matrix r1-12",107)+0</f>
        <v>0</v>
      </c>
      <c r="AK11" s="682" cm="1">
        <f t="array" ref="AK11">_xll.RiskOutput(,"matrix r1-12",108)+0</f>
        <v>0</v>
      </c>
      <c r="AL11" s="682" cm="1">
        <f t="array" ref="AL11">_xll.RiskOutput(,"matrix r1-12",109)+0</f>
        <v>0</v>
      </c>
      <c r="AM11" s="682" cm="1">
        <f t="array" ref="AM11">_xll.RiskOutput(,"matrix r1-12",110)+0</f>
        <v>0</v>
      </c>
      <c r="AN11" s="683" cm="1">
        <f t="array" ref="AN11">_xll.RiskOutput(,"matrix r1-12",111)+0</f>
        <v>0</v>
      </c>
    </row>
    <row r="12" spans="2:40" ht="12.75" customHeight="1" x14ac:dyDescent="0.3">
      <c r="B12" s="721" t="s">
        <v>2541</v>
      </c>
      <c r="C12" s="435"/>
      <c r="D12" s="682" cm="1">
        <f t="array" ref="D12">_xll.RiskOutput(,"matrix r1-12",112)+0</f>
        <v>0</v>
      </c>
      <c r="E12" s="718" cm="1">
        <f t="array" aca="1" ref="E12" ca="1">_xll.RiskOutput(,"matrix r1-12",113)+k.wL.sdL</f>
        <v>1.444500727497233E-6</v>
      </c>
      <c r="F12" s="682" cm="1">
        <f t="array" ref="F12">_xll.RiskOutput(,"matrix r1-12",114)+0</f>
        <v>0</v>
      </c>
      <c r="G12" s="718" cm="1">
        <f t="array" aca="1" ref="G12" ca="1">_xll.RiskOutput(,"matrix r1-12",115)+-k.sdL-SUM(G9:G11,G13:G45)</f>
        <v>-1.7978108643328092E-4</v>
      </c>
      <c r="H12" s="682" cm="1">
        <f t="array" ref="H12">_xll.RiskOutput(,"matrix r1-12",116)+0</f>
        <v>0</v>
      </c>
      <c r="I12" s="682" cm="1">
        <f t="array" ref="I12">_xll.RiskOutput(,"matrix r1-12",117)+0</f>
        <v>0</v>
      </c>
      <c r="J12" s="682" cm="1">
        <f t="array" ref="J12">_xll.RiskOutput(,"matrix r1-12",118)+0</f>
        <v>0</v>
      </c>
      <c r="K12" s="682" cm="1">
        <f t="array" ref="K12">_xll.RiskOutput(,"matrix r1-12",119)+0</f>
        <v>0</v>
      </c>
      <c r="L12" s="682" cm="1">
        <f t="array" ref="L12">_xll.RiskOutput(,"matrix r1-12",120)+0</f>
        <v>0</v>
      </c>
      <c r="M12" s="682" cm="1">
        <f t="array" ref="M12">_xll.RiskOutput(,"matrix r1-12",121)+0</f>
        <v>0</v>
      </c>
      <c r="N12" s="682" cm="1">
        <f t="array" ref="N12">_xll.RiskOutput(,"matrix r1-12",122)+0</f>
        <v>0</v>
      </c>
      <c r="O12" s="682" cm="1">
        <f t="array" ref="O12">_xll.RiskOutput(,"matrix r1-12",123)+0</f>
        <v>0</v>
      </c>
      <c r="P12" s="682" cm="1">
        <f t="array" ref="P12">_xll.RiskOutput(,"matrix r1-12",124)+0</f>
        <v>0</v>
      </c>
      <c r="Q12" s="682" cm="1">
        <f t="array" ref="Q12">_xll.RiskOutput(,"matrix r1-12",125)+0</f>
        <v>0</v>
      </c>
      <c r="R12" s="682" cm="1">
        <f t="array" ref="R12">_xll.RiskOutput(,"matrix r1-12",126)+0</f>
        <v>0</v>
      </c>
      <c r="S12" s="682" cm="1">
        <f t="array" ref="S12">_xll.RiskOutput(,"matrix r1-12",127)+0</f>
        <v>0</v>
      </c>
      <c r="T12" s="682" cm="1">
        <f t="array" ref="T12">_xll.RiskOutput(,"matrix r1-12",128)+0</f>
        <v>0</v>
      </c>
      <c r="U12" s="682" cm="1">
        <f t="array" ref="U12">_xll.RiskOutput(,"matrix r1-12",129)+0</f>
        <v>0</v>
      </c>
      <c r="V12" s="682" cm="1">
        <f t="array" ref="V12">_xll.RiskOutput(,"matrix r1-12",130)+0</f>
        <v>0</v>
      </c>
      <c r="W12" s="682" cm="1">
        <f t="array" ref="W12">_xll.RiskOutput(,"matrix r1-12",131)+0</f>
        <v>0</v>
      </c>
      <c r="X12" s="682" cm="1">
        <f t="array" ref="X12">_xll.RiskOutput(,"matrix r1-12",132)+0</f>
        <v>0</v>
      </c>
      <c r="Y12" s="682" cm="1">
        <f t="array" ref="Y12">_xll.RiskOutput(,"matrix r1-12",133)+0</f>
        <v>0</v>
      </c>
      <c r="Z12" s="682" cm="1">
        <f t="array" ref="Z12">_xll.RiskOutput(,"matrix r1-12",134)+0</f>
        <v>0</v>
      </c>
      <c r="AA12" s="682" cm="1">
        <f t="array" ref="AA12">_xll.RiskOutput(,"matrix r1-12",135)+0</f>
        <v>0</v>
      </c>
      <c r="AB12" s="682" cm="1">
        <f t="array" ref="AB12">_xll.RiskOutput(,"matrix r1-12",136)+0</f>
        <v>0</v>
      </c>
      <c r="AC12" s="682" cm="1">
        <f t="array" ref="AC12">_xll.RiskOutput(,"matrix r1-12",137)+0</f>
        <v>0</v>
      </c>
      <c r="AD12" s="682" cm="1">
        <f t="array" ref="AD12">_xll.RiskOutput(,"matrix r1-12",138)+0</f>
        <v>0</v>
      </c>
      <c r="AE12" s="682" cm="1">
        <f t="array" ref="AE12">_xll.RiskOutput(,"matrix r1-12",139)+0</f>
        <v>0</v>
      </c>
      <c r="AF12" s="682" cm="1">
        <f t="array" ref="AF12">_xll.RiskOutput(,"matrix r1-12",140)+0</f>
        <v>0</v>
      </c>
      <c r="AG12" s="682" cm="1">
        <f t="array" ref="AG12">_xll.RiskOutput(,"matrix r1-12",141)+0</f>
        <v>0</v>
      </c>
      <c r="AH12" s="682" cm="1">
        <f t="array" ref="AH12">_xll.RiskOutput(,"matrix r1-12",142)+0</f>
        <v>0</v>
      </c>
      <c r="AI12" s="682" cm="1">
        <f t="array" ref="AI12">_xll.RiskOutput(,"matrix r1-12",143)+0</f>
        <v>0</v>
      </c>
      <c r="AJ12" s="682" cm="1">
        <f t="array" ref="AJ12">_xll.RiskOutput(,"matrix r1-12",144)+0</f>
        <v>0</v>
      </c>
      <c r="AK12" s="682" cm="1">
        <f t="array" ref="AK12">_xll.RiskOutput(,"matrix r1-12",145)+0</f>
        <v>0</v>
      </c>
      <c r="AL12" s="682" cm="1">
        <f t="array" ref="AL12">_xll.RiskOutput(,"matrix r1-12",146)+0</f>
        <v>0</v>
      </c>
      <c r="AM12" s="682" cm="1">
        <f t="array" ref="AM12">_xll.RiskOutput(,"matrix r1-12",147)+0</f>
        <v>0</v>
      </c>
      <c r="AN12" s="682" cm="1">
        <f t="array" ref="AN12">_xll.RiskOutput(,"matrix r1-12",148)+0</f>
        <v>0</v>
      </c>
    </row>
    <row r="13" spans="2:40" ht="12.75" customHeight="1" x14ac:dyDescent="0.3">
      <c r="B13" s="92" t="s">
        <v>1457</v>
      </c>
      <c r="C13" s="90"/>
      <c r="D13" s="682" cm="1">
        <f t="array" aca="1" ref="D13" ca="1">_xll.RiskOutput(,"matrix r1-12",149)+k.aL.aR</f>
        <v>2.1415494099360842E-3</v>
      </c>
      <c r="E13" s="682" cm="1">
        <f t="array" ref="E13">_xll.RiskOutput(,"matrix r1-12",150)+0</f>
        <v>0</v>
      </c>
      <c r="F13" s="682" cm="1">
        <f t="array" ref="F13">_xll.RiskOutput(,"matrix r1-12",151)+0</f>
        <v>0</v>
      </c>
      <c r="G13" s="682" cm="1">
        <f t="array" ref="G13">_xll.RiskOutput(,"matrix r1-12",152)+0</f>
        <v>0</v>
      </c>
      <c r="H13" s="684" cm="1">
        <f t="array" aca="1" ref="H13" ca="1">_xll.RiskOutput(,"matrix r1-12",153)+-k.aR-SUM(H9:H12,H14:H45)</f>
        <v>-2.9889240250699148E-4</v>
      </c>
      <c r="I13" s="90" cm="1">
        <f t="array" aca="1" ref="I13" ca="1">_xll.RiskOutput(,"matrix r1-12",154)+k.w0R.aR</f>
        <v>3.98089281641639E-25</v>
      </c>
      <c r="J13" s="90" cm="1">
        <f t="array" aca="1" ref="J13" ca="1">_xll.RiskOutput(,"matrix r1-12",155)+k.w1R.aR</f>
        <v>1.6848285883455214E-23</v>
      </c>
      <c r="K13" s="90" cm="1">
        <f t="array" aca="1" ref="K13" ca="1">_xll.RiskOutput(,"matrix r1-12",156)+k.w2R.aR</f>
        <v>3.8665304665587252E-24</v>
      </c>
      <c r="L13" s="685" cm="1">
        <f t="array" ref="L13">_xll.RiskOutput(,"matrix r1-12",157)+0</f>
        <v>0</v>
      </c>
      <c r="M13" s="685" cm="1">
        <f t="array" ref="M13">_xll.RiskOutput(,"matrix r1-12",158)+0</f>
        <v>0</v>
      </c>
      <c r="N13" s="90" cm="1">
        <f t="array" aca="1" ref="N13" ca="1">_xll.RiskOutput(,"matrix r1-12",159)+k.s1R.aR</f>
        <v>1.6916581188164461E-25</v>
      </c>
      <c r="O13" s="90" cm="1">
        <f t="array" aca="1" ref="O13" ca="1">_xll.RiskOutput(,"matrix r1-12",160)+k.s2R.aR</f>
        <v>9.7626818962264233E-26</v>
      </c>
      <c r="P13" s="90" cm="1">
        <f t="array" aca="1" ref="P13" ca="1">_xll.RiskOutput(,"matrix r1-12",161)+k.s3R.aR</f>
        <v>4.8842715532881497E-26</v>
      </c>
      <c r="Q13" s="90" cm="1">
        <f t="array" aca="1" ref="Q13" ca="1">_xll.RiskOutput(,"matrix r1-12",162)+k.aC.aR</f>
        <v>5.755117291411752E-9</v>
      </c>
      <c r="R13" s="90" cm="1">
        <f t="array" ref="R13">_xll.RiskOutput(,"matrix r1-12",163)+0</f>
        <v>0</v>
      </c>
      <c r="S13" s="685" cm="1">
        <f t="array" ref="S13">_xll.RiskOutput(,"matrix r1-12",164)+0</f>
        <v>0</v>
      </c>
      <c r="T13" s="685" cm="1">
        <f t="array" ref="T13">_xll.RiskOutput(,"matrix r1-12",165)+0</f>
        <v>0</v>
      </c>
      <c r="U13" s="685" cm="1">
        <f t="array" ref="U13">_xll.RiskOutput(,"matrix r1-12",166)+0</f>
        <v>0</v>
      </c>
      <c r="V13" s="685" cm="1">
        <f t="array" ref="V13">_xll.RiskOutput(,"matrix r1-12",167)+0</f>
        <v>0</v>
      </c>
      <c r="W13" s="685" cm="1">
        <f t="array" ref="W13">_xll.RiskOutput(,"matrix r1-12",168)+0</f>
        <v>0</v>
      </c>
      <c r="X13" s="685" cm="1">
        <f t="array" ref="X13">_xll.RiskOutput(,"matrix r1-12",169)+0</f>
        <v>0</v>
      </c>
      <c r="Y13" s="685" cm="1">
        <f t="array" ref="Y13">_xll.RiskOutput(,"matrix r1-12",170)+0</f>
        <v>0</v>
      </c>
      <c r="Z13" s="685" cm="1">
        <f t="array" ref="Z13">_xll.RiskOutput(,"matrix r1-12",171)+0</f>
        <v>0</v>
      </c>
      <c r="AA13" s="685" cm="1">
        <f t="array" ref="AA13">_xll.RiskOutput(,"matrix r1-12",172)+0</f>
        <v>0</v>
      </c>
      <c r="AB13" s="685" cm="1">
        <f t="array" ref="AB13">_xll.RiskOutput(,"matrix r1-12",173)+0</f>
        <v>0</v>
      </c>
      <c r="AC13" s="685" cm="1">
        <f t="array" ref="AC13">_xll.RiskOutput(,"matrix r1-12",174)+0</f>
        <v>0</v>
      </c>
      <c r="AD13" s="685" cm="1">
        <f t="array" ref="AD13">_xll.RiskOutput(,"matrix r1-12",175)+0</f>
        <v>0</v>
      </c>
      <c r="AE13" s="685" cm="1">
        <f t="array" ref="AE13">_xll.RiskOutput(,"matrix r1-12",176)+0</f>
        <v>0</v>
      </c>
      <c r="AF13" s="685" cm="1">
        <f t="array" ref="AF13">_xll.RiskOutput(,"matrix r1-12",177)+0</f>
        <v>0</v>
      </c>
      <c r="AG13" s="685" cm="1">
        <f t="array" ref="AG13">_xll.RiskOutput(,"matrix r1-12",178)+0</f>
        <v>0</v>
      </c>
      <c r="AH13" s="685" cm="1">
        <f t="array" ref="AH13">_xll.RiskOutput(,"matrix r1-12",179)+0</f>
        <v>0</v>
      </c>
      <c r="AI13" s="685" cm="1">
        <f t="array" ref="AI13">_xll.RiskOutput(,"matrix r1-12",180)+0</f>
        <v>0</v>
      </c>
      <c r="AJ13" s="685" cm="1">
        <f t="array" ref="AJ13">_xll.RiskOutput(,"matrix r1-12",181)+0</f>
        <v>0</v>
      </c>
      <c r="AK13" s="685" cm="1">
        <f t="array" ref="AK13">_xll.RiskOutput(,"matrix r1-12",182)+0</f>
        <v>0</v>
      </c>
      <c r="AL13" s="685" cm="1">
        <f t="array" ref="AL13">_xll.RiskOutput(,"matrix r1-12",183)+0</f>
        <v>0</v>
      </c>
      <c r="AM13" s="685" cm="1">
        <f t="array" ref="AM13">_xll.RiskOutput(,"matrix r1-12",184)+0</f>
        <v>0</v>
      </c>
      <c r="AN13" s="686" cm="1">
        <f t="array" ref="AN13">_xll.RiskOutput(,"matrix r1-12",185)+0</f>
        <v>0</v>
      </c>
    </row>
    <row r="14" spans="2:40" ht="12.75" customHeight="1" x14ac:dyDescent="0.3">
      <c r="B14" s="92" t="s">
        <v>274</v>
      </c>
      <c r="C14" s="90"/>
      <c r="D14" s="682" cm="1">
        <f t="array" ref="D14">_xll.RiskOutput(,"matrix r1-12",186)+0</f>
        <v>0</v>
      </c>
      <c r="E14" s="682" cm="1">
        <f t="array" ref="E14">_xll.RiskOutput(,"matrix r1-12",187)+0</f>
        <v>0</v>
      </c>
      <c r="F14" s="682" cm="1">
        <f t="array" ref="F14">_xll.RiskOutput(,"matrix r1-12",188)+0</f>
        <v>0</v>
      </c>
      <c r="G14" s="682" cm="1">
        <f t="array" ref="G14">_xll.RiskOutput(,"matrix r1-12",189)+0</f>
        <v>0</v>
      </c>
      <c r="H14" s="90" cm="1">
        <f t="array" aca="1" ref="H14" ca="1">_xll.RiskOutput(,"matrix r1-12",190)+k.aR.w0R</f>
        <v>1.2343051366522081E-25</v>
      </c>
      <c r="I14" s="684" cm="1">
        <f t="array" aca="1" ref="I14" ca="1">_xll.RiskOutput(,"matrix r1-12",191)+-k.w0R-SUM(I9:I13,I15:I45)</f>
        <v>-2.079031315344417E-20</v>
      </c>
      <c r="J14" s="90" cm="1">
        <f t="array" aca="1" ref="J14" ca="1">_xll.RiskOutput(,"matrix r1-12",192)+k.w1R.w0R</f>
        <v>0</v>
      </c>
      <c r="K14" s="90" cm="1">
        <f t="array" ref="K14">_xll.RiskOutput(,"matrix r1-12",193)+0</f>
        <v>0</v>
      </c>
      <c r="L14" s="685" cm="1">
        <f t="array" ref="L14">_xll.RiskOutput(,"matrix r1-12",194)+0</f>
        <v>0</v>
      </c>
      <c r="M14" s="685" cm="1">
        <f t="array" ref="M14">_xll.RiskOutput(,"matrix r1-12",195)+0</f>
        <v>0</v>
      </c>
      <c r="N14" s="685" cm="1">
        <f t="array" ref="N14">_xll.RiskOutput(,"matrix r1-12",196)+0</f>
        <v>0</v>
      </c>
      <c r="O14" s="685" cm="1">
        <f t="array" ref="O14">_xll.RiskOutput(,"matrix r1-12",197)+0</f>
        <v>0</v>
      </c>
      <c r="P14" s="685" cm="1">
        <f t="array" ref="P14">_xll.RiskOutput(,"matrix r1-12",198)+0</f>
        <v>0</v>
      </c>
      <c r="Q14" s="685" cm="1">
        <f t="array" ref="Q14">_xll.RiskOutput(,"matrix r1-12",199)+0</f>
        <v>0</v>
      </c>
      <c r="R14" s="90" cm="1">
        <f t="array" ref="R14">_xll.RiskOutput(,"matrix r1-12",200)+0</f>
        <v>0</v>
      </c>
      <c r="S14" s="685" cm="1">
        <f t="array" ref="S14">_xll.RiskOutput(,"matrix r1-12",201)+0</f>
        <v>0</v>
      </c>
      <c r="T14" s="685" cm="1">
        <f t="array" ref="T14">_xll.RiskOutput(,"matrix r1-12",202)+0</f>
        <v>0</v>
      </c>
      <c r="U14" s="685" cm="1">
        <f t="array" ref="U14">_xll.RiskOutput(,"matrix r1-12",203)+0</f>
        <v>0</v>
      </c>
      <c r="V14" s="685" cm="1">
        <f t="array" ref="V14">_xll.RiskOutput(,"matrix r1-12",204)+0</f>
        <v>0</v>
      </c>
      <c r="W14" s="685" cm="1">
        <f t="array" ref="W14">_xll.RiskOutput(,"matrix r1-12",205)+0</f>
        <v>0</v>
      </c>
      <c r="X14" s="685" cm="1">
        <f t="array" ref="X14">_xll.RiskOutput(,"matrix r1-12",206)+0</f>
        <v>0</v>
      </c>
      <c r="Y14" s="685" cm="1">
        <f t="array" ref="Y14">_xll.RiskOutput(,"matrix r1-12",207)+0</f>
        <v>0</v>
      </c>
      <c r="Z14" s="685" cm="1">
        <f t="array" ref="Z14">_xll.RiskOutput(,"matrix r1-12",208)+0</f>
        <v>0</v>
      </c>
      <c r="AA14" s="685" cm="1">
        <f t="array" ref="AA14">_xll.RiskOutput(,"matrix r1-12",209)+0</f>
        <v>0</v>
      </c>
      <c r="AB14" s="685" cm="1">
        <f t="array" ref="AB14">_xll.RiskOutput(,"matrix r1-12",210)+0</f>
        <v>0</v>
      </c>
      <c r="AC14" s="685" cm="1">
        <f t="array" ref="AC14">_xll.RiskOutput(,"matrix r1-12",211)+0</f>
        <v>0</v>
      </c>
      <c r="AD14" s="685" cm="1">
        <f t="array" ref="AD14">_xll.RiskOutput(,"matrix r1-12",212)+0</f>
        <v>0</v>
      </c>
      <c r="AE14" s="685" cm="1">
        <f t="array" ref="AE14">_xll.RiskOutput(,"matrix r1-12",213)+0</f>
        <v>0</v>
      </c>
      <c r="AF14" s="685" cm="1">
        <f t="array" ref="AF14">_xll.RiskOutput(,"matrix r1-12",214)+0</f>
        <v>0</v>
      </c>
      <c r="AG14" s="685" cm="1">
        <f t="array" ref="AG14">_xll.RiskOutput(,"matrix r1-12",215)+0</f>
        <v>0</v>
      </c>
      <c r="AH14" s="685" cm="1">
        <f t="array" ref="AH14">_xll.RiskOutput(,"matrix r1-12",216)+0</f>
        <v>0</v>
      </c>
      <c r="AI14" s="685" cm="1">
        <f t="array" ref="AI14">_xll.RiskOutput(,"matrix r1-12",217)+0</f>
        <v>0</v>
      </c>
      <c r="AJ14" s="685" cm="1">
        <f t="array" ref="AJ14">_xll.RiskOutput(,"matrix r1-12",218)+0</f>
        <v>0</v>
      </c>
      <c r="AK14" s="685" cm="1">
        <f t="array" ref="AK14">_xll.RiskOutput(,"matrix r1-12",219)+0</f>
        <v>0</v>
      </c>
      <c r="AL14" s="685" cm="1">
        <f t="array" ref="AL14">_xll.RiskOutput(,"matrix r1-12",220)+0</f>
        <v>0</v>
      </c>
      <c r="AM14" s="685" cm="1">
        <f t="array" ref="AM14">_xll.RiskOutput(,"matrix r1-12",221)+0</f>
        <v>0</v>
      </c>
      <c r="AN14" s="686" cm="1">
        <f t="array" ref="AN14">_xll.RiskOutput(,"matrix r1-12",222)+0</f>
        <v>0</v>
      </c>
    </row>
    <row r="15" spans="2:40" ht="12.75" customHeight="1" x14ac:dyDescent="0.3">
      <c r="B15" s="92" t="s">
        <v>1458</v>
      </c>
      <c r="C15" s="90"/>
      <c r="D15" s="682" cm="1">
        <f t="array" ref="D15">_xll.RiskOutput(,"matrix r1-12",223)+0</f>
        <v>0</v>
      </c>
      <c r="E15" s="682" cm="1">
        <f t="array" aca="1" ref="E15" ca="1">_xll.RiskOutput(,"matrix r1-12",224)+k.wL.w1R</f>
        <v>1.9550844026194796E-8</v>
      </c>
      <c r="F15" s="682" cm="1">
        <f t="array" ref="F15">_xll.RiskOutput(,"matrix r1-12",225)+0</f>
        <v>0</v>
      </c>
      <c r="G15" s="682" cm="1">
        <f t="array" ref="G15">_xll.RiskOutput(,"matrix r1-12",226)+0</f>
        <v>0</v>
      </c>
      <c r="H15" s="90" cm="1">
        <f t="array" aca="1" ref="H15" ca="1">_xll.RiskOutput(,"matrix r1-12",227)+k.aR.w1R</f>
        <v>2.9623323279652996E-6</v>
      </c>
      <c r="I15" s="90" cm="1">
        <f t="array" ref="I15">_xll.RiskOutput(,"matrix r1-12",228)+k.w0R.w1R</f>
        <v>9.9999999999999995E-21</v>
      </c>
      <c r="J15" s="684" cm="1">
        <f t="array" aca="1" ref="J15" ca="1">_xll.RiskOutput(,"matrix r1-12",229)+-k.w1R-SUM(J9:J14,J16:J45)</f>
        <v>-7.1851017319898544E-7</v>
      </c>
      <c r="K15" s="685" cm="1">
        <f t="array" ref="K15">_xll.RiskOutput(,"matrix r1-12",230)+0</f>
        <v>0</v>
      </c>
      <c r="L15" s="90" cm="1">
        <f t="array" aca="1" ref="L15" ca="1">_xll.RiskOutput(,"matrix r1-12",231)+k.sd1R.w1R</f>
        <v>9.2768699408128474E-9</v>
      </c>
      <c r="M15" s="685" cm="1">
        <f t="array" ref="M15">_xll.RiskOutput(,"matrix r1-12",232)+0</f>
        <v>0</v>
      </c>
      <c r="N15" s="90" cm="1">
        <f t="array" aca="1" ref="N15" ca="1">_xll.RiskOutput(,"matrix r1-12",233)+k.s1R.w1R</f>
        <v>2.0640929123321202E-10</v>
      </c>
      <c r="O15" s="90" cm="1">
        <f t="array" aca="1" ref="O15" ca="1">_xll.RiskOutput(,"matrix r1-12",234)+k.s2R.w1R</f>
        <v>1.0905050878128442E-10</v>
      </c>
      <c r="P15" s="90" cm="1">
        <f t="array" aca="1" ref="P15" ca="1">_xll.RiskOutput(,"matrix r1-12",235)+k.s3R.w1R</f>
        <v>1.0184255004126343E-10</v>
      </c>
      <c r="Q15" s="685" cm="1">
        <f t="array" ref="Q15">_xll.RiskOutput(,"matrix r1-12",236)+0</f>
        <v>0</v>
      </c>
      <c r="R15" s="90" cm="1">
        <f t="array" ref="R15">_xll.RiskOutput(,"matrix r1-12",237)+0</f>
        <v>0</v>
      </c>
      <c r="S15" s="90" cm="1">
        <f t="array" ref="S15">_xll.RiskOutput(,"matrix r1-12",238)+k.w1C.w1R</f>
        <v>0</v>
      </c>
      <c r="T15" s="685" cm="1">
        <f t="array" ref="T15">_xll.RiskOutput(,"matrix r1-12",239)+0</f>
        <v>0</v>
      </c>
      <c r="U15" s="685" cm="1">
        <f t="array" ref="U15">_xll.RiskOutput(,"matrix r1-12",240)+0</f>
        <v>0</v>
      </c>
      <c r="V15" s="685" cm="1">
        <f t="array" ref="V15">_xll.RiskOutput(,"matrix r1-12",241)+0</f>
        <v>0</v>
      </c>
      <c r="W15" s="685" cm="1">
        <f t="array" ref="W15">_xll.RiskOutput(,"matrix r1-12",242)+0</f>
        <v>0</v>
      </c>
      <c r="X15" s="685" cm="1">
        <f t="array" ref="X15">_xll.RiskOutput(,"matrix r1-12",243)+0</f>
        <v>0</v>
      </c>
      <c r="Y15" s="685" cm="1">
        <f t="array" ref="Y15">_xll.RiskOutput(,"matrix r1-12",244)+0</f>
        <v>0</v>
      </c>
      <c r="Z15" s="685" cm="1">
        <f t="array" ref="Z15">_xll.RiskOutput(,"matrix r1-12",245)+0</f>
        <v>0</v>
      </c>
      <c r="AA15" s="685" cm="1">
        <f t="array" ref="AA15">_xll.RiskOutput(,"matrix r1-12",246)+0</f>
        <v>0</v>
      </c>
      <c r="AB15" s="685" cm="1">
        <f t="array" ref="AB15">_xll.RiskOutput(,"matrix r1-12",247)+0</f>
        <v>0</v>
      </c>
      <c r="AC15" s="685" cm="1">
        <f t="array" ref="AC15">_xll.RiskOutput(,"matrix r1-12",248)+0</f>
        <v>0</v>
      </c>
      <c r="AD15" s="685" cm="1">
        <f t="array" ref="AD15">_xll.RiskOutput(,"matrix r1-12",249)+0</f>
        <v>0</v>
      </c>
      <c r="AE15" s="685" cm="1">
        <f t="array" ref="AE15">_xll.RiskOutput(,"matrix r1-12",250)+0</f>
        <v>0</v>
      </c>
      <c r="AF15" s="685" cm="1">
        <f t="array" ref="AF15">_xll.RiskOutput(,"matrix r1-12",251)+0</f>
        <v>0</v>
      </c>
      <c r="AG15" s="685" cm="1">
        <f t="array" ref="AG15">_xll.RiskOutput(,"matrix r1-12",252)+0</f>
        <v>0</v>
      </c>
      <c r="AH15" s="685" cm="1">
        <f t="array" ref="AH15">_xll.RiskOutput(,"matrix r1-12",253)+0</f>
        <v>0</v>
      </c>
      <c r="AI15" s="685" cm="1">
        <f t="array" ref="AI15">_xll.RiskOutput(,"matrix r1-12",254)+0</f>
        <v>0</v>
      </c>
      <c r="AJ15" s="685" cm="1">
        <f t="array" ref="AJ15">_xll.RiskOutput(,"matrix r1-12",255)+0</f>
        <v>0</v>
      </c>
      <c r="AK15" s="685" cm="1">
        <f t="array" ref="AK15">_xll.RiskOutput(,"matrix r1-12",256)+0</f>
        <v>0</v>
      </c>
      <c r="AL15" s="685" cm="1">
        <f t="array" ref="AL15">_xll.RiskOutput(,"matrix r1-12",257)+0</f>
        <v>0</v>
      </c>
      <c r="AM15" s="685" cm="1">
        <f t="array" ref="AM15">_xll.RiskOutput(,"matrix r1-12",258)+0</f>
        <v>0</v>
      </c>
      <c r="AN15" s="686" cm="1">
        <f t="array" ref="AN15">_xll.RiskOutput(,"matrix r1-12",259)+0</f>
        <v>0</v>
      </c>
    </row>
    <row r="16" spans="2:40" ht="12.75" customHeight="1" x14ac:dyDescent="0.3">
      <c r="B16" s="92" t="s">
        <v>1459</v>
      </c>
      <c r="C16" s="90"/>
      <c r="D16" s="682" cm="1">
        <f t="array" ref="D16">_xll.RiskOutput(,"matrix r1-12",260)+0</f>
        <v>0</v>
      </c>
      <c r="E16" s="682" cm="1">
        <f t="array" ref="E16">_xll.RiskOutput(,"matrix r1-12",261)+0</f>
        <v>0</v>
      </c>
      <c r="F16" s="682" cm="1">
        <f t="array" ref="F16">_xll.RiskOutput(,"matrix r1-12",262)+0</f>
        <v>0</v>
      </c>
      <c r="G16" s="682" cm="1">
        <f t="array" ref="G16">_xll.RiskOutput(,"matrix r1-12",263)+0</f>
        <v>0</v>
      </c>
      <c r="H16" s="90" cm="1">
        <f t="array" aca="1" ref="H16" ca="1">_xll.RiskOutput(,"matrix r1-12",264)+k.aR.w2R</f>
        <v>5.6104778938736741E-28</v>
      </c>
      <c r="I16" s="90" cm="1">
        <f t="array" ref="I16">_xll.RiskOutput(,"matrix r1-12",265)+k.w0R.w2R</f>
        <v>0</v>
      </c>
      <c r="J16" s="90" cm="1">
        <f t="array" aca="1" ref="J16" ca="1">_xll.RiskOutput(,"matrix r1-12",266)+k.w1R.w2R</f>
        <v>4.5470893329868736E-8</v>
      </c>
      <c r="K16" s="684" cm="1">
        <f t="array" aca="1" ref="K16" ca="1">_xll.RiskOutput(,"matrix r1-12",267)+-k.w2R-SUM(K9:K15,K17:K45)</f>
        <v>-7.4061046835640273E-8</v>
      </c>
      <c r="L16" s="685" cm="1">
        <f t="array" ref="L16">_xll.RiskOutput(,"matrix r1-12",268)+0</f>
        <v>0</v>
      </c>
      <c r="M16" s="90" cm="1">
        <f t="array" aca="1" ref="M16" ca="1">_xll.RiskOutput(,"matrix r1-12",269)+k.sd2R.w2R</f>
        <v>7.0973415695852301E-9</v>
      </c>
      <c r="N16" s="685" cm="1">
        <f t="array" ref="N16">_xll.RiskOutput(,"matrix r1-12",270)+0</f>
        <v>0</v>
      </c>
      <c r="O16" s="685" cm="1">
        <f t="array" ref="O16">_xll.RiskOutput(,"matrix r1-12",271)+0</f>
        <v>0</v>
      </c>
      <c r="P16" s="685" cm="1">
        <f t="array" ref="P16">_xll.RiskOutput(,"matrix r1-12",272)+0</f>
        <v>0</v>
      </c>
      <c r="Q16" s="685" cm="1">
        <f t="array" ref="Q16">_xll.RiskOutput(,"matrix r1-12",273)+0</f>
        <v>0</v>
      </c>
      <c r="R16" s="90" cm="1">
        <f t="array" ref="R16">_xll.RiskOutput(,"matrix r1-12",274)+0</f>
        <v>0</v>
      </c>
      <c r="S16" s="685" cm="1">
        <f t="array" ref="S16">_xll.RiskOutput(,"matrix r1-12",275)+0</f>
        <v>0</v>
      </c>
      <c r="T16" s="90" cm="1">
        <f t="array" aca="1" ref="T16" ca="1">_xll.RiskOutput(,"matrix r1-12",276)+k.w2C.w2R</f>
        <v>5.6571576352706387E-14</v>
      </c>
      <c r="U16" s="685" cm="1">
        <f t="array" ref="U16">_xll.RiskOutput(,"matrix r1-12",277)+0</f>
        <v>0</v>
      </c>
      <c r="V16" s="685" cm="1">
        <f t="array" ref="V16">_xll.RiskOutput(,"matrix r1-12",278)+0</f>
        <v>0</v>
      </c>
      <c r="W16" s="685" cm="1">
        <f t="array" ref="W16">_xll.RiskOutput(,"matrix r1-12",279)+0</f>
        <v>0</v>
      </c>
      <c r="X16" s="685" cm="1">
        <f t="array" ref="X16">_xll.RiskOutput(,"matrix r1-12",280)+0</f>
        <v>0</v>
      </c>
      <c r="Y16" s="685" cm="1">
        <f t="array" ref="Y16">_xll.RiskOutput(,"matrix r1-12",281)+0</f>
        <v>0</v>
      </c>
      <c r="Z16" s="685" cm="1">
        <f t="array" ref="Z16">_xll.RiskOutput(,"matrix r1-12",282)+0</f>
        <v>0</v>
      </c>
      <c r="AA16" s="685" cm="1">
        <f t="array" ref="AA16">_xll.RiskOutput(,"matrix r1-12",283)+0</f>
        <v>0</v>
      </c>
      <c r="AB16" s="685" cm="1">
        <f t="array" ref="AB16">_xll.RiskOutput(,"matrix r1-12",284)+0</f>
        <v>0</v>
      </c>
      <c r="AC16" s="685" cm="1">
        <f t="array" ref="AC16">_xll.RiskOutput(,"matrix r1-12",285)+0</f>
        <v>0</v>
      </c>
      <c r="AD16" s="685" cm="1">
        <f t="array" ref="AD16">_xll.RiskOutput(,"matrix r1-12",286)+0</f>
        <v>0</v>
      </c>
      <c r="AE16" s="685" cm="1">
        <f t="array" ref="AE16">_xll.RiskOutput(,"matrix r1-12",287)+0</f>
        <v>0</v>
      </c>
      <c r="AF16" s="685" cm="1">
        <f t="array" ref="AF16">_xll.RiskOutput(,"matrix r1-12",288)+0</f>
        <v>0</v>
      </c>
      <c r="AG16" s="685" cm="1">
        <f t="array" ref="AG16">_xll.RiskOutput(,"matrix r1-12",289)+0</f>
        <v>0</v>
      </c>
      <c r="AH16" s="685" cm="1">
        <f t="array" ref="AH16">_xll.RiskOutput(,"matrix r1-12",290)+0</f>
        <v>0</v>
      </c>
      <c r="AI16" s="685" cm="1">
        <f t="array" ref="AI16">_xll.RiskOutput(,"matrix r1-12",291)+0</f>
        <v>0</v>
      </c>
      <c r="AJ16" s="685" cm="1">
        <f t="array" ref="AJ16">_xll.RiskOutput(,"matrix r1-12",292)+0</f>
        <v>0</v>
      </c>
      <c r="AK16" s="685" cm="1">
        <f t="array" ref="AK16">_xll.RiskOutput(,"matrix r1-12",293)+0</f>
        <v>0</v>
      </c>
      <c r="AL16" s="685" cm="1">
        <f t="array" ref="AL16">_xll.RiskOutput(,"matrix r1-12",294)+0</f>
        <v>0</v>
      </c>
      <c r="AM16" s="685" cm="1">
        <f t="array" ref="AM16">_xll.RiskOutput(,"matrix r1-12",295)+0</f>
        <v>0</v>
      </c>
      <c r="AN16" s="686" cm="1">
        <f t="array" ref="AN16">_xll.RiskOutput(,"matrix r1-12",296)+0</f>
        <v>0</v>
      </c>
    </row>
    <row r="17" spans="2:40" ht="12.75" customHeight="1" x14ac:dyDescent="0.3">
      <c r="B17" s="92" t="s">
        <v>1460</v>
      </c>
      <c r="C17" s="90"/>
      <c r="D17" s="682" cm="1">
        <f t="array" ref="D17">_xll.RiskOutput(,"matrix r1-12",297)+0</f>
        <v>0</v>
      </c>
      <c r="E17" s="682" cm="1">
        <f t="array" ref="E17">_xll.RiskOutput(,"matrix r1-12",298)+0</f>
        <v>0</v>
      </c>
      <c r="F17" s="682" cm="1">
        <f t="array" ref="F17">_xll.RiskOutput(,"matrix r1-12",299)+0</f>
        <v>0</v>
      </c>
      <c r="G17" s="682" cm="1">
        <f t="array" ref="G17">_xll.RiskOutput(,"matrix r1-12",300)+0</f>
        <v>0</v>
      </c>
      <c r="H17" s="685" cm="1">
        <f t="array" ref="H17">_xll.RiskOutput(,"matrix r1-12",301)+0</f>
        <v>0</v>
      </c>
      <c r="I17" s="90" cm="1">
        <f t="array" ref="I17">_xll.RiskOutput(,"matrix r1-12",302)+0</f>
        <v>0</v>
      </c>
      <c r="J17" s="90" cm="1">
        <f t="array" aca="1" ref="J17" ca="1">_xll.RiskOutput(,"matrix r1-12",303)+k.w1R.sd1R</f>
        <v>6.7303927986910655E-7</v>
      </c>
      <c r="K17" s="685" cm="1">
        <f t="array" ref="K17">_xll.RiskOutput(,"matrix r1-12",304)+0</f>
        <v>0</v>
      </c>
      <c r="L17" s="684" cm="1">
        <f t="array" aca="1" ref="L17" ca="1">_xll.RiskOutput(,"matrix r1-12",305)+-k.sd1R-SUM(L9:L16,L18:L45)</f>
        <v>-1.0502115723277573E-8</v>
      </c>
      <c r="M17" s="685" cm="1">
        <f t="array" ref="M17">_xll.RiskOutput(,"matrix r1-12",306)+0</f>
        <v>0</v>
      </c>
      <c r="N17" s="685" cm="1">
        <f t="array" ref="N17">_xll.RiskOutput(,"matrix r1-12",307)+0</f>
        <v>0</v>
      </c>
      <c r="O17" s="685" cm="1">
        <f t="array" ref="O17">_xll.RiskOutput(,"matrix r1-12",308)+0</f>
        <v>0</v>
      </c>
      <c r="P17" s="685" cm="1">
        <f t="array" ref="P17">_xll.RiskOutput(,"matrix r1-12",309)+0</f>
        <v>0</v>
      </c>
      <c r="Q17" s="685" cm="1">
        <f t="array" ref="Q17">_xll.RiskOutput(,"matrix r1-12",310)+0</f>
        <v>0</v>
      </c>
      <c r="R17" s="90" cm="1">
        <f t="array" ref="R17">_xll.RiskOutput(,"matrix r1-12",311)+0</f>
        <v>0</v>
      </c>
      <c r="S17" s="685" cm="1">
        <f t="array" ref="S17">_xll.RiskOutput(,"matrix r1-12",312)+0</f>
        <v>0</v>
      </c>
      <c r="T17" s="685" cm="1">
        <f t="array" ref="T17">_xll.RiskOutput(,"matrix r1-12",313)+0</f>
        <v>0</v>
      </c>
      <c r="U17" s="685" cm="1">
        <f t="array" ref="U17">_xll.RiskOutput(,"matrix r1-12",314)+0</f>
        <v>0</v>
      </c>
      <c r="V17" s="685" cm="1">
        <f t="array" ref="V17">_xll.RiskOutput(,"matrix r1-12",315)+0</f>
        <v>0</v>
      </c>
      <c r="W17" s="685" cm="1">
        <f t="array" ref="W17">_xll.RiskOutput(,"matrix r1-12",316)+0</f>
        <v>0</v>
      </c>
      <c r="X17" s="685" cm="1">
        <f t="array" ref="X17">_xll.RiskOutput(,"matrix r1-12",317)+0</f>
        <v>0</v>
      </c>
      <c r="Y17" s="685" cm="1">
        <f t="array" ref="Y17">_xll.RiskOutput(,"matrix r1-12",318)+0</f>
        <v>0</v>
      </c>
      <c r="Z17" s="685" cm="1">
        <f t="array" ref="Z17">_xll.RiskOutput(,"matrix r1-12",319)+0</f>
        <v>0</v>
      </c>
      <c r="AA17" s="685" cm="1">
        <f t="array" ref="AA17">_xll.RiskOutput(,"matrix r1-12",320)+0</f>
        <v>0</v>
      </c>
      <c r="AB17" s="685" cm="1">
        <f t="array" ref="AB17">_xll.RiskOutput(,"matrix r1-12",321)+0</f>
        <v>0</v>
      </c>
      <c r="AC17" s="685" cm="1">
        <f t="array" ref="AC17">_xll.RiskOutput(,"matrix r1-12",322)+0</f>
        <v>0</v>
      </c>
      <c r="AD17" s="685" cm="1">
        <f t="array" ref="AD17">_xll.RiskOutput(,"matrix r1-12",323)+0</f>
        <v>0</v>
      </c>
      <c r="AE17" s="685" cm="1">
        <f t="array" ref="AE17">_xll.RiskOutput(,"matrix r1-12",324)+0</f>
        <v>0</v>
      </c>
      <c r="AF17" s="685" cm="1">
        <f t="array" ref="AF17">_xll.RiskOutput(,"matrix r1-12",325)+0</f>
        <v>0</v>
      </c>
      <c r="AG17" s="685" cm="1">
        <f t="array" ref="AG17">_xll.RiskOutput(,"matrix r1-12",326)+0</f>
        <v>0</v>
      </c>
      <c r="AH17" s="685" cm="1">
        <f t="array" ref="AH17">_xll.RiskOutput(,"matrix r1-12",327)+0</f>
        <v>0</v>
      </c>
      <c r="AI17" s="685" cm="1">
        <f t="array" ref="AI17">_xll.RiskOutput(,"matrix r1-12",328)+0</f>
        <v>0</v>
      </c>
      <c r="AJ17" s="685" cm="1">
        <f t="array" ref="AJ17">_xll.RiskOutput(,"matrix r1-12",329)+0</f>
        <v>0</v>
      </c>
      <c r="AK17" s="685" cm="1">
        <f t="array" ref="AK17">_xll.RiskOutput(,"matrix r1-12",330)+0</f>
        <v>0</v>
      </c>
      <c r="AL17" s="685" cm="1">
        <f t="array" ref="AL17">_xll.RiskOutput(,"matrix r1-12",331)+0</f>
        <v>0</v>
      </c>
      <c r="AM17" s="685" cm="1">
        <f t="array" ref="AM17">_xll.RiskOutput(,"matrix r1-12",332)+0</f>
        <v>0</v>
      </c>
      <c r="AN17" s="686" cm="1">
        <f t="array" ref="AN17">_xll.RiskOutput(,"matrix r1-12",333)+0</f>
        <v>0</v>
      </c>
    </row>
    <row r="18" spans="2:40" ht="12.75" customHeight="1" x14ac:dyDescent="0.3">
      <c r="B18" s="92" t="s">
        <v>1461</v>
      </c>
      <c r="C18" s="90"/>
      <c r="D18" s="682" cm="1">
        <f t="array" ref="D18">_xll.RiskOutput(,"matrix r1-12",334)+0</f>
        <v>0</v>
      </c>
      <c r="E18" s="682" cm="1">
        <f t="array" ref="E18">_xll.RiskOutput(,"matrix r1-12",335)+0</f>
        <v>0</v>
      </c>
      <c r="F18" s="682" cm="1">
        <f t="array" ref="F18">_xll.RiskOutput(,"matrix r1-12",336)+0</f>
        <v>0</v>
      </c>
      <c r="G18" s="682" cm="1">
        <f t="array" ref="G18">_xll.RiskOutput(,"matrix r1-12",337)+0</f>
        <v>0</v>
      </c>
      <c r="H18" s="685" cm="1">
        <f t="array" ref="H18">_xll.RiskOutput(,"matrix r1-12",338)+0</f>
        <v>0</v>
      </c>
      <c r="I18" s="90" cm="1">
        <f t="array" ref="I18">_xll.RiskOutput(,"matrix r1-12",339)+0</f>
        <v>0</v>
      </c>
      <c r="J18" s="685" cm="1">
        <f t="array" ref="J18">_xll.RiskOutput(,"matrix r1-12",340)+0</f>
        <v>0</v>
      </c>
      <c r="K18" s="90" cm="1">
        <f t="array" aca="1" ref="K18" ca="1">_xll.RiskOutput(,"matrix r1-12",341)+k.w2R.sd2R</f>
        <v>7.4061046835619786E-8</v>
      </c>
      <c r="L18" s="685" cm="1">
        <f t="array" ref="L18">_xll.RiskOutput(,"matrix r1-12",342)+0</f>
        <v>0</v>
      </c>
      <c r="M18" s="684" cm="1">
        <f t="array" aca="1" ref="M18" ca="1">_xll.RiskOutput(,"matrix r1-12",343)+-k.sd2R-SUM(M9:M17,M19:M45)</f>
        <v>-8.011634811182559E-9</v>
      </c>
      <c r="N18" s="685" cm="1">
        <f t="array" ref="N18">_xll.RiskOutput(,"matrix r1-12",344)+0</f>
        <v>0</v>
      </c>
      <c r="O18" s="685" cm="1">
        <f t="array" ref="O18">_xll.RiskOutput(,"matrix r1-12",345)+0</f>
        <v>0</v>
      </c>
      <c r="P18" s="685" cm="1">
        <f t="array" ref="P18">_xll.RiskOutput(,"matrix r1-12",346)+0</f>
        <v>0</v>
      </c>
      <c r="Q18" s="685" cm="1">
        <f t="array" ref="Q18">_xll.RiskOutput(,"matrix r1-12",347)+0</f>
        <v>0</v>
      </c>
      <c r="R18" s="90" cm="1">
        <f t="array" ref="R18">_xll.RiskOutput(,"matrix r1-12",348)+0</f>
        <v>0</v>
      </c>
      <c r="S18" s="685" cm="1">
        <f t="array" ref="S18">_xll.RiskOutput(,"matrix r1-12",349)+0</f>
        <v>0</v>
      </c>
      <c r="T18" s="685" cm="1">
        <f t="array" ref="T18">_xll.RiskOutput(,"matrix r1-12",350)+0</f>
        <v>0</v>
      </c>
      <c r="U18" s="685" cm="1">
        <f t="array" ref="U18">_xll.RiskOutput(,"matrix r1-12",351)+0</f>
        <v>0</v>
      </c>
      <c r="V18" s="685" cm="1">
        <f t="array" ref="V18">_xll.RiskOutput(,"matrix r1-12",352)+0</f>
        <v>0</v>
      </c>
      <c r="W18" s="685" cm="1">
        <f t="array" ref="W18">_xll.RiskOutput(,"matrix r1-12",353)+0</f>
        <v>0</v>
      </c>
      <c r="X18" s="685" cm="1">
        <f t="array" ref="X18">_xll.RiskOutput(,"matrix r1-12",354)+0</f>
        <v>0</v>
      </c>
      <c r="Y18" s="685" cm="1">
        <f t="array" ref="Y18">_xll.RiskOutput(,"matrix r1-12",355)+0</f>
        <v>0</v>
      </c>
      <c r="Z18" s="685" cm="1">
        <f t="array" ref="Z18">_xll.RiskOutput(,"matrix r1-12",356)+0</f>
        <v>0</v>
      </c>
      <c r="AA18" s="685" cm="1">
        <f t="array" ref="AA18">_xll.RiskOutput(,"matrix r1-12",357)+0</f>
        <v>0</v>
      </c>
      <c r="AB18" s="685" cm="1">
        <f t="array" ref="AB18">_xll.RiskOutput(,"matrix r1-12",358)+0</f>
        <v>0</v>
      </c>
      <c r="AC18" s="685" cm="1">
        <f t="array" ref="AC18">_xll.RiskOutput(,"matrix r1-12",359)+0</f>
        <v>0</v>
      </c>
      <c r="AD18" s="685" cm="1">
        <f t="array" ref="AD18">_xll.RiskOutput(,"matrix r1-12",360)+0</f>
        <v>0</v>
      </c>
      <c r="AE18" s="685" cm="1">
        <f t="array" ref="AE18">_xll.RiskOutput(,"matrix r1-12",361)+0</f>
        <v>0</v>
      </c>
      <c r="AF18" s="685" cm="1">
        <f t="array" ref="AF18">_xll.RiskOutput(,"matrix r1-12",362)+0</f>
        <v>0</v>
      </c>
      <c r="AG18" s="685" cm="1">
        <f t="array" ref="AG18">_xll.RiskOutput(,"matrix r1-12",363)+0</f>
        <v>0</v>
      </c>
      <c r="AH18" s="685" cm="1">
        <f t="array" ref="AH18">_xll.RiskOutput(,"matrix r1-12",364)+0</f>
        <v>0</v>
      </c>
      <c r="AI18" s="685" cm="1">
        <f t="array" ref="AI18">_xll.RiskOutput(,"matrix r1-12",365)+0</f>
        <v>0</v>
      </c>
      <c r="AJ18" s="685" cm="1">
        <f t="array" ref="AJ18">_xll.RiskOutput(,"matrix r1-12",366)+0</f>
        <v>0</v>
      </c>
      <c r="AK18" s="685" cm="1">
        <f t="array" ref="AK18">_xll.RiskOutput(,"matrix r1-12",367)+0</f>
        <v>0</v>
      </c>
      <c r="AL18" s="685" cm="1">
        <f t="array" ref="AL18">_xll.RiskOutput(,"matrix r1-12",368)+0</f>
        <v>0</v>
      </c>
      <c r="AM18" s="685" cm="1">
        <f t="array" ref="AM18">_xll.RiskOutput(,"matrix r1-12",369)+0</f>
        <v>0</v>
      </c>
      <c r="AN18" s="686" cm="1">
        <f t="array" ref="AN18">_xll.RiskOutput(,"matrix r1-12",370)+0</f>
        <v>0</v>
      </c>
    </row>
    <row r="19" spans="2:40" ht="12.75" customHeight="1" x14ac:dyDescent="0.3">
      <c r="B19" s="92" t="s">
        <v>1462</v>
      </c>
      <c r="C19" s="90"/>
      <c r="D19" s="682" cm="1">
        <f t="array" ref="D19">_xll.RiskOutput(,"matrix r1-12",371)+0</f>
        <v>0</v>
      </c>
      <c r="E19" s="682" cm="1">
        <f t="array" ref="E19">_xll.RiskOutput(,"matrix r1-12",372)+0</f>
        <v>0</v>
      </c>
      <c r="F19" s="682" cm="1">
        <f t="array" ref="F19">_xll.RiskOutput(,"matrix r1-12",373)+0</f>
        <v>0</v>
      </c>
      <c r="G19" s="682" cm="1">
        <f t="array" ref="G19">_xll.RiskOutput(,"matrix r1-12",374)+0</f>
        <v>0</v>
      </c>
      <c r="H19" s="90" cm="1">
        <f t="array" aca="1" ref="H19" ca="1">_xll.RiskOutput(,"matrix r1-12",375)+k.aR.s1R</f>
        <v>1.2343051365445921E-25</v>
      </c>
      <c r="I19" s="90" cm="1">
        <f t="array" ref="I19">_xll.RiskOutput(,"matrix r1-12",376)+0</f>
        <v>0</v>
      </c>
      <c r="J19" s="685" cm="1">
        <f t="array" ref="J19">_xll.RiskOutput(,"matrix r1-12",377)+0</f>
        <v>0</v>
      </c>
      <c r="K19" s="685" cm="1">
        <f t="array" ref="K19">_xll.RiskOutput(,"matrix r1-12",378)+0</f>
        <v>0</v>
      </c>
      <c r="L19" s="685" cm="1">
        <f t="array" ref="L19">_xll.RiskOutput(,"matrix r1-12",379)+0</f>
        <v>0</v>
      </c>
      <c r="M19" s="685" cm="1">
        <f t="array" ref="M19">_xll.RiskOutput(,"matrix r1-12",380)+0</f>
        <v>0</v>
      </c>
      <c r="N19" s="684" cm="1">
        <f t="array" aca="1" ref="N19" ca="1">_xll.RiskOutput(,"matrix r1-12",381)+-k.s1R-SUM(N9:N18,N20:N45)</f>
        <v>-2.075459967882405E-10</v>
      </c>
      <c r="O19" s="685" cm="1">
        <f t="array" ref="O19">_xll.RiskOutput(,"matrix r1-12",382)+0</f>
        <v>0</v>
      </c>
      <c r="P19" s="685" cm="1">
        <f t="array" ref="P19">_xll.RiskOutput(,"matrix r1-12",383)+0</f>
        <v>0</v>
      </c>
      <c r="Q19" s="685" cm="1">
        <f t="array" ref="Q19">_xll.RiskOutput(,"matrix r1-12",384)+0</f>
        <v>0</v>
      </c>
      <c r="R19" s="90" cm="1">
        <f t="array" ref="R19">_xll.RiskOutput(,"matrix r1-12",385)+0</f>
        <v>0</v>
      </c>
      <c r="S19" s="685" cm="1">
        <f t="array" ref="S19">_xll.RiskOutput(,"matrix r1-12",386)+0</f>
        <v>0</v>
      </c>
      <c r="T19" s="685" cm="1">
        <f t="array" ref="T19">_xll.RiskOutput(,"matrix r1-12",387)+0</f>
        <v>0</v>
      </c>
      <c r="U19" s="685" cm="1">
        <f t="array" ref="U19">_xll.RiskOutput(,"matrix r1-12",388)+0</f>
        <v>0</v>
      </c>
      <c r="V19" s="685" cm="1">
        <f t="array" ref="V19">_xll.RiskOutput(,"matrix r1-12",389)+0</f>
        <v>0</v>
      </c>
      <c r="W19" s="685" cm="1">
        <f t="array" ref="W19">_xll.RiskOutput(,"matrix r1-12",390)+0</f>
        <v>0</v>
      </c>
      <c r="X19" s="685" cm="1">
        <f t="array" ref="X19">_xll.RiskOutput(,"matrix r1-12",391)+0</f>
        <v>0</v>
      </c>
      <c r="Y19" s="685" cm="1">
        <f t="array" ref="Y19">_xll.RiskOutput(,"matrix r1-12",392)+0</f>
        <v>0</v>
      </c>
      <c r="Z19" s="685" cm="1">
        <f t="array" ref="Z19">_xll.RiskOutput(,"matrix r1-12",393)+0</f>
        <v>0</v>
      </c>
      <c r="AA19" s="685" cm="1">
        <f t="array" ref="AA19">_xll.RiskOutput(,"matrix r1-12",394)+0</f>
        <v>0</v>
      </c>
      <c r="AB19" s="685" cm="1">
        <f t="array" ref="AB19">_xll.RiskOutput(,"matrix r1-12",395)+0</f>
        <v>0</v>
      </c>
      <c r="AC19" s="685" cm="1">
        <f t="array" ref="AC19">_xll.RiskOutput(,"matrix r1-12",396)+0</f>
        <v>0</v>
      </c>
      <c r="AD19" s="685" cm="1">
        <f t="array" ref="AD19">_xll.RiskOutput(,"matrix r1-12",397)+0</f>
        <v>0</v>
      </c>
      <c r="AE19" s="685" cm="1">
        <f t="array" ref="AE19">_xll.RiskOutput(,"matrix r1-12",398)+0</f>
        <v>0</v>
      </c>
      <c r="AF19" s="685" cm="1">
        <f t="array" ref="AF19">_xll.RiskOutput(,"matrix r1-12",399)+0</f>
        <v>0</v>
      </c>
      <c r="AG19" s="685" cm="1">
        <f t="array" ref="AG19">_xll.RiskOutput(,"matrix r1-12",400)+0</f>
        <v>0</v>
      </c>
      <c r="AH19" s="685" cm="1">
        <f t="array" ref="AH19">_xll.RiskOutput(,"matrix r1-12",401)+0</f>
        <v>0</v>
      </c>
      <c r="AI19" s="685" cm="1">
        <f t="array" ref="AI19">_xll.RiskOutput(,"matrix r1-12",402)+0</f>
        <v>0</v>
      </c>
      <c r="AJ19" s="685" cm="1">
        <f t="array" ref="AJ19">_xll.RiskOutput(,"matrix r1-12",403)+0</f>
        <v>0</v>
      </c>
      <c r="AK19" s="685" cm="1">
        <f t="array" ref="AK19">_xll.RiskOutput(,"matrix r1-12",404)+0</f>
        <v>0</v>
      </c>
      <c r="AL19" s="685" cm="1">
        <f t="array" ref="AL19">_xll.RiskOutput(,"matrix r1-12",405)+0</f>
        <v>0</v>
      </c>
      <c r="AM19" s="685" cm="1">
        <f t="array" ref="AM19">_xll.RiskOutput(,"matrix r1-12",406)+0</f>
        <v>0</v>
      </c>
      <c r="AN19" s="686" cm="1">
        <f t="array" ref="AN19">_xll.RiskOutput(,"matrix r1-12",407)+0</f>
        <v>0</v>
      </c>
    </row>
    <row r="20" spans="2:40" ht="12.75" customHeight="1" x14ac:dyDescent="0.3">
      <c r="B20" s="92" t="s">
        <v>1463</v>
      </c>
      <c r="C20" s="90"/>
      <c r="D20" s="682" cm="1">
        <f t="array" ref="D20">_xll.RiskOutput(,"matrix r1-12",408)+0</f>
        <v>0</v>
      </c>
      <c r="E20" s="682" cm="1">
        <f t="array" ref="E20">_xll.RiskOutput(,"matrix r1-12",409)+0</f>
        <v>0</v>
      </c>
      <c r="F20" s="682" cm="1">
        <f t="array" ref="F20">_xll.RiskOutput(,"matrix r1-12",410)+0</f>
        <v>0</v>
      </c>
      <c r="G20" s="682" cm="1">
        <f t="array" ref="G20">_xll.RiskOutput(,"matrix r1-12",411)+0</f>
        <v>0</v>
      </c>
      <c r="H20" s="90" cm="1">
        <f t="array" aca="1" ref="H20" ca="1">_xll.RiskOutput(,"matrix r1-12",412)+k.aR.s2R</f>
        <v>2.2217492457802661E-6</v>
      </c>
      <c r="I20" s="90" cm="1">
        <f t="array" ref="I20">_xll.RiskOutput(,"matrix r1-12",413)+0</f>
        <v>0</v>
      </c>
      <c r="J20" s="685" cm="1">
        <f t="array" ref="J20">_xll.RiskOutput(,"matrix r1-12",414)+0</f>
        <v>0</v>
      </c>
      <c r="K20" s="685" cm="1">
        <f t="array" ref="K20">_xll.RiskOutput(,"matrix r1-12",415)+0</f>
        <v>0</v>
      </c>
      <c r="L20" s="685" cm="1">
        <f t="array" ref="L20">_xll.RiskOutput(,"matrix r1-12",416)+0</f>
        <v>0</v>
      </c>
      <c r="M20" s="685" cm="1">
        <f t="array" ref="M20">_xll.RiskOutput(,"matrix r1-12",417)+0</f>
        <v>0</v>
      </c>
      <c r="N20" s="685" cm="1">
        <f t="array" ref="N20">_xll.RiskOutput(,"matrix r1-12",418)+0</f>
        <v>0</v>
      </c>
      <c r="O20" s="684" cm="1">
        <f t="array" aca="1" ref="O20" ca="1">_xll.RiskOutput(,"matrix r1-12",419)+-k.s2R-SUM(O9:O19,O21:O45)</f>
        <v>-1.0964106450985194E-10</v>
      </c>
      <c r="P20" s="685" cm="1">
        <f t="array" ref="P20">_xll.RiskOutput(,"matrix r1-12",420)+0</f>
        <v>0</v>
      </c>
      <c r="Q20" s="685" cm="1">
        <f t="array" ref="Q20">_xll.RiskOutput(,"matrix r1-12",421)+0</f>
        <v>0</v>
      </c>
      <c r="R20" s="90" cm="1">
        <f t="array" ref="R20">_xll.RiskOutput(,"matrix r1-12",422)+0</f>
        <v>0</v>
      </c>
      <c r="S20" s="685" cm="1">
        <f t="array" ref="S20">_xll.RiskOutput(,"matrix r1-12",423)+0</f>
        <v>0</v>
      </c>
      <c r="T20" s="685" cm="1">
        <f t="array" ref="T20">_xll.RiskOutput(,"matrix r1-12",424)+0</f>
        <v>0</v>
      </c>
      <c r="U20" s="685" cm="1">
        <f t="array" ref="U20">_xll.RiskOutput(,"matrix r1-12",425)+0</f>
        <v>0</v>
      </c>
      <c r="V20" s="685" cm="1">
        <f t="array" ref="V20">_xll.RiskOutput(,"matrix r1-12",426)+0</f>
        <v>0</v>
      </c>
      <c r="W20" s="685" cm="1">
        <f t="array" ref="W20">_xll.RiskOutput(,"matrix r1-12",427)+0</f>
        <v>0</v>
      </c>
      <c r="X20" s="685" cm="1">
        <f t="array" ref="X20">_xll.RiskOutput(,"matrix r1-12",428)+0</f>
        <v>0</v>
      </c>
      <c r="Y20" s="685" cm="1">
        <f t="array" ref="Y20">_xll.RiskOutput(,"matrix r1-12",429)+0</f>
        <v>0</v>
      </c>
      <c r="Z20" s="685" cm="1">
        <f t="array" ref="Z20">_xll.RiskOutput(,"matrix r1-12",430)+0</f>
        <v>0</v>
      </c>
      <c r="AA20" s="685" cm="1">
        <f t="array" ref="AA20">_xll.RiskOutput(,"matrix r1-12",431)+0</f>
        <v>0</v>
      </c>
      <c r="AB20" s="685" cm="1">
        <f t="array" ref="AB20">_xll.RiskOutput(,"matrix r1-12",432)+0</f>
        <v>0</v>
      </c>
      <c r="AC20" s="685" cm="1">
        <f t="array" ref="AC20">_xll.RiskOutput(,"matrix r1-12",433)+0</f>
        <v>0</v>
      </c>
      <c r="AD20" s="685" cm="1">
        <f t="array" ref="AD20">_xll.RiskOutput(,"matrix r1-12",434)+0</f>
        <v>0</v>
      </c>
      <c r="AE20" s="685" cm="1">
        <f t="array" ref="AE20">_xll.RiskOutput(,"matrix r1-12",435)+0</f>
        <v>0</v>
      </c>
      <c r="AF20" s="685" cm="1">
        <f t="array" ref="AF20">_xll.RiskOutput(,"matrix r1-12",436)+0</f>
        <v>0</v>
      </c>
      <c r="AG20" s="685" cm="1">
        <f t="array" ref="AG20">_xll.RiskOutput(,"matrix r1-12",437)+0</f>
        <v>0</v>
      </c>
      <c r="AH20" s="685" cm="1">
        <f t="array" ref="AH20">_xll.RiskOutput(,"matrix r1-12",438)+0</f>
        <v>0</v>
      </c>
      <c r="AI20" s="685" cm="1">
        <f t="array" ref="AI20">_xll.RiskOutput(,"matrix r1-12",439)+0</f>
        <v>0</v>
      </c>
      <c r="AJ20" s="685" cm="1">
        <f t="array" ref="AJ20">_xll.RiskOutput(,"matrix r1-12",440)+0</f>
        <v>0</v>
      </c>
      <c r="AK20" s="685" cm="1">
        <f t="array" ref="AK20">_xll.RiskOutput(,"matrix r1-12",441)+0</f>
        <v>0</v>
      </c>
      <c r="AL20" s="685" cm="1">
        <f t="array" ref="AL20">_xll.RiskOutput(,"matrix r1-12",442)+0</f>
        <v>0</v>
      </c>
      <c r="AM20" s="685" cm="1">
        <f t="array" ref="AM20">_xll.RiskOutput(,"matrix r1-12",443)+0</f>
        <v>0</v>
      </c>
      <c r="AN20" s="686" cm="1">
        <f t="array" ref="AN20">_xll.RiskOutput(,"matrix r1-12",444)+0</f>
        <v>0</v>
      </c>
    </row>
    <row r="21" spans="2:40" ht="12.75" customHeight="1" x14ac:dyDescent="0.3">
      <c r="B21" s="92" t="s">
        <v>1464</v>
      </c>
      <c r="C21" s="90"/>
      <c r="D21" s="682" cm="1">
        <f t="array" ref="D21">_xll.RiskOutput(,"matrix r 13-24",1)+0</f>
        <v>0</v>
      </c>
      <c r="E21" s="682" cm="1">
        <f t="array" ref="E21">_xll.RiskOutput(,"matrix r 13-24",2)+0</f>
        <v>0</v>
      </c>
      <c r="F21" s="682" cm="1">
        <f t="array" ref="F21">_xll.RiskOutput(,"matrix r 13-24",3)+0</f>
        <v>0</v>
      </c>
      <c r="G21" s="682" cm="1">
        <f t="array" ref="G21">_xll.RiskOutput(,"matrix r 13-24",4)+0</f>
        <v>0</v>
      </c>
      <c r="H21" s="90" cm="1">
        <f t="array" aca="1" ref="H21" ca="1">_xll.RiskOutput(,"matrix r 13-24",5)+k.aR.s3R</f>
        <v>7.1589697919586344E-6</v>
      </c>
      <c r="I21" s="90" cm="1">
        <f t="array" ref="I21">_xll.RiskOutput(,"matrix r 13-24",6)+0</f>
        <v>0</v>
      </c>
      <c r="J21" s="685" cm="1">
        <f t="array" ref="J21">_xll.RiskOutput(,"matrix r 13-24",7)+0</f>
        <v>0</v>
      </c>
      <c r="K21" s="685" cm="1">
        <f t="array" ref="K21">_xll.RiskOutput(,"matrix r 13-24",8)+0</f>
        <v>0</v>
      </c>
      <c r="L21" s="685" cm="1">
        <f t="array" ref="L21">_xll.RiskOutput(,"matrix r 13-24",9)+0</f>
        <v>0</v>
      </c>
      <c r="M21" s="685" cm="1">
        <f t="array" ref="M21">_xll.RiskOutput(,"matrix r 13-24",10)+0</f>
        <v>0</v>
      </c>
      <c r="N21" s="685" cm="1">
        <f t="array" ref="N21">_xll.RiskOutput(,"matrix r 13-24",11)+0</f>
        <v>0</v>
      </c>
      <c r="O21" s="685" cm="1">
        <f t="array" ref="O21">_xll.RiskOutput(,"matrix r 13-24",12)+0</f>
        <v>0</v>
      </c>
      <c r="P21" s="684" cm="1">
        <f t="array" aca="1" ref="P21" ca="1">_xll.RiskOutput(,"matrix r 13-24",13)+-k.s3R-SUM(P9:P20,P22:P45)</f>
        <v>-1.023661698926563E-10</v>
      </c>
      <c r="Q21" s="685" cm="1">
        <f t="array" ref="Q21">_xll.RiskOutput(,"matrix r 13-24",14)+0</f>
        <v>0</v>
      </c>
      <c r="R21" s="90" cm="1">
        <f t="array" ref="R21">_xll.RiskOutput(,"matrix r 13-24",15)+0</f>
        <v>0</v>
      </c>
      <c r="S21" s="685" cm="1">
        <f t="array" ref="S21">_xll.RiskOutput(,"matrix r 13-24",16)+0</f>
        <v>0</v>
      </c>
      <c r="T21" s="685" cm="1">
        <f t="array" ref="T21">_xll.RiskOutput(,"matrix r 13-24",17)+0</f>
        <v>0</v>
      </c>
      <c r="U21" s="685" cm="1">
        <f t="array" ref="U21">_xll.RiskOutput(,"matrix r 13-24",18)+0</f>
        <v>0</v>
      </c>
      <c r="V21" s="685" cm="1">
        <f t="array" ref="V21">_xll.RiskOutput(,"matrix r 13-24",19)+0</f>
        <v>0</v>
      </c>
      <c r="W21" s="685" cm="1">
        <f t="array" ref="W21">_xll.RiskOutput(,"matrix r 13-24",20)+0</f>
        <v>0</v>
      </c>
      <c r="X21" s="685" cm="1">
        <f t="array" ref="X21">_xll.RiskOutput(,"matrix r 13-24",21)+0</f>
        <v>0</v>
      </c>
      <c r="Y21" s="685" cm="1">
        <f t="array" ref="Y21">_xll.RiskOutput(,"matrix r 13-24",22)+0</f>
        <v>0</v>
      </c>
      <c r="Z21" s="685" cm="1">
        <f t="array" ref="Z21">_xll.RiskOutput(,"matrix r 13-24",23)+0</f>
        <v>0</v>
      </c>
      <c r="AA21" s="685" cm="1">
        <f t="array" ref="AA21">_xll.RiskOutput(,"matrix r 13-24",24)+0</f>
        <v>0</v>
      </c>
      <c r="AB21" s="685" cm="1">
        <f t="array" ref="AB21">_xll.RiskOutput(,"matrix r 13-24",25)+0</f>
        <v>0</v>
      </c>
      <c r="AC21" s="685" cm="1">
        <f t="array" ref="AC21">_xll.RiskOutput(,"matrix r 13-24",26)+0</f>
        <v>0</v>
      </c>
      <c r="AD21" s="685" cm="1">
        <f t="array" ref="AD21">_xll.RiskOutput(,"matrix r 13-24",27)+0</f>
        <v>0</v>
      </c>
      <c r="AE21" s="685" cm="1">
        <f t="array" ref="AE21">_xll.RiskOutput(,"matrix r 13-24",28)+0</f>
        <v>0</v>
      </c>
      <c r="AF21" s="685" cm="1">
        <f t="array" ref="AF21">_xll.RiskOutput(,"matrix r 13-24",29)+0</f>
        <v>0</v>
      </c>
      <c r="AG21" s="685" cm="1">
        <f t="array" ref="AG21">_xll.RiskOutput(,"matrix r 13-24",30)+0</f>
        <v>0</v>
      </c>
      <c r="AH21" s="685" cm="1">
        <f t="array" ref="AH21">_xll.RiskOutput(,"matrix r 13-24",31)+0</f>
        <v>0</v>
      </c>
      <c r="AI21" s="685" cm="1">
        <f t="array" ref="AI21">_xll.RiskOutput(,"matrix r 13-24",32)+0</f>
        <v>0</v>
      </c>
      <c r="AJ21" s="685" cm="1">
        <f t="array" ref="AJ21">_xll.RiskOutput(,"matrix r 13-24",33)+0</f>
        <v>0</v>
      </c>
      <c r="AK21" s="685" cm="1">
        <f t="array" ref="AK21">_xll.RiskOutput(,"matrix r 13-24",34)+0</f>
        <v>0</v>
      </c>
      <c r="AL21" s="685" cm="1">
        <f t="array" ref="AL21">_xll.RiskOutput(,"matrix r 13-24",35)+0</f>
        <v>0</v>
      </c>
      <c r="AM21" s="685" cm="1">
        <f t="array" ref="AM21">_xll.RiskOutput(,"matrix r 13-24",36)+0</f>
        <v>0</v>
      </c>
      <c r="AN21" s="686" cm="1">
        <f t="array" ref="AN21">_xll.RiskOutput(,"matrix r 13-24",37)+0</f>
        <v>0</v>
      </c>
    </row>
    <row r="22" spans="2:40" ht="12.75" customHeight="1" x14ac:dyDescent="0.3">
      <c r="B22" s="92" t="s">
        <v>1465</v>
      </c>
      <c r="C22" s="90"/>
      <c r="D22" s="682" cm="1">
        <f t="array" ref="D22">_xll.RiskOutput(,"matrix r 13-24",38)+0</f>
        <v>0</v>
      </c>
      <c r="E22" s="682" cm="1">
        <f t="array" ref="E22">_xll.RiskOutput(,"matrix r 13-24",39)+0</f>
        <v>0</v>
      </c>
      <c r="F22" s="682" cm="1">
        <f t="array" ref="F22">_xll.RiskOutput(,"matrix r 13-24",40)+0</f>
        <v>0</v>
      </c>
      <c r="G22" s="682" cm="1">
        <f t="array" ref="G22">_xll.RiskOutput(,"matrix r 13-24",41)+0</f>
        <v>0</v>
      </c>
      <c r="H22" s="90" cm="1">
        <f t="array" aca="1" ref="H22" ca="1">_xll.RiskOutput(,"matrix r 13-24",42)+k.aR.aC</f>
        <v>1.0262131010952738E-4</v>
      </c>
      <c r="I22" s="90" cm="1">
        <f t="array" ref="I22">_xll.RiskOutput(,"matrix r 13-24",43)+0</f>
        <v>0</v>
      </c>
      <c r="J22" s="685" cm="1">
        <f t="array" ref="J22">_xll.RiskOutput(,"matrix r 13-24",44)+0</f>
        <v>0</v>
      </c>
      <c r="K22" s="685" cm="1">
        <f t="array" ref="K22">_xll.RiskOutput(,"matrix r 13-24",45)+0</f>
        <v>0</v>
      </c>
      <c r="L22" s="685" cm="1">
        <f t="array" ref="L22">_xll.RiskOutput(,"matrix r 13-24",46)+0</f>
        <v>0</v>
      </c>
      <c r="M22" s="685" cm="1">
        <f t="array" ref="M22">_xll.RiskOutput(,"matrix r 13-24",47)+0</f>
        <v>0</v>
      </c>
      <c r="N22" s="685" cm="1">
        <f t="array" ref="N22">_xll.RiskOutput(,"matrix r 13-24",48)+0</f>
        <v>0</v>
      </c>
      <c r="O22" s="685" cm="1">
        <f t="array" ref="O22">_xll.RiskOutput(,"matrix r 13-24",49)+0</f>
        <v>0</v>
      </c>
      <c r="P22" s="685" cm="1">
        <f t="array" ref="P22">_xll.RiskOutput(,"matrix r 13-24",50)+0</f>
        <v>0</v>
      </c>
      <c r="Q22" s="684" cm="1">
        <f t="array" aca="1" ref="Q22" ca="1">_xll.RiskOutput(,"matrix r 13-24",51)+-k.aC-SUM(Q9:Q21,Q23:Q45)</f>
        <v>-2.0198774456157325E-5</v>
      </c>
      <c r="R22" s="90" cm="1">
        <f t="array" aca="1" ref="R22" ca="1">_xll.RiskOutput(,"matrix r 13-24",52)+k.w0C.aC</f>
        <v>1.6492713585253436E-25</v>
      </c>
      <c r="S22" s="90" cm="1">
        <f t="array" aca="1" ref="S22" ca="1">_xll.RiskOutput(,"matrix r 13-24",53)+k.w1C.aC</f>
        <v>4.8641288905373166E-24</v>
      </c>
      <c r="T22" s="90" cm="1">
        <f t="array" aca="1" ref="T22" ca="1">_xll.RiskOutput(,"matrix r 13-24",54)+k.w2C.aC</f>
        <v>7.9680306092580999E-26</v>
      </c>
      <c r="U22" s="685" cm="1">
        <f t="array" ref="U22">_xll.RiskOutput(,"matrix r 13-24",55)+0</f>
        <v>0</v>
      </c>
      <c r="V22" s="685" cm="1">
        <f t="array" ref="V22">_xll.RiskOutput(,"matrix r 13-24",56)+0</f>
        <v>0</v>
      </c>
      <c r="W22" s="90" cm="1">
        <f t="array" aca="1" ref="W22" ca="1">_xll.RiskOutput(,"matrix r 13-24",57)+k.s1C.aC</f>
        <v>8.7364321685341359E-27</v>
      </c>
      <c r="X22" s="90" cm="1">
        <f t="array" aca="1" ref="X22" ca="1">_xll.RiskOutput(,"matrix r 13-24",58)+k.s2C.aC</f>
        <v>3.9755504476761481E-27</v>
      </c>
      <c r="Y22" s="90" cm="1">
        <f t="array" aca="1" ref="Y22" ca="1">_xll.RiskOutput(,"matrix r 13-24",59)+k.s3C.aC</f>
        <v>8.7364321685341359E-27</v>
      </c>
      <c r="Z22" s="90" cm="1">
        <f t="array" aca="1" ref="Z22" ca="1">_xll.RiskOutput(,"matrix r 13-24",60)+k.aM.aC</f>
        <v>7.1336519762278898E-8</v>
      </c>
      <c r="AA22" s="685" cm="1">
        <f t="array" ref="AA22">_xll.RiskOutput(,"matrix r 13-24",61)+0</f>
        <v>0</v>
      </c>
      <c r="AB22" s="685" cm="1">
        <f t="array" ref="AB22">_xll.RiskOutput(,"matrix r 13-24",62)+0</f>
        <v>0</v>
      </c>
      <c r="AC22" s="685" cm="1">
        <f t="array" ref="AC22">_xll.RiskOutput(,"matrix r 13-24",63)+0</f>
        <v>0</v>
      </c>
      <c r="AD22" s="685" cm="1">
        <f t="array" ref="AD22">_xll.RiskOutput(,"matrix r 13-24",64)+0</f>
        <v>0</v>
      </c>
      <c r="AE22" s="685" cm="1">
        <f t="array" ref="AE22">_xll.RiskOutput(,"matrix r 13-24",65)+0</f>
        <v>0</v>
      </c>
      <c r="AF22" s="685" cm="1">
        <f t="array" ref="AF22">_xll.RiskOutput(,"matrix r 13-24",66)+0</f>
        <v>0</v>
      </c>
      <c r="AG22" s="685" cm="1">
        <f t="array" ref="AG22">_xll.RiskOutput(,"matrix r 13-24",67)+0</f>
        <v>0</v>
      </c>
      <c r="AH22" s="685" cm="1">
        <f t="array" ref="AH22">_xll.RiskOutput(,"matrix r 13-24",68)+0</f>
        <v>0</v>
      </c>
      <c r="AI22" s="685" cm="1">
        <f t="array" ref="AI22">_xll.RiskOutput(,"matrix r 13-24",69)+0</f>
        <v>0</v>
      </c>
      <c r="AJ22" s="685" cm="1">
        <f t="array" ref="AJ22">_xll.RiskOutput(,"matrix r 13-24",70)+0</f>
        <v>0</v>
      </c>
      <c r="AK22" s="685" cm="1">
        <f t="array" ref="AK22">_xll.RiskOutput(,"matrix r 13-24",71)+0</f>
        <v>0</v>
      </c>
      <c r="AL22" s="685" cm="1">
        <f t="array" ref="AL22">_xll.RiskOutput(,"matrix r 13-24",72)+0</f>
        <v>0</v>
      </c>
      <c r="AM22" s="685" cm="1">
        <f t="array" ref="AM22">_xll.RiskOutput(,"matrix r 13-24",73)+0</f>
        <v>0</v>
      </c>
      <c r="AN22" s="686" cm="1">
        <f t="array" ref="AN22">_xll.RiskOutput(,"matrix r 13-24",74)+0</f>
        <v>0</v>
      </c>
    </row>
    <row r="23" spans="2:40" ht="12.75" customHeight="1" x14ac:dyDescent="0.3">
      <c r="B23" s="92" t="s">
        <v>275</v>
      </c>
      <c r="C23" s="90"/>
      <c r="D23" s="682" cm="1">
        <f t="array" ref="D23">_xll.RiskOutput(,"matrix r 13-24",75)+0</f>
        <v>0</v>
      </c>
      <c r="E23" s="682" cm="1">
        <f t="array" ref="E23">_xll.RiskOutput(,"matrix r 13-24",76)+0</f>
        <v>0</v>
      </c>
      <c r="F23" s="682" cm="1">
        <f t="array" ref="F23">_xll.RiskOutput(,"matrix r 13-24",77)+0</f>
        <v>0</v>
      </c>
      <c r="G23" s="682" cm="1">
        <f t="array" ref="G23">_xll.RiskOutput(,"matrix r 13-24",78)+0</f>
        <v>0</v>
      </c>
      <c r="H23" s="685" cm="1">
        <f t="array" ref="H23">_xll.RiskOutput(,"matrix r 13-24",79)+0</f>
        <v>0</v>
      </c>
      <c r="I23" s="90" cm="1">
        <f t="array" ref="I23">_xll.RiskOutput(,"matrix r 13-24",80)+0</f>
        <v>0</v>
      </c>
      <c r="J23" s="685" cm="1">
        <f t="array" ref="J23">_xll.RiskOutput(,"matrix r 13-24",81)+0</f>
        <v>0</v>
      </c>
      <c r="K23" s="685" cm="1">
        <f t="array" ref="K23">_xll.RiskOutput(,"matrix r 13-24",82)+0</f>
        <v>0</v>
      </c>
      <c r="L23" s="685" cm="1">
        <f t="array" ref="L23">_xll.RiskOutput(,"matrix r 13-24",83)+0</f>
        <v>0</v>
      </c>
      <c r="M23" s="685" cm="1">
        <f t="array" ref="M23">_xll.RiskOutput(,"matrix r 13-24",84)+0</f>
        <v>0</v>
      </c>
      <c r="N23" s="685" cm="1">
        <f t="array" ref="N23">_xll.RiskOutput(,"matrix r 13-24",85)+0</f>
        <v>0</v>
      </c>
      <c r="O23" s="685" cm="1">
        <f t="array" ref="O23">_xll.RiskOutput(,"matrix r 13-24",86)+0</f>
        <v>0</v>
      </c>
      <c r="P23" s="685" cm="1">
        <f t="array" ref="P23">_xll.RiskOutput(,"matrix r 13-24",87)+0</f>
        <v>0</v>
      </c>
      <c r="Q23" s="90" cm="1">
        <f t="array" aca="1" ref="Q23" ca="1">_xll.RiskOutput(,"matrix r 13-24",88)+k.aC.w0C</f>
        <v>2.2041144680396991E-8</v>
      </c>
      <c r="R23" s="684" cm="1">
        <f t="array" aca="1" ref="R23" ca="1">_xll.RiskOutput(,"matrix r 13-24",89)+-k.w0C-SUM(R9:R22,R24:R45)</f>
        <v>-1.5179336290253192E-9</v>
      </c>
      <c r="S23" s="90" cm="1">
        <f t="array" aca="1" ref="S23" ca="1">_xll.RiskOutput(,"matrix r 13-24",90)+k.w1C.w0C</f>
        <v>0</v>
      </c>
      <c r="T23" s="90" cm="1">
        <f t="array" ref="T23">_xll.RiskOutput(,"matrix r 13-24",91)+0</f>
        <v>0</v>
      </c>
      <c r="U23" s="685" cm="1">
        <f t="array" ref="U23">_xll.RiskOutput(,"matrix r 13-24",92)+0</f>
        <v>0</v>
      </c>
      <c r="V23" s="685" cm="1">
        <f t="array" ref="V23">_xll.RiskOutput(,"matrix r 13-24",93)+0</f>
        <v>0</v>
      </c>
      <c r="W23" s="685" cm="1">
        <f t="array" ref="W23">_xll.RiskOutput(,"matrix r 13-24",94)+0</f>
        <v>0</v>
      </c>
      <c r="X23" s="685" cm="1">
        <f t="array" ref="X23">_xll.RiskOutput(,"matrix r 13-24",95)+0</f>
        <v>0</v>
      </c>
      <c r="Y23" s="685" cm="1">
        <f t="array" ref="Y23">_xll.RiskOutput(,"matrix r 13-24",96)+0</f>
        <v>0</v>
      </c>
      <c r="Z23" s="685" cm="1">
        <f t="array" ref="Z23">_xll.RiskOutput(,"matrix r 13-24",97)+0</f>
        <v>0</v>
      </c>
      <c r="AA23" s="685" cm="1">
        <f t="array" ref="AA23">_xll.RiskOutput(,"matrix r 13-24",98)+0</f>
        <v>0</v>
      </c>
      <c r="AB23" s="685" cm="1">
        <f t="array" ref="AB23">_xll.RiskOutput(,"matrix r 13-24",99)+0</f>
        <v>0</v>
      </c>
      <c r="AC23" s="685" cm="1">
        <f t="array" ref="AC23">_xll.RiskOutput(,"matrix r 13-24",100)+0</f>
        <v>0</v>
      </c>
      <c r="AD23" s="685" cm="1">
        <f t="array" ref="AD23">_xll.RiskOutput(,"matrix r 13-24",101)+0</f>
        <v>0</v>
      </c>
      <c r="AE23" s="685" cm="1">
        <f t="array" ref="AE23">_xll.RiskOutput(,"matrix r 13-24",102)+0</f>
        <v>0</v>
      </c>
      <c r="AF23" s="685" cm="1">
        <f t="array" ref="AF23">_xll.RiskOutput(,"matrix r 13-24",103)+0</f>
        <v>0</v>
      </c>
      <c r="AG23" s="685" cm="1">
        <f t="array" ref="AG23">_xll.RiskOutput(,"matrix r 13-24",104)+0</f>
        <v>0</v>
      </c>
      <c r="AH23" s="685" cm="1">
        <f t="array" ref="AH23">_xll.RiskOutput(,"matrix r 13-24",105)+0</f>
        <v>0</v>
      </c>
      <c r="AI23" s="685" cm="1">
        <f t="array" ref="AI23">_xll.RiskOutput(,"matrix r 13-24",106)+0</f>
        <v>0</v>
      </c>
      <c r="AJ23" s="685" cm="1">
        <f t="array" ref="AJ23">_xll.RiskOutput(,"matrix r 13-24",107)+0</f>
        <v>0</v>
      </c>
      <c r="AK23" s="685" cm="1">
        <f t="array" ref="AK23">_xll.RiskOutput(,"matrix r 13-24",108)+0</f>
        <v>0</v>
      </c>
      <c r="AL23" s="685" cm="1">
        <f t="array" ref="AL23">_xll.RiskOutput(,"matrix r 13-24",109)+0</f>
        <v>0</v>
      </c>
      <c r="AM23" s="685" cm="1">
        <f t="array" ref="AM23">_xll.RiskOutput(,"matrix r 13-24",110)+0</f>
        <v>0</v>
      </c>
      <c r="AN23" s="686" cm="1">
        <f t="array" ref="AN23">_xll.RiskOutput(,"matrix r 13-24",111)+0</f>
        <v>0</v>
      </c>
    </row>
    <row r="24" spans="2:40" ht="12.75" customHeight="1" x14ac:dyDescent="0.3">
      <c r="B24" s="92" t="s">
        <v>1466</v>
      </c>
      <c r="C24" s="90"/>
      <c r="D24" s="682" cm="1">
        <f t="array" ref="D24">_xll.RiskOutput(,"matrix r 13-24",112)+0</f>
        <v>0</v>
      </c>
      <c r="E24" s="682" cm="1">
        <f t="array" ref="E24">_xll.RiskOutput(,"matrix r 13-24",113)+0</f>
        <v>0</v>
      </c>
      <c r="F24" s="682" cm="1">
        <f t="array" ref="F24">_xll.RiskOutput(,"matrix r 13-24",114)+0</f>
        <v>0</v>
      </c>
      <c r="G24" s="682" cm="1">
        <f t="array" ref="G24">_xll.RiskOutput(,"matrix r 13-24",115)+0</f>
        <v>0</v>
      </c>
      <c r="H24" s="685" cm="1">
        <f t="array" ref="H24">_xll.RiskOutput(,"matrix r 13-24",116)+0</f>
        <v>0</v>
      </c>
      <c r="I24" s="90" cm="1">
        <f t="array" ref="I24">_xll.RiskOutput(,"matrix r 13-24",117)+0</f>
        <v>0</v>
      </c>
      <c r="J24" s="685" cm="1">
        <f t="array" ref="J24">_xll.RiskOutput(,"matrix r 13-24",118)+0</f>
        <v>0</v>
      </c>
      <c r="K24" s="685" cm="1">
        <f t="array" ref="K24">_xll.RiskOutput(,"matrix r 13-24",119)+0</f>
        <v>0</v>
      </c>
      <c r="L24" s="685" cm="1">
        <f t="array" ref="L24">_xll.RiskOutput(,"matrix r 13-24",120)+0</f>
        <v>0</v>
      </c>
      <c r="M24" s="685" cm="1">
        <f t="array" ref="M24">_xll.RiskOutput(,"matrix r 13-24",121)+0</f>
        <v>0</v>
      </c>
      <c r="N24" s="685" cm="1">
        <f t="array" ref="N24">_xll.RiskOutput(,"matrix r 13-24",122)+0</f>
        <v>0</v>
      </c>
      <c r="O24" s="685" cm="1">
        <f t="array" ref="O24">_xll.RiskOutput(,"matrix r 13-24",123)+0</f>
        <v>0</v>
      </c>
      <c r="P24" s="685" cm="1">
        <f t="array" ref="P24">_xll.RiskOutput(,"matrix r 13-24",124)+0</f>
        <v>0</v>
      </c>
      <c r="Q24" s="90" cm="1">
        <f t="array" aca="1" ref="Q24" ca="1">_xll.RiskOutput(,"matrix r 13-24",125)+k.aC.w1C</f>
        <v>2.4245259148436693E-7</v>
      </c>
      <c r="R24" s="90" cm="1">
        <f t="array" aca="1" ref="R24" ca="1">_xll.RiskOutput(,"matrix r 13-24",126)+k.w0C.w1C</f>
        <v>1.5179336290220084E-9</v>
      </c>
      <c r="S24" s="684" cm="1">
        <f t="array" aca="1" ref="S24" ca="1">_xll.RiskOutput(,"matrix r 13-24",127)+-k.w1C-SUM(S9:S23,S25:S45)</f>
        <v>-5.6296823342969803E-7</v>
      </c>
      <c r="T24" s="685" cm="1">
        <f t="array" ref="T24">_xll.RiskOutput(,"matrix r 13-24",128)+0</f>
        <v>0</v>
      </c>
      <c r="U24" s="90" cm="1">
        <f t="array" aca="1" ref="U24" ca="1">_xll.RiskOutput(,"matrix r 13-24",129)+k.sd1C.w1C</f>
        <v>2.8203837108425564E-8</v>
      </c>
      <c r="V24" s="685" cm="1">
        <f t="array" ref="V24">_xll.RiskOutput(,"matrix r 13-24",130)+0</f>
        <v>0</v>
      </c>
      <c r="W24" s="90" cm="1">
        <f t="array" aca="1" ref="W24" ca="1">_xll.RiskOutput(,"matrix r 13-24",131)+k.s1C.w1C</f>
        <v>4.5350450041358292E-11</v>
      </c>
      <c r="X24" s="90" cm="1">
        <f t="array" aca="1" ref="X24" ca="1">_xll.RiskOutput(,"matrix r 13-24",132)+k.s2C.w1C</f>
        <v>2.0357884294541915E-11</v>
      </c>
      <c r="Y24" s="90" cm="1">
        <f t="array" aca="1" ref="Y24" ca="1">_xll.RiskOutput(,"matrix r 13-24",133)+k.s3C.w1C</f>
        <v>5.613605061964545E-11</v>
      </c>
      <c r="Z24" s="685" cm="1">
        <f t="array" ref="Z24">_xll.RiskOutput(,"matrix r 13-24",134)+0</f>
        <v>0</v>
      </c>
      <c r="AA24" s="685" cm="1">
        <f t="array" ref="AA24">_xll.RiskOutput(,"matrix r 13-24",135)+0</f>
        <v>0</v>
      </c>
      <c r="AB24" s="685" cm="1">
        <f t="array" ref="AB24">_xll.RiskOutput(,"matrix r 13-24",136)+0</f>
        <v>0</v>
      </c>
      <c r="AC24" s="685" cm="1">
        <f t="array" ref="AC24">_xll.RiskOutput(,"matrix r 13-24",137)+0</f>
        <v>0</v>
      </c>
      <c r="AD24" s="685" cm="1">
        <f t="array" ref="AD24">_xll.RiskOutput(,"matrix r 13-24",138)+0</f>
        <v>0</v>
      </c>
      <c r="AE24" s="685" cm="1">
        <f t="array" ref="AE24">_xll.RiskOutput(,"matrix r 13-24",139)+0</f>
        <v>0</v>
      </c>
      <c r="AF24" s="685" cm="1">
        <f t="array" ref="AF24">_xll.RiskOutput(,"matrix r 13-24",140)+0</f>
        <v>0</v>
      </c>
      <c r="AG24" s="685" cm="1">
        <f t="array" ref="AG24">_xll.RiskOutput(,"matrix r 13-24",141)+0</f>
        <v>0</v>
      </c>
      <c r="AH24" s="685" cm="1">
        <f t="array" ref="AH24">_xll.RiskOutput(,"matrix r 13-24",142)+0</f>
        <v>0</v>
      </c>
      <c r="AI24" s="685" cm="1">
        <f t="array" ref="AI24">_xll.RiskOutput(,"matrix r 13-24",143)+0</f>
        <v>0</v>
      </c>
      <c r="AJ24" s="685" cm="1">
        <f t="array" ref="AJ24">_xll.RiskOutput(,"matrix r 13-24",144)+0</f>
        <v>0</v>
      </c>
      <c r="AK24" s="685" cm="1">
        <f t="array" ref="AK24">_xll.RiskOutput(,"matrix r 13-24",145)+0</f>
        <v>0</v>
      </c>
      <c r="AL24" s="685" cm="1">
        <f t="array" ref="AL24">_xll.RiskOutput(,"matrix r 13-24",146)+0</f>
        <v>0</v>
      </c>
      <c r="AM24" s="685" cm="1">
        <f t="array" ref="AM24">_xll.RiskOutput(,"matrix r 13-24",147)+0</f>
        <v>0</v>
      </c>
      <c r="AN24" s="686" cm="1">
        <f t="array" ref="AN24">_xll.RiskOutput(,"matrix r 13-24",148)+0</f>
        <v>0</v>
      </c>
    </row>
    <row r="25" spans="2:40" ht="12.75" customHeight="1" x14ac:dyDescent="0.3">
      <c r="B25" s="92" t="s">
        <v>1467</v>
      </c>
      <c r="C25" s="90"/>
      <c r="D25" s="682" cm="1">
        <f t="array" ref="D25">_xll.RiskOutput(,"matrix r 13-24",149)+0</f>
        <v>0</v>
      </c>
      <c r="E25" s="682" cm="1">
        <f t="array" ref="E25">_xll.RiskOutput(,"matrix r 13-24",150)+0</f>
        <v>0</v>
      </c>
      <c r="F25" s="682" cm="1">
        <f t="array" ref="F25">_xll.RiskOutput(,"matrix r 13-24",151)+0</f>
        <v>0</v>
      </c>
      <c r="G25" s="682" cm="1">
        <f t="array" ref="G25">_xll.RiskOutput(,"matrix r 13-24",152)+0</f>
        <v>0</v>
      </c>
      <c r="H25" s="685" cm="1">
        <f t="array" ref="H25">_xll.RiskOutput(,"matrix r 13-24",153)+0</f>
        <v>0</v>
      </c>
      <c r="I25" s="90" cm="1">
        <f t="array" ref="I25">_xll.RiskOutput(,"matrix r 13-24",154)+0</f>
        <v>0</v>
      </c>
      <c r="J25" s="685" cm="1">
        <f t="array" ref="J25">_xll.RiskOutput(,"matrix r 13-24",155)+0</f>
        <v>0</v>
      </c>
      <c r="K25" s="90" cm="1">
        <f t="array" ref="K25">_xll.RiskOutput(,"matrix r 13-24",156)+k.w2R.w2C</f>
        <v>9.9999999999999995E-21</v>
      </c>
      <c r="L25" s="685" cm="1">
        <f t="array" ref="L25">_xll.RiskOutput(,"matrix r 13-24",157)+0</f>
        <v>0</v>
      </c>
      <c r="M25" s="685" cm="1">
        <f t="array" ref="M25">_xll.RiskOutput(,"matrix r 13-24",158)+0</f>
        <v>0</v>
      </c>
      <c r="N25" s="685" cm="1">
        <f t="array" ref="N25">_xll.RiskOutput(,"matrix r 13-24",159)+0</f>
        <v>0</v>
      </c>
      <c r="O25" s="685" cm="1">
        <f t="array" ref="O25">_xll.RiskOutput(,"matrix r 13-24",160)+0</f>
        <v>0</v>
      </c>
      <c r="P25" s="685" cm="1">
        <f t="array" ref="P25">_xll.RiskOutput(,"matrix r 13-24",161)+0</f>
        <v>0</v>
      </c>
      <c r="Q25" s="90" cm="1">
        <f t="array" aca="1" ref="Q25" ca="1">_xll.RiskOutput(,"matrix r 13-24",162)+k.aC.w2C</f>
        <v>8.8159996855549035E-6</v>
      </c>
      <c r="R25" s="90" cm="1">
        <f t="array" ref="R25">_xll.RiskOutput(,"matrix r 13-24",163)+k.w0C.w2C</f>
        <v>0</v>
      </c>
      <c r="S25" s="90" cm="1">
        <f t="array" aca="1" ref="S25" ca="1">_xll.RiskOutput(,"matrix r 13-24",164)+k.w1C.w2C</f>
        <v>4.4676605719226806E-8</v>
      </c>
      <c r="T25" s="684" cm="1">
        <f t="array" aca="1" ref="T25" ca="1">_xll.RiskOutput(,"matrix r 13-24",165)+-k.w2C-SUM(T9:T24,T26:T45)</f>
        <v>-3.5120795107208528E-8</v>
      </c>
      <c r="U25" s="685" cm="1">
        <f t="array" ref="U25">_xll.RiskOutput(,"matrix r 13-24",166)+0</f>
        <v>0</v>
      </c>
      <c r="V25" s="90" cm="1">
        <f t="array" aca="1" ref="V25" ca="1">_xll.RiskOutput(,"matrix r 13-24",167)+k.sd2C.w2C</f>
        <v>1.8247224432385117E-8</v>
      </c>
      <c r="W25" s="685" cm="1">
        <f t="array" ref="W25">_xll.RiskOutput(,"matrix r 13-24",168)+0</f>
        <v>0</v>
      </c>
      <c r="X25" s="685" cm="1">
        <f t="array" ref="X25">_xll.RiskOutput(,"matrix r 13-24",169)+0</f>
        <v>0</v>
      </c>
      <c r="Y25" s="685" cm="1">
        <f t="array" ref="Y25">_xll.RiskOutput(,"matrix r 13-24",170)+0</f>
        <v>0</v>
      </c>
      <c r="Z25" s="685" cm="1">
        <f t="array" ref="Z25">_xll.RiskOutput(,"matrix r 13-24",171)+0</f>
        <v>0</v>
      </c>
      <c r="AA25" s="90" cm="1">
        <f t="array" aca="1" ref="AA25" ca="1">_xll.RiskOutput(,"matrix r 13-24",172)+k.w2M.w2C</f>
        <v>7.0154068882950024E-9</v>
      </c>
      <c r="AB25" s="685" cm="1">
        <f t="array" ref="AB25">_xll.RiskOutput(,"matrix r 13-24",173)+0</f>
        <v>0</v>
      </c>
      <c r="AC25" s="685" cm="1">
        <f t="array" ref="AC25">_xll.RiskOutput(,"matrix r 13-24",174)+0</f>
        <v>0</v>
      </c>
      <c r="AD25" s="685" cm="1">
        <f t="array" ref="AD25">_xll.RiskOutput(,"matrix r 13-24",175)+0</f>
        <v>0</v>
      </c>
      <c r="AE25" s="685" cm="1">
        <f t="array" ref="AE25">_xll.RiskOutput(,"matrix r 13-24",176)+0</f>
        <v>0</v>
      </c>
      <c r="AF25" s="685" cm="1">
        <f t="array" ref="AF25">_xll.RiskOutput(,"matrix r 13-24",177)+0</f>
        <v>0</v>
      </c>
      <c r="AG25" s="685" cm="1">
        <f t="array" ref="AG25">_xll.RiskOutput(,"matrix r 13-24",178)+0</f>
        <v>0</v>
      </c>
      <c r="AH25" s="685" cm="1">
        <f t="array" ref="AH25">_xll.RiskOutput(,"matrix r 13-24",179)+0</f>
        <v>0</v>
      </c>
      <c r="AI25" s="685" cm="1">
        <f t="array" ref="AI25">_xll.RiskOutput(,"matrix r 13-24",180)+0</f>
        <v>0</v>
      </c>
      <c r="AJ25" s="685" cm="1">
        <f t="array" ref="AJ25">_xll.RiskOutput(,"matrix r 13-24",181)+0</f>
        <v>0</v>
      </c>
      <c r="AK25" s="685" cm="1">
        <f t="array" ref="AK25">_xll.RiskOutput(,"matrix r 13-24",182)+0</f>
        <v>0</v>
      </c>
      <c r="AL25" s="685" cm="1">
        <f t="array" ref="AL25">_xll.RiskOutput(,"matrix r 13-24",183)+0</f>
        <v>0</v>
      </c>
      <c r="AM25" s="685" cm="1">
        <f t="array" ref="AM25">_xll.RiskOutput(,"matrix r 13-24",184)+0</f>
        <v>0</v>
      </c>
      <c r="AN25" s="686" cm="1">
        <f t="array" ref="AN25">_xll.RiskOutput(,"matrix r 13-24",185)+0</f>
        <v>0</v>
      </c>
    </row>
    <row r="26" spans="2:40" ht="12.75" customHeight="1" x14ac:dyDescent="0.3">
      <c r="B26" s="92" t="s">
        <v>1468</v>
      </c>
      <c r="C26" s="90"/>
      <c r="D26" s="682" cm="1">
        <f t="array" ref="D26">_xll.RiskOutput(,"matrix r 13-24",186)+0</f>
        <v>0</v>
      </c>
      <c r="E26" s="682" cm="1">
        <f t="array" ref="E26">_xll.RiskOutput(,"matrix r 13-24",187)+0</f>
        <v>0</v>
      </c>
      <c r="F26" s="682" cm="1">
        <f t="array" ref="F26">_xll.RiskOutput(,"matrix r 13-24",188)+0</f>
        <v>0</v>
      </c>
      <c r="G26" s="682" cm="1">
        <f t="array" ref="G26">_xll.RiskOutput(,"matrix r 13-24",189)+0</f>
        <v>0</v>
      </c>
      <c r="H26" s="685" cm="1">
        <f t="array" ref="H26">_xll.RiskOutput(,"matrix r 13-24",190)+0</f>
        <v>0</v>
      </c>
      <c r="I26" s="90" cm="1">
        <f t="array" ref="I26">_xll.RiskOutput(,"matrix r 13-24",191)+0</f>
        <v>0</v>
      </c>
      <c r="J26" s="685" cm="1">
        <f t="array" ref="J26">_xll.RiskOutput(,"matrix r 13-24",192)+0</f>
        <v>0</v>
      </c>
      <c r="K26" s="685" cm="1">
        <f t="array" ref="K26">_xll.RiskOutput(,"matrix r 13-24",193)+0</f>
        <v>0</v>
      </c>
      <c r="L26" s="685" cm="1">
        <f t="array" ref="L26">_xll.RiskOutput(,"matrix r 13-24",194)+0</f>
        <v>0</v>
      </c>
      <c r="M26" s="685" cm="1">
        <f t="array" ref="M26">_xll.RiskOutput(,"matrix r 13-24",195)+0</f>
        <v>0</v>
      </c>
      <c r="N26" s="685" cm="1">
        <f t="array" ref="N26">_xll.RiskOutput(,"matrix r 13-24",196)+0</f>
        <v>0</v>
      </c>
      <c r="O26" s="685" cm="1">
        <f t="array" ref="O26">_xll.RiskOutput(,"matrix r 13-24",197)+0</f>
        <v>0</v>
      </c>
      <c r="P26" s="685" cm="1">
        <f t="array" ref="P26">_xll.RiskOutput(,"matrix r 13-24",198)+0</f>
        <v>0</v>
      </c>
      <c r="Q26" s="685" cm="1">
        <f t="array" ref="Q26">_xll.RiskOutput(,"matrix r 13-24",199)+0</f>
        <v>0</v>
      </c>
      <c r="R26" s="90" cm="1">
        <f t="array" ref="R26">_xll.RiskOutput(,"matrix r 13-24",200)+0</f>
        <v>0</v>
      </c>
      <c r="S26" s="90" cm="1">
        <f t="array" aca="1" ref="S26" ca="1">_xll.RiskOutput(,"matrix r 13-24",201)+k.w1C.sd1C</f>
        <v>5.1829162771046825E-7</v>
      </c>
      <c r="T26" s="685" cm="1">
        <f t="array" ref="T26">_xll.RiskOutput(,"matrix r 13-24",202)+0</f>
        <v>0</v>
      </c>
      <c r="U26" s="684" cm="1">
        <f t="array" aca="1" ref="U26" ca="1">_xll.RiskOutput(,"matrix r 13-24",203)+-k.sd1C-SUM(U9:U25,U27:U45)</f>
        <v>-3.0449434032516201E-8</v>
      </c>
      <c r="V26" s="685" cm="1">
        <f t="array" ref="V26">_xll.RiskOutput(,"matrix r 13-24",204)+0</f>
        <v>0</v>
      </c>
      <c r="W26" s="685" cm="1">
        <f t="array" ref="W26">_xll.RiskOutput(,"matrix r 13-24",205)+0</f>
        <v>0</v>
      </c>
      <c r="X26" s="685" cm="1">
        <f t="array" ref="X26">_xll.RiskOutput(,"matrix r 13-24",206)+0</f>
        <v>0</v>
      </c>
      <c r="Y26" s="685" cm="1">
        <f t="array" ref="Y26">_xll.RiskOutput(,"matrix r 13-24",207)+0</f>
        <v>0</v>
      </c>
      <c r="Z26" s="685" cm="1">
        <f t="array" ref="Z26">_xll.RiskOutput(,"matrix r 13-24",208)+0</f>
        <v>0</v>
      </c>
      <c r="AA26" s="685" cm="1">
        <f t="array" ref="AA26">_xll.RiskOutput(,"matrix r 13-24",209)+0</f>
        <v>0</v>
      </c>
      <c r="AB26" s="685" cm="1">
        <f t="array" ref="AB26">_xll.RiskOutput(,"matrix r 13-24",210)+0</f>
        <v>0</v>
      </c>
      <c r="AC26" s="685" cm="1">
        <f t="array" ref="AC26">_xll.RiskOutput(,"matrix r 13-24",211)+0</f>
        <v>0</v>
      </c>
      <c r="AD26" s="685" cm="1">
        <f t="array" ref="AD26">_xll.RiskOutput(,"matrix r 13-24",212)+0</f>
        <v>0</v>
      </c>
      <c r="AE26" s="685" cm="1">
        <f t="array" ref="AE26">_xll.RiskOutput(,"matrix r 13-24",213)+0</f>
        <v>0</v>
      </c>
      <c r="AF26" s="685" cm="1">
        <f t="array" ref="AF26">_xll.RiskOutput(,"matrix r 13-24",214)+0</f>
        <v>0</v>
      </c>
      <c r="AG26" s="685" cm="1">
        <f t="array" ref="AG26">_xll.RiskOutput(,"matrix r 13-24",215)+0</f>
        <v>0</v>
      </c>
      <c r="AH26" s="685" cm="1">
        <f t="array" ref="AH26">_xll.RiskOutput(,"matrix r 13-24",216)+0</f>
        <v>0</v>
      </c>
      <c r="AI26" s="685" cm="1">
        <f t="array" ref="AI26">_xll.RiskOutput(,"matrix r 13-24",217)+0</f>
        <v>0</v>
      </c>
      <c r="AJ26" s="685" cm="1">
        <f t="array" ref="AJ26">_xll.RiskOutput(,"matrix r 13-24",218)+0</f>
        <v>0</v>
      </c>
      <c r="AK26" s="685" cm="1">
        <f t="array" ref="AK26">_xll.RiskOutput(,"matrix r 13-24",219)+0</f>
        <v>0</v>
      </c>
      <c r="AL26" s="685" cm="1">
        <f t="array" ref="AL26">_xll.RiskOutput(,"matrix r 13-24",220)+0</f>
        <v>0</v>
      </c>
      <c r="AM26" s="685" cm="1">
        <f t="array" ref="AM26">_xll.RiskOutput(,"matrix r 13-24",221)+0</f>
        <v>0</v>
      </c>
      <c r="AN26" s="686" cm="1">
        <f t="array" ref="AN26">_xll.RiskOutput(,"matrix r 13-24",222)+0</f>
        <v>0</v>
      </c>
    </row>
    <row r="27" spans="2:40" ht="12.75" customHeight="1" x14ac:dyDescent="0.3">
      <c r="B27" s="92" t="s">
        <v>1469</v>
      </c>
      <c r="C27" s="90"/>
      <c r="D27" s="682" cm="1">
        <f t="array" ref="D27">_xll.RiskOutput(,"matrix r 13-24",223)+0</f>
        <v>0</v>
      </c>
      <c r="E27" s="682" cm="1">
        <f t="array" ref="E27">_xll.RiskOutput(,"matrix r 13-24",224)+0</f>
        <v>0</v>
      </c>
      <c r="F27" s="682" cm="1">
        <f t="array" ref="F27">_xll.RiskOutput(,"matrix r 13-24",225)+0</f>
        <v>0</v>
      </c>
      <c r="G27" s="682" cm="1">
        <f t="array" ref="G27">_xll.RiskOutput(,"matrix r 13-24",226)+0</f>
        <v>0</v>
      </c>
      <c r="H27" s="685" cm="1">
        <f t="array" ref="H27">_xll.RiskOutput(,"matrix r 13-24",227)+0</f>
        <v>0</v>
      </c>
      <c r="I27" s="90" cm="1">
        <f t="array" ref="I27">_xll.RiskOutput(,"matrix r 13-24",228)+0</f>
        <v>0</v>
      </c>
      <c r="J27" s="685" cm="1">
        <f t="array" ref="J27">_xll.RiskOutput(,"matrix r 13-24",229)+0</f>
        <v>0</v>
      </c>
      <c r="K27" s="685" cm="1">
        <f t="array" ref="K27">_xll.RiskOutput(,"matrix r 13-24",230)+0</f>
        <v>0</v>
      </c>
      <c r="L27" s="685" cm="1">
        <f t="array" ref="L27">_xll.RiskOutput(,"matrix r 13-24",231)+0</f>
        <v>0</v>
      </c>
      <c r="M27" s="685" cm="1">
        <f t="array" ref="M27">_xll.RiskOutput(,"matrix r 13-24",232)+0</f>
        <v>0</v>
      </c>
      <c r="N27" s="685" cm="1">
        <f t="array" ref="N27">_xll.RiskOutput(,"matrix r 13-24",233)+0</f>
        <v>0</v>
      </c>
      <c r="O27" s="685" cm="1">
        <f t="array" ref="O27">_xll.RiskOutput(,"matrix r 13-24",234)+0</f>
        <v>0</v>
      </c>
      <c r="P27" s="685" cm="1">
        <f t="array" ref="P27">_xll.RiskOutput(,"matrix r 13-24",235)+0</f>
        <v>0</v>
      </c>
      <c r="Q27" s="685" cm="1">
        <f t="array" ref="Q27">_xll.RiskOutput(,"matrix r 13-24",236)+0</f>
        <v>0</v>
      </c>
      <c r="R27" s="90" cm="1">
        <f t="array" ref="R27">_xll.RiskOutput(,"matrix r 13-24",237)+0</f>
        <v>0</v>
      </c>
      <c r="S27" s="685" cm="1">
        <f t="array" ref="S27">_xll.RiskOutput(,"matrix r 13-24",238)+0</f>
        <v>0</v>
      </c>
      <c r="T27" s="90" cm="1">
        <f t="array" aca="1" ref="T27" ca="1">_xll.RiskOutput(,"matrix r 13-24",239)+k.w2C.sd2C</f>
        <v>3.4110094091714523E-9</v>
      </c>
      <c r="U27" s="685" cm="1">
        <f t="array" ref="U27">_xll.RiskOutput(,"matrix r 13-24",240)+0</f>
        <v>0</v>
      </c>
      <c r="V27" s="684" cm="1">
        <f t="array" aca="1" ref="V27" ca="1">_xll.RiskOutput(,"matrix r 13-24",241)+-k.sd2C-SUM(V9:V26,V28:V45)</f>
        <v>-1.8247224432388439E-8</v>
      </c>
      <c r="W27" s="685" cm="1">
        <f t="array" ref="W27">_xll.RiskOutput(,"matrix r 13-24",242)+0</f>
        <v>0</v>
      </c>
      <c r="X27" s="685" cm="1">
        <f t="array" ref="X27">_xll.RiskOutput(,"matrix r 13-24",243)+0</f>
        <v>0</v>
      </c>
      <c r="Y27" s="685" cm="1">
        <f t="array" ref="Y27">_xll.RiskOutput(,"matrix r 13-24",244)+0</f>
        <v>0</v>
      </c>
      <c r="Z27" s="685" cm="1">
        <f t="array" ref="Z27">_xll.RiskOutput(,"matrix r 13-24",245)+0</f>
        <v>0</v>
      </c>
      <c r="AA27" s="685" cm="1">
        <f t="array" ref="AA27">_xll.RiskOutput(,"matrix r 13-24",246)+0</f>
        <v>0</v>
      </c>
      <c r="AB27" s="685" cm="1">
        <f t="array" ref="AB27">_xll.RiskOutput(,"matrix r 13-24",247)+0</f>
        <v>0</v>
      </c>
      <c r="AC27" s="685" cm="1">
        <f t="array" ref="AC27">_xll.RiskOutput(,"matrix r 13-24",248)+0</f>
        <v>0</v>
      </c>
      <c r="AD27" s="685" cm="1">
        <f t="array" ref="AD27">_xll.RiskOutput(,"matrix r 13-24",249)+0</f>
        <v>0</v>
      </c>
      <c r="AE27" s="685" cm="1">
        <f t="array" ref="AE27">_xll.RiskOutput(,"matrix r 13-24",250)+0</f>
        <v>0</v>
      </c>
      <c r="AF27" s="685" cm="1">
        <f t="array" ref="AF27">_xll.RiskOutput(,"matrix r 13-24",251)+0</f>
        <v>0</v>
      </c>
      <c r="AG27" s="685" cm="1">
        <f t="array" ref="AG27">_xll.RiskOutput(,"matrix r 13-24",252)+0</f>
        <v>0</v>
      </c>
      <c r="AH27" s="685" cm="1">
        <f t="array" ref="AH27">_xll.RiskOutput(,"matrix r 13-24",253)+0</f>
        <v>0</v>
      </c>
      <c r="AI27" s="685" cm="1">
        <f t="array" ref="AI27">_xll.RiskOutput(,"matrix r 13-24",254)+0</f>
        <v>0</v>
      </c>
      <c r="AJ27" s="685" cm="1">
        <f t="array" ref="AJ27">_xll.RiskOutput(,"matrix r 13-24",255)+0</f>
        <v>0</v>
      </c>
      <c r="AK27" s="685" cm="1">
        <f t="array" ref="AK27">_xll.RiskOutput(,"matrix r 13-24",256)+0</f>
        <v>0</v>
      </c>
      <c r="AL27" s="685" cm="1">
        <f t="array" ref="AL27">_xll.RiskOutput(,"matrix r 13-24",257)+0</f>
        <v>0</v>
      </c>
      <c r="AM27" s="685" cm="1">
        <f t="array" ref="AM27">_xll.RiskOutput(,"matrix r 13-24",258)+0</f>
        <v>0</v>
      </c>
      <c r="AN27" s="686" cm="1">
        <f t="array" ref="AN27">_xll.RiskOutput(,"matrix r 13-24",259)+0</f>
        <v>0</v>
      </c>
    </row>
    <row r="28" spans="2:40" ht="12.75" customHeight="1" x14ac:dyDescent="0.3">
      <c r="B28" s="92" t="s">
        <v>1470</v>
      </c>
      <c r="C28" s="90"/>
      <c r="D28" s="682" cm="1">
        <f t="array" ref="D28">_xll.RiskOutput(,"matrix r 13-24",260)+0</f>
        <v>0</v>
      </c>
      <c r="E28" s="682" cm="1">
        <f t="array" ref="E28">_xll.RiskOutput(,"matrix r 13-24",261)+0</f>
        <v>0</v>
      </c>
      <c r="F28" s="682" cm="1">
        <f t="array" ref="F28">_xll.RiskOutput(,"matrix r 13-24",262)+0</f>
        <v>0</v>
      </c>
      <c r="G28" s="682" cm="1">
        <f t="array" ref="G28">_xll.RiskOutput(,"matrix r 13-24",263)+0</f>
        <v>0</v>
      </c>
      <c r="H28" s="685" cm="1">
        <f t="array" ref="H28">_xll.RiskOutput(,"matrix r 13-24",264)+0</f>
        <v>0</v>
      </c>
      <c r="I28" s="90" cm="1">
        <f t="array" ref="I28">_xll.RiskOutput(,"matrix r 13-24",265)+0</f>
        <v>0</v>
      </c>
      <c r="J28" s="685" cm="1">
        <f t="array" ref="J28">_xll.RiskOutput(,"matrix r 13-24",266)+0</f>
        <v>0</v>
      </c>
      <c r="K28" s="685" cm="1">
        <f t="array" ref="K28">_xll.RiskOutput(,"matrix r 13-24",267)+0</f>
        <v>0</v>
      </c>
      <c r="L28" s="685" cm="1">
        <f t="array" ref="L28">_xll.RiskOutput(,"matrix r 13-24",268)+0</f>
        <v>0</v>
      </c>
      <c r="M28" s="685" cm="1">
        <f t="array" ref="M28">_xll.RiskOutput(,"matrix r 13-24",269)+0</f>
        <v>0</v>
      </c>
      <c r="N28" s="685" cm="1">
        <f t="array" ref="N28">_xll.RiskOutput(,"matrix r 13-24",270)+0</f>
        <v>0</v>
      </c>
      <c r="O28" s="685" cm="1">
        <f t="array" ref="O28">_xll.RiskOutput(,"matrix r 13-24",271)+0</f>
        <v>0</v>
      </c>
      <c r="P28" s="685" cm="1">
        <f t="array" ref="P28">_xll.RiskOutput(,"matrix r 13-24",272)+0</f>
        <v>0</v>
      </c>
      <c r="Q28" s="90" cm="1">
        <f t="array" aca="1" ref="Q28" ca="1">_xll.RiskOutput(,"matrix r 13-24",273)+k.aC.s1C</f>
        <v>2.3804436251528423E-6</v>
      </c>
      <c r="R28" s="90" cm="1">
        <f t="array" ref="R28">_xll.RiskOutput(,"matrix r 13-24",274)+0</f>
        <v>0</v>
      </c>
      <c r="S28" s="685" cm="1">
        <f t="array" ref="S28">_xll.RiskOutput(,"matrix r 13-24",275)+0</f>
        <v>0</v>
      </c>
      <c r="T28" s="685" cm="1">
        <f t="array" ref="T28">_xll.RiskOutput(,"matrix r 13-24",276)+0</f>
        <v>0</v>
      </c>
      <c r="U28" s="685" cm="1">
        <f t="array" ref="U28">_xll.RiskOutput(,"matrix r 13-24",277)+0</f>
        <v>0</v>
      </c>
      <c r="V28" s="685" cm="1">
        <f t="array" ref="V28">_xll.RiskOutput(,"matrix r 13-24",278)+0</f>
        <v>0</v>
      </c>
      <c r="W28" s="684" cm="1">
        <f t="array" aca="1" ref="W28" ca="1">_xll.RiskOutput(,"matrix r 13-24",279)+-k.s1C-SUM(W9:W27,W29:W45)</f>
        <v>-4.5540575840528698E-11</v>
      </c>
      <c r="X28" s="685" cm="1">
        <f t="array" ref="X28">_xll.RiskOutput(,"matrix r 13-24",280)+0</f>
        <v>0</v>
      </c>
      <c r="Y28" s="685" cm="1">
        <f t="array" ref="Y28">_xll.RiskOutput(,"matrix r 13-24",281)+0</f>
        <v>0</v>
      </c>
      <c r="Z28" s="685" cm="1">
        <f t="array" ref="Z28">_xll.RiskOutput(,"matrix r 13-24",282)+0</f>
        <v>0</v>
      </c>
      <c r="AA28" s="685" cm="1">
        <f t="array" ref="AA28">_xll.RiskOutput(,"matrix r 13-24",283)+0</f>
        <v>0</v>
      </c>
      <c r="AB28" s="685" cm="1">
        <f t="array" ref="AB28">_xll.RiskOutput(,"matrix r 13-24",284)+0</f>
        <v>0</v>
      </c>
      <c r="AC28" s="685" cm="1">
        <f t="array" ref="AC28">_xll.RiskOutput(,"matrix r 13-24",285)+0</f>
        <v>0</v>
      </c>
      <c r="AD28" s="685" cm="1">
        <f t="array" ref="AD28">_xll.RiskOutput(,"matrix r 13-24",286)+0</f>
        <v>0</v>
      </c>
      <c r="AE28" s="685" cm="1">
        <f t="array" ref="AE28">_xll.RiskOutput(,"matrix r 13-24",287)+0</f>
        <v>0</v>
      </c>
      <c r="AF28" s="685" cm="1">
        <f t="array" ref="AF28">_xll.RiskOutput(,"matrix r 13-24",288)+0</f>
        <v>0</v>
      </c>
      <c r="AG28" s="685" cm="1">
        <f t="array" ref="AG28">_xll.RiskOutput(,"matrix r 13-24",289)+0</f>
        <v>0</v>
      </c>
      <c r="AH28" s="685" cm="1">
        <f t="array" ref="AH28">_xll.RiskOutput(,"matrix r 13-24",290)+0</f>
        <v>0</v>
      </c>
      <c r="AI28" s="685" cm="1">
        <f t="array" ref="AI28">_xll.RiskOutput(,"matrix r 13-24",291)+0</f>
        <v>0</v>
      </c>
      <c r="AJ28" s="685" cm="1">
        <f t="array" ref="AJ28">_xll.RiskOutput(,"matrix r 13-24",292)+0</f>
        <v>0</v>
      </c>
      <c r="AK28" s="685" cm="1">
        <f t="array" ref="AK28">_xll.RiskOutput(,"matrix r 13-24",293)+0</f>
        <v>0</v>
      </c>
      <c r="AL28" s="685" cm="1">
        <f t="array" ref="AL28">_xll.RiskOutput(,"matrix r 13-24",294)+0</f>
        <v>0</v>
      </c>
      <c r="AM28" s="685" cm="1">
        <f t="array" ref="AM28">_xll.RiskOutput(,"matrix r 13-24",295)+0</f>
        <v>0</v>
      </c>
      <c r="AN28" s="686" cm="1">
        <f t="array" ref="AN28">_xll.RiskOutput(,"matrix r 13-24",296)+0</f>
        <v>0</v>
      </c>
    </row>
    <row r="29" spans="2:40" ht="12.75" customHeight="1" x14ac:dyDescent="0.3">
      <c r="B29" s="92" t="s">
        <v>1471</v>
      </c>
      <c r="C29" s="90"/>
      <c r="D29" s="682" cm="1">
        <f t="array" ref="D29">_xll.RiskOutput(,"matrix r 13-24",297)+0</f>
        <v>0</v>
      </c>
      <c r="E29" s="682" cm="1">
        <f t="array" ref="E29">_xll.RiskOutput(,"matrix r 13-24",298)+0</f>
        <v>0</v>
      </c>
      <c r="F29" s="682" cm="1">
        <f t="array" ref="F29">_xll.RiskOutput(,"matrix r 13-24",299)+0</f>
        <v>0</v>
      </c>
      <c r="G29" s="682" cm="1">
        <f t="array" ref="G29">_xll.RiskOutput(,"matrix r 13-24",300)+0</f>
        <v>0</v>
      </c>
      <c r="H29" s="685" cm="1">
        <f t="array" ref="H29">_xll.RiskOutput(,"matrix r 13-24",301)+0</f>
        <v>0</v>
      </c>
      <c r="I29" s="90" cm="1">
        <f t="array" ref="I29">_xll.RiskOutput(,"matrix r 13-24",302)+0</f>
        <v>0</v>
      </c>
      <c r="J29" s="685" cm="1">
        <f t="array" ref="J29">_xll.RiskOutput(,"matrix r 13-24",303)+0</f>
        <v>0</v>
      </c>
      <c r="K29" s="685" cm="1">
        <f t="array" ref="K29">_xll.RiskOutput(,"matrix r 13-24",304)+0</f>
        <v>0</v>
      </c>
      <c r="L29" s="685" cm="1">
        <f t="array" ref="L29">_xll.RiskOutput(,"matrix r 13-24",305)+0</f>
        <v>0</v>
      </c>
      <c r="M29" s="685" cm="1">
        <f t="array" ref="M29">_xll.RiskOutput(,"matrix r 13-24",306)+0</f>
        <v>0</v>
      </c>
      <c r="N29" s="685" cm="1">
        <f t="array" ref="N29">_xll.RiskOutput(,"matrix r 13-24",307)+0</f>
        <v>0</v>
      </c>
      <c r="O29" s="685" cm="1">
        <f t="array" ref="O29">_xll.RiskOutput(,"matrix r 13-24",308)+0</f>
        <v>0</v>
      </c>
      <c r="P29" s="685" cm="1">
        <f t="array" ref="P29">_xll.RiskOutput(,"matrix r 13-24",309)+0</f>
        <v>0</v>
      </c>
      <c r="Q29" s="90" cm="1">
        <f t="array" aca="1" ref="Q29" ca="1">_xll.RiskOutput(,"matrix r 13-24",310)+k.aC.s2C</f>
        <v>5.2898747225618712E-6</v>
      </c>
      <c r="R29" s="90" cm="1">
        <f t="array" ref="R29">_xll.RiskOutput(,"matrix r 13-24",311)+0</f>
        <v>0</v>
      </c>
      <c r="S29" s="685" cm="1">
        <f t="array" ref="S29">_xll.RiskOutput(,"matrix r 13-24",312)+0</f>
        <v>0</v>
      </c>
      <c r="T29" s="685" cm="1">
        <f t="array" ref="T29">_xll.RiskOutput(,"matrix r 13-24",313)+0</f>
        <v>0</v>
      </c>
      <c r="U29" s="685" cm="1">
        <f t="array" ref="U29">_xll.RiskOutput(,"matrix r 13-24",314)+0</f>
        <v>0</v>
      </c>
      <c r="V29" s="685" cm="1">
        <f t="array" ref="V29">_xll.RiskOutput(,"matrix r 13-24",315)+0</f>
        <v>0</v>
      </c>
      <c r="W29" s="685" cm="1">
        <f t="array" ref="W29">_xll.RiskOutput(,"matrix r 13-24",316)+0</f>
        <v>0</v>
      </c>
      <c r="X29" s="684" cm="1">
        <f t="array" aca="1" ref="X29" ca="1">_xll.RiskOutput(,"matrix r 13-24",317)+-k.s2C-SUM(X9:X28,X30:X45)</f>
        <v>-2.0555568092490927E-11</v>
      </c>
      <c r="Y29" s="685" cm="1">
        <f t="array" ref="Y29">_xll.RiskOutput(,"matrix r 13-24",318)+0</f>
        <v>0</v>
      </c>
      <c r="Z29" s="685" cm="1">
        <f t="array" ref="Z29">_xll.RiskOutput(,"matrix r 13-24",319)+0</f>
        <v>0</v>
      </c>
      <c r="AA29" s="685" cm="1">
        <f t="array" ref="AA29">_xll.RiskOutput(,"matrix r 13-24",320)+0</f>
        <v>0</v>
      </c>
      <c r="AB29" s="685" cm="1">
        <f t="array" ref="AB29">_xll.RiskOutput(,"matrix r 13-24",321)+0</f>
        <v>0</v>
      </c>
      <c r="AC29" s="685" cm="1">
        <f t="array" ref="AC29">_xll.RiskOutput(,"matrix r 13-24",322)+0</f>
        <v>0</v>
      </c>
      <c r="AD29" s="685" cm="1">
        <f t="array" ref="AD29">_xll.RiskOutput(,"matrix r 13-24",323)+0</f>
        <v>0</v>
      </c>
      <c r="AE29" s="685" cm="1">
        <f t="array" ref="AE29">_xll.RiskOutput(,"matrix r 13-24",324)+0</f>
        <v>0</v>
      </c>
      <c r="AF29" s="685" cm="1">
        <f t="array" ref="AF29">_xll.RiskOutput(,"matrix r 13-24",325)+0</f>
        <v>0</v>
      </c>
      <c r="AG29" s="685" cm="1">
        <f t="array" ref="AG29">_xll.RiskOutput(,"matrix r 13-24",326)+0</f>
        <v>0</v>
      </c>
      <c r="AH29" s="685" cm="1">
        <f t="array" ref="AH29">_xll.RiskOutput(,"matrix r 13-24",327)+0</f>
        <v>0</v>
      </c>
      <c r="AI29" s="685" cm="1">
        <f t="array" ref="AI29">_xll.RiskOutput(,"matrix r 13-24",328)+0</f>
        <v>0</v>
      </c>
      <c r="AJ29" s="685" cm="1">
        <f t="array" ref="AJ29">_xll.RiskOutput(,"matrix r 13-24",329)+0</f>
        <v>0</v>
      </c>
      <c r="AK29" s="685" cm="1">
        <f t="array" ref="AK29">_xll.RiskOutput(,"matrix r 13-24",330)+0</f>
        <v>0</v>
      </c>
      <c r="AL29" s="685" cm="1">
        <f t="array" ref="AL29">_xll.RiskOutput(,"matrix r 13-24",331)+0</f>
        <v>0</v>
      </c>
      <c r="AM29" s="685" cm="1">
        <f t="array" ref="AM29">_xll.RiskOutput(,"matrix r 13-24",332)+0</f>
        <v>0</v>
      </c>
      <c r="AN29" s="686" cm="1">
        <f t="array" ref="AN29">_xll.RiskOutput(,"matrix r 13-24",333)+0</f>
        <v>0</v>
      </c>
    </row>
    <row r="30" spans="2:40" ht="12.75" customHeight="1" x14ac:dyDescent="0.3">
      <c r="B30" s="92" t="s">
        <v>1472</v>
      </c>
      <c r="C30" s="90"/>
      <c r="D30" s="682" cm="1">
        <f t="array" ref="D30">_xll.RiskOutput(,"matrix r 13-24",334)+0</f>
        <v>0</v>
      </c>
      <c r="E30" s="682" cm="1">
        <f t="array" ref="E30">_xll.RiskOutput(,"matrix r 13-24",335)+0</f>
        <v>0</v>
      </c>
      <c r="F30" s="682" cm="1">
        <f t="array" ref="F30">_xll.RiskOutput(,"matrix r 13-24",336)+0</f>
        <v>0</v>
      </c>
      <c r="G30" s="682" cm="1">
        <f t="array" ref="G30">_xll.RiskOutput(,"matrix r 13-24",337)+0</f>
        <v>0</v>
      </c>
      <c r="H30" s="685" cm="1">
        <f t="array" ref="H30">_xll.RiskOutput(,"matrix r 13-24",338)+0</f>
        <v>0</v>
      </c>
      <c r="I30" s="90" cm="1">
        <f t="array" ref="I30">_xll.RiskOutput(,"matrix r 13-24",339)+0</f>
        <v>0</v>
      </c>
      <c r="J30" s="685" cm="1">
        <f t="array" ref="J30">_xll.RiskOutput(,"matrix r 13-24",340)+0</f>
        <v>0</v>
      </c>
      <c r="K30" s="685" cm="1">
        <f t="array" ref="K30">_xll.RiskOutput(,"matrix r 13-24",341)+0</f>
        <v>0</v>
      </c>
      <c r="L30" s="685" cm="1">
        <f t="array" ref="L30">_xll.RiskOutput(,"matrix r 13-24",342)+0</f>
        <v>0</v>
      </c>
      <c r="M30" s="685" cm="1">
        <f t="array" ref="M30">_xll.RiskOutput(,"matrix r 13-24",343)+0</f>
        <v>0</v>
      </c>
      <c r="N30" s="685" cm="1">
        <f t="array" ref="N30">_xll.RiskOutput(,"matrix r 13-24",344)+0</f>
        <v>0</v>
      </c>
      <c r="O30" s="685" cm="1">
        <f t="array" ref="O30">_xll.RiskOutput(,"matrix r 13-24",345)+0</f>
        <v>0</v>
      </c>
      <c r="P30" s="685" cm="1">
        <f t="array" ref="P30">_xll.RiskOutput(,"matrix r 13-24",346)+0</f>
        <v>0</v>
      </c>
      <c r="Q30" s="90" cm="1">
        <f t="array" aca="1" ref="Q30" ca="1">_xll.RiskOutput(,"matrix r 13-24",347)+k.aC.s3C</f>
        <v>8.8164578709364524E-7</v>
      </c>
      <c r="R30" s="90" cm="1">
        <f t="array" ref="R30">_xll.RiskOutput(,"matrix r 13-24",348)+0</f>
        <v>0</v>
      </c>
      <c r="S30" s="685" cm="1">
        <f t="array" ref="S30">_xll.RiskOutput(,"matrix r 13-24",349)+0</f>
        <v>0</v>
      </c>
      <c r="T30" s="685" cm="1">
        <f t="array" ref="T30">_xll.RiskOutput(,"matrix r 13-24",350)+0</f>
        <v>0</v>
      </c>
      <c r="U30" s="685" cm="1">
        <f t="array" ref="U30">_xll.RiskOutput(,"matrix r 13-24",351)+0</f>
        <v>0</v>
      </c>
      <c r="V30" s="685" cm="1">
        <f t="array" ref="V30">_xll.RiskOutput(,"matrix r 13-24",352)+0</f>
        <v>0</v>
      </c>
      <c r="W30" s="685" cm="1">
        <f t="array" ref="W30">_xll.RiskOutput(,"matrix r 13-24",353)+0</f>
        <v>0</v>
      </c>
      <c r="X30" s="685" cm="1">
        <f t="array" ref="X30">_xll.RiskOutput(,"matrix r 13-24",354)+0</f>
        <v>0</v>
      </c>
      <c r="Y30" s="684" cm="1">
        <f t="array" aca="1" ref="Y30" ca="1">_xll.RiskOutput(,"matrix r 13-24",355)+-k.s3C-SUM(Y9:Y29,Y31:Y45)</f>
        <v>-5.6800055658008664E-11</v>
      </c>
      <c r="Z30" s="685" cm="1">
        <f t="array" ref="Z30">_xll.RiskOutput(,"matrix r 13-24",356)+0</f>
        <v>0</v>
      </c>
      <c r="AA30" s="685" cm="1">
        <f t="array" ref="AA30">_xll.RiskOutput(,"matrix r 13-24",357)+0</f>
        <v>0</v>
      </c>
      <c r="AB30" s="685" cm="1">
        <f t="array" ref="AB30">_xll.RiskOutput(,"matrix r 13-24",358)+0</f>
        <v>0</v>
      </c>
      <c r="AC30" s="685" cm="1">
        <f t="array" ref="AC30">_xll.RiskOutput(,"matrix r 13-24",359)+0</f>
        <v>0</v>
      </c>
      <c r="AD30" s="685" cm="1">
        <f t="array" ref="AD30">_xll.RiskOutput(,"matrix r 13-24",360)+0</f>
        <v>0</v>
      </c>
      <c r="AE30" s="685" cm="1">
        <f t="array" ref="AE30">_xll.RiskOutput(,"matrix r 13-24",361)+0</f>
        <v>0</v>
      </c>
      <c r="AF30" s="685" cm="1">
        <f t="array" ref="AF30">_xll.RiskOutput(,"matrix r 13-24",362)+0</f>
        <v>0</v>
      </c>
      <c r="AG30" s="685" cm="1">
        <f t="array" ref="AG30">_xll.RiskOutput(,"matrix r 13-24",363)+0</f>
        <v>0</v>
      </c>
      <c r="AH30" s="685" cm="1">
        <f t="array" ref="AH30">_xll.RiskOutput(,"matrix r 13-24",364)+0</f>
        <v>0</v>
      </c>
      <c r="AI30" s="685" cm="1">
        <f t="array" ref="AI30">_xll.RiskOutput(,"matrix r 13-24",365)+0</f>
        <v>0</v>
      </c>
      <c r="AJ30" s="685" cm="1">
        <f t="array" ref="AJ30">_xll.RiskOutput(,"matrix r 13-24",366)+0</f>
        <v>0</v>
      </c>
      <c r="AK30" s="685" cm="1">
        <f t="array" ref="AK30">_xll.RiskOutput(,"matrix r 13-24",367)+0</f>
        <v>0</v>
      </c>
      <c r="AL30" s="685" cm="1">
        <f t="array" ref="AL30">_xll.RiskOutput(,"matrix r 13-24",368)+0</f>
        <v>0</v>
      </c>
      <c r="AM30" s="685" cm="1">
        <f t="array" ref="AM30">_xll.RiskOutput(,"matrix r 13-24",369)+0</f>
        <v>0</v>
      </c>
      <c r="AN30" s="686" cm="1">
        <f t="array" ref="AN30">_xll.RiskOutput(,"matrix r 13-24",370)+0</f>
        <v>0</v>
      </c>
    </row>
    <row r="31" spans="2:40" ht="12.75" customHeight="1" x14ac:dyDescent="0.3">
      <c r="B31" s="92" t="s">
        <v>1473</v>
      </c>
      <c r="C31" s="90"/>
      <c r="D31" s="682" cm="1">
        <f t="array" ref="D31">_xll.RiskOutput(,"matrix r 13-24",371)+0</f>
        <v>0</v>
      </c>
      <c r="E31" s="682" cm="1">
        <f t="array" ref="E31">_xll.RiskOutput(,"matrix r 13-24",372)+0</f>
        <v>0</v>
      </c>
      <c r="F31" s="682" cm="1">
        <f t="array" ref="F31">_xll.RiskOutput(,"matrix r 13-24",373)+0</f>
        <v>0</v>
      </c>
      <c r="G31" s="682" cm="1">
        <f t="array" ref="G31">_xll.RiskOutput(,"matrix r 13-24",374)+0</f>
        <v>0</v>
      </c>
      <c r="H31" s="685" cm="1">
        <f t="array" ref="H31">_xll.RiskOutput(,"matrix r 13-24",375)+0</f>
        <v>0</v>
      </c>
      <c r="I31" s="90" cm="1">
        <f t="array" ref="I31">_xll.RiskOutput(,"matrix r 13-24",376)+0</f>
        <v>0</v>
      </c>
      <c r="J31" s="685" cm="1">
        <f t="array" ref="J31">_xll.RiskOutput(,"matrix r 13-24",377)+0</f>
        <v>0</v>
      </c>
      <c r="K31" s="685" cm="1">
        <f t="array" ref="K31">_xll.RiskOutput(,"matrix r 13-24",378)+0</f>
        <v>0</v>
      </c>
      <c r="L31" s="685" cm="1">
        <f t="array" ref="L31">_xll.RiskOutput(,"matrix r 13-24",379)+0</f>
        <v>0</v>
      </c>
      <c r="M31" s="685" cm="1">
        <f t="array" ref="M31">_xll.RiskOutput(,"matrix r 13-24",380)+0</f>
        <v>0</v>
      </c>
      <c r="N31" s="685" cm="1">
        <f t="array" ref="N31">_xll.RiskOutput(,"matrix r 13-24",381)+0</f>
        <v>0</v>
      </c>
      <c r="O31" s="685" cm="1">
        <f t="array" ref="O31">_xll.RiskOutput(,"matrix r 13-24",382)+0</f>
        <v>0</v>
      </c>
      <c r="P31" s="685" cm="1">
        <f t="array" ref="P31">_xll.RiskOutput(,"matrix r 13-24",383)+0</f>
        <v>0</v>
      </c>
      <c r="Q31" s="90" cm="1">
        <f t="array" aca="1" ref="Q31" ca="1">_xll.RiskOutput(,"matrix r 13-24",384)+k.aC.aM</f>
        <v>2.5601954564560558E-6</v>
      </c>
      <c r="R31" s="90" cm="1">
        <f t="array" ref="R31">_xll.RiskOutput(,"matrix r 13-24",385)+0</f>
        <v>0</v>
      </c>
      <c r="S31" s="685" cm="1">
        <f t="array" ref="S31">_xll.RiskOutput(,"matrix r 13-24",386)+0</f>
        <v>0</v>
      </c>
      <c r="T31" s="685" cm="1">
        <f t="array" ref="T31">_xll.RiskOutput(,"matrix r 13-24",387)+0</f>
        <v>0</v>
      </c>
      <c r="U31" s="685" cm="1">
        <f t="array" ref="U31">_xll.RiskOutput(,"matrix r 13-24",388)+0</f>
        <v>0</v>
      </c>
      <c r="V31" s="685" cm="1">
        <f t="array" ref="V31">_xll.RiskOutput(,"matrix r 13-24",389)+0</f>
        <v>0</v>
      </c>
      <c r="W31" s="685" cm="1">
        <f t="array" ref="W31">_xll.RiskOutput(,"matrix r 13-24",390)+0</f>
        <v>0</v>
      </c>
      <c r="X31" s="685" cm="1">
        <f t="array" ref="X31">_xll.RiskOutput(,"matrix r 13-24",391)+0</f>
        <v>0</v>
      </c>
      <c r="Y31" s="685" cm="1">
        <f t="array" ref="Y31">_xll.RiskOutput(,"matrix r 13-24",392)+0</f>
        <v>0</v>
      </c>
      <c r="Z31" s="684" cm="1">
        <f t="array" aca="1" ref="Z31" ca="1">_xll.RiskOutput(,"matrix r 13-24",393)+-k.aM-SUM(Z9:Z30,Z32:Z45)</f>
        <v>-8.8373197354902425E-6</v>
      </c>
      <c r="AA31" s="90" cm="1">
        <f t="array" aca="1" ref="AA31" ca="1">_xll.RiskOutput(,"matrix r 13-24",394)+k.w2M.aM</f>
        <v>1.2535824170336799E-25</v>
      </c>
      <c r="AB31" s="685" cm="1">
        <f t="array" ref="AB31">_xll.RiskOutput(,"matrix r 13-24",395)+0</f>
        <v>0</v>
      </c>
      <c r="AC31" s="685" cm="1">
        <f t="array" ref="AC31">_xll.RiskOutput(,"matrix r 13-24",396)+0</f>
        <v>0</v>
      </c>
      <c r="AD31" s="90" cm="1">
        <f t="array" aca="1" ref="AD31" ca="1">_xll.RiskOutput(,"matrix r 13-24",397)+k.sM.aM</f>
        <v>3.0706068529777775E-26</v>
      </c>
      <c r="AE31" s="90" cm="1">
        <f t="array" ref="AE31">_xll.RiskOutput(,"matrix r 13-24",398)+k.aA.aM</f>
        <v>5.1925638918420895E-7</v>
      </c>
      <c r="AF31" s="685" cm="1">
        <f t="array" ref="AF31">_xll.RiskOutput(,"matrix r 13-24",399)+0</f>
        <v>0</v>
      </c>
      <c r="AG31" s="685" cm="1">
        <f t="array" ref="AG31">_xll.RiskOutput(,"matrix r 13-24",400)+0</f>
        <v>0</v>
      </c>
      <c r="AH31" s="685" cm="1">
        <f t="array" ref="AH31">_xll.RiskOutput(,"matrix r 13-24",401)+0</f>
        <v>0</v>
      </c>
      <c r="AI31" s="685" cm="1">
        <f t="array" ref="AI31">_xll.RiskOutput(,"matrix r 13-24",402)+0</f>
        <v>0</v>
      </c>
      <c r="AJ31" s="90" cm="1">
        <f t="array" ref="AJ31">_xll.RiskOutput(,"matrix r 13-24",403)+k.aT.aM</f>
        <v>2.9979281607393609E-7</v>
      </c>
      <c r="AK31" s="685" cm="1">
        <f t="array" ref="AK31">_xll.RiskOutput(,"matrix r 13-24",404)+0</f>
        <v>0</v>
      </c>
      <c r="AL31" s="685" cm="1">
        <f t="array" ref="AL31">_xll.RiskOutput(,"matrix r 13-24",405)+0</f>
        <v>0</v>
      </c>
      <c r="AM31" s="685" cm="1">
        <f t="array" ref="AM31">_xll.RiskOutput(,"matrix r 13-24",406)+0</f>
        <v>0</v>
      </c>
      <c r="AN31" s="686" cm="1">
        <f t="array" ref="AN31">_xll.RiskOutput(,"matrix r 13-24",407)+0</f>
        <v>0</v>
      </c>
    </row>
    <row r="32" spans="2:40" ht="12.75" customHeight="1" x14ac:dyDescent="0.3">
      <c r="B32" s="93" t="s">
        <v>1474</v>
      </c>
      <c r="C32" s="90"/>
      <c r="D32" s="682" cm="1">
        <f t="array" ref="D32">_xll.RiskOutput(,"matrix r 13-24",408)+0</f>
        <v>0</v>
      </c>
      <c r="E32" s="682" cm="1">
        <f t="array" ref="E32">_xll.RiskOutput(,"matrix r 13-24",409)+0</f>
        <v>0</v>
      </c>
      <c r="F32" s="682" cm="1">
        <f t="array" ref="F32">_xll.RiskOutput(,"matrix r 13-24",410)+0</f>
        <v>0</v>
      </c>
      <c r="G32" s="682" cm="1">
        <f t="array" ref="G32">_xll.RiskOutput(,"matrix r 13-24",411)+0</f>
        <v>0</v>
      </c>
      <c r="H32" s="685" cm="1">
        <f t="array" ref="H32">_xll.RiskOutput(,"matrix r 13-24",412)+0</f>
        <v>0</v>
      </c>
      <c r="I32" s="90" cm="1">
        <f t="array" ref="I32">_xll.RiskOutput(,"matrix r 13-24",413)+0</f>
        <v>0</v>
      </c>
      <c r="J32" s="685" cm="1">
        <f t="array" ref="J32">_xll.RiskOutput(,"matrix r 13-24",414)+0</f>
        <v>0</v>
      </c>
      <c r="K32" s="685" cm="1">
        <f t="array" ref="K32">_xll.RiskOutput(,"matrix r 13-24",415)+0</f>
        <v>0</v>
      </c>
      <c r="L32" s="685" cm="1">
        <f t="array" ref="L32">_xll.RiskOutput(,"matrix r 13-24",416)+0</f>
        <v>0</v>
      </c>
      <c r="M32" s="685" cm="1">
        <f t="array" ref="M32">_xll.RiskOutput(,"matrix r 13-24",417)+0</f>
        <v>0</v>
      </c>
      <c r="N32" s="685" cm="1">
        <f t="array" ref="N32">_xll.RiskOutput(,"matrix r 13-24",418)+0</f>
        <v>0</v>
      </c>
      <c r="O32" s="685" cm="1">
        <f t="array" ref="O32">_xll.RiskOutput(,"matrix r 13-24",419)+0</f>
        <v>0</v>
      </c>
      <c r="P32" s="685" cm="1">
        <f t="array" ref="P32">_xll.RiskOutput(,"matrix r 13-24",420)+0</f>
        <v>0</v>
      </c>
      <c r="Q32" s="685" cm="1">
        <f t="array" ref="Q32">_xll.RiskOutput(,"matrix r 13-24",421)+0</f>
        <v>0</v>
      </c>
      <c r="R32" s="90" cm="1">
        <f t="array" ref="R32">_xll.RiskOutput(,"matrix r 13-24",422)+0</f>
        <v>0</v>
      </c>
      <c r="S32" s="685" cm="1">
        <f t="array" ref="S32">_xll.RiskOutput(,"matrix r 13-24",423)+0</f>
        <v>0</v>
      </c>
      <c r="T32" s="90" cm="1">
        <f t="array" aca="1" ref="T32" ca="1">_xll.RiskOutput(,"matrix r 13-24",424)+k.w2C.w2M</f>
        <v>3.1709729126457526E-8</v>
      </c>
      <c r="U32" s="685" cm="1">
        <f t="array" ref="U32">_xll.RiskOutput(,"matrix r 13-24",425)+0</f>
        <v>0</v>
      </c>
      <c r="V32" s="685" cm="1">
        <f t="array" ref="V32">_xll.RiskOutput(,"matrix r 13-24",426)+0</f>
        <v>0</v>
      </c>
      <c r="W32" s="685" cm="1">
        <f t="array" ref="W32">_xll.RiskOutput(,"matrix r 13-24",427)+0</f>
        <v>0</v>
      </c>
      <c r="X32" s="685" cm="1">
        <f t="array" ref="X32">_xll.RiskOutput(,"matrix r 13-24",428)+0</f>
        <v>0</v>
      </c>
      <c r="Y32" s="685" cm="1">
        <f t="array" ref="Y32">_xll.RiskOutput(,"matrix r 13-24",429)+0</f>
        <v>0</v>
      </c>
      <c r="Z32" s="90" cm="1">
        <f t="array" aca="1" ref="Z32" ca="1">_xll.RiskOutput(,"matrix r 13-24",430)+k.aM.w2M</f>
        <v>3.9889156499249146E-6</v>
      </c>
      <c r="AA32" s="684" cm="1">
        <f t="array" aca="1" ref="AA32" ca="1">_xll.RiskOutput(,"matrix r 13-24",431)+-k.w2M-SUM(AA9:AA31,AA33:AA45)</f>
        <v>-2.9585016938779309E-7</v>
      </c>
      <c r="AB32" s="685" cm="1">
        <f t="array" ref="AB32">_xll.RiskOutput(,"matrix r 13-24",432)+k.w3M.w2M</f>
        <v>8.3212078822867434E-9</v>
      </c>
      <c r="AC32" s="90" cm="1">
        <f t="array" ref="AC32">_xll.RiskOutput(,"matrix r 13-24",433)+0</f>
        <v>0</v>
      </c>
      <c r="AD32" s="90" cm="1">
        <f t="array" aca="1" ref="AD32" ca="1">_xll.RiskOutput(,"matrix r 13-24",434)+k.sM.w2M</f>
        <v>9.4277286986616554E-11</v>
      </c>
      <c r="AE32" s="685" cm="1">
        <f t="array" ref="AE32">_xll.RiskOutput(,"matrix r 13-24",435)+0</f>
        <v>0</v>
      </c>
      <c r="AF32" s="90" cm="1">
        <f t="array" ref="AF32">_xll.RiskOutput(,"matrix r 13-24",436)+k.w2A.w2M</f>
        <v>0</v>
      </c>
      <c r="AG32" s="685" cm="1">
        <f t="array" ref="AG32">_xll.RiskOutput(,"matrix r 13-24",437)+0</f>
        <v>0</v>
      </c>
      <c r="AH32" s="685" cm="1">
        <f t="array" ref="AH32">_xll.RiskOutput(,"matrix r 13-24",438)+0</f>
        <v>0</v>
      </c>
      <c r="AI32" s="685" cm="1">
        <f t="array" ref="AI32">_xll.RiskOutput(,"matrix r 13-24",439)+0</f>
        <v>0</v>
      </c>
      <c r="AJ32" s="685" cm="1">
        <f t="array" ref="AJ32">_xll.RiskOutput(,"matrix r 13-24",440)+0</f>
        <v>0</v>
      </c>
      <c r="AK32" s="90" cm="1">
        <f t="array" ref="AK32">_xll.RiskOutput(,"matrix r 13-24",441)+k.w2T.w2M</f>
        <v>1.6806722689075633E-8</v>
      </c>
      <c r="AL32" s="685" cm="1">
        <f t="array" ref="AL32">_xll.RiskOutput(,"matrix r 13-24",442)+0</f>
        <v>0</v>
      </c>
      <c r="AM32" s="685" cm="1">
        <f t="array" ref="AM32">_xll.RiskOutput(,"matrix r 13-24",443)+0</f>
        <v>0</v>
      </c>
      <c r="AN32" s="686" cm="1">
        <f t="array" ref="AN32">_xll.RiskOutput(,"matrix r 13-24",444)+0</f>
        <v>0</v>
      </c>
    </row>
    <row r="33" spans="1:40" ht="12.75" customHeight="1" x14ac:dyDescent="0.3">
      <c r="B33" s="93" t="s">
        <v>1475</v>
      </c>
      <c r="C33" s="90"/>
      <c r="D33" s="682" cm="1">
        <f t="array" ref="D33">_xll.RiskOutput(,"matrix r25-37",1)+0</f>
        <v>0</v>
      </c>
      <c r="E33" s="682" cm="1">
        <f t="array" ref="E33">_xll.RiskOutput(,"matrix r25-37",2)+0</f>
        <v>0</v>
      </c>
      <c r="F33" s="682" cm="1">
        <f t="array" ref="F33">_xll.RiskOutput(,"matrix r25-37",3)+0</f>
        <v>0</v>
      </c>
      <c r="G33" s="682" cm="1">
        <f t="array" ref="G33">_xll.RiskOutput(,"matrix r25-37",4)+0</f>
        <v>0</v>
      </c>
      <c r="H33" s="685" cm="1">
        <f t="array" ref="H33">_xll.RiskOutput(,"matrix r25-37",5)+0</f>
        <v>0</v>
      </c>
      <c r="I33" s="90" cm="1">
        <f t="array" ref="I33">_xll.RiskOutput(,"matrix r25-37",6)+0</f>
        <v>0</v>
      </c>
      <c r="J33" s="685" cm="1">
        <f t="array" ref="J33">_xll.RiskOutput(,"matrix r25-37",7)+0</f>
        <v>0</v>
      </c>
      <c r="K33" s="685" cm="1">
        <f t="array" ref="K33">_xll.RiskOutput(,"matrix r25-37",8)+0</f>
        <v>0</v>
      </c>
      <c r="L33" s="685" cm="1">
        <f t="array" ref="L33">_xll.RiskOutput(,"matrix r25-37",9)+0</f>
        <v>0</v>
      </c>
      <c r="M33" s="685" cm="1">
        <f t="array" ref="M33">_xll.RiskOutput(,"matrix r25-37",10)+0</f>
        <v>0</v>
      </c>
      <c r="N33" s="685" cm="1">
        <f t="array" ref="N33">_xll.RiskOutput(,"matrix r25-37",11)+0</f>
        <v>0</v>
      </c>
      <c r="O33" s="685" cm="1">
        <f t="array" ref="O33">_xll.RiskOutput(,"matrix r25-37",12)+0</f>
        <v>0</v>
      </c>
      <c r="P33" s="685" cm="1">
        <f t="array" ref="P33">_xll.RiskOutput(,"matrix r25-37",13)+0</f>
        <v>0</v>
      </c>
      <c r="Q33" s="685" cm="1">
        <f t="array" ref="Q33">_xll.RiskOutput(,"matrix r25-37",14)+0</f>
        <v>0</v>
      </c>
      <c r="R33" s="90" cm="1">
        <f t="array" ref="R33">_xll.RiskOutput(,"matrix r25-37",15)+0</f>
        <v>0</v>
      </c>
      <c r="S33" s="685" cm="1">
        <f t="array" ref="S33">_xll.RiskOutput(,"matrix r25-37",16)+0</f>
        <v>0</v>
      </c>
      <c r="T33" s="685" cm="1">
        <f t="array" ref="T33">_xll.RiskOutput(,"matrix r25-37",17)+0</f>
        <v>0</v>
      </c>
      <c r="U33" s="685" cm="1">
        <f t="array" ref="U33">_xll.RiskOutput(,"matrix r25-37",18)+0</f>
        <v>0</v>
      </c>
      <c r="V33" s="685" cm="1">
        <f t="array" ref="V33">_xll.RiskOutput(,"matrix r25-37",19)+0</f>
        <v>0</v>
      </c>
      <c r="W33" s="685" cm="1">
        <f t="array" ref="W33">_xll.RiskOutput(,"matrix r25-37",20)+0</f>
        <v>0</v>
      </c>
      <c r="X33" s="685" cm="1">
        <f t="array" ref="X33">_xll.RiskOutput(,"matrix r25-37",21)+0</f>
        <v>0</v>
      </c>
      <c r="Y33" s="685" cm="1">
        <f t="array" ref="Y33">_xll.RiskOutput(,"matrix r25-37",22)+0</f>
        <v>0</v>
      </c>
      <c r="Z33" s="685" cm="1">
        <f t="array" ref="Z33">_xll.RiskOutput(,"matrix r25-37",23)+0</f>
        <v>0</v>
      </c>
      <c r="AA33" s="685" cm="1">
        <f t="array" ref="AA33">_xll.RiskOutput(,"matrix r25-37",24)+k.w2M.w3M</f>
        <v>2.496362364686023E-7</v>
      </c>
      <c r="AB33" s="684" cm="1">
        <f t="array" aca="1" ref="AB33" ca="1">_xll.RiskOutput(,"matrix r25-37",25)+-k.w3M-SUM(AB9:AB32,AB34:AB45)</f>
        <v>-9.9445694555756026E-9</v>
      </c>
      <c r="AC33" s="685" cm="1">
        <f t="array" aca="1" ref="AC33" ca="1">_xll.RiskOutput(,"matrix r25-37",26)+k.sdM.w3M</f>
        <v>1.0028880336993271E-8</v>
      </c>
      <c r="AD33" s="685" cm="1">
        <f t="array" ref="AD33">_xll.RiskOutput(,"matrix r25-37",27)+0</f>
        <v>0</v>
      </c>
      <c r="AE33" s="685" cm="1">
        <f t="array" ref="AE33">_xll.RiskOutput(,"matrix r25-37",28)+0</f>
        <v>0</v>
      </c>
      <c r="AF33" s="685" cm="1">
        <f t="array" ref="AF33">_xll.RiskOutput(,"matrix r25-37",29)+0</f>
        <v>0</v>
      </c>
      <c r="AG33" s="685" cm="1">
        <f t="array" ref="AG33">_xll.RiskOutput(,"matrix r25-37",30)+k.w3A.w3M</f>
        <v>1.9607843137254903E-9</v>
      </c>
      <c r="AH33" s="685" cm="1">
        <f t="array" ref="AH33">_xll.RiskOutput(,"matrix r25-37",31)+0</f>
        <v>0</v>
      </c>
      <c r="AI33" s="685" cm="1">
        <f t="array" ref="AI33">_xll.RiskOutput(,"matrix r25-37",32)+0</f>
        <v>0</v>
      </c>
      <c r="AJ33" s="685" cm="1">
        <f t="array" ref="AJ33">_xll.RiskOutput(,"matrix r25-37",33)+0</f>
        <v>0</v>
      </c>
      <c r="AK33" s="685" cm="1">
        <f t="array" ref="AK33">_xll.RiskOutput(,"matrix r25-37",34)+0</f>
        <v>0</v>
      </c>
      <c r="AL33" s="685" cm="1">
        <f t="array" ref="AL33">_xll.RiskOutput(,"matrix r25-37",35)+k.w3T.w3M</f>
        <v>0</v>
      </c>
      <c r="AM33" s="685" cm="1">
        <f t="array" ref="AM33">_xll.RiskOutput(,"matrix r25-37",36)+0</f>
        <v>0</v>
      </c>
      <c r="AN33" s="686" cm="1">
        <f t="array" ref="AN33">_xll.RiskOutput(,"matrix r25-37",37)+0</f>
        <v>0</v>
      </c>
    </row>
    <row r="34" spans="1:40" ht="12.75" customHeight="1" x14ac:dyDescent="0.3">
      <c r="B34" s="92" t="s">
        <v>1476</v>
      </c>
      <c r="C34" s="90"/>
      <c r="D34" s="682" cm="1">
        <f t="array" ref="D34">_xll.RiskOutput(,"matrix r25-37",38)+0</f>
        <v>0</v>
      </c>
      <c r="E34" s="682" cm="1">
        <f t="array" ref="E34">_xll.RiskOutput(,"matrix r25-37",39)+0</f>
        <v>0</v>
      </c>
      <c r="F34" s="682" cm="1">
        <f t="array" ref="F34">_xll.RiskOutput(,"matrix r25-37",40)+0</f>
        <v>0</v>
      </c>
      <c r="G34" s="682" cm="1">
        <f t="array" ref="G34">_xll.RiskOutput(,"matrix r25-37",41)+0</f>
        <v>0</v>
      </c>
      <c r="H34" s="685" cm="1">
        <f t="array" ref="H34">_xll.RiskOutput(,"matrix r25-37",42)+0</f>
        <v>0</v>
      </c>
      <c r="I34" s="90" cm="1">
        <f t="array" ref="I34">_xll.RiskOutput(,"matrix r25-37",43)+0</f>
        <v>0</v>
      </c>
      <c r="J34" s="685" cm="1">
        <f t="array" ref="J34">_xll.RiskOutput(,"matrix r25-37",44)+0</f>
        <v>0</v>
      </c>
      <c r="K34" s="685" cm="1">
        <f t="array" ref="K34">_xll.RiskOutput(,"matrix r25-37",45)+0</f>
        <v>0</v>
      </c>
      <c r="L34" s="685" cm="1">
        <f t="array" ref="L34">_xll.RiskOutput(,"matrix r25-37",46)+0</f>
        <v>0</v>
      </c>
      <c r="M34" s="685" cm="1">
        <f t="array" ref="M34">_xll.RiskOutput(,"matrix r25-37",47)+0</f>
        <v>0</v>
      </c>
      <c r="N34" s="685" cm="1">
        <f t="array" ref="N34">_xll.RiskOutput(,"matrix r25-37",48)+0</f>
        <v>0</v>
      </c>
      <c r="O34" s="685" cm="1">
        <f t="array" ref="O34">_xll.RiskOutput(,"matrix r25-37",49)+0</f>
        <v>0</v>
      </c>
      <c r="P34" s="685" cm="1">
        <f t="array" ref="P34">_xll.RiskOutput(,"matrix r25-37",50)+0</f>
        <v>0</v>
      </c>
      <c r="Q34" s="685" cm="1">
        <f t="array" ref="Q34">_xll.RiskOutput(,"matrix r25-37",51)+0</f>
        <v>0</v>
      </c>
      <c r="R34" s="90" cm="1">
        <f t="array" ref="R34">_xll.RiskOutput(,"matrix r25-37",52)+0</f>
        <v>0</v>
      </c>
      <c r="S34" s="685" cm="1">
        <f t="array" ref="S34">_xll.RiskOutput(,"matrix r25-37",53)+0</f>
        <v>0</v>
      </c>
      <c r="T34" s="685" cm="1">
        <f t="array" ref="T34">_xll.RiskOutput(,"matrix r25-37",54)+0</f>
        <v>0</v>
      </c>
      <c r="U34" s="685" cm="1">
        <f t="array" ref="U34">_xll.RiskOutput(,"matrix r25-37",55)+0</f>
        <v>0</v>
      </c>
      <c r="V34" s="685" cm="1">
        <f t="array" ref="V34">_xll.RiskOutput(,"matrix r25-37",56)+0</f>
        <v>0</v>
      </c>
      <c r="W34" s="685" cm="1">
        <f t="array" ref="W34">_xll.RiskOutput(,"matrix r25-37",57)+0</f>
        <v>0</v>
      </c>
      <c r="X34" s="685" cm="1">
        <f t="array" ref="X34">_xll.RiskOutput(,"matrix r25-37",58)+0</f>
        <v>0</v>
      </c>
      <c r="Y34" s="685" cm="1">
        <f t="array" ref="Y34">_xll.RiskOutput(,"matrix r25-37",59)+0</f>
        <v>0</v>
      </c>
      <c r="Z34" s="685" cm="1">
        <f t="array" ref="Z34">_xll.RiskOutput(,"matrix r25-37",60)+0</f>
        <v>0</v>
      </c>
      <c r="AA34" s="90" cm="1">
        <f t="array" ref="AA34">_xll.RiskOutput(,"matrix r25-37",61)+0</f>
        <v>0</v>
      </c>
      <c r="AB34" s="685" cm="1">
        <f t="array" aca="1" ref="AB34" ca="1">_xll.RiskOutput(,"matrix r25-37",62)+k.w3M.sdM</f>
        <v>3.1674403892186581E-10</v>
      </c>
      <c r="AC34" s="684" cm="1">
        <f t="array" aca="1" ref="AC34" ca="1">_xll.RiskOutput(,"matrix r25-37",63)+-k.sdM-SUM(AC9:AC33,AC35:AC45)</f>
        <v>-1.0031864271311988E-8</v>
      </c>
      <c r="AD34" s="685" cm="1">
        <f t="array" ref="AD34">_xll.RiskOutput(,"matrix r25-37",64)+0</f>
        <v>0</v>
      </c>
      <c r="AE34" s="685" cm="1">
        <f t="array" ref="AE34">_xll.RiskOutput(,"matrix r25-37",65)+0</f>
        <v>0</v>
      </c>
      <c r="AF34" s="685" cm="1">
        <f t="array" ref="AF34">_xll.RiskOutput(,"matrix r25-37",66)+0</f>
        <v>0</v>
      </c>
      <c r="AG34" s="685" cm="1">
        <f t="array" ref="AG34">_xll.RiskOutput(,"matrix r25-37",67)+0</f>
        <v>0</v>
      </c>
      <c r="AH34" s="685" cm="1">
        <f t="array" ref="AH34">_xll.RiskOutput(,"matrix r25-37",68)+0</f>
        <v>0</v>
      </c>
      <c r="AI34" s="685" cm="1">
        <f t="array" ref="AI34">_xll.RiskOutput(,"matrix r25-37",69)+0</f>
        <v>0</v>
      </c>
      <c r="AJ34" s="685" cm="1">
        <f t="array" ref="AJ34">_xll.RiskOutput(,"matrix r25-37",70)+0</f>
        <v>0</v>
      </c>
      <c r="AK34" s="685" cm="1">
        <f t="array" ref="AK34">_xll.RiskOutput(,"matrix r25-37",71)+0</f>
        <v>0</v>
      </c>
      <c r="AL34" s="685" cm="1">
        <f t="array" ref="AL34">_xll.RiskOutput(,"matrix r25-37",72)+0</f>
        <v>0</v>
      </c>
      <c r="AM34" s="685" cm="1">
        <f t="array" ref="AM34">_xll.RiskOutput(,"matrix r25-37",73)+0</f>
        <v>0</v>
      </c>
      <c r="AN34" s="686" cm="1">
        <f t="array" ref="AN34">_xll.RiskOutput(,"matrix r25-37",74)+0</f>
        <v>0</v>
      </c>
    </row>
    <row r="35" spans="1:40" ht="12.75" customHeight="1" x14ac:dyDescent="0.3">
      <c r="B35" s="93" t="s">
        <v>1477</v>
      </c>
      <c r="C35" s="90"/>
      <c r="D35" s="682" cm="1">
        <f t="array" ref="D35">_xll.RiskOutput(,"matrix r25-37",75)+0</f>
        <v>0</v>
      </c>
      <c r="E35" s="682" cm="1">
        <f t="array" ref="E35">_xll.RiskOutput(,"matrix r25-37",76)+0</f>
        <v>0</v>
      </c>
      <c r="F35" s="682" cm="1">
        <f t="array" ref="F35">_xll.RiskOutput(,"matrix r25-37",77)+0</f>
        <v>0</v>
      </c>
      <c r="G35" s="682" cm="1">
        <f t="array" ref="G35">_xll.RiskOutput(,"matrix r25-37",78)+0</f>
        <v>0</v>
      </c>
      <c r="H35" s="685" cm="1">
        <f t="array" ref="H35">_xll.RiskOutput(,"matrix r25-37",79)+0</f>
        <v>0</v>
      </c>
      <c r="I35" s="90" cm="1">
        <f t="array" ref="I35">_xll.RiskOutput(,"matrix r25-37",80)+0</f>
        <v>0</v>
      </c>
      <c r="J35" s="685" cm="1">
        <f t="array" ref="J35">_xll.RiskOutput(,"matrix r25-37",81)+0</f>
        <v>0</v>
      </c>
      <c r="K35" s="685" cm="1">
        <f t="array" ref="K35">_xll.RiskOutput(,"matrix r25-37",82)+0</f>
        <v>0</v>
      </c>
      <c r="L35" s="685" cm="1">
        <f t="array" ref="L35">_xll.RiskOutput(,"matrix r25-37",83)+0</f>
        <v>0</v>
      </c>
      <c r="M35" s="685" cm="1">
        <f t="array" ref="M35">_xll.RiskOutput(,"matrix r25-37",84)+0</f>
        <v>0</v>
      </c>
      <c r="N35" s="685" cm="1">
        <f t="array" ref="N35">_xll.RiskOutput(,"matrix r25-37",85)+0</f>
        <v>0</v>
      </c>
      <c r="O35" s="685" cm="1">
        <f t="array" ref="O35">_xll.RiskOutput(,"matrix r25-37",86)+0</f>
        <v>0</v>
      </c>
      <c r="P35" s="685" cm="1">
        <f t="array" ref="P35">_xll.RiskOutput(,"matrix r25-37",87)+0</f>
        <v>0</v>
      </c>
      <c r="Q35" s="685" cm="1">
        <f t="array" ref="Q35">_xll.RiskOutput(,"matrix r25-37",88)+0</f>
        <v>0</v>
      </c>
      <c r="R35" s="90" cm="1">
        <f t="array" ref="R35">_xll.RiskOutput(,"matrix r25-37",89)+0</f>
        <v>0</v>
      </c>
      <c r="S35" s="685" cm="1">
        <f t="array" ref="S35">_xll.RiskOutput(,"matrix r25-37",90)+0</f>
        <v>0</v>
      </c>
      <c r="T35" s="685" cm="1">
        <f t="array" ref="T35">_xll.RiskOutput(,"matrix r25-37",91)+0</f>
        <v>0</v>
      </c>
      <c r="U35" s="685" cm="1">
        <f t="array" ref="U35">_xll.RiskOutput(,"matrix r25-37",92)+0</f>
        <v>0</v>
      </c>
      <c r="V35" s="685" cm="1">
        <f t="array" ref="V35">_xll.RiskOutput(,"matrix r25-37",93)+0</f>
        <v>0</v>
      </c>
      <c r="W35" s="685" cm="1">
        <f t="array" ref="W35">_xll.RiskOutput(,"matrix r25-37",94)+0</f>
        <v>0</v>
      </c>
      <c r="X35" s="685" cm="1">
        <f t="array" ref="X35">_xll.RiskOutput(,"matrix r25-37",95)+0</f>
        <v>0</v>
      </c>
      <c r="Y35" s="685" cm="1">
        <f t="array" ref="Y35">_xll.RiskOutput(,"matrix r25-37",96)+0</f>
        <v>0</v>
      </c>
      <c r="Z35" s="90" cm="1">
        <f t="array" aca="1" ref="Z35" ca="1">_xll.RiskOutput(,"matrix r25-37",97)+k.aM.sM</f>
        <v>3.9889156497207009E-6</v>
      </c>
      <c r="AA35" s="685" cm="1">
        <f t="array" ref="AA35">_xll.RiskOutput(,"matrix r25-37",98)+0</f>
        <v>0</v>
      </c>
      <c r="AB35" s="685" cm="1">
        <f t="array" ref="AB35">_xll.RiskOutput(,"matrix r25-37",99)+0</f>
        <v>0</v>
      </c>
      <c r="AC35" s="685" cm="1">
        <f t="array" ref="AC35">_xll.RiskOutput(,"matrix r25-37",100)+0</f>
        <v>0</v>
      </c>
      <c r="AD35" s="684" cm="1">
        <f t="array" aca="1" ref="AD35" ca="1">_xll.RiskOutput(,"matrix r25-37",101)+-k.sM-SUM(AD9:AD34,AD36:AD45)</f>
        <v>-9.4749618506326011E-11</v>
      </c>
      <c r="AE35" s="685" cm="1">
        <f t="array" ref="AE35">_xll.RiskOutput(,"matrix r25-37",102)+0</f>
        <v>0</v>
      </c>
      <c r="AF35" s="685" cm="1">
        <f t="array" ref="AF35">_xll.RiskOutput(,"matrix r25-37",103)+0</f>
        <v>0</v>
      </c>
      <c r="AG35" s="685" cm="1">
        <f t="array" ref="AG35">_xll.RiskOutput(,"matrix r25-37",104)+0</f>
        <v>0</v>
      </c>
      <c r="AH35" s="685" cm="1">
        <f t="array" ref="AH35">_xll.RiskOutput(,"matrix r25-37",105)+0</f>
        <v>0</v>
      </c>
      <c r="AI35" s="685" cm="1">
        <f t="array" ref="AI35">_xll.RiskOutput(,"matrix r25-37",106)+0</f>
        <v>0</v>
      </c>
      <c r="AJ35" s="685" cm="1">
        <f t="array" ref="AJ35">_xll.RiskOutput(,"matrix r25-37",107)+0</f>
        <v>0</v>
      </c>
      <c r="AK35" s="685" cm="1">
        <f t="array" ref="AK35">_xll.RiskOutput(,"matrix r25-37",108)+0</f>
        <v>0</v>
      </c>
      <c r="AL35" s="685" cm="1">
        <f t="array" ref="AL35">_xll.RiskOutput(,"matrix r25-37",109)+0</f>
        <v>0</v>
      </c>
      <c r="AM35" s="685" cm="1">
        <f t="array" ref="AM35">_xll.RiskOutput(,"matrix r25-37",110)+0</f>
        <v>0</v>
      </c>
      <c r="AN35" s="686" cm="1">
        <f t="array" ref="AN35">_xll.RiskOutput(,"matrix r25-37",111)+0</f>
        <v>0</v>
      </c>
    </row>
    <row r="36" spans="1:40" ht="12.75" customHeight="1" x14ac:dyDescent="0.3">
      <c r="B36" s="92" t="s">
        <v>1478</v>
      </c>
      <c r="C36" s="90"/>
      <c r="D36" s="682" cm="1">
        <f t="array" ref="D36">_xll.RiskOutput(,"matrix r25-37",112)+0</f>
        <v>0</v>
      </c>
      <c r="E36" s="682" cm="1">
        <f t="array" ref="E36">_xll.RiskOutput(,"matrix r25-37",113)+0</f>
        <v>0</v>
      </c>
      <c r="F36" s="682" cm="1">
        <f t="array" ref="F36">_xll.RiskOutput(,"matrix r25-37",114)+0</f>
        <v>0</v>
      </c>
      <c r="G36" s="682" cm="1">
        <f t="array" ref="G36">_xll.RiskOutput(,"matrix r25-37",115)+0</f>
        <v>0</v>
      </c>
      <c r="H36" s="685" cm="1">
        <f t="array" ref="H36">_xll.RiskOutput(,"matrix r25-37",116)+0</f>
        <v>0</v>
      </c>
      <c r="I36" s="90" cm="1">
        <f t="array" ref="I36">_xll.RiskOutput(,"matrix r25-37",117)+0</f>
        <v>0</v>
      </c>
      <c r="J36" s="685" cm="1">
        <f t="array" ref="J36">_xll.RiskOutput(,"matrix r25-37",118)+0</f>
        <v>0</v>
      </c>
      <c r="K36" s="685" cm="1">
        <f t="array" ref="K36">_xll.RiskOutput(,"matrix r25-37",119)+0</f>
        <v>0</v>
      </c>
      <c r="L36" s="685" cm="1">
        <f t="array" ref="L36">_xll.RiskOutput(,"matrix r25-37",120)+0</f>
        <v>0</v>
      </c>
      <c r="M36" s="685" cm="1">
        <f t="array" ref="M36">_xll.RiskOutput(,"matrix r25-37",121)+0</f>
        <v>0</v>
      </c>
      <c r="N36" s="685" cm="1">
        <f t="array" ref="N36">_xll.RiskOutput(,"matrix r25-37",122)+0</f>
        <v>0</v>
      </c>
      <c r="O36" s="685" cm="1">
        <f t="array" ref="O36">_xll.RiskOutput(,"matrix r25-37",123)+0</f>
        <v>0</v>
      </c>
      <c r="P36" s="685" cm="1">
        <f t="array" ref="P36">_xll.RiskOutput(,"matrix r25-37",124)+0</f>
        <v>0</v>
      </c>
      <c r="Q36" s="685" cm="1">
        <f t="array" ref="Q36">_xll.RiskOutput(,"matrix r25-37",125)+0</f>
        <v>0</v>
      </c>
      <c r="R36" s="90" cm="1">
        <f t="array" ref="R36">_xll.RiskOutput(,"matrix r25-37",126)+0</f>
        <v>0</v>
      </c>
      <c r="S36" s="685" cm="1">
        <f t="array" ref="S36">_xll.RiskOutput(,"matrix r25-37",127)+0</f>
        <v>0</v>
      </c>
      <c r="T36" s="685" cm="1">
        <f t="array" ref="T36">_xll.RiskOutput(,"matrix r25-37",128)+0</f>
        <v>0</v>
      </c>
      <c r="U36" s="685" cm="1">
        <f t="array" ref="U36">_xll.RiskOutput(,"matrix r25-37",129)+0</f>
        <v>0</v>
      </c>
      <c r="V36" s="685" cm="1">
        <f t="array" ref="V36">_xll.RiskOutput(,"matrix r25-37",130)+0</f>
        <v>0</v>
      </c>
      <c r="W36" s="685" cm="1">
        <f t="array" ref="W36">_xll.RiskOutput(,"matrix r25-37",131)+0</f>
        <v>0</v>
      </c>
      <c r="X36" s="685" cm="1">
        <f t="array" ref="X36">_xll.RiskOutput(,"matrix r25-37",132)+0</f>
        <v>0</v>
      </c>
      <c r="Y36" s="685" cm="1">
        <f t="array" ref="Y36">_xll.RiskOutput(,"matrix r25-37",133)+0</f>
        <v>0</v>
      </c>
      <c r="Z36" s="90" cm="1">
        <f t="array" ref="Z36">_xll.RiskOutput(,"matrix r25-37",134)+k.aM.aA</f>
        <v>2.8834953874870833E-7</v>
      </c>
      <c r="AA36" s="685" cm="1">
        <f t="array" ref="AA36">_xll.RiskOutput(,"matrix r25-37",135)+0</f>
        <v>0</v>
      </c>
      <c r="AB36" s="685" cm="1">
        <f t="array" ref="AB36">_xll.RiskOutput(,"matrix r25-37",136)+0</f>
        <v>0</v>
      </c>
      <c r="AC36" s="685" cm="1">
        <f t="array" ref="AC36">_xll.RiskOutput(,"matrix r25-37",137)+0</f>
        <v>0</v>
      </c>
      <c r="AD36" s="685" cm="1">
        <f t="array" ref="AD36">_xll.RiskOutput(,"matrix r25-37",138)+0</f>
        <v>0</v>
      </c>
      <c r="AE36" s="684" cm="1">
        <f t="array" aca="1" ref="AE36" ca="1">_xll.RiskOutput(,"matrix r25-37",139)+-k.aA-SUM(AE9:AE35,AE37:AE45)</f>
        <v>-8.5779169381490946E-6</v>
      </c>
      <c r="AF36" s="90" cm="1">
        <f t="array" aca="1" ref="AF36" ca="1">_xll.RiskOutput(,"matrix r25-37",140)+k.w2A.aA</f>
        <v>7.5715646891947935E-27</v>
      </c>
      <c r="AG36" s="685" cm="1">
        <f t="array" ref="AG36">_xll.RiskOutput(,"matrix r25-37",141)+0</f>
        <v>0</v>
      </c>
      <c r="AH36" s="685" cm="1">
        <f t="array" ref="AH36">_xll.RiskOutput(,"matrix r25-37",142)+0</f>
        <v>0</v>
      </c>
      <c r="AI36" s="90" cm="1">
        <f t="array" aca="1" ref="AI36" ca="1">_xll.RiskOutput(,"matrix r25-37",143)+k.sA.aA</f>
        <v>1.8546326174055336E-27</v>
      </c>
      <c r="AJ36" s="685" cm="1">
        <f t="array" ref="AJ36">_xll.RiskOutput(,"matrix r25-37",144)+0</f>
        <v>0</v>
      </c>
      <c r="AK36" s="685" cm="1">
        <f t="array" ref="AK36">_xll.RiskOutput(,"matrix r25-37",145)+0</f>
        <v>0</v>
      </c>
      <c r="AL36" s="685" cm="1">
        <f t="array" ref="AL36">_xll.RiskOutput(,"matrix r25-37",146)+0</f>
        <v>0</v>
      </c>
      <c r="AM36" s="685" cm="1">
        <f t="array" ref="AM36">_xll.RiskOutput(,"matrix r25-37",147)+0</f>
        <v>0</v>
      </c>
      <c r="AN36" s="686" cm="1">
        <f t="array" ref="AN36">_xll.RiskOutput(,"matrix r25-37",148)+0</f>
        <v>0</v>
      </c>
    </row>
    <row r="37" spans="1:40" ht="12.75" customHeight="1" x14ac:dyDescent="0.3">
      <c r="B37" s="93" t="s">
        <v>1479</v>
      </c>
      <c r="C37" s="90"/>
      <c r="D37" s="682" cm="1">
        <f t="array" ref="D37">_xll.RiskOutput(,"matrix r25-37",149)+0</f>
        <v>0</v>
      </c>
      <c r="E37" s="682" cm="1">
        <f t="array" ref="E37">_xll.RiskOutput(,"matrix r25-37",150)+0</f>
        <v>0</v>
      </c>
      <c r="F37" s="682" cm="1">
        <f t="array" ref="F37">_xll.RiskOutput(,"matrix r25-37",151)+0</f>
        <v>0</v>
      </c>
      <c r="G37" s="682" cm="1">
        <f t="array" ref="G37">_xll.RiskOutput(,"matrix r25-37",152)+0</f>
        <v>0</v>
      </c>
      <c r="H37" s="685" cm="1">
        <f t="array" ref="H37">_xll.RiskOutput(,"matrix r25-37",153)+0</f>
        <v>0</v>
      </c>
      <c r="I37" s="90" cm="1">
        <f t="array" ref="I37">_xll.RiskOutput(,"matrix r25-37",154)+0</f>
        <v>0</v>
      </c>
      <c r="J37" s="685" cm="1">
        <f t="array" ref="J37">_xll.RiskOutput(,"matrix r25-37",155)+0</f>
        <v>0</v>
      </c>
      <c r="K37" s="685" cm="1">
        <f t="array" ref="K37">_xll.RiskOutput(,"matrix r25-37",156)+0</f>
        <v>0</v>
      </c>
      <c r="L37" s="685" cm="1">
        <f t="array" ref="L37">_xll.RiskOutput(,"matrix r25-37",157)+0</f>
        <v>0</v>
      </c>
      <c r="M37" s="685" cm="1">
        <f t="array" ref="M37">_xll.RiskOutput(,"matrix r25-37",158)+0</f>
        <v>0</v>
      </c>
      <c r="N37" s="685" cm="1">
        <f t="array" ref="N37">_xll.RiskOutput(,"matrix r25-37",159)+0</f>
        <v>0</v>
      </c>
      <c r="O37" s="685" cm="1">
        <f t="array" ref="O37">_xll.RiskOutput(,"matrix r25-37",160)+0</f>
        <v>0</v>
      </c>
      <c r="P37" s="685" cm="1">
        <f t="array" ref="P37">_xll.RiskOutput(,"matrix r25-37",161)+0</f>
        <v>0</v>
      </c>
      <c r="Q37" s="685" cm="1">
        <f t="array" ref="Q37">_xll.RiskOutput(,"matrix r25-37",162)+0</f>
        <v>0</v>
      </c>
      <c r="R37" s="90" cm="1">
        <f t="array" ref="R37">_xll.RiskOutput(,"matrix r25-37",163)+0</f>
        <v>0</v>
      </c>
      <c r="S37" s="685" cm="1">
        <f t="array" ref="S37">_xll.RiskOutput(,"matrix r25-37",164)+0</f>
        <v>0</v>
      </c>
      <c r="T37" s="685" cm="1">
        <f t="array" ref="T37">_xll.RiskOutput(,"matrix r25-37",165)+0</f>
        <v>0</v>
      </c>
      <c r="U37" s="685" cm="1">
        <f t="array" ref="U37">_xll.RiskOutput(,"matrix r25-37",166)+0</f>
        <v>0</v>
      </c>
      <c r="V37" s="685" cm="1">
        <f t="array" ref="V37">_xll.RiskOutput(,"matrix r25-37",167)+0</f>
        <v>0</v>
      </c>
      <c r="W37" s="685" cm="1">
        <f t="array" ref="W37">_xll.RiskOutput(,"matrix r25-37",168)+0</f>
        <v>0</v>
      </c>
      <c r="X37" s="685" cm="1">
        <f t="array" ref="X37">_xll.RiskOutput(,"matrix r25-37",169)+0</f>
        <v>0</v>
      </c>
      <c r="Y37" s="685" cm="1">
        <f t="array" ref="Y37">_xll.RiskOutput(,"matrix r25-37",170)+0</f>
        <v>0</v>
      </c>
      <c r="Z37" s="685" cm="1">
        <f t="array" ref="Z37">_xll.RiskOutput(,"matrix r25-37",171)+0</f>
        <v>0</v>
      </c>
      <c r="AA37" s="90" cm="1">
        <f t="array" ref="AA37">_xll.RiskOutput(,"matrix r25-37",172)+k.w2M.w2A</f>
        <v>3.9198526030891834E-8</v>
      </c>
      <c r="AB37" s="685" cm="1">
        <f t="array" ref="AB37">_xll.RiskOutput(,"matrix r25-37",173)+0</f>
        <v>0</v>
      </c>
      <c r="AC37" s="685" cm="1">
        <f t="array" ref="AC37">_xll.RiskOutput(,"matrix r25-37",174)+0</f>
        <v>0</v>
      </c>
      <c r="AD37" s="685" cm="1">
        <f t="array" ref="AD37">_xll.RiskOutput(,"matrix r25-37",175)+0</f>
        <v>0</v>
      </c>
      <c r="AE37" s="90" cm="1">
        <f t="array" aca="1" ref="AE37" ca="1">_xll.RiskOutput(,"matrix r25-37",176)+k.aA.w2A</f>
        <v>4.8349765339478567E-6</v>
      </c>
      <c r="AF37" s="684" cm="1">
        <f t="array" aca="1" ref="AF37" ca="1">_xll.RiskOutput(,"matrix r25-37",177)+-k.w2A-SUM(AF9:AF36,AF38:AF45)</f>
        <v>-2.6926123984947596E-7</v>
      </c>
      <c r="AG37" s="685" cm="1">
        <f t="array" ref="AG37">_xll.RiskOutput(,"matrix r25-37",178)+k.w3A.w2A</f>
        <v>8.9753746616491718E-9</v>
      </c>
      <c r="AH37" s="90" cm="1">
        <f t="array" ref="AH37">_xll.RiskOutput(,"matrix r25-37",179)+0</f>
        <v>0</v>
      </c>
      <c r="AI37" s="90" cm="1">
        <f t="array" aca="1" ref="AI37" ca="1">_xll.RiskOutput(,"matrix r25-37",180)+k.sA.w2A</f>
        <v>4.9212864741653662E-11</v>
      </c>
      <c r="AJ37" s="685" cm="1">
        <f t="array" ref="AJ37">_xll.RiskOutput(,"matrix r25-37",181)+0</f>
        <v>0</v>
      </c>
      <c r="AK37" s="685" cm="1">
        <f t="array" ref="AK37">_xll.RiskOutput(,"matrix r25-37",182)+0</f>
        <v>0</v>
      </c>
      <c r="AL37" s="685" cm="1">
        <f t="array" ref="AL37">_xll.RiskOutput(,"matrix r25-37",183)+0</f>
        <v>0</v>
      </c>
      <c r="AM37" s="685" cm="1">
        <f t="array" ref="AM37">_xll.RiskOutput(,"matrix r25-37",184)+0</f>
        <v>0</v>
      </c>
      <c r="AN37" s="686" cm="1">
        <f t="array" ref="AN37">_xll.RiskOutput(,"matrix r25-37",185)+0</f>
        <v>0</v>
      </c>
    </row>
    <row r="38" spans="1:40" ht="12.75" customHeight="1" x14ac:dyDescent="0.3">
      <c r="B38" s="93" t="s">
        <v>1480</v>
      </c>
      <c r="C38" s="90"/>
      <c r="D38" s="682" cm="1">
        <f t="array" ref="D38">_xll.RiskOutput(,"matrix r25-37",186)+0</f>
        <v>0</v>
      </c>
      <c r="E38" s="682" cm="1">
        <f t="array" ref="E38">_xll.RiskOutput(,"matrix r25-37",187)+0</f>
        <v>0</v>
      </c>
      <c r="F38" s="682" cm="1">
        <f t="array" ref="F38">_xll.RiskOutput(,"matrix r25-37",188)+0</f>
        <v>0</v>
      </c>
      <c r="G38" s="682" cm="1">
        <f t="array" ref="G38">_xll.RiskOutput(,"matrix r25-37",189)+0</f>
        <v>0</v>
      </c>
      <c r="H38" s="685" cm="1">
        <f t="array" ref="H38">_xll.RiskOutput(,"matrix r25-37",190)+0</f>
        <v>0</v>
      </c>
      <c r="I38" s="90" cm="1">
        <f t="array" ref="I38">_xll.RiskOutput(,"matrix r25-37",191)+0</f>
        <v>0</v>
      </c>
      <c r="J38" s="685" cm="1">
        <f t="array" ref="J38">_xll.RiskOutput(,"matrix r25-37",192)+0</f>
        <v>0</v>
      </c>
      <c r="K38" s="685" cm="1">
        <f t="array" ref="K38">_xll.RiskOutput(,"matrix r25-37",193)+0</f>
        <v>0</v>
      </c>
      <c r="L38" s="685" cm="1">
        <f t="array" ref="L38">_xll.RiskOutput(,"matrix r25-37",194)+0</f>
        <v>0</v>
      </c>
      <c r="M38" s="685" cm="1">
        <f t="array" ref="M38">_xll.RiskOutput(,"matrix r25-37",195)+0</f>
        <v>0</v>
      </c>
      <c r="N38" s="685" cm="1">
        <f t="array" ref="N38">_xll.RiskOutput(,"matrix r25-37",196)+0</f>
        <v>0</v>
      </c>
      <c r="O38" s="685" cm="1">
        <f t="array" ref="O38">_xll.RiskOutput(,"matrix r25-37",197)+0</f>
        <v>0</v>
      </c>
      <c r="P38" s="685" cm="1">
        <f t="array" ref="P38">_xll.RiskOutput(,"matrix r25-37",198)+0</f>
        <v>0</v>
      </c>
      <c r="Q38" s="685" cm="1">
        <f t="array" ref="Q38">_xll.RiskOutput(,"matrix r25-37",199)+0</f>
        <v>0</v>
      </c>
      <c r="R38" s="90" cm="1">
        <f t="array" ref="R38">_xll.RiskOutput(,"matrix r25-37",200)+0</f>
        <v>0</v>
      </c>
      <c r="S38" s="685" cm="1">
        <f t="array" ref="S38">_xll.RiskOutput(,"matrix r25-37",201)+0</f>
        <v>0</v>
      </c>
      <c r="T38" s="685" cm="1">
        <f t="array" ref="T38">_xll.RiskOutput(,"matrix r25-37",202)+0</f>
        <v>0</v>
      </c>
      <c r="U38" s="685" cm="1">
        <f t="array" ref="U38">_xll.RiskOutput(,"matrix r25-37",203)+0</f>
        <v>0</v>
      </c>
      <c r="V38" s="685" cm="1">
        <f t="array" ref="V38">_xll.RiskOutput(,"matrix r25-37",204)+0</f>
        <v>0</v>
      </c>
      <c r="W38" s="685" cm="1">
        <f t="array" ref="W38">_xll.RiskOutput(,"matrix r25-37",205)+0</f>
        <v>0</v>
      </c>
      <c r="X38" s="685" cm="1">
        <f t="array" ref="X38">_xll.RiskOutput(,"matrix r25-37",206)+0</f>
        <v>0</v>
      </c>
      <c r="Y38" s="685" cm="1">
        <f t="array" ref="Y38">_xll.RiskOutput(,"matrix r25-37",207)+0</f>
        <v>0</v>
      </c>
      <c r="Z38" s="685" cm="1">
        <f t="array" ref="Z38">_xll.RiskOutput(,"matrix r25-37",208)+0</f>
        <v>0</v>
      </c>
      <c r="AA38" s="685" cm="1">
        <f t="array" ref="AA38">_xll.RiskOutput(,"matrix r25-37",209)+0</f>
        <v>0</v>
      </c>
      <c r="AB38" s="685" cm="1">
        <f t="array" ref="AB38">_xll.RiskOutput(,"matrix r25-37",210)+k.w3M.w3A</f>
        <v>0</v>
      </c>
      <c r="AC38" s="685" cm="1">
        <f t="array" ref="AC38">_xll.RiskOutput(,"matrix r25-37",211)+0</f>
        <v>0</v>
      </c>
      <c r="AD38" s="685" cm="1">
        <f t="array" ref="AD38">_xll.RiskOutput(,"matrix r25-37",212)+0</f>
        <v>0</v>
      </c>
      <c r="AE38" s="685" cm="1">
        <f t="array" ref="AE38">_xll.RiskOutput(,"matrix r25-37",213)+0</f>
        <v>0</v>
      </c>
      <c r="AF38" s="685" cm="1">
        <f t="array" ref="AF38">_xll.RiskOutput(,"matrix r25-37",214)+k.w2A.w3A</f>
        <v>2.6926123984947511E-7</v>
      </c>
      <c r="AG38" s="684" cm="1">
        <f t="array" aca="1" ref="AG38" ca="1">_xll.RiskOutput(,"matrix r25-37",215)+-k.w3A-SUM(AG9:AG37,AG39:AG45)</f>
        <v>-1.1252903014297382E-8</v>
      </c>
      <c r="AH38" s="685" cm="1">
        <f t="array" aca="1" ref="AH38" ca="1">_xll.RiskOutput(,"matrix r25-37",216)+k.sdA.w3A</f>
        <v>1.0029750285175677E-8</v>
      </c>
      <c r="AI38" s="685" cm="1">
        <f t="array" ref="AI38">_xll.RiskOutput(,"matrix r25-37",217)+0</f>
        <v>0</v>
      </c>
      <c r="AJ38" s="685" cm="1">
        <f t="array" ref="AJ38">_xll.RiskOutput(,"matrix r25-37",218)+0</f>
        <v>0</v>
      </c>
      <c r="AK38" s="685" cm="1">
        <f t="array" ref="AK38">_xll.RiskOutput(,"matrix r25-37",219)+0</f>
        <v>0</v>
      </c>
      <c r="AL38" s="685" cm="1">
        <f t="array" ref="AL38">_xll.RiskOutput(,"matrix r25-37",220)+0</f>
        <v>0</v>
      </c>
      <c r="AM38" s="685" cm="1">
        <f t="array" ref="AM38">_xll.RiskOutput(,"matrix r25-37",221)+0</f>
        <v>0</v>
      </c>
      <c r="AN38" s="686" cm="1">
        <f t="array" ref="AN38">_xll.RiskOutput(,"matrix r25-37",222)+0</f>
        <v>0</v>
      </c>
    </row>
    <row r="39" spans="1:40" ht="12.75" customHeight="1" x14ac:dyDescent="0.3">
      <c r="B39" s="92" t="s">
        <v>1481</v>
      </c>
      <c r="C39" s="90"/>
      <c r="D39" s="682" cm="1">
        <f t="array" ref="D39">_xll.RiskOutput(,"matrix r25-37",223)+0</f>
        <v>0</v>
      </c>
      <c r="E39" s="682" cm="1">
        <f t="array" ref="E39">_xll.RiskOutput(,"matrix r25-37",224)+0</f>
        <v>0</v>
      </c>
      <c r="F39" s="682" cm="1">
        <f t="array" ref="F39">_xll.RiskOutput(,"matrix r25-37",225)+0</f>
        <v>0</v>
      </c>
      <c r="G39" s="682" cm="1">
        <f t="array" ref="G39">_xll.RiskOutput(,"matrix r25-37",226)+0</f>
        <v>0</v>
      </c>
      <c r="H39" s="685" cm="1">
        <f t="array" ref="H39">_xll.RiskOutput(,"matrix r25-37",227)+0</f>
        <v>0</v>
      </c>
      <c r="I39" s="90" cm="1">
        <f t="array" ref="I39">_xll.RiskOutput(,"matrix r25-37",228)+0</f>
        <v>0</v>
      </c>
      <c r="J39" s="685" cm="1">
        <f t="array" ref="J39">_xll.RiskOutput(,"matrix r25-37",229)+0</f>
        <v>0</v>
      </c>
      <c r="K39" s="685" cm="1">
        <f t="array" ref="K39">_xll.RiskOutput(,"matrix r25-37",230)+0</f>
        <v>0</v>
      </c>
      <c r="L39" s="685" cm="1">
        <f t="array" ref="L39">_xll.RiskOutput(,"matrix r25-37",231)+0</f>
        <v>0</v>
      </c>
      <c r="M39" s="685" cm="1">
        <f t="array" ref="M39">_xll.RiskOutput(,"matrix r25-37",232)+0</f>
        <v>0</v>
      </c>
      <c r="N39" s="685" cm="1">
        <f t="array" ref="N39">_xll.RiskOutput(,"matrix r25-37",233)+0</f>
        <v>0</v>
      </c>
      <c r="O39" s="685" cm="1">
        <f t="array" ref="O39">_xll.RiskOutput(,"matrix r25-37",234)+0</f>
        <v>0</v>
      </c>
      <c r="P39" s="685" cm="1">
        <f t="array" ref="P39">_xll.RiskOutput(,"matrix r25-37",235)+0</f>
        <v>0</v>
      </c>
      <c r="Q39" s="685" cm="1">
        <f t="array" ref="Q39">_xll.RiskOutput(,"matrix r25-37",236)+0</f>
        <v>0</v>
      </c>
      <c r="R39" s="90" cm="1">
        <f t="array" ref="R39">_xll.RiskOutput(,"matrix r25-37",237)+0</f>
        <v>0</v>
      </c>
      <c r="S39" s="685" cm="1">
        <f t="array" ref="S39">_xll.RiskOutput(,"matrix r25-37",238)+0</f>
        <v>0</v>
      </c>
      <c r="T39" s="685" cm="1">
        <f t="array" ref="T39">_xll.RiskOutput(,"matrix r25-37",239)+0</f>
        <v>0</v>
      </c>
      <c r="U39" s="685" cm="1">
        <f t="array" ref="U39">_xll.RiskOutput(,"matrix r25-37",240)+0</f>
        <v>0</v>
      </c>
      <c r="V39" s="685" cm="1">
        <f t="array" ref="V39">_xll.RiskOutput(,"matrix r25-37",241)+0</f>
        <v>0</v>
      </c>
      <c r="W39" s="685" cm="1">
        <f t="array" ref="W39">_xll.RiskOutput(,"matrix r25-37",242)+0</f>
        <v>0</v>
      </c>
      <c r="X39" s="685" cm="1">
        <f t="array" ref="X39">_xll.RiskOutput(,"matrix r25-37",243)+0</f>
        <v>0</v>
      </c>
      <c r="Y39" s="685" cm="1">
        <f t="array" ref="Y39">_xll.RiskOutput(,"matrix r25-37",244)+0</f>
        <v>0</v>
      </c>
      <c r="Z39" s="685" cm="1">
        <f t="array" ref="Z39">_xll.RiskOutput(,"matrix r25-37",245)+0</f>
        <v>0</v>
      </c>
      <c r="AA39" s="685" cm="1">
        <f t="array" ref="AA39">_xll.RiskOutput(,"matrix r25-37",246)+0</f>
        <v>0</v>
      </c>
      <c r="AB39" s="685" cm="1">
        <f t="array" ref="AB39">_xll.RiskOutput(,"matrix r25-37",247)+0</f>
        <v>0</v>
      </c>
      <c r="AC39" s="685" cm="1">
        <f t="array" ref="AC39">_xll.RiskOutput(,"matrix r25-37",248)+0</f>
        <v>0</v>
      </c>
      <c r="AD39" s="685" cm="1">
        <f t="array" ref="AD39">_xll.RiskOutput(,"matrix r25-37",249)+0</f>
        <v>0</v>
      </c>
      <c r="AE39" s="685" cm="1">
        <f t="array" ref="AE39">_xll.RiskOutput(,"matrix r25-37",250)+0</f>
        <v>0</v>
      </c>
      <c r="AF39" s="90" cm="1">
        <f t="array" ref="AF39">_xll.RiskOutput(,"matrix r25-37",251)+0</f>
        <v>0</v>
      </c>
      <c r="AG39" s="685" cm="1">
        <f t="array" aca="1" ref="AG39" ca="1">_xll.RiskOutput(,"matrix r25-37",252)+k.w3A.sdA</f>
        <v>3.1674403892186581E-10</v>
      </c>
      <c r="AH39" s="684" cm="1">
        <f t="array" aca="1" ref="AH39" ca="1">_xll.RiskOutput(,"matrix r25-37",253)+-k.sdA-SUM(AH9:AH38,AH40:AH45)</f>
        <v>-1.0031864271308812E-8</v>
      </c>
      <c r="AI39" s="685" cm="1">
        <f t="array" ref="AI39">_xll.RiskOutput(,"matrix r25-37",254)+0</f>
        <v>0</v>
      </c>
      <c r="AJ39" s="685" cm="1">
        <f t="array" ref="AJ39">_xll.RiskOutput(,"matrix r25-37",255)+0</f>
        <v>0</v>
      </c>
      <c r="AK39" s="685" cm="1">
        <f t="array" ref="AK39">_xll.RiskOutput(,"matrix r25-37",256)+0</f>
        <v>0</v>
      </c>
      <c r="AL39" s="685" cm="1">
        <f t="array" ref="AL39">_xll.RiskOutput(,"matrix r25-37",257)+0</f>
        <v>0</v>
      </c>
      <c r="AM39" s="685" cm="1">
        <f t="array" ref="AM39">_xll.RiskOutput(,"matrix r25-37",258)+0</f>
        <v>0</v>
      </c>
      <c r="AN39" s="686" cm="1">
        <f t="array" ref="AN39">_xll.RiskOutput(,"matrix r25-37",259)+0</f>
        <v>0</v>
      </c>
    </row>
    <row r="40" spans="1:40" ht="12.75" customHeight="1" x14ac:dyDescent="0.3">
      <c r="B40" s="93" t="s">
        <v>1482</v>
      </c>
      <c r="C40" s="90"/>
      <c r="D40" s="682" cm="1">
        <f t="array" ref="D40">_xll.RiskOutput(,"matrix r25-37",260)+0</f>
        <v>0</v>
      </c>
      <c r="E40" s="682" cm="1">
        <f t="array" ref="E40">_xll.RiskOutput(,"matrix r25-37",261)+0</f>
        <v>0</v>
      </c>
      <c r="F40" s="682" cm="1">
        <f t="array" ref="F40">_xll.RiskOutput(,"matrix r25-37",262)+0</f>
        <v>0</v>
      </c>
      <c r="G40" s="682" cm="1">
        <f t="array" ref="G40">_xll.RiskOutput(,"matrix r25-37",263)+0</f>
        <v>0</v>
      </c>
      <c r="H40" s="685" cm="1">
        <f t="array" ref="H40">_xll.RiskOutput(,"matrix r25-37",264)+0</f>
        <v>0</v>
      </c>
      <c r="I40" s="90" cm="1">
        <f t="array" ref="I40">_xll.RiskOutput(,"matrix r25-37",265)+0</f>
        <v>0</v>
      </c>
      <c r="J40" s="685" cm="1">
        <f t="array" ref="J40">_xll.RiskOutput(,"matrix r25-37",266)+0</f>
        <v>0</v>
      </c>
      <c r="K40" s="685" cm="1">
        <f t="array" ref="K40">_xll.RiskOutput(,"matrix r25-37",267)+0</f>
        <v>0</v>
      </c>
      <c r="L40" s="685" cm="1">
        <f t="array" ref="L40">_xll.RiskOutput(,"matrix r25-37",268)+0</f>
        <v>0</v>
      </c>
      <c r="M40" s="685" cm="1">
        <f t="array" ref="M40">_xll.RiskOutput(,"matrix r25-37",269)+0</f>
        <v>0</v>
      </c>
      <c r="N40" s="685" cm="1">
        <f t="array" ref="N40">_xll.RiskOutput(,"matrix r25-37",270)+0</f>
        <v>0</v>
      </c>
      <c r="O40" s="685" cm="1">
        <f t="array" ref="O40">_xll.RiskOutput(,"matrix r25-37",271)+0</f>
        <v>0</v>
      </c>
      <c r="P40" s="685" cm="1">
        <f t="array" ref="P40">_xll.RiskOutput(,"matrix r25-37",272)+0</f>
        <v>0</v>
      </c>
      <c r="Q40" s="685" cm="1">
        <f t="array" ref="Q40">_xll.RiskOutput(,"matrix r25-37",273)+0</f>
        <v>0</v>
      </c>
      <c r="R40" s="90" cm="1">
        <f t="array" ref="R40">_xll.RiskOutput(,"matrix r25-37",274)+0</f>
        <v>0</v>
      </c>
      <c r="S40" s="685" cm="1">
        <f t="array" ref="S40">_xll.RiskOutput(,"matrix r25-37",275)+0</f>
        <v>0</v>
      </c>
      <c r="T40" s="685" cm="1">
        <f t="array" ref="T40">_xll.RiskOutput(,"matrix r25-37",276)+0</f>
        <v>0</v>
      </c>
      <c r="U40" s="685" cm="1">
        <f t="array" ref="U40">_xll.RiskOutput(,"matrix r25-37",277)+0</f>
        <v>0</v>
      </c>
      <c r="V40" s="685" cm="1">
        <f t="array" ref="V40">_xll.RiskOutput(,"matrix r25-37",278)+0</f>
        <v>0</v>
      </c>
      <c r="W40" s="685" cm="1">
        <f t="array" ref="W40">_xll.RiskOutput(,"matrix r25-37",279)+0</f>
        <v>0</v>
      </c>
      <c r="X40" s="685" cm="1">
        <f t="array" ref="X40">_xll.RiskOutput(,"matrix r25-37",280)+0</f>
        <v>0</v>
      </c>
      <c r="Y40" s="685" cm="1">
        <f t="array" ref="Y40">_xll.RiskOutput(,"matrix r25-37",281)+0</f>
        <v>0</v>
      </c>
      <c r="Z40" s="685" cm="1">
        <f t="array" ref="Z40">_xll.RiskOutput(,"matrix r25-37",282)+0</f>
        <v>0</v>
      </c>
      <c r="AA40" s="685" cm="1">
        <f t="array" ref="AA40">_xll.RiskOutput(,"matrix r25-37",283)+0</f>
        <v>0</v>
      </c>
      <c r="AB40" s="685" cm="1">
        <f t="array" ref="AB40">_xll.RiskOutput(,"matrix r25-37",284)+0</f>
        <v>0</v>
      </c>
      <c r="AC40" s="685" cm="1">
        <f t="array" ref="AC40">_xll.RiskOutput(,"matrix r25-37",285)+0</f>
        <v>0</v>
      </c>
      <c r="AD40" s="685" cm="1">
        <f t="array" ref="AD40">_xll.RiskOutput(,"matrix r25-37",286)+0</f>
        <v>0</v>
      </c>
      <c r="AE40" s="90" cm="1">
        <f t="array" aca="1" ref="AE40" ca="1">_xll.RiskOutput(,"matrix r25-37",287)+k.aA.sA</f>
        <v>3.2233176891352007E-6</v>
      </c>
      <c r="AF40" s="685" cm="1">
        <f t="array" ref="AF40">_xll.RiskOutput(,"matrix r25-37",288)+0</f>
        <v>0</v>
      </c>
      <c r="AG40" s="685" cm="1">
        <f t="array" ref="AG40">_xll.RiskOutput(,"matrix r25-37",289)+0</f>
        <v>0</v>
      </c>
      <c r="AH40" s="685" cm="1">
        <f t="array" ref="AH40">_xll.RiskOutput(,"matrix r25-37",290)+0</f>
        <v>0</v>
      </c>
      <c r="AI40" s="684" cm="1">
        <f t="array" aca="1" ref="AI40" ca="1">_xll.RiskOutput(,"matrix r25-37",291)+-k.sA-SUM(AI9:AI39,AI41:AI45)</f>
        <v>-4.9381554569554752E-11</v>
      </c>
      <c r="AJ40" s="685" cm="1">
        <f t="array" ref="AJ40">_xll.RiskOutput(,"matrix r25-37",292)+0</f>
        <v>0</v>
      </c>
      <c r="AK40" s="685" cm="1">
        <f t="array" ref="AK40">_xll.RiskOutput(,"matrix r25-37",293)+0</f>
        <v>0</v>
      </c>
      <c r="AL40" s="685" cm="1">
        <f t="array" ref="AL40">_xll.RiskOutput(,"matrix r25-37",294)+0</f>
        <v>0</v>
      </c>
      <c r="AM40" s="685" cm="1">
        <f t="array" ref="AM40">_xll.RiskOutput(,"matrix r25-37",295)+0</f>
        <v>0</v>
      </c>
      <c r="AN40" s="686" cm="1">
        <f t="array" ref="AN40">_xll.RiskOutput(,"matrix r25-37",296)+0</f>
        <v>0</v>
      </c>
    </row>
    <row r="41" spans="1:40" ht="12.75" customHeight="1" x14ac:dyDescent="0.3">
      <c r="B41" s="92" t="s">
        <v>1483</v>
      </c>
      <c r="C41" s="90"/>
      <c r="D41" s="682" cm="1">
        <f t="array" ref="D41">_xll.RiskOutput(,"matrix r25-37",297)+0</f>
        <v>0</v>
      </c>
      <c r="E41" s="682" cm="1">
        <f t="array" ref="E41">_xll.RiskOutput(,"matrix r25-37",298)+0</f>
        <v>0</v>
      </c>
      <c r="F41" s="682" cm="1">
        <f t="array" ref="F41">_xll.RiskOutput(,"matrix r25-37",299)+0</f>
        <v>0</v>
      </c>
      <c r="G41" s="682" cm="1">
        <f t="array" ref="G41">_xll.RiskOutput(,"matrix r25-37",300)+0</f>
        <v>0</v>
      </c>
      <c r="H41" s="685" cm="1">
        <f t="array" ref="H41">_xll.RiskOutput(,"matrix r25-37",301)+0</f>
        <v>0</v>
      </c>
      <c r="I41" s="90" cm="1">
        <f t="array" ref="I41">_xll.RiskOutput(,"matrix r25-37",302)+0</f>
        <v>0</v>
      </c>
      <c r="J41" s="685" cm="1">
        <f t="array" ref="J41">_xll.RiskOutput(,"matrix r25-37",303)+0</f>
        <v>0</v>
      </c>
      <c r="K41" s="685" cm="1">
        <f t="array" ref="K41">_xll.RiskOutput(,"matrix r25-37",304)+0</f>
        <v>0</v>
      </c>
      <c r="L41" s="685" cm="1">
        <f t="array" ref="L41">_xll.RiskOutput(,"matrix r25-37",305)+0</f>
        <v>0</v>
      </c>
      <c r="M41" s="685" cm="1">
        <f t="array" ref="M41">_xll.RiskOutput(,"matrix r25-37",306)+0</f>
        <v>0</v>
      </c>
      <c r="N41" s="685" cm="1">
        <f t="array" ref="N41">_xll.RiskOutput(,"matrix r25-37",307)+0</f>
        <v>0</v>
      </c>
      <c r="O41" s="685" cm="1">
        <f t="array" ref="O41">_xll.RiskOutput(,"matrix r25-37",308)+0</f>
        <v>0</v>
      </c>
      <c r="P41" s="685" cm="1">
        <f t="array" ref="P41">_xll.RiskOutput(,"matrix r25-37",309)+0</f>
        <v>0</v>
      </c>
      <c r="Q41" s="685" cm="1">
        <f t="array" ref="Q41">_xll.RiskOutput(,"matrix r25-37",310)+0</f>
        <v>0</v>
      </c>
      <c r="R41" s="90" cm="1">
        <f t="array" ref="R41">_xll.RiskOutput(,"matrix r25-37",311)+0</f>
        <v>0</v>
      </c>
      <c r="S41" s="685" cm="1">
        <f t="array" ref="S41">_xll.RiskOutput(,"matrix r25-37",312)+0</f>
        <v>0</v>
      </c>
      <c r="T41" s="685" cm="1">
        <f t="array" ref="T41">_xll.RiskOutput(,"matrix r25-37",313)+0</f>
        <v>0</v>
      </c>
      <c r="U41" s="685" cm="1">
        <f t="array" ref="U41">_xll.RiskOutput(,"matrix r25-37",314)+0</f>
        <v>0</v>
      </c>
      <c r="V41" s="685" cm="1">
        <f t="array" ref="V41">_xll.RiskOutput(,"matrix r25-37",315)+0</f>
        <v>0</v>
      </c>
      <c r="W41" s="685" cm="1">
        <f t="array" ref="W41">_xll.RiskOutput(,"matrix r25-37",316)+0</f>
        <v>0</v>
      </c>
      <c r="X41" s="685" cm="1">
        <f t="array" ref="X41">_xll.RiskOutput(,"matrix r25-37",317)+0</f>
        <v>0</v>
      </c>
      <c r="Y41" s="685" cm="1">
        <f t="array" ref="Y41">_xll.RiskOutput(,"matrix r25-37",318)+0</f>
        <v>0</v>
      </c>
      <c r="Z41" s="90" cm="1">
        <f t="array" ref="Z41">_xll.RiskOutput(,"matrix r25-37",319)+k.aM.aT</f>
        <v>4.9943605145181346E-7</v>
      </c>
      <c r="AA41" s="685" cm="1">
        <f t="array" ref="AA41">_xll.RiskOutput(,"matrix r25-37",320)+0</f>
        <v>0</v>
      </c>
      <c r="AB41" s="685" cm="1">
        <f t="array" ref="AB41">_xll.RiskOutput(,"matrix r25-37",321)+0</f>
        <v>0</v>
      </c>
      <c r="AC41" s="685" cm="1">
        <f t="array" ref="AC41">_xll.RiskOutput(,"matrix r25-37",322)+0</f>
        <v>0</v>
      </c>
      <c r="AD41" s="685" cm="1">
        <f t="array" ref="AD41">_xll.RiskOutput(,"matrix r25-37",323)+0</f>
        <v>0</v>
      </c>
      <c r="AE41" s="685" cm="1">
        <f t="array" ref="AE41">_xll.RiskOutput(,"matrix r25-37",324)+0</f>
        <v>0</v>
      </c>
      <c r="AF41" s="685" cm="1">
        <f t="array" ref="AF41">_xll.RiskOutput(,"matrix r25-37",325)+0</f>
        <v>0</v>
      </c>
      <c r="AG41" s="685" cm="1">
        <f t="array" ref="AG41">_xll.RiskOutput(,"matrix r25-37",326)+0</f>
        <v>0</v>
      </c>
      <c r="AH41" s="685" cm="1">
        <f t="array" ref="AH41">_xll.RiskOutput(,"matrix r25-37",327)+0</f>
        <v>0</v>
      </c>
      <c r="AI41" s="685" cm="1">
        <f t="array" ref="AI41">_xll.RiskOutput(,"matrix r25-37",328)+0</f>
        <v>0</v>
      </c>
      <c r="AJ41" s="684" cm="1">
        <f t="array" aca="1" ref="AJ41" ca="1">_xll.RiskOutput(,"matrix r25-37",329)+-k.aT-SUM(AJ9:AJ40,AJ42:AJ45)</f>
        <v>-8.4122738683762313E-6</v>
      </c>
      <c r="AK41" s="90" cm="1">
        <f t="array" aca="1" ref="AK41" ca="1">_xll.RiskOutput(,"matrix r25-37",330)+k.w2T.aT</f>
        <v>5.4035152395241643E-25</v>
      </c>
      <c r="AL41" s="685" cm="1">
        <f t="array" ref="AL41">_xll.RiskOutput(,"matrix r25-37",331)+0</f>
        <v>0</v>
      </c>
      <c r="AM41" s="685" cm="1">
        <f t="array" ref="AM41">_xll.RiskOutput(,"matrix r25-37",332)+0</f>
        <v>0</v>
      </c>
      <c r="AN41" s="687" cm="1">
        <f t="array" aca="1" ref="AN41" ca="1">_xll.RiskOutput(,"matrix r25-37",333)+k.sT.aT</f>
        <v>1.3235694478630747E-25</v>
      </c>
    </row>
    <row r="42" spans="1:40" ht="12.75" customHeight="1" x14ac:dyDescent="0.3">
      <c r="B42" s="93" t="s">
        <v>1484</v>
      </c>
      <c r="C42" s="90"/>
      <c r="D42" s="682" cm="1">
        <f t="array" ref="D42">_xll.RiskOutput(,"matrix r25-37",334)+0</f>
        <v>0</v>
      </c>
      <c r="E42" s="682" cm="1">
        <f t="array" ref="E42">_xll.RiskOutput(,"matrix r25-37",335)+0</f>
        <v>0</v>
      </c>
      <c r="F42" s="682" cm="1">
        <f t="array" ref="F42">_xll.RiskOutput(,"matrix r25-37",336)+0</f>
        <v>0</v>
      </c>
      <c r="G42" s="682" cm="1">
        <f t="array" ref="G42">_xll.RiskOutput(,"matrix r25-37",337)+0</f>
        <v>0</v>
      </c>
      <c r="H42" s="685" cm="1">
        <f t="array" ref="H42">_xll.RiskOutput(,"matrix r25-37",338)+0</f>
        <v>0</v>
      </c>
      <c r="I42" s="90" cm="1">
        <f t="array" ref="I42">_xll.RiskOutput(,"matrix r25-37",339)+0</f>
        <v>0</v>
      </c>
      <c r="J42" s="685" cm="1">
        <f t="array" ref="J42">_xll.RiskOutput(,"matrix r25-37",340)+0</f>
        <v>0</v>
      </c>
      <c r="K42" s="685" cm="1">
        <f t="array" ref="K42">_xll.RiskOutput(,"matrix r25-37",341)+0</f>
        <v>0</v>
      </c>
      <c r="L42" s="685" cm="1">
        <f t="array" ref="L42">_xll.RiskOutput(,"matrix r25-37",342)+0</f>
        <v>0</v>
      </c>
      <c r="M42" s="685" cm="1">
        <f t="array" ref="M42">_xll.RiskOutput(,"matrix r25-37",343)+0</f>
        <v>0</v>
      </c>
      <c r="N42" s="685" cm="1">
        <f t="array" ref="N42">_xll.RiskOutput(,"matrix r25-37",344)+0</f>
        <v>0</v>
      </c>
      <c r="O42" s="685" cm="1">
        <f t="array" ref="O42">_xll.RiskOutput(,"matrix r25-37",345)+0</f>
        <v>0</v>
      </c>
      <c r="P42" s="685" cm="1">
        <f t="array" ref="P42">_xll.RiskOutput(,"matrix r25-37",346)+0</f>
        <v>0</v>
      </c>
      <c r="Q42" s="685" cm="1">
        <f t="array" ref="Q42">_xll.RiskOutput(,"matrix r25-37",347)+0</f>
        <v>0</v>
      </c>
      <c r="R42" s="90" cm="1">
        <f t="array" ref="R42">_xll.RiskOutput(,"matrix r25-37",348)+0</f>
        <v>0</v>
      </c>
      <c r="S42" s="685" cm="1">
        <f t="array" ref="S42">_xll.RiskOutput(,"matrix r25-37",349)+0</f>
        <v>0</v>
      </c>
      <c r="T42" s="685" cm="1">
        <f t="array" ref="T42">_xll.RiskOutput(,"matrix r25-37",350)+0</f>
        <v>0</v>
      </c>
      <c r="U42" s="685" cm="1">
        <f t="array" ref="U42">_xll.RiskOutput(,"matrix r25-37",351)+0</f>
        <v>0</v>
      </c>
      <c r="V42" s="685" cm="1">
        <f t="array" ref="V42">_xll.RiskOutput(,"matrix r25-37",352)+0</f>
        <v>0</v>
      </c>
      <c r="W42" s="685" cm="1">
        <f t="array" ref="W42">_xll.RiskOutput(,"matrix r25-37",353)+0</f>
        <v>0</v>
      </c>
      <c r="X42" s="685" cm="1">
        <f t="array" ref="X42">_xll.RiskOutput(,"matrix r25-37",354)+0</f>
        <v>0</v>
      </c>
      <c r="Y42" s="685" cm="1">
        <f t="array" ref="Y42">_xll.RiskOutput(,"matrix r25-37",355)+0</f>
        <v>0</v>
      </c>
      <c r="Z42" s="685" cm="1">
        <f t="array" ref="Z42">_xll.RiskOutput(,"matrix r25-37",356)+0</f>
        <v>0</v>
      </c>
      <c r="AA42" s="90" cm="1">
        <f t="array" ref="AA42">_xll.RiskOutput(,"matrix r25-37",357)+k.w2M.w2T</f>
        <v>0</v>
      </c>
      <c r="AB42" s="685" cm="1">
        <f t="array" ref="AB42">_xll.RiskOutput(,"matrix r25-37",358)+0</f>
        <v>0</v>
      </c>
      <c r="AC42" s="685" cm="1">
        <f t="array" ref="AC42">_xll.RiskOutput(,"matrix r25-37",359)+0</f>
        <v>0</v>
      </c>
      <c r="AD42" s="685" cm="1">
        <f t="array" ref="AD42">_xll.RiskOutput(,"matrix r25-37",360)+0</f>
        <v>0</v>
      </c>
      <c r="AE42" s="685" cm="1">
        <f t="array" ref="AE42">_xll.RiskOutput(,"matrix r25-37",361)+0</f>
        <v>0</v>
      </c>
      <c r="AF42" s="685" cm="1">
        <f t="array" ref="AF42">_xll.RiskOutput(,"matrix r25-37",362)+0</f>
        <v>0</v>
      </c>
      <c r="AG42" s="685" cm="1">
        <f t="array" ref="AG42">_xll.RiskOutput(,"matrix r25-37",363)+0</f>
        <v>0</v>
      </c>
      <c r="AH42" s="685" cm="1">
        <f t="array" ref="AH42">_xll.RiskOutput(,"matrix r25-37",364)+0</f>
        <v>0</v>
      </c>
      <c r="AI42" s="685" cm="1">
        <f t="array" ref="AI42">_xll.RiskOutput(,"matrix r25-37",365)+0</f>
        <v>0</v>
      </c>
      <c r="AJ42" s="90" cm="1">
        <f t="array" aca="1" ref="AJ42" ca="1">_xll.RiskOutput(,"matrix r25-37",366)+k.aT.w2T</f>
        <v>5.678480308706855E-6</v>
      </c>
      <c r="AK42" s="684" cm="1">
        <f t="array" aca="1" ref="AK42" ca="1">_xll.RiskOutput(,"matrix r25-37",367)+-k.w2T-SUM(AK9:AK41,AK43:AK45)</f>
        <v>-2.4405115581587137E-7</v>
      </c>
      <c r="AL42" s="685" cm="1">
        <f t="array" ref="AL42">_xll.RiskOutput(,"matrix r25-37",368)+k.w3T.w2T</f>
        <v>7.5748144375595357E-9</v>
      </c>
      <c r="AM42" s="90" cm="1">
        <f t="array" ref="AM42">_xll.RiskOutput(,"matrix r25-37",369)+0</f>
        <v>0</v>
      </c>
      <c r="AN42" s="687" cm="1">
        <f t="array" aca="1" ref="AN42" ca="1">_xll.RiskOutput(,"matrix r25-37",370)+k.sT.w2T</f>
        <v>1.5436318331323376E-10</v>
      </c>
    </row>
    <row r="43" spans="1:40" ht="12.75" customHeight="1" x14ac:dyDescent="0.3">
      <c r="B43" s="93" t="s">
        <v>1485</v>
      </c>
      <c r="C43" s="90"/>
      <c r="D43" s="682" cm="1">
        <f t="array" ref="D43">_xll.RiskOutput(,"matrix r25-37",371)+0</f>
        <v>0</v>
      </c>
      <c r="E43" s="682" cm="1">
        <f t="array" ref="E43">_xll.RiskOutput(,"matrix r25-37",372)+0</f>
        <v>0</v>
      </c>
      <c r="F43" s="682" cm="1">
        <f t="array" ref="F43">_xll.RiskOutput(,"matrix r25-37",373)+0</f>
        <v>0</v>
      </c>
      <c r="G43" s="682" cm="1">
        <f t="array" ref="G43">_xll.RiskOutput(,"matrix r25-37",374)+0</f>
        <v>0</v>
      </c>
      <c r="H43" s="685" cm="1">
        <f t="array" ref="H43">_xll.RiskOutput(,"matrix r25-37",375)+0</f>
        <v>0</v>
      </c>
      <c r="I43" s="90" cm="1">
        <f t="array" ref="I43">_xll.RiskOutput(,"matrix r25-37",376)+0</f>
        <v>0</v>
      </c>
      <c r="J43" s="685" cm="1">
        <f t="array" ref="J43">_xll.RiskOutput(,"matrix r25-37",377)+0</f>
        <v>0</v>
      </c>
      <c r="K43" s="685" cm="1">
        <f t="array" ref="K43">_xll.RiskOutput(,"matrix r25-37",378)+0</f>
        <v>0</v>
      </c>
      <c r="L43" s="685" cm="1">
        <f t="array" ref="L43">_xll.RiskOutput(,"matrix r25-37",379)+0</f>
        <v>0</v>
      </c>
      <c r="M43" s="685" cm="1">
        <f t="array" ref="M43">_xll.RiskOutput(,"matrix r25-37",380)+0</f>
        <v>0</v>
      </c>
      <c r="N43" s="685" cm="1">
        <f t="array" ref="N43">_xll.RiskOutput(,"matrix r25-37",381)+0</f>
        <v>0</v>
      </c>
      <c r="O43" s="685" cm="1">
        <f t="array" ref="O43">_xll.RiskOutput(,"matrix r25-37",382)+0</f>
        <v>0</v>
      </c>
      <c r="P43" s="685" cm="1">
        <f t="array" ref="P43">_xll.RiskOutput(,"matrix r25-37",383)+0</f>
        <v>0</v>
      </c>
      <c r="Q43" s="685" cm="1">
        <f t="array" ref="Q43">_xll.RiskOutput(,"matrix r25-37",384)+0</f>
        <v>0</v>
      </c>
      <c r="R43" s="90" cm="1">
        <f t="array" ref="R43">_xll.RiskOutput(,"matrix r25-37",385)+0</f>
        <v>0</v>
      </c>
      <c r="S43" s="685" cm="1">
        <f t="array" ref="S43">_xll.RiskOutput(,"matrix r25-37",386)+0</f>
        <v>0</v>
      </c>
      <c r="T43" s="685" cm="1">
        <f t="array" ref="T43">_xll.RiskOutput(,"matrix r25-37",387)+0</f>
        <v>0</v>
      </c>
      <c r="U43" s="685" cm="1">
        <f t="array" ref="U43">_xll.RiskOutput(,"matrix r25-37",388)+0</f>
        <v>0</v>
      </c>
      <c r="V43" s="685" cm="1">
        <f t="array" ref="V43">_xll.RiskOutput(,"matrix r25-37",389)+0</f>
        <v>0</v>
      </c>
      <c r="W43" s="685" cm="1">
        <f t="array" ref="W43">_xll.RiskOutput(,"matrix r25-37",390)+0</f>
        <v>0</v>
      </c>
      <c r="X43" s="685" cm="1">
        <f t="array" ref="X43">_xll.RiskOutput(,"matrix r25-37",391)+0</f>
        <v>0</v>
      </c>
      <c r="Y43" s="685" cm="1">
        <f t="array" ref="Y43">_xll.RiskOutput(,"matrix r25-37",392)+0</f>
        <v>0</v>
      </c>
      <c r="Z43" s="685" cm="1">
        <f t="array" ref="Z43">_xll.RiskOutput(,"matrix r25-37",393)+0</f>
        <v>0</v>
      </c>
      <c r="AA43" s="685" cm="1">
        <f t="array" ref="AA43">_xll.RiskOutput(,"matrix r25-37",394)+0</f>
        <v>0</v>
      </c>
      <c r="AB43" s="685" cm="1">
        <f t="array" ref="AB43">_xll.RiskOutput(,"matrix r25-37",395)+k.w3M.w3T</f>
        <v>1.3066175343630613E-9</v>
      </c>
      <c r="AC43" s="685" cm="1">
        <f t="array" ref="AC43">_xll.RiskOutput(,"matrix r25-37",396)+0</f>
        <v>0</v>
      </c>
      <c r="AD43" s="685" cm="1">
        <f t="array" ref="AD43">_xll.RiskOutput(,"matrix r25-37",397)+0</f>
        <v>0</v>
      </c>
      <c r="AE43" s="685" cm="1">
        <f t="array" ref="AE43">_xll.RiskOutput(,"matrix r25-37",398)+0</f>
        <v>0</v>
      </c>
      <c r="AF43" s="685" cm="1">
        <f t="array" ref="AF43">_xll.RiskOutput(,"matrix r25-37",399)+0</f>
        <v>0</v>
      </c>
      <c r="AG43" s="685" cm="1">
        <f t="array" ref="AG43">_xll.RiskOutput(,"matrix r25-37",400)+0</f>
        <v>0</v>
      </c>
      <c r="AH43" s="685" cm="1">
        <f t="array" ref="AH43">_xll.RiskOutput(,"matrix r25-37",401)+0</f>
        <v>0</v>
      </c>
      <c r="AI43" s="685" cm="1">
        <f t="array" ref="AI43">_xll.RiskOutput(,"matrix r25-37",402)+0</f>
        <v>0</v>
      </c>
      <c r="AJ43" s="685" cm="1">
        <f t="array" ref="AJ43">_xll.RiskOutput(,"matrix r25-37",403)+0</f>
        <v>0</v>
      </c>
      <c r="AK43" s="685" cm="1">
        <f t="array" ref="AK43">_xll.RiskOutput(,"matrix r25-37",404)+k.w2T.w3T</f>
        <v>2.2724443312678606E-7</v>
      </c>
      <c r="AL43" s="684" cm="1">
        <f t="array" aca="1" ref="AL43" ca="1">_xll.RiskOutput(,"matrix r25-37",405)+-k.w3T-SUM(AL9:AL42,AL44:AL45)</f>
        <v>-7.8915584764910823E-9</v>
      </c>
      <c r="AM43" s="685" cm="1">
        <f t="array" aca="1" ref="AM43" ca="1">_xll.RiskOutput(,"matrix r25-37",406)+k.sdT.w3T</f>
        <v>1.0029750285175677E-8</v>
      </c>
      <c r="AN43" s="686" cm="1">
        <f t="array" ref="AN43">_xll.RiskOutput(,"matrix r25-37",407)+0</f>
        <v>0</v>
      </c>
    </row>
    <row r="44" spans="1:40" ht="12.75" customHeight="1" x14ac:dyDescent="0.3">
      <c r="B44" s="92" t="s">
        <v>1486</v>
      </c>
      <c r="C44" s="90"/>
      <c r="D44" s="682" cm="1">
        <f t="array" ref="D44">_xll.RiskOutput(,"matrix r25-37",408)+0</f>
        <v>0</v>
      </c>
      <c r="E44" s="682" cm="1">
        <f t="array" ref="E44">_xll.RiskOutput(,"matrix r25-37",409)+0</f>
        <v>0</v>
      </c>
      <c r="F44" s="682" cm="1">
        <f t="array" ref="F44">_xll.RiskOutput(,"matrix r25-37",410)+0</f>
        <v>0</v>
      </c>
      <c r="G44" s="682" cm="1">
        <f t="array" ref="G44">_xll.RiskOutput(,"matrix r25-37",411)+0</f>
        <v>0</v>
      </c>
      <c r="H44" s="685" cm="1">
        <f t="array" ref="H44">_xll.RiskOutput(,"matrix r25-37",412)+0</f>
        <v>0</v>
      </c>
      <c r="I44" s="90" cm="1">
        <f t="array" ref="I44">_xll.RiskOutput(,"matrix r25-37",413)+0</f>
        <v>0</v>
      </c>
      <c r="J44" s="685" cm="1">
        <f t="array" ref="J44">_xll.RiskOutput(,"matrix r25-37",414)+0</f>
        <v>0</v>
      </c>
      <c r="K44" s="685" cm="1">
        <f t="array" ref="K44">_xll.RiskOutput(,"matrix r25-37",415)+0</f>
        <v>0</v>
      </c>
      <c r="L44" s="685" cm="1">
        <f t="array" ref="L44">_xll.RiskOutput(,"matrix r25-37",416)+0</f>
        <v>0</v>
      </c>
      <c r="M44" s="685" cm="1">
        <f t="array" ref="M44">_xll.RiskOutput(,"matrix r25-37",417)+0</f>
        <v>0</v>
      </c>
      <c r="N44" s="685" cm="1">
        <f t="array" ref="N44">_xll.RiskOutput(,"matrix r25-37",418)+0</f>
        <v>0</v>
      </c>
      <c r="O44" s="685" cm="1">
        <f t="array" ref="O44">_xll.RiskOutput(,"matrix r25-37",419)+0</f>
        <v>0</v>
      </c>
      <c r="P44" s="685" cm="1">
        <f t="array" ref="P44">_xll.RiskOutput(,"matrix r25-37",420)+0</f>
        <v>0</v>
      </c>
      <c r="Q44" s="685" cm="1">
        <f t="array" ref="Q44">_xll.RiskOutput(,"matrix r25-37",421)+0</f>
        <v>0</v>
      </c>
      <c r="R44" s="90" cm="1">
        <f t="array" ref="R44">_xll.RiskOutput(,"matrix r25-37",422)+0</f>
        <v>0</v>
      </c>
      <c r="S44" s="685" cm="1">
        <f t="array" ref="S44">_xll.RiskOutput(,"matrix r25-37",423)+0</f>
        <v>0</v>
      </c>
      <c r="T44" s="685" cm="1">
        <f t="array" ref="T44">_xll.RiskOutput(,"matrix r25-37",424)+0</f>
        <v>0</v>
      </c>
      <c r="U44" s="685" cm="1">
        <f t="array" ref="U44">_xll.RiskOutput(,"matrix r25-37",425)+0</f>
        <v>0</v>
      </c>
      <c r="V44" s="685" cm="1">
        <f t="array" ref="V44">_xll.RiskOutput(,"matrix r25-37",426)+0</f>
        <v>0</v>
      </c>
      <c r="W44" s="685" cm="1">
        <f t="array" ref="W44">_xll.RiskOutput(,"matrix r25-37",427)+0</f>
        <v>0</v>
      </c>
      <c r="X44" s="685" cm="1">
        <f t="array" ref="X44">_xll.RiskOutput(,"matrix r25-37",428)+0</f>
        <v>0</v>
      </c>
      <c r="Y44" s="685" cm="1">
        <f t="array" ref="Y44">_xll.RiskOutput(,"matrix r25-37",429)+0</f>
        <v>0</v>
      </c>
      <c r="Z44" s="685" cm="1">
        <f t="array" ref="Z44">_xll.RiskOutput(,"matrix r25-37",430)+0</f>
        <v>0</v>
      </c>
      <c r="AA44" s="685" cm="1">
        <f t="array" ref="AA44">_xll.RiskOutput(,"matrix r25-37",431)+0</f>
        <v>0</v>
      </c>
      <c r="AB44" s="685" cm="1">
        <f t="array" ref="AB44">_xll.RiskOutput(,"matrix r25-37",432)+0</f>
        <v>0</v>
      </c>
      <c r="AC44" s="685" cm="1">
        <f t="array" ref="AC44">_xll.RiskOutput(,"matrix r25-37",433)+0</f>
        <v>0</v>
      </c>
      <c r="AD44" s="685" cm="1">
        <f t="array" ref="AD44">_xll.RiskOutput(,"matrix r25-37",434)+0</f>
        <v>0</v>
      </c>
      <c r="AE44" s="685" cm="1">
        <f t="array" ref="AE44">_xll.RiskOutput(,"matrix r25-37",435)+0</f>
        <v>0</v>
      </c>
      <c r="AF44" s="685" cm="1">
        <f t="array" ref="AF44">_xll.RiskOutput(,"matrix r25-37",436)+0</f>
        <v>0</v>
      </c>
      <c r="AG44" s="685" cm="1">
        <f t="array" ref="AG44">_xll.RiskOutput(,"matrix r25-37",437)+0</f>
        <v>0</v>
      </c>
      <c r="AH44" s="685" cm="1">
        <f t="array" ref="AH44">_xll.RiskOutput(,"matrix r25-37",438)+0</f>
        <v>0</v>
      </c>
      <c r="AI44" s="685" cm="1">
        <f t="array" ref="AI44">_xll.RiskOutput(,"matrix r25-37",439)+0</f>
        <v>0</v>
      </c>
      <c r="AJ44" s="685" cm="1">
        <f t="array" ref="AJ44">_xll.RiskOutput(,"matrix r25-37",440)+0</f>
        <v>0</v>
      </c>
      <c r="AK44" s="90" cm="1">
        <f t="array" ref="AK44">_xll.RiskOutput(,"matrix r25-37",441)+0</f>
        <v>0</v>
      </c>
      <c r="AL44" s="685" cm="1">
        <f t="array" aca="1" ref="AL44" ca="1">_xll.RiskOutput(,"matrix r25-37",442)+k.w3T.sdT</f>
        <v>3.1674403892186581E-10</v>
      </c>
      <c r="AM44" s="684" cm="1">
        <f t="array" aca="1" ref="AM44" ca="1">_xll.RiskOutput(,"matrix r25-37",443)+-k.sdT-SUM(AM9:AM43,AM45)</f>
        <v>-1.0031864271317927E-8</v>
      </c>
      <c r="AN44" s="686" cm="1">
        <f t="array" ref="AN44">_xll.RiskOutput(,"matrix r25-37",444)+0</f>
        <v>0</v>
      </c>
    </row>
    <row r="45" spans="1:40" ht="12.75" customHeight="1" x14ac:dyDescent="0.3">
      <c r="B45" s="94" t="s">
        <v>1487</v>
      </c>
      <c r="C45" s="88"/>
      <c r="D45" s="688" cm="1">
        <f t="array" ref="D45">_xll.RiskOutput(,"matrix r25-37",445)+0</f>
        <v>0</v>
      </c>
      <c r="E45" s="688" cm="1">
        <f t="array" ref="E45">_xll.RiskOutput(,"matrix r25-37",446)+0</f>
        <v>0</v>
      </c>
      <c r="F45" s="688" cm="1">
        <f t="array" ref="F45">_xll.RiskOutput(,"matrix r25-37",447)+0</f>
        <v>0</v>
      </c>
      <c r="G45" s="688" cm="1">
        <f t="array" ref="G45">_xll.RiskOutput(,"matrix r25-37",448)+0</f>
        <v>0</v>
      </c>
      <c r="H45" s="88" cm="1">
        <f t="array" ref="H45">_xll.RiskOutput(,"matrix r25-37",449)+0</f>
        <v>0</v>
      </c>
      <c r="I45" s="88" cm="1">
        <f t="array" ref="I45">_xll.RiskOutput(,"matrix r25-37",450)+0</f>
        <v>0</v>
      </c>
      <c r="J45" s="689" cm="1">
        <f t="array" ref="J45">_xll.RiskOutput(,"matrix r25-37",451)+0</f>
        <v>0</v>
      </c>
      <c r="K45" s="689" cm="1">
        <f t="array" ref="K45">_xll.RiskOutput(,"matrix r25-37",452)+0</f>
        <v>0</v>
      </c>
      <c r="L45" s="689" cm="1">
        <f t="array" ref="L45">_xll.RiskOutput(,"matrix r25-37",453)+0</f>
        <v>0</v>
      </c>
      <c r="M45" s="689" cm="1">
        <f t="array" ref="M45">_xll.RiskOutput(,"matrix r25-37",454)+0</f>
        <v>0</v>
      </c>
      <c r="N45" s="689" cm="1">
        <f t="array" ref="N45">_xll.RiskOutput(,"matrix r25-37",455)+0</f>
        <v>0</v>
      </c>
      <c r="O45" s="689" cm="1">
        <f t="array" ref="O45">_xll.RiskOutput(,"matrix r25-37",456)+0</f>
        <v>0</v>
      </c>
      <c r="P45" s="689" cm="1">
        <f t="array" ref="P45">_xll.RiskOutput(,"matrix r25-37",457)+0</f>
        <v>0</v>
      </c>
      <c r="Q45" s="689" cm="1">
        <f t="array" ref="Q45">_xll.RiskOutput(,"matrix r25-37",458)+0</f>
        <v>0</v>
      </c>
      <c r="R45" s="88" cm="1">
        <f t="array" ref="R45">_xll.RiskOutput(,"matrix r25-37",459)+0</f>
        <v>0</v>
      </c>
      <c r="S45" s="689" cm="1">
        <f t="array" ref="S45">_xll.RiskOutput(,"matrix r25-37",460)+0</f>
        <v>0</v>
      </c>
      <c r="T45" s="689" cm="1">
        <f t="array" ref="T45">_xll.RiskOutput(,"matrix r25-37",461)+0</f>
        <v>0</v>
      </c>
      <c r="U45" s="689" cm="1">
        <f t="array" ref="U45">_xll.RiskOutput(,"matrix r25-37",462)+0</f>
        <v>0</v>
      </c>
      <c r="V45" s="689" cm="1">
        <f t="array" ref="V45">_xll.RiskOutput(,"matrix r25-37",463)+0</f>
        <v>0</v>
      </c>
      <c r="W45" s="689" cm="1">
        <f t="array" ref="W45">_xll.RiskOutput(,"matrix r25-37",464)+0</f>
        <v>0</v>
      </c>
      <c r="X45" s="689" cm="1">
        <f t="array" ref="X45">_xll.RiskOutput(,"matrix r25-37",465)+0</f>
        <v>0</v>
      </c>
      <c r="Y45" s="689" cm="1">
        <f t="array" ref="Y45">_xll.RiskOutput(,"matrix r25-37",466)+0</f>
        <v>0</v>
      </c>
      <c r="Z45" s="689" cm="1">
        <f t="array" ref="Z45">_xll.RiskOutput(,"matrix r25-37",467)+0</f>
        <v>0</v>
      </c>
      <c r="AA45" s="689" cm="1">
        <f t="array" ref="AA45">_xll.RiskOutput(,"matrix r25-37",468)+0</f>
        <v>0</v>
      </c>
      <c r="AB45" s="689" cm="1">
        <f t="array" ref="AB45">_xll.RiskOutput(,"matrix r25-37",469)+0</f>
        <v>0</v>
      </c>
      <c r="AC45" s="689" cm="1">
        <f t="array" ref="AC45">_xll.RiskOutput(,"matrix r25-37",470)+0</f>
        <v>0</v>
      </c>
      <c r="AD45" s="689" cm="1">
        <f t="array" ref="AD45">_xll.RiskOutput(,"matrix r25-37",471)+0</f>
        <v>0</v>
      </c>
      <c r="AE45" s="689" cm="1">
        <f t="array" ref="AE45">_xll.RiskOutput(,"matrix r25-37",472)+0</f>
        <v>0</v>
      </c>
      <c r="AF45" s="689" cm="1">
        <f t="array" ref="AF45">_xll.RiskOutput(,"matrix r25-37",473)+0</f>
        <v>0</v>
      </c>
      <c r="AG45" s="689" cm="1">
        <f t="array" ref="AG45">_xll.RiskOutput(,"matrix r25-37",474)+0</f>
        <v>0</v>
      </c>
      <c r="AH45" s="689" cm="1">
        <f t="array" ref="AH45">_xll.RiskOutput(,"matrix r25-37",475)+0</f>
        <v>0</v>
      </c>
      <c r="AI45" s="689" cm="1">
        <f t="array" ref="AI45">_xll.RiskOutput(,"matrix r25-37",476)+0</f>
        <v>0</v>
      </c>
      <c r="AJ45" s="88" cm="1">
        <f t="array" aca="1" ref="AJ45" ca="1">_xll.RiskOutput(,"matrix r25-37",477)+k.aT.sT</f>
        <v>2.4336344177136131E-6</v>
      </c>
      <c r="AK45" s="689" cm="1">
        <f t="array" ref="AK45">_xll.RiskOutput(,"matrix r25-37",478)+0</f>
        <v>0</v>
      </c>
      <c r="AL45" s="689" cm="1">
        <f t="array" ref="AL45">_xll.RiskOutput(,"matrix r25-37",479)+0</f>
        <v>0</v>
      </c>
      <c r="AM45" s="689" cm="1">
        <f t="array" ref="AM45">_xll.RiskOutput(,"matrix r25-37",480)+0</f>
        <v>0</v>
      </c>
      <c r="AN45" s="690" cm="1">
        <f t="array" aca="1" ref="AN45" ca="1">_xll.RiskOutput(,"matrix r25-37",481)+-k.sT-SUM(AN9:AN44)</f>
        <v>-1.5524037042372336E-10</v>
      </c>
    </row>
    <row r="46" spans="1:40" ht="12.75" customHeight="1" x14ac:dyDescent="0.3">
      <c r="B46" s="89"/>
      <c r="C46" s="90"/>
      <c r="D46" s="90"/>
      <c r="E46" s="90"/>
      <c r="F46" s="90"/>
      <c r="G46" s="90"/>
      <c r="H46" s="217"/>
      <c r="I46" s="112"/>
      <c r="J46" s="217"/>
      <c r="K46" s="217"/>
      <c r="L46" s="217"/>
      <c r="M46" s="217"/>
      <c r="N46" s="217"/>
      <c r="O46" s="217"/>
      <c r="P46" s="217"/>
      <c r="Q46" s="217"/>
      <c r="R46" s="112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112"/>
      <c r="AK46" s="217"/>
      <c r="AL46" s="217"/>
      <c r="AM46" s="217"/>
      <c r="AN46" s="217"/>
    </row>
    <row r="47" spans="1:40" s="136" customFormat="1" ht="12.75" customHeight="1" x14ac:dyDescent="0.3">
      <c r="A47" s="135"/>
      <c r="B47" s="135"/>
      <c r="C47" s="135"/>
      <c r="D47" s="135"/>
      <c r="E47" s="135"/>
      <c r="F47" s="135"/>
      <c r="G47" s="135"/>
      <c r="H47" s="216"/>
      <c r="I47" s="224"/>
      <c r="J47" s="224"/>
      <c r="K47" s="224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24"/>
      <c r="AA47" s="216"/>
      <c r="AB47" s="224"/>
      <c r="AC47" s="216"/>
      <c r="AD47" s="216"/>
      <c r="AE47" s="224"/>
      <c r="AF47" s="224"/>
      <c r="AG47" s="224"/>
      <c r="AH47" s="216"/>
      <c r="AI47" s="216"/>
      <c r="AJ47" s="216"/>
      <c r="AK47" s="216"/>
      <c r="AL47" s="224"/>
      <c r="AM47" s="224"/>
      <c r="AN47" s="224"/>
    </row>
    <row r="48" spans="1:40" ht="12.75" customHeight="1" x14ac:dyDescent="0.3">
      <c r="B48" s="152" t="s">
        <v>1489</v>
      </c>
      <c r="C48" s="85"/>
      <c r="D48" s="427" t="s">
        <v>2441</v>
      </c>
      <c r="E48" s="427" t="s">
        <v>2442</v>
      </c>
      <c r="F48" s="427" t="s">
        <v>2443</v>
      </c>
      <c r="G48" s="692" t="s">
        <v>2542</v>
      </c>
      <c r="H48" s="209" t="s">
        <v>1307</v>
      </c>
      <c r="I48" s="209" t="s">
        <v>270</v>
      </c>
      <c r="J48" s="209" t="s">
        <v>1308</v>
      </c>
      <c r="K48" s="209" t="s">
        <v>1309</v>
      </c>
      <c r="L48" s="209" t="s">
        <v>1310</v>
      </c>
      <c r="M48" s="209" t="s">
        <v>1311</v>
      </c>
      <c r="N48" s="209" t="s">
        <v>1312</v>
      </c>
      <c r="O48" s="209" t="s">
        <v>1313</v>
      </c>
      <c r="P48" s="209" t="s">
        <v>1314</v>
      </c>
      <c r="Q48" s="209" t="s">
        <v>511</v>
      </c>
      <c r="R48" s="209" t="s">
        <v>271</v>
      </c>
      <c r="S48" s="209" t="s">
        <v>1315</v>
      </c>
      <c r="T48" s="209" t="s">
        <v>1316</v>
      </c>
      <c r="U48" s="209" t="s">
        <v>1317</v>
      </c>
      <c r="V48" s="209" t="s">
        <v>1318</v>
      </c>
      <c r="W48" s="209" t="s">
        <v>1319</v>
      </c>
      <c r="X48" s="209" t="s">
        <v>1320</v>
      </c>
      <c r="Y48" s="209" t="s">
        <v>510</v>
      </c>
      <c r="Z48" s="209" t="s">
        <v>512</v>
      </c>
      <c r="AA48" s="209" t="s">
        <v>1505</v>
      </c>
      <c r="AB48" s="209" t="s">
        <v>1506</v>
      </c>
      <c r="AC48" s="209" t="s">
        <v>513</v>
      </c>
      <c r="AD48" s="209" t="s">
        <v>518</v>
      </c>
      <c r="AE48" s="209" t="s">
        <v>514</v>
      </c>
      <c r="AF48" s="209" t="s">
        <v>1507</v>
      </c>
      <c r="AG48" s="209" t="s">
        <v>1508</v>
      </c>
      <c r="AH48" s="209" t="s">
        <v>515</v>
      </c>
      <c r="AI48" s="209" t="s">
        <v>519</v>
      </c>
      <c r="AJ48" s="209" t="s">
        <v>516</v>
      </c>
      <c r="AK48" s="209" t="s">
        <v>1509</v>
      </c>
      <c r="AL48" s="209" t="s">
        <v>1510</v>
      </c>
      <c r="AM48" s="209" t="s">
        <v>517</v>
      </c>
      <c r="AN48" s="210" t="s">
        <v>520</v>
      </c>
    </row>
    <row r="49" spans="1:40" ht="12.75" customHeight="1" x14ac:dyDescent="0.3">
      <c r="B49" s="144" t="s">
        <v>1359</v>
      </c>
      <c r="C49" s="233">
        <f ca="1">SUM(H49:AN49)</f>
        <v>259559389.47029281</v>
      </c>
      <c r="D49" s="680">
        <f t="array" aca="1" ref="D49:AN49" ca="1">TRANSPOSE(MMULT(MINVERSE(D9:AN45),-TRANSPOSE(D5:AN5)))</f>
        <v>2.5640418736098282E-6</v>
      </c>
      <c r="E49" s="680">
        <f ca="1"/>
        <v>133.49492459182659</v>
      </c>
      <c r="F49" s="680">
        <f ca="1"/>
        <v>141128.42943958673</v>
      </c>
      <c r="G49" s="693">
        <f ca="1"/>
        <v>1.0726017931905463</v>
      </c>
      <c r="H49" s="680">
        <f ca="1"/>
        <v>1.4184066997477228E-2</v>
      </c>
      <c r="I49" s="680">
        <f ca="1"/>
        <v>8.420973087028699E-8</v>
      </c>
      <c r="J49" s="680">
        <f ca="1"/>
        <v>158.44789666100147</v>
      </c>
      <c r="K49" s="680">
        <f ca="1"/>
        <v>855.32034362830473</v>
      </c>
      <c r="L49" s="680">
        <f ca="1"/>
        <v>10154.302340158709</v>
      </c>
      <c r="M49" s="680">
        <f ca="1"/>
        <v>7906.7408240446375</v>
      </c>
      <c r="N49" s="680">
        <f ca="1"/>
        <v>20392.571262131441</v>
      </c>
      <c r="O49" s="680">
        <f ca="1"/>
        <v>38889.716995085357</v>
      </c>
      <c r="P49" s="680">
        <f ca="1"/>
        <v>42337.618388780502</v>
      </c>
      <c r="Q49" s="680">
        <f ca="1"/>
        <v>0.2818900255477666</v>
      </c>
      <c r="R49" s="680">
        <f ca="1"/>
        <v>4.0931821512174249</v>
      </c>
      <c r="S49" s="680">
        <f ca="1"/>
        <v>232.6539270463137</v>
      </c>
      <c r="T49" s="680">
        <f ca="1"/>
        <v>429761.59860199026</v>
      </c>
      <c r="U49" s="680">
        <f ca="1"/>
        <v>3960.0927364790841</v>
      </c>
      <c r="V49" s="680">
        <f ca="1"/>
        <v>80336.648566122472</v>
      </c>
      <c r="W49" s="680">
        <f ca="1"/>
        <v>107671.45020638643</v>
      </c>
      <c r="X49" s="680">
        <f ca="1"/>
        <v>278443.26289637294</v>
      </c>
      <c r="Y49" s="680">
        <f ca="1"/>
        <v>78889.424160104783</v>
      </c>
      <c r="Z49" s="680">
        <f ca="1"/>
        <v>8.1991382008766767E-2</v>
      </c>
      <c r="AA49" s="680">
        <f ca="1"/>
        <v>1940092.2402590835</v>
      </c>
      <c r="AB49" s="680">
        <f ca="1"/>
        <v>58201931.096387357</v>
      </c>
      <c r="AC49" s="680">
        <f ca="1"/>
        <v>1837655.9161830533</v>
      </c>
      <c r="AD49" s="680">
        <f ca="1"/>
        <v>3451.7997221821201</v>
      </c>
      <c r="AE49" s="680">
        <f ca="1"/>
        <v>2.7561676516665318E-3</v>
      </c>
      <c r="AF49" s="680">
        <f ca="1"/>
        <v>1575220.1508099071</v>
      </c>
      <c r="AG49" s="680">
        <f ca="1"/>
        <v>38783556.743157133</v>
      </c>
      <c r="AH49" s="680">
        <f ca="1"/>
        <v>1224544.1200512033</v>
      </c>
      <c r="AI49" s="680">
        <f ca="1"/>
        <v>179.90531127013611</v>
      </c>
      <c r="AJ49" s="680">
        <f ca="1"/>
        <v>4.8678220332221116E-3</v>
      </c>
      <c r="AK49" s="680">
        <f ca="1"/>
        <v>4524259.4376122374</v>
      </c>
      <c r="AL49" s="680">
        <f ca="1"/>
        <v>145766040.16381368</v>
      </c>
      <c r="AM49" s="680">
        <f ca="1"/>
        <v>4602387.2582825162</v>
      </c>
      <c r="AN49" s="680">
        <f ca="1"/>
        <v>76.310686498746222</v>
      </c>
    </row>
    <row r="50" spans="1:40" ht="12.75" customHeight="1" x14ac:dyDescent="0.3">
      <c r="A50" s="90"/>
      <c r="B50" s="156" t="s">
        <v>1788</v>
      </c>
      <c r="C50" s="234">
        <v>67647914.997612238</v>
      </c>
      <c r="D50" s="438"/>
      <c r="E50" s="438"/>
      <c r="F50" s="438"/>
      <c r="G50" s="438"/>
      <c r="H50" s="225">
        <v>876109.80660915095</v>
      </c>
      <c r="I50" s="226"/>
      <c r="J50" s="225">
        <v>1193692.9172925781</v>
      </c>
      <c r="K50" s="225">
        <v>40757.530041607912</v>
      </c>
      <c r="L50" s="225">
        <v>161933.03206124215</v>
      </c>
      <c r="M50" s="225">
        <v>1443.6948357370893</v>
      </c>
      <c r="N50" s="225">
        <v>2959.1526385803063</v>
      </c>
      <c r="O50" s="225">
        <v>20619948.41022021</v>
      </c>
      <c r="P50" s="225">
        <v>1095.982458733446</v>
      </c>
      <c r="Q50" s="225">
        <v>4491282.0959154088</v>
      </c>
      <c r="R50" s="226"/>
      <c r="S50" s="225">
        <v>4009.6769231403268</v>
      </c>
      <c r="T50" s="225">
        <v>1976425.0498722896</v>
      </c>
      <c r="U50" s="225">
        <v>543.94152159567523</v>
      </c>
      <c r="V50" s="225">
        <v>3500.4018089530387</v>
      </c>
      <c r="W50" s="225">
        <v>7860.9973600650401</v>
      </c>
      <c r="X50" s="225">
        <v>48125.44679276715</v>
      </c>
      <c r="Y50" s="225">
        <v>2911.4805037277929</v>
      </c>
      <c r="Z50" s="225">
        <v>6516749.5770145934</v>
      </c>
      <c r="AA50" s="225">
        <v>4556897.361524987</v>
      </c>
      <c r="AB50" s="225"/>
      <c r="AC50" s="225">
        <v>1614.1236186544083</v>
      </c>
      <c r="AD50" s="225">
        <v>40939.450053264671</v>
      </c>
      <c r="AE50" s="225">
        <v>2107247.6522254138</v>
      </c>
      <c r="AF50" s="225">
        <v>18376061.095868796</v>
      </c>
      <c r="AG50" s="226"/>
      <c r="AH50" s="225">
        <v>7066.4659972675399</v>
      </c>
      <c r="AI50" s="225">
        <v>42008.254344377398</v>
      </c>
      <c r="AJ50" s="225">
        <v>5570931.3391390089</v>
      </c>
      <c r="AK50" s="225">
        <v>985271.28142292134</v>
      </c>
      <c r="AL50" s="225"/>
      <c r="AM50" s="225">
        <v>304.15754631090289</v>
      </c>
      <c r="AN50" s="227">
        <v>10224.622000863581</v>
      </c>
    </row>
    <row r="51" spans="1:40" s="137" customFormat="1" ht="12.75" customHeight="1" x14ac:dyDescent="0.3">
      <c r="A51" s="90"/>
      <c r="B51" s="157" t="s">
        <v>1790</v>
      </c>
      <c r="C51" s="225">
        <v>67646535.713816732</v>
      </c>
      <c r="D51" s="439"/>
      <c r="E51" s="439"/>
      <c r="F51" s="439"/>
      <c r="G51" s="439"/>
      <c r="H51" s="225">
        <v>876122.4419417039</v>
      </c>
      <c r="I51" s="225">
        <v>1.4957907832074728E-31</v>
      </c>
      <c r="J51" s="225">
        <v>1192764.4709696667</v>
      </c>
      <c r="K51" s="225">
        <v>40767.325281359663</v>
      </c>
      <c r="L51" s="225">
        <v>161937.79737639922</v>
      </c>
      <c r="M51" s="225">
        <v>1444.5628798753421</v>
      </c>
      <c r="N51" s="225">
        <v>2959.1953157394323</v>
      </c>
      <c r="O51" s="225">
        <v>20619948.671492063</v>
      </c>
      <c r="P51" s="225">
        <v>1095.9982650886786</v>
      </c>
      <c r="Q51" s="225">
        <v>4491372.2612186447</v>
      </c>
      <c r="R51" s="225">
        <v>3.973594913745644E-30</v>
      </c>
      <c r="S51" s="225">
        <v>4009.7636535739707</v>
      </c>
      <c r="T51" s="225">
        <v>1977906.8731438133</v>
      </c>
      <c r="U51" s="225">
        <v>543.95328720296698</v>
      </c>
      <c r="V51" s="225">
        <v>3503.0262327127593</v>
      </c>
      <c r="W51" s="225">
        <v>7861.1551745142551</v>
      </c>
      <c r="X51" s="225">
        <v>48126.412941276198</v>
      </c>
      <c r="Y51" s="225">
        <v>2911.5389535237973</v>
      </c>
      <c r="Z51" s="225">
        <v>6516864.1052984046</v>
      </c>
      <c r="AA51" s="225">
        <v>4509095.7561713848</v>
      </c>
      <c r="AB51" s="225">
        <v>45359.975993044252</v>
      </c>
      <c r="AC51" s="225">
        <v>1606.7205991988239</v>
      </c>
      <c r="AD51" s="225">
        <v>40940.169541545722</v>
      </c>
      <c r="AE51" s="225">
        <v>2107284.696514071</v>
      </c>
      <c r="AF51" s="225">
        <v>18192622.229840767</v>
      </c>
      <c r="AG51" s="225">
        <v>183601.10678657674</v>
      </c>
      <c r="AH51" s="225">
        <v>7060.3323062509171</v>
      </c>
      <c r="AI51" s="225">
        <v>42008.992827060341</v>
      </c>
      <c r="AJ51" s="225">
        <v>5571029.8802277353</v>
      </c>
      <c r="AK51" s="225">
        <v>975506.48426843062</v>
      </c>
      <c r="AL51" s="225">
        <v>9753.9051461628205</v>
      </c>
      <c r="AM51" s="225">
        <v>301.10731045785207</v>
      </c>
      <c r="AN51" s="271">
        <v>10224.802858483741</v>
      </c>
    </row>
    <row r="52" spans="1:40" s="137" customFormat="1" ht="12.75" customHeight="1" x14ac:dyDescent="0.3">
      <c r="A52" s="90"/>
      <c r="B52" s="157" t="s">
        <v>1791</v>
      </c>
      <c r="C52" s="234">
        <v>67659654.038240761</v>
      </c>
      <c r="D52" s="438"/>
      <c r="E52" s="438"/>
      <c r="F52" s="438"/>
      <c r="G52" s="438"/>
      <c r="H52" s="225">
        <v>875425.91285020183</v>
      </c>
      <c r="I52" s="226">
        <v>1398.819439445627</v>
      </c>
      <c r="J52" s="226">
        <v>1190079.6931956308</v>
      </c>
      <c r="K52" s="226">
        <v>44237.68945724002</v>
      </c>
      <c r="L52" s="225">
        <v>161442.8722177353</v>
      </c>
      <c r="M52" s="225">
        <v>1566.9674720023563</v>
      </c>
      <c r="N52" s="225">
        <v>2956.8427157760293</v>
      </c>
      <c r="O52" s="225">
        <v>20619934.268749103</v>
      </c>
      <c r="P52" s="225">
        <v>1095.1269317688996</v>
      </c>
      <c r="Q52" s="225">
        <v>4488105.9665253535</v>
      </c>
      <c r="R52" s="226">
        <v>4288.9695335795022</v>
      </c>
      <c r="S52" s="225">
        <v>3676.0904486409913</v>
      </c>
      <c r="T52" s="225">
        <v>2006208.9838757995</v>
      </c>
      <c r="U52" s="225">
        <v>498.68811639593758</v>
      </c>
      <c r="V52" s="225">
        <v>3553.1514624095962</v>
      </c>
      <c r="W52" s="225">
        <v>7855.4382470505998</v>
      </c>
      <c r="X52" s="225">
        <v>48091.413605203634</v>
      </c>
      <c r="Y52" s="225">
        <v>2909.4215729817042</v>
      </c>
      <c r="Z52" s="226">
        <v>6512196.707775509</v>
      </c>
      <c r="AA52" s="225">
        <v>4515568.0610642247</v>
      </c>
      <c r="AB52" s="225">
        <v>45425.085187976991</v>
      </c>
      <c r="AC52" s="225">
        <v>1609.0268677187125</v>
      </c>
      <c r="AD52" s="225">
        <v>40910.848069927219</v>
      </c>
      <c r="AE52" s="226">
        <v>2105778.1432036972</v>
      </c>
      <c r="AF52" s="226">
        <v>18180107.993126262</v>
      </c>
      <c r="AG52" s="226">
        <v>183474.81230948906</v>
      </c>
      <c r="AH52" s="225">
        <v>7055.4756853280396</v>
      </c>
      <c r="AI52" s="225">
        <v>41978.959492070644</v>
      </c>
      <c r="AJ52" s="225">
        <v>5567040.8568321662</v>
      </c>
      <c r="AK52" s="225">
        <v>974915.35124955815</v>
      </c>
      <c r="AL52" s="226">
        <v>9747.9945187217636</v>
      </c>
      <c r="AM52" s="226">
        <v>300.92484680814198</v>
      </c>
      <c r="AN52" s="227">
        <v>10217.481594966142</v>
      </c>
    </row>
    <row r="53" spans="1:40" s="137" customFormat="1" ht="12.75" customHeight="1" x14ac:dyDescent="0.3">
      <c r="A53" s="90"/>
      <c r="B53" s="157" t="s">
        <v>1798</v>
      </c>
      <c r="C53" s="234">
        <v>68887128.502859131</v>
      </c>
      <c r="D53" s="438"/>
      <c r="E53" s="438"/>
      <c r="F53" s="438"/>
      <c r="G53" s="438"/>
      <c r="H53" s="225">
        <v>876274.92558410787</v>
      </c>
      <c r="I53" s="226">
        <v>1.496051116256803E-31</v>
      </c>
      <c r="J53" s="226">
        <v>1193693.2017632776</v>
      </c>
      <c r="K53" s="226">
        <v>40803.577265879067</v>
      </c>
      <c r="L53" s="225">
        <v>161933.07065173908</v>
      </c>
      <c r="M53" s="225">
        <v>1445.3258997346472</v>
      </c>
      <c r="N53" s="225">
        <v>2959.7103452133133</v>
      </c>
      <c r="O53" s="225">
        <v>20619951.824530084</v>
      </c>
      <c r="P53" s="225">
        <v>1096.1890167456711</v>
      </c>
      <c r="Q53" s="225">
        <v>4496516.4985714396</v>
      </c>
      <c r="R53" s="226">
        <v>3.9781461097256933E-30</v>
      </c>
      <c r="S53" s="225">
        <v>4014.3562757755863</v>
      </c>
      <c r="T53" s="225">
        <v>2002126.55285982</v>
      </c>
      <c r="U53" s="225">
        <v>544.57630944549339</v>
      </c>
      <c r="V53" s="225">
        <v>3545.9211609548634</v>
      </c>
      <c r="W53" s="225">
        <v>7870.1590258391698</v>
      </c>
      <c r="X53" s="225">
        <v>48181.535001241311</v>
      </c>
      <c r="Y53" s="225">
        <v>2914.8737132737642</v>
      </c>
      <c r="Z53" s="226">
        <v>6581053.7762259692</v>
      </c>
      <c r="AA53" s="225">
        <v>1013486.2611093316</v>
      </c>
      <c r="AB53" s="225">
        <v>2984679.161288742</v>
      </c>
      <c r="AC53" s="225">
        <v>352.40652766787656</v>
      </c>
      <c r="AD53" s="225">
        <v>41343.421161976767</v>
      </c>
      <c r="AE53" s="226">
        <v>2135761.301529882</v>
      </c>
      <c r="AF53" s="226">
        <v>2005130.0727904027</v>
      </c>
      <c r="AG53" s="226">
        <v>18090436.135665435</v>
      </c>
      <c r="AH53" s="225">
        <v>2318.876556506425</v>
      </c>
      <c r="AI53" s="225">
        <v>42576.677629131511</v>
      </c>
      <c r="AJ53" s="225">
        <v>5654081.6279942673</v>
      </c>
      <c r="AK53" s="225">
        <v>416717.67349867895</v>
      </c>
      <c r="AL53" s="226">
        <v>444895.80040118482</v>
      </c>
      <c r="AM53" s="226">
        <v>45.780425339176233</v>
      </c>
      <c r="AN53" s="227">
        <v>10377.232080049969</v>
      </c>
    </row>
    <row r="54" spans="1:40" s="137" customFormat="1" ht="12.75" customHeight="1" x14ac:dyDescent="0.3">
      <c r="A54" s="90"/>
      <c r="B54" s="157" t="s">
        <v>1799</v>
      </c>
      <c r="C54" s="225">
        <v>65663677.567691773</v>
      </c>
      <c r="D54" s="439"/>
      <c r="E54" s="439"/>
      <c r="F54" s="439"/>
      <c r="G54" s="439"/>
      <c r="H54" s="225">
        <v>876646.2868995358</v>
      </c>
      <c r="I54" s="225">
        <v>1.4138050871329978E-31</v>
      </c>
      <c r="J54" s="225">
        <v>1192172.4291602743</v>
      </c>
      <c r="K54" s="225">
        <v>40726.161299674037</v>
      </c>
      <c r="L54" s="225">
        <v>161726.7669071893</v>
      </c>
      <c r="M54" s="225">
        <v>1442.5837063166532</v>
      </c>
      <c r="N54" s="225">
        <v>2793.4955296540202</v>
      </c>
      <c r="O54" s="225">
        <v>20617043.352410559</v>
      </c>
      <c r="P54" s="225">
        <v>1034.6279739459333</v>
      </c>
      <c r="Q54" s="225">
        <v>4506777.0706529021</v>
      </c>
      <c r="R54" s="225">
        <v>3.7664283415751922E-30</v>
      </c>
      <c r="S54" s="225">
        <v>3796.0213591273232</v>
      </c>
      <c r="T54" s="225">
        <v>1894456.4771585881</v>
      </c>
      <c r="U54" s="225">
        <v>514.95760722693421</v>
      </c>
      <c r="V54" s="225">
        <v>3355.2291193927244</v>
      </c>
      <c r="W54" s="225">
        <v>7441.9740250678151</v>
      </c>
      <c r="X54" s="225">
        <v>45562.054082501883</v>
      </c>
      <c r="Y54" s="225">
        <v>2756.2866759510416</v>
      </c>
      <c r="Z54" s="225">
        <v>6612333.9788983073</v>
      </c>
      <c r="AA54" s="225">
        <v>4297028.1054746928</v>
      </c>
      <c r="AB54" s="225">
        <v>43226.64725826685</v>
      </c>
      <c r="AC54" s="225">
        <v>1531.1547915018523</v>
      </c>
      <c r="AD54" s="225">
        <v>39190.473454705396</v>
      </c>
      <c r="AE54" s="225">
        <v>2204591.9059551489</v>
      </c>
      <c r="AF54" s="225">
        <v>16240372.975184042</v>
      </c>
      <c r="AG54" s="225">
        <v>163898.88248103857</v>
      </c>
      <c r="AH54" s="225">
        <v>6302.6884488470951</v>
      </c>
      <c r="AI54" s="225">
        <v>37079.178192922962</v>
      </c>
      <c r="AJ54" s="225">
        <v>5652615.9403045513</v>
      </c>
      <c r="AK54" s="225">
        <v>986714.77893626899</v>
      </c>
      <c r="AL54" s="225">
        <v>9865.9747682549005</v>
      </c>
      <c r="AM54" s="225">
        <v>304.56694862190062</v>
      </c>
      <c r="AN54" s="271">
        <v>10374.542026684318</v>
      </c>
    </row>
    <row r="55" spans="1:40" s="137" customFormat="1" ht="12.75" customHeight="1" x14ac:dyDescent="0.3">
      <c r="A55" s="90"/>
      <c r="B55" s="157" t="s">
        <v>1800</v>
      </c>
      <c r="C55" s="225">
        <v>68824186.369771153</v>
      </c>
      <c r="D55" s="439"/>
      <c r="E55" s="439"/>
      <c r="F55" s="439"/>
      <c r="G55" s="439"/>
      <c r="H55" s="225">
        <v>872880.60110841517</v>
      </c>
      <c r="I55" s="225">
        <v>1.4902560366847008E-31</v>
      </c>
      <c r="J55" s="225">
        <v>1227008.5623943023</v>
      </c>
      <c r="K55" s="225">
        <v>41935.347672612588</v>
      </c>
      <c r="L55" s="225">
        <v>166452.53900330781</v>
      </c>
      <c r="M55" s="225">
        <v>1485.414960327211</v>
      </c>
      <c r="N55" s="225">
        <v>2367.3216898062078</v>
      </c>
      <c r="O55" s="225">
        <v>21928670.959529616</v>
      </c>
      <c r="P55" s="225">
        <v>876.78581103933607</v>
      </c>
      <c r="Q55" s="225">
        <v>4476057.7015544008</v>
      </c>
      <c r="R55" s="225">
        <v>3.9600458572771905E-30</v>
      </c>
      <c r="S55" s="225">
        <v>4003.6955129275589</v>
      </c>
      <c r="T55" s="225">
        <v>1983739.4784674514</v>
      </c>
      <c r="U55" s="225">
        <v>543.13010026802533</v>
      </c>
      <c r="V55" s="225">
        <v>3513.3562283921256</v>
      </c>
      <c r="W55" s="225">
        <v>6290.6656438815417</v>
      </c>
      <c r="X55" s="225">
        <v>23327.649950613151</v>
      </c>
      <c r="Y55" s="225">
        <v>2329.8761644005708</v>
      </c>
      <c r="Z55" s="225">
        <v>6496035.622396416</v>
      </c>
      <c r="AA55" s="225">
        <v>4498764.164653928</v>
      </c>
      <c r="AB55" s="225">
        <v>45256.043681879564</v>
      </c>
      <c r="AC55" s="225">
        <v>1603.0391557761855</v>
      </c>
      <c r="AD55" s="225">
        <v>32768.229695991911</v>
      </c>
      <c r="AE55" s="225">
        <v>2100737.2905656658</v>
      </c>
      <c r="AF55" s="225">
        <v>18136758.133026857</v>
      </c>
      <c r="AG55" s="225">
        <v>183037.32274955971</v>
      </c>
      <c r="AH55" s="225">
        <v>7038.6521392847844</v>
      </c>
      <c r="AI55" s="225">
        <v>36255.412337911781</v>
      </c>
      <c r="AJ55" s="225">
        <v>5553902.7323418632</v>
      </c>
      <c r="AK55" s="225">
        <v>972542.87940522982</v>
      </c>
      <c r="AL55" s="225">
        <v>9724.2726207080595</v>
      </c>
      <c r="AM55" s="225">
        <v>300.19254145937907</v>
      </c>
      <c r="AN55" s="271">
        <v>7979.2966668383915</v>
      </c>
    </row>
    <row r="56" spans="1:40" s="137" customFormat="1" ht="12.75" customHeight="1" x14ac:dyDescent="0.3">
      <c r="A56" s="90"/>
      <c r="B56" s="157" t="s">
        <v>2020</v>
      </c>
      <c r="C56" s="225">
        <v>67649702.009700745</v>
      </c>
      <c r="D56" s="439"/>
      <c r="E56" s="439"/>
      <c r="F56" s="439"/>
      <c r="G56" s="439"/>
      <c r="H56" s="225">
        <v>876113.91596978612</v>
      </c>
      <c r="I56" s="225">
        <v>1.495769119528873E-31</v>
      </c>
      <c r="J56" s="225">
        <v>1193787.7269817251</v>
      </c>
      <c r="K56" s="225">
        <v>40807.550574621418</v>
      </c>
      <c r="L56" s="225">
        <v>161932.54502841164</v>
      </c>
      <c r="M56" s="225">
        <v>1445.3474423503437</v>
      </c>
      <c r="N56" s="225">
        <v>2958.7567996119578</v>
      </c>
      <c r="O56" s="225">
        <v>20619945.986872841</v>
      </c>
      <c r="P56" s="225">
        <v>1095.8358517081324</v>
      </c>
      <c r="Q56" s="225">
        <v>4491336.2690416425</v>
      </c>
      <c r="R56" s="225">
        <v>3.9735444691364055E-30</v>
      </c>
      <c r="S56" s="225">
        <v>4010.0179352820514</v>
      </c>
      <c r="T56" s="225">
        <v>1978402.6510626182</v>
      </c>
      <c r="U56" s="225">
        <v>543.94294328319859</v>
      </c>
      <c r="V56" s="225">
        <v>3503.6153498402218</v>
      </c>
      <c r="W56" s="225">
        <v>7860.0195639111917</v>
      </c>
      <c r="X56" s="225">
        <v>48119.460672352565</v>
      </c>
      <c r="Y56" s="225">
        <v>2911.1183570041444</v>
      </c>
      <c r="Z56" s="225">
        <v>6516816.7999978885</v>
      </c>
      <c r="AA56" s="225">
        <v>4509596.1895994814</v>
      </c>
      <c r="AB56" s="225">
        <v>45365.025497550101</v>
      </c>
      <c r="AC56" s="225">
        <v>1606.7669500315374</v>
      </c>
      <c r="AD56" s="225">
        <v>40934.290903007117</v>
      </c>
      <c r="AE56" s="225">
        <v>2107271.1135048317</v>
      </c>
      <c r="AF56" s="225">
        <v>18193824.563334964</v>
      </c>
      <c r="AG56" s="225">
        <v>183613.25422334089</v>
      </c>
      <c r="AH56" s="225">
        <v>7060.2171750171119</v>
      </c>
      <c r="AI56" s="225">
        <v>41983.595195592599</v>
      </c>
      <c r="AJ56" s="225">
        <v>5570989.4706399469</v>
      </c>
      <c r="AK56" s="225">
        <v>975585.4161592637</v>
      </c>
      <c r="AL56" s="225">
        <v>9754.7025099704915</v>
      </c>
      <c r="AM56" s="225">
        <v>301.10709305603598</v>
      </c>
      <c r="AN56" s="271">
        <v>10224.736469819851</v>
      </c>
    </row>
    <row r="57" spans="1:40" s="137" customFormat="1" ht="12.75" customHeight="1" x14ac:dyDescent="0.3">
      <c r="A57"/>
      <c r="B57" s="157" t="s">
        <v>1845</v>
      </c>
      <c r="C57" s="234">
        <v>68019846.697519615</v>
      </c>
      <c r="D57" s="438"/>
      <c r="E57" s="438"/>
      <c r="F57" s="438"/>
      <c r="G57" s="438"/>
      <c r="H57" s="225">
        <v>872847.67533746478</v>
      </c>
      <c r="I57" s="226">
        <v>1317.0106877077571</v>
      </c>
      <c r="J57" s="226">
        <v>1221848.0216656164</v>
      </c>
      <c r="K57" s="226">
        <v>45386.278635239258</v>
      </c>
      <c r="L57" s="225">
        <v>165738.81211401656</v>
      </c>
      <c r="M57" s="225">
        <v>1607.5197070034312</v>
      </c>
      <c r="N57" s="225">
        <v>2232.6711819080338</v>
      </c>
      <c r="O57" s="225">
        <v>21927490.613126408</v>
      </c>
      <c r="P57" s="225">
        <v>826.91525255853071</v>
      </c>
      <c r="Q57" s="225">
        <v>4493130.9145401968</v>
      </c>
      <c r="R57" s="226">
        <v>4054.3815430063123</v>
      </c>
      <c r="S57" s="225">
        <v>3479.5224200905122</v>
      </c>
      <c r="T57" s="225">
        <v>1952047.0665583336</v>
      </c>
      <c r="U57" s="225">
        <v>471.98334195749339</v>
      </c>
      <c r="V57" s="225">
        <v>3456.9414180328477</v>
      </c>
      <c r="W57" s="225">
        <v>5955.7143077044384</v>
      </c>
      <c r="X57" s="225">
        <v>22085.768733250905</v>
      </c>
      <c r="Y57" s="225">
        <v>2205.8201139646071</v>
      </c>
      <c r="Z57" s="226">
        <v>6649789.1300054332</v>
      </c>
      <c r="AA57" s="225">
        <v>970926.72003895149</v>
      </c>
      <c r="AB57" s="225">
        <v>2835812.349196061</v>
      </c>
      <c r="AC57" s="225">
        <v>334.80193968850847</v>
      </c>
      <c r="AD57" s="225">
        <v>31637.074200994022</v>
      </c>
      <c r="AE57" s="226">
        <v>2224919.9081161739</v>
      </c>
      <c r="AF57" s="226">
        <v>1791363.1234030612</v>
      </c>
      <c r="AG57" s="226">
        <v>16162658.88033779</v>
      </c>
      <c r="AH57" s="225">
        <v>2071.5984856972236</v>
      </c>
      <c r="AI57" s="225">
        <v>32353.437240366289</v>
      </c>
      <c r="AJ57" s="225">
        <v>5713833.3700495623</v>
      </c>
      <c r="AK57" s="225">
        <v>421122.87991297274</v>
      </c>
      <c r="AL57" s="226">
        <v>448584.56803178752</v>
      </c>
      <c r="AM57" s="226">
        <v>46.156198384587384</v>
      </c>
      <c r="AN57" s="227">
        <v>8209.0696782131399</v>
      </c>
    </row>
    <row r="58" spans="1:40" s="137" customFormat="1" ht="12.75" customHeight="1" x14ac:dyDescent="0.3">
      <c r="A58"/>
      <c r="B58" s="156" t="s">
        <v>2018</v>
      </c>
      <c r="C58" s="234">
        <f>C57</f>
        <v>68019846.697519615</v>
      </c>
      <c r="D58" s="438"/>
      <c r="E58" s="438"/>
      <c r="F58" s="438"/>
      <c r="G58" s="438"/>
      <c r="H58" s="225">
        <f t="shared" ref="H58:AN58" si="0">H57</f>
        <v>872847.67533746478</v>
      </c>
      <c r="I58" s="226">
        <f t="shared" si="0"/>
        <v>1317.0106877077571</v>
      </c>
      <c r="J58" s="226">
        <f t="shared" si="0"/>
        <v>1221848.0216656164</v>
      </c>
      <c r="K58" s="226">
        <f t="shared" si="0"/>
        <v>45386.278635239258</v>
      </c>
      <c r="L58" s="225">
        <f t="shared" si="0"/>
        <v>165738.81211401656</v>
      </c>
      <c r="M58" s="225">
        <f t="shared" si="0"/>
        <v>1607.5197070034312</v>
      </c>
      <c r="N58" s="225">
        <f t="shared" si="0"/>
        <v>2232.6711819080338</v>
      </c>
      <c r="O58" s="225">
        <f t="shared" si="0"/>
        <v>21927490.613126408</v>
      </c>
      <c r="P58" s="225">
        <f t="shared" si="0"/>
        <v>826.91525255853071</v>
      </c>
      <c r="Q58" s="225">
        <f t="shared" si="0"/>
        <v>4493130.9145401968</v>
      </c>
      <c r="R58" s="226">
        <f t="shared" si="0"/>
        <v>4054.3815430063123</v>
      </c>
      <c r="S58" s="225">
        <f t="shared" si="0"/>
        <v>3479.5224200905122</v>
      </c>
      <c r="T58" s="225">
        <f t="shared" si="0"/>
        <v>1952047.0665583336</v>
      </c>
      <c r="U58" s="225">
        <f t="shared" si="0"/>
        <v>471.98334195749339</v>
      </c>
      <c r="V58" s="225">
        <f t="shared" si="0"/>
        <v>3456.9414180328477</v>
      </c>
      <c r="W58" s="225">
        <f t="shared" si="0"/>
        <v>5955.7143077044384</v>
      </c>
      <c r="X58" s="225">
        <f t="shared" si="0"/>
        <v>22085.768733250905</v>
      </c>
      <c r="Y58" s="225">
        <f t="shared" si="0"/>
        <v>2205.8201139646071</v>
      </c>
      <c r="Z58" s="226">
        <f t="shared" si="0"/>
        <v>6649789.1300054332</v>
      </c>
      <c r="AA58" s="225">
        <f t="shared" si="0"/>
        <v>970926.72003895149</v>
      </c>
      <c r="AB58" s="225">
        <f t="shared" si="0"/>
        <v>2835812.349196061</v>
      </c>
      <c r="AC58" s="225">
        <f t="shared" si="0"/>
        <v>334.80193968850847</v>
      </c>
      <c r="AD58" s="225">
        <f t="shared" si="0"/>
        <v>31637.074200994022</v>
      </c>
      <c r="AE58" s="226">
        <f t="shared" si="0"/>
        <v>2224919.9081161739</v>
      </c>
      <c r="AF58" s="226">
        <f t="shared" si="0"/>
        <v>1791363.1234030612</v>
      </c>
      <c r="AG58" s="226">
        <f t="shared" si="0"/>
        <v>16162658.88033779</v>
      </c>
      <c r="AH58" s="225">
        <f t="shared" si="0"/>
        <v>2071.5984856972236</v>
      </c>
      <c r="AI58" s="225">
        <f t="shared" si="0"/>
        <v>32353.437240366289</v>
      </c>
      <c r="AJ58" s="225">
        <f t="shared" si="0"/>
        <v>5713833.3700495623</v>
      </c>
      <c r="AK58" s="225">
        <f t="shared" si="0"/>
        <v>421122.87991297274</v>
      </c>
      <c r="AL58" s="226">
        <f t="shared" si="0"/>
        <v>448584.56803178752</v>
      </c>
      <c r="AM58" s="226">
        <f t="shared" si="0"/>
        <v>46.156198384587384</v>
      </c>
      <c r="AN58" s="227">
        <f t="shared" si="0"/>
        <v>8209.0696782131399</v>
      </c>
    </row>
    <row r="59" spans="1:40" s="137" customFormat="1" ht="12.75" customHeight="1" x14ac:dyDescent="0.3">
      <c r="A59"/>
      <c r="B59" s="156" t="s">
        <v>2019</v>
      </c>
      <c r="C59" s="346">
        <f ca="1">LOG(C49/C$58)</f>
        <v>0.58160109516123659</v>
      </c>
      <c r="D59" s="440"/>
      <c r="E59" s="440"/>
      <c r="F59" s="440"/>
      <c r="G59" s="440"/>
      <c r="H59" s="346">
        <f ca="1">LOG(H49/H$58)</f>
        <v>-7.7891376856322969</v>
      </c>
      <c r="I59" s="346"/>
      <c r="J59" s="346">
        <f ca="1">LOG(SUM(I49:J49)/SUM(I$58:J$58))</f>
        <v>-3.887598578348495</v>
      </c>
      <c r="K59" s="346">
        <f ca="1">LOG(K49/K$58)</f>
        <v>-1.7247957732603894</v>
      </c>
      <c r="L59" s="346">
        <f t="shared" ref="L59:Q59" ca="1" si="1">LOG(L49/L$58)</f>
        <v>-1.2127741316362259</v>
      </c>
      <c r="M59" s="346">
        <f t="shared" ca="1" si="1"/>
        <v>0.69184119748443385</v>
      </c>
      <c r="N59" s="346">
        <f t="shared" ca="1" si="1"/>
        <v>0.96064722184983353</v>
      </c>
      <c r="O59" s="346">
        <f t="shared" ca="1" si="1"/>
        <v>-2.7511541510162782</v>
      </c>
      <c r="P59" s="346">
        <f t="shared" ca="1" si="1"/>
        <v>1.7092654214517531</v>
      </c>
      <c r="Q59" s="346">
        <f t="shared" ca="1" si="1"/>
        <v>-7.2024693636583228</v>
      </c>
      <c r="R59" s="346"/>
      <c r="S59" s="346">
        <f ca="1">LOG(SUM(R49:S49)/SUM(R$58:S$58))</f>
        <v>-1.502735395070816</v>
      </c>
      <c r="T59" s="346">
        <f ca="1">LOG(T49/T$58)</f>
        <v>-0.65726267844359654</v>
      </c>
      <c r="U59" s="346">
        <f t="shared" ref="U59:AE59" ca="1" si="2">LOG(U49/U$58)</f>
        <v>0.92377868520440276</v>
      </c>
      <c r="V59" s="346">
        <f t="shared" ca="1" si="2"/>
        <v>1.366221690178625</v>
      </c>
      <c r="W59" s="346">
        <f t="shared" ca="1" si="2"/>
        <v>1.2571667058069067</v>
      </c>
      <c r="X59" s="346">
        <f t="shared" ca="1" si="2"/>
        <v>1.1006241941089565</v>
      </c>
      <c r="Y59" s="346">
        <f t="shared" ca="1" si="2"/>
        <v>1.5534486934568521</v>
      </c>
      <c r="Z59" s="346">
        <f t="shared" ca="1" si="2"/>
        <v>-7.9090396669643592</v>
      </c>
      <c r="AA59" s="346">
        <f ca="1">LOG(SUM(AA49:AB49)/SUM(AA$58:AB$58))</f>
        <v>1.1986249254584471</v>
      </c>
      <c r="AB59" s="346"/>
      <c r="AC59" s="346">
        <f t="shared" ca="1" si="2"/>
        <v>3.7394762316668131</v>
      </c>
      <c r="AD59" s="346">
        <f t="shared" ca="1" si="2"/>
        <v>-0.96215072364129872</v>
      </c>
      <c r="AE59" s="346">
        <f t="shared" ca="1" si="2"/>
        <v>-8.9070087507932865</v>
      </c>
      <c r="AF59" s="346">
        <f ca="1">LOG(SUM(AF49:AG49)/SUM(AF$58:AG$58))</f>
        <v>0.35177624300977395</v>
      </c>
      <c r="AG59" s="346"/>
      <c r="AH59" s="346">
        <f ca="1">LOG(AH49/AH$58)</f>
        <v>2.7716688523916386</v>
      </c>
      <c r="AI59" s="346">
        <f ca="1">LOG(AI49/AI$58)</f>
        <v>-2.2548764420205742</v>
      </c>
      <c r="AJ59" s="346">
        <f ca="1">LOG(AJ49/AJ$58)</f>
        <v>-9.0695928789839293</v>
      </c>
      <c r="AK59" s="346">
        <f ca="1">LOG(SUM(AK49:AL49)/SUM(AK$58:AL$58))</f>
        <v>2.2375577609370474</v>
      </c>
      <c r="AL59" s="346"/>
      <c r="AM59" s="346">
        <f ca="1">LOG(AM49/AM$58)</f>
        <v>4.9987531273432371</v>
      </c>
      <c r="AN59" s="347">
        <f ca="1">LOG(AN49/AN$58)</f>
        <v>-2.0317085814239313</v>
      </c>
    </row>
    <row r="60" spans="1:40" s="137" customFormat="1" ht="12.75" customHeight="1" x14ac:dyDescent="0.3">
      <c r="A60"/>
      <c r="B60" s="92" t="s">
        <v>1302</v>
      </c>
      <c r="C60" s="153">
        <f ca="1">SUM(H60:AN60)</f>
        <v>1.455318883869047</v>
      </c>
      <c r="D60" s="441">
        <f ca="1">D49/SUM(A49:AK49)</f>
        <v>6.9506660035843107E-15</v>
      </c>
      <c r="E60" s="441">
        <f ca="1">E49/SUM(B49:AL49)</f>
        <v>2.5938591056016818E-7</v>
      </c>
      <c r="F60" s="441">
        <f ca="1">F49/SUM(C49:AM49)</f>
        <v>2.7178761849897638E-4</v>
      </c>
      <c r="G60" s="694">
        <f ca="1">G49/SUM(D49:AN49)</f>
        <v>4.1301467015981469E-9</v>
      </c>
      <c r="H60" s="97">
        <f ca="1">H49/SUM(D49:AN49)</f>
        <v>5.4616986375362735E-11</v>
      </c>
      <c r="I60" s="97">
        <f ca="1">I49/SUM(E49:AO49)</f>
        <v>3.2425690913850727E-16</v>
      </c>
      <c r="J60" s="97">
        <f ca="1">J49/SUM(F49:AP49)</f>
        <v>6.1011775135451633E-7</v>
      </c>
      <c r="K60" s="97">
        <f t="shared" ref="K60:AN60" ca="1" si="3">K49/SUM(H49:AQ49)</f>
        <v>3.29527799157579E-6</v>
      </c>
      <c r="L60" s="97">
        <f t="shared" ca="1" si="3"/>
        <v>3.9121306154388964E-5</v>
      </c>
      <c r="M60" s="97">
        <f t="shared" ca="1" si="3"/>
        <v>3.0462164518928578E-5</v>
      </c>
      <c r="N60" s="97">
        <f t="shared" ca="1" si="3"/>
        <v>7.8566156876486729E-5</v>
      </c>
      <c r="O60" s="97">
        <f t="shared" ca="1" si="3"/>
        <v>1.4983032965906732E-4</v>
      </c>
      <c r="P60" s="97">
        <f t="shared" ca="1" si="3"/>
        <v>1.6312043350855013E-4</v>
      </c>
      <c r="Q60" s="97">
        <f t="shared" ca="1" si="3"/>
        <v>1.0861126755342726E-9</v>
      </c>
      <c r="R60" s="97">
        <f t="shared" ca="1" si="3"/>
        <v>1.577213078100065E-8</v>
      </c>
      <c r="S60" s="97">
        <f t="shared" ca="1" si="3"/>
        <v>8.9661246116332279E-7</v>
      </c>
      <c r="T60" s="97">
        <f t="shared" ca="1" si="3"/>
        <v>1.6565053992269672E-3</v>
      </c>
      <c r="U60" s="97">
        <f t="shared" ca="1" si="3"/>
        <v>1.5264079033315274E-5</v>
      </c>
      <c r="V60" s="97">
        <f t="shared" ca="1" si="3"/>
        <v>3.0965562019189127E-4</v>
      </c>
      <c r="W60" s="97">
        <f t="shared" ca="1" si="3"/>
        <v>4.150173076002942E-4</v>
      </c>
      <c r="X60" s="97">
        <f t="shared" ca="1" si="3"/>
        <v>1.0750344180630441E-3</v>
      </c>
      <c r="Y60" s="97">
        <f t="shared" ca="1" si="3"/>
        <v>3.0458680166646593E-4</v>
      </c>
      <c r="Z60" s="97">
        <f t="shared" ca="1" si="3"/>
        <v>3.1666147419297403E-10</v>
      </c>
      <c r="AA60" s="97">
        <f t="shared" ca="1" si="3"/>
        <v>7.4960079120799713E-3</v>
      </c>
      <c r="AB60" s="97">
        <f t="shared" ca="1" si="3"/>
        <v>0.2251191972353988</v>
      </c>
      <c r="AC60" s="97">
        <f t="shared" ca="1" si="3"/>
        <v>7.1100372053966004E-3</v>
      </c>
      <c r="AD60" s="97">
        <f t="shared" ca="1" si="3"/>
        <v>1.3355288246264605E-5</v>
      </c>
      <c r="AE60" s="97">
        <f t="shared" ca="1" si="3"/>
        <v>1.0744484412689179E-11</v>
      </c>
      <c r="AF60" s="97">
        <f t="shared" ca="1" si="3"/>
        <v>7.9429257074524941E-3</v>
      </c>
      <c r="AG60" s="97">
        <f t="shared" ca="1" si="3"/>
        <v>0.1973921662400743</v>
      </c>
      <c r="AH60" s="97">
        <f t="shared" ca="1" si="3"/>
        <v>6.2325295407921451E-3</v>
      </c>
      <c r="AI60" s="97">
        <f t="shared" ca="1" si="3"/>
        <v>9.1565926346971779E-7</v>
      </c>
      <c r="AJ60" s="97">
        <f t="shared" ca="1" si="3"/>
        <v>2.4975864339783608E-11</v>
      </c>
      <c r="AK60" s="97">
        <f t="shared" ca="1" si="3"/>
        <v>2.8979837676980744E-2</v>
      </c>
      <c r="AL60" s="97">
        <f t="shared" ca="1" si="3"/>
        <v>0.94107605720931642</v>
      </c>
      <c r="AM60" s="97">
        <f t="shared" ca="1" si="3"/>
        <v>2.9713378236237337E-2</v>
      </c>
      <c r="AN60" s="154">
        <f t="shared" ca="1" si="3"/>
        <v>4.926678621828065E-7</v>
      </c>
    </row>
    <row r="61" spans="1:40" ht="12.75" customHeight="1" x14ac:dyDescent="0.3">
      <c r="B61" s="92" t="s">
        <v>998</v>
      </c>
      <c r="C61" s="112"/>
      <c r="D61" s="436">
        <f t="shared" ref="D61:AN61" ca="1" si="4">D49/D4</f>
        <v>2.4963138951629886E-16</v>
      </c>
      <c r="E61" s="436">
        <f t="shared" ca="1" si="4"/>
        <v>4.1726643119461745E-5</v>
      </c>
      <c r="F61" s="436">
        <f t="shared" ca="1" si="4"/>
        <v>9.5875291738849677E-2</v>
      </c>
      <c r="G61" s="695">
        <f t="shared" ca="1" si="4"/>
        <v>1.1448606235786004E-5</v>
      </c>
      <c r="H61" s="112">
        <f t="shared" ca="1" si="4"/>
        <v>1.1860249797319199E-13</v>
      </c>
      <c r="I61" s="112">
        <f t="shared" ca="1" si="4"/>
        <v>382.77150395584999</v>
      </c>
      <c r="J61" s="112">
        <f t="shared" ca="1" si="4"/>
        <v>1.35388675311579E-6</v>
      </c>
      <c r="K61" s="112">
        <f t="shared" ca="1" si="4"/>
        <v>8553203436283047</v>
      </c>
      <c r="L61" s="112">
        <f t="shared" ca="1" si="4"/>
        <v>2.7127784108918617E-3</v>
      </c>
      <c r="M61" s="112">
        <f t="shared" ca="1" si="4"/>
        <v>2.6355802746815459E+19</v>
      </c>
      <c r="N61" s="112">
        <f t="shared" ca="1" si="4"/>
        <v>1.8538701147392221E+17</v>
      </c>
      <c r="O61" s="112">
        <f t="shared" ca="1" si="4"/>
        <v>4.9103178024097671E-3</v>
      </c>
      <c r="P61" s="112">
        <f t="shared" ca="1" si="4"/>
        <v>6.6359903430690441E-3</v>
      </c>
      <c r="Q61" s="112">
        <f t="shared" ca="1" si="4"/>
        <v>1.3218719759649516E-16</v>
      </c>
      <c r="R61" s="112">
        <f t="shared" ca="1" si="4"/>
        <v>3.8676452528538204E-12</v>
      </c>
      <c r="S61" s="112">
        <f t="shared" ca="1" si="4"/>
        <v>6.4702838967446643E-10</v>
      </c>
      <c r="T61" s="112">
        <f t="shared" ca="1" si="4"/>
        <v>5.0762821309295841E-10</v>
      </c>
      <c r="U61" s="112">
        <f t="shared" ca="1" si="4"/>
        <v>8.8590572222255882E-7</v>
      </c>
      <c r="V61" s="112">
        <f t="shared" ca="1" si="4"/>
        <v>3.9688566442522266E-7</v>
      </c>
      <c r="W61" s="112">
        <f t="shared" ca="1" si="4"/>
        <v>1.8840497390898604E-6</v>
      </c>
      <c r="X61" s="112">
        <f t="shared" ca="1" si="4"/>
        <v>5.4812680174864045E-7</v>
      </c>
      <c r="Y61" s="112">
        <f t="shared" ca="1" si="4"/>
        <v>3.7271283756874926E-6</v>
      </c>
      <c r="Z61" s="112">
        <f t="shared" ca="1" si="4"/>
        <v>1.0713137739931469E-18</v>
      </c>
      <c r="AA61" s="112">
        <f t="shared" ca="1" si="4"/>
        <v>5.0699170788084629E-10</v>
      </c>
      <c r="AB61" s="112">
        <f t="shared" ca="1" si="4"/>
        <v>5.0698442469553623E-10</v>
      </c>
      <c r="AC61" s="112">
        <f t="shared" ca="1" si="4"/>
        <v>1.6007422948071956E-6</v>
      </c>
      <c r="AD61" s="112">
        <f t="shared" ca="1" si="4"/>
        <v>1.8040728168450805E-9</v>
      </c>
      <c r="AE61" s="112">
        <f t="shared" ca="1" si="4"/>
        <v>6.4851003568624281E-20</v>
      </c>
      <c r="AF61" s="112">
        <f t="shared" ca="1" si="4"/>
        <v>6.1773339247447337E-10</v>
      </c>
      <c r="AG61" s="112">
        <f t="shared" ca="1" si="4"/>
        <v>5.0697459794976645E-10</v>
      </c>
      <c r="AH61" s="112">
        <f t="shared" ca="1" si="4"/>
        <v>1.6007112680407886E-6</v>
      </c>
      <c r="AI61" s="112">
        <f t="shared" ca="1" si="4"/>
        <v>2.1165330737663073E-10</v>
      </c>
      <c r="AJ61" s="112">
        <f t="shared" ca="1" si="4"/>
        <v>3.8178996338996953E-20</v>
      </c>
      <c r="AK61" s="112">
        <f t="shared" ca="1" si="4"/>
        <v>5.0691982494254764E-10</v>
      </c>
      <c r="AL61" s="112">
        <f t="shared" ca="1" si="4"/>
        <v>5.4441098100397269E-10</v>
      </c>
      <c r="AM61" s="112">
        <f t="shared" ca="1" si="4"/>
        <v>1.7189121412819856E-6</v>
      </c>
      <c r="AN61" s="222">
        <f t="shared" ca="1" si="4"/>
        <v>3.9901012548364028E-11</v>
      </c>
    </row>
    <row r="62" spans="1:40" ht="12.75" customHeight="1" x14ac:dyDescent="0.3">
      <c r="B62" s="87" t="s">
        <v>697</v>
      </c>
      <c r="C62" s="155"/>
      <c r="D62" s="442">
        <f ca="1">D61*8.314*TEMP.R</f>
        <v>6.2085474262912093E-13</v>
      </c>
      <c r="E62" s="442">
        <f ca="1">E61*Kaw.R*8.314*TEMP.R</f>
        <v>1.1729458243612539E-21</v>
      </c>
      <c r="F62" s="442">
        <f ca="1">F61*Kaw.R/Ks1w.R*8.314*TEMP.R</f>
        <v>1.5148253655267355E-21</v>
      </c>
      <c r="G62" s="696">
        <f ca="1">G61*Kaw.R/Ks1w.R*8.314*TEMP.R</f>
        <v>1.808874717496038E-25</v>
      </c>
      <c r="H62" s="228">
        <f ca="1">H61*8.314*TEMP.R</f>
        <v>2.9497461636133389E-10</v>
      </c>
      <c r="I62" s="228">
        <f ca="1">I61*Kaw.R*8.314*TEMP.R</f>
        <v>1.0759797666064516E-14</v>
      </c>
      <c r="J62" s="228">
        <f ca="1">J61*Kaw.R*8.314*TEMP.R</f>
        <v>3.8058077405812338E-23</v>
      </c>
      <c r="K62" s="228">
        <f ca="1">K61*Kaw.R*8.314*TEMP.R</f>
        <v>0.24043257510023114</v>
      </c>
      <c r="L62" s="228">
        <f ca="1">L61*Kaw.R/Ksdw1.R*8.314*TEMP.R</f>
        <v>2.1705201937959135E-23</v>
      </c>
      <c r="M62" s="228">
        <f ca="1">M61*Kaw.R/Ksdw2.R*8.314*TEMP.R</f>
        <v>0.45601184675659145</v>
      </c>
      <c r="N62" s="228">
        <f ca="1">N61*Kaw.R/Ks1w.R*8.314*TEMP.R</f>
        <v>2.9291065750791188E-3</v>
      </c>
      <c r="O62" s="228">
        <f ca="1">O61*Kaw.R/Ks2w.R*8.314*TEMP.R</f>
        <v>9.8391950352205416E-23</v>
      </c>
      <c r="P62" s="228">
        <f ca="1">P61*Kaw.R/Ks3w.R*8.314*TEMP.R</f>
        <v>3.0272404687239591E-23</v>
      </c>
      <c r="Q62" s="228">
        <f ca="1">Q61*8.314*TEMP.C</f>
        <v>3.1002835519480517E-13</v>
      </c>
      <c r="R62" s="228">
        <f ca="1">R61*Kaw.C*8.314*TEMP.C</f>
        <v>1.4909040822410429E-29</v>
      </c>
      <c r="S62" s="228">
        <f ca="1">S61*Kaw.C*8.314*TEMP.C</f>
        <v>2.4941720463626243E-27</v>
      </c>
      <c r="T62" s="228">
        <f ca="1">T61*Kaw.C*8.314*TEMP.C</f>
        <v>1.9568107354276586E-27</v>
      </c>
      <c r="U62" s="228">
        <f ca="1">U61*Kaw.C/Ksdw1.C*8.314*TEMP.C</f>
        <v>2.4794256852617823E-27</v>
      </c>
      <c r="V62" s="228">
        <f ca="1">V61*Kaw.C/Ksdw2.C*8.314*TEMP.C</f>
        <v>2.5864463623853094E-27</v>
      </c>
      <c r="W62" s="228">
        <f ca="1">W61*Kaw.C/Ks1w.C*8.314*TEMP.C</f>
        <v>1.4497353780090401E-27</v>
      </c>
      <c r="X62" s="228">
        <f ca="1">X61*Kaw.C/Ks2w.C*8.314*TEMP.C</f>
        <v>7.2770819262112253E-28</v>
      </c>
      <c r="Y62" s="228">
        <f ca="1">Y61*Kaw.C/Ks3w.C*8.314*TEMP.C</f>
        <v>5.7494132120201733E-27</v>
      </c>
      <c r="Z62" s="228">
        <f ca="1">Z61*8.314*TEMP.M</f>
        <v>2.5384672743390218E-15</v>
      </c>
      <c r="AA62" s="228">
        <f ca="1">AA61*Kaw.M*8.314*TEMP.M</f>
        <v>2.7869697047548433E-27</v>
      </c>
      <c r="AB62" s="228">
        <f ca="1">AB61*Kaw.M*8.314*TEMP.M</f>
        <v>2.7869296685639202E-27</v>
      </c>
      <c r="AC62" s="228">
        <f ca="1">AC61*Kaw.M/Ksdw.M*8.314*TEMP.M</f>
        <v>5.2464896446092995E-27</v>
      </c>
      <c r="AD62" s="213">
        <f ca="1">AD61*Kaw.M/Kslw.M*8.314*TEMP.M</f>
        <v>4.9292885712646555E-30</v>
      </c>
      <c r="AE62" s="228">
        <f ca="1">AE61*8.314*TEMP.A</f>
        <v>1.4180203708508962E-16</v>
      </c>
      <c r="AF62" s="228">
        <f ca="1">AF61*Kaw.A*8.314*TEMP.A</f>
        <v>1.8926752525124902E-28</v>
      </c>
      <c r="AG62" s="228">
        <f ca="1">AG61*Kaw.A*8.314*TEMP.A</f>
        <v>1.5533210392728504E-28</v>
      </c>
      <c r="AH62" s="228">
        <f ca="1">AH61*Kaw.A/Ksdw.A*8.314*TEMP.A</f>
        <v>2.9241795511476617E-28</v>
      </c>
      <c r="AI62" s="213">
        <f ca="1">AI61*Kaw.A/Kslw.A*8.314*TEMP.A</f>
        <v>3.22328623580132E-32</v>
      </c>
      <c r="AJ62" s="228">
        <f ca="1">AJ61*8.314*TEMP.T</f>
        <v>9.459121231760136E-17</v>
      </c>
      <c r="AK62" s="228">
        <f ca="1">AK61*Kaw.T*8.314*TEMP.T</f>
        <v>1.2559303645225576E-26</v>
      </c>
      <c r="AL62" s="228">
        <f ca="1">AL61*Kaw.T*8.314*TEMP.T</f>
        <v>1.3488174030279743E-26</v>
      </c>
      <c r="AM62" s="228">
        <f ca="1">AM61*Kaw.T/Ksdw.T*8.314*TEMP.T</f>
        <v>2.5391945183522957E-26</v>
      </c>
      <c r="AN62" s="229">
        <f ca="1">AN61*Kaw.T/Kslw.T*8.314*TEMP.T</f>
        <v>4.9137039877623215E-31</v>
      </c>
    </row>
    <row r="63" spans="1:40" s="137" customFormat="1" ht="12.75" customHeight="1" x14ac:dyDescent="0.3">
      <c r="H63" s="230"/>
      <c r="I63" s="230"/>
      <c r="J63" s="230"/>
      <c r="K63" s="230"/>
      <c r="L63" s="230"/>
      <c r="M63" s="230"/>
      <c r="N63" s="230"/>
      <c r="O63" s="230"/>
      <c r="P63" s="230"/>
      <c r="Q63" s="230"/>
      <c r="R63" s="230"/>
      <c r="S63" s="230"/>
      <c r="T63" s="230"/>
      <c r="U63" s="230"/>
      <c r="V63" s="230"/>
      <c r="W63" s="230"/>
      <c r="X63" s="230"/>
      <c r="Y63" s="230"/>
      <c r="Z63" s="230"/>
      <c r="AA63" s="230"/>
      <c r="AB63" s="230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</row>
    <row r="64" spans="1:40" ht="12.75" customHeight="1" x14ac:dyDescent="0.3">
      <c r="H64" s="216"/>
      <c r="I64" s="112"/>
      <c r="J64" s="112"/>
      <c r="K64" s="216"/>
      <c r="L64" s="216"/>
      <c r="M64" s="216"/>
      <c r="N64" s="216"/>
      <c r="O64" s="216"/>
      <c r="P64" s="216"/>
      <c r="Q64" s="216"/>
      <c r="R64" s="112"/>
      <c r="S64" s="112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AM64" s="216"/>
      <c r="AN64" s="216"/>
    </row>
    <row r="65" spans="2:40" ht="12.75" customHeight="1" x14ac:dyDescent="0.3">
      <c r="B65" s="91" t="s">
        <v>1214</v>
      </c>
      <c r="C65" s="95"/>
      <c r="D65" s="428" t="s">
        <v>2444</v>
      </c>
      <c r="E65" s="428" t="s">
        <v>2445</v>
      </c>
      <c r="F65" s="428" t="s">
        <v>2446</v>
      </c>
      <c r="G65" s="697" t="s">
        <v>2540</v>
      </c>
      <c r="H65" s="218" t="s">
        <v>1534</v>
      </c>
      <c r="I65" s="218" t="s">
        <v>273</v>
      </c>
      <c r="J65" s="218" t="s">
        <v>1535</v>
      </c>
      <c r="K65" s="218" t="s">
        <v>1536</v>
      </c>
      <c r="L65" s="218" t="s">
        <v>1537</v>
      </c>
      <c r="M65" s="218" t="s">
        <v>1538</v>
      </c>
      <c r="N65" s="218" t="s">
        <v>1539</v>
      </c>
      <c r="O65" s="218" t="s">
        <v>1540</v>
      </c>
      <c r="P65" s="218" t="s">
        <v>1541</v>
      </c>
      <c r="Q65" s="218" t="s">
        <v>1542</v>
      </c>
      <c r="R65" s="218" t="s">
        <v>272</v>
      </c>
      <c r="S65" s="218" t="s">
        <v>1543</v>
      </c>
      <c r="T65" s="218" t="s">
        <v>1544</v>
      </c>
      <c r="U65" s="218" t="s">
        <v>1545</v>
      </c>
      <c r="V65" s="218" t="s">
        <v>1546</v>
      </c>
      <c r="W65" s="218" t="s">
        <v>1547</v>
      </c>
      <c r="X65" s="218" t="s">
        <v>1548</v>
      </c>
      <c r="Y65" s="218" t="s">
        <v>1549</v>
      </c>
      <c r="Z65" s="218" t="s">
        <v>1550</v>
      </c>
      <c r="AA65" s="218" t="s">
        <v>1511</v>
      </c>
      <c r="AB65" s="218" t="s">
        <v>1263</v>
      </c>
      <c r="AC65" s="218" t="s">
        <v>1551</v>
      </c>
      <c r="AD65" s="218" t="s">
        <v>1552</v>
      </c>
      <c r="AE65" s="218" t="s">
        <v>1553</v>
      </c>
      <c r="AF65" s="218" t="s">
        <v>1529</v>
      </c>
      <c r="AG65" s="218" t="s">
        <v>1264</v>
      </c>
      <c r="AH65" s="218" t="s">
        <v>1554</v>
      </c>
      <c r="AI65" s="218" t="s">
        <v>1555</v>
      </c>
      <c r="AJ65" s="218" t="s">
        <v>1556</v>
      </c>
      <c r="AK65" s="218" t="s">
        <v>1530</v>
      </c>
      <c r="AL65" s="218" t="s">
        <v>1265</v>
      </c>
      <c r="AM65" s="218" t="s">
        <v>1557</v>
      </c>
      <c r="AN65" s="219" t="s">
        <v>1558</v>
      </c>
    </row>
    <row r="66" spans="2:40" ht="12.75" customHeight="1" x14ac:dyDescent="0.3">
      <c r="B66" s="432" t="s">
        <v>2450</v>
      </c>
      <c r="C66" s="83"/>
      <c r="D66" s="433">
        <f ca="1">SUM(E66:AN66)-SUM(D67:D102)</f>
        <v>-4.232395590401219E-9</v>
      </c>
      <c r="E66" s="436">
        <f ca="1">E9*E$49</f>
        <v>1.2955545215773795E-21</v>
      </c>
      <c r="F66" s="436">
        <f ca="1">F9*F$49</f>
        <v>1.8428893644449437E-13</v>
      </c>
      <c r="G66" s="436">
        <f ca="1">G9*G49</f>
        <v>0</v>
      </c>
      <c r="H66" s="436">
        <f t="shared" ref="H66:AN66" ca="1" si="5">H9*H$49</f>
        <v>2.6088424607183722E-6</v>
      </c>
      <c r="I66" s="436">
        <f t="shared" ca="1" si="5"/>
        <v>0</v>
      </c>
      <c r="J66" s="436">
        <f t="shared" ca="1" si="5"/>
        <v>0</v>
      </c>
      <c r="K66" s="436">
        <f t="shared" ca="1" si="5"/>
        <v>0</v>
      </c>
      <c r="L66" s="436">
        <f t="shared" ca="1" si="5"/>
        <v>0</v>
      </c>
      <c r="M66" s="436">
        <f t="shared" ca="1" si="5"/>
        <v>0</v>
      </c>
      <c r="N66" s="436">
        <f t="shared" ca="1" si="5"/>
        <v>0</v>
      </c>
      <c r="O66" s="436">
        <f t="shared" ca="1" si="5"/>
        <v>0</v>
      </c>
      <c r="P66" s="436">
        <f t="shared" ca="1" si="5"/>
        <v>0</v>
      </c>
      <c r="Q66" s="436">
        <f t="shared" ca="1" si="5"/>
        <v>0</v>
      </c>
      <c r="R66" s="436">
        <f t="shared" ca="1" si="5"/>
        <v>0</v>
      </c>
      <c r="S66" s="436">
        <f t="shared" ca="1" si="5"/>
        <v>0</v>
      </c>
      <c r="T66" s="436">
        <f t="shared" ca="1" si="5"/>
        <v>0</v>
      </c>
      <c r="U66" s="436">
        <f t="shared" ca="1" si="5"/>
        <v>0</v>
      </c>
      <c r="V66" s="436">
        <f t="shared" ca="1" si="5"/>
        <v>0</v>
      </c>
      <c r="W66" s="436">
        <f t="shared" ca="1" si="5"/>
        <v>0</v>
      </c>
      <c r="X66" s="436">
        <f t="shared" ca="1" si="5"/>
        <v>0</v>
      </c>
      <c r="Y66" s="436">
        <f t="shared" ca="1" si="5"/>
        <v>0</v>
      </c>
      <c r="Z66" s="436">
        <f t="shared" ca="1" si="5"/>
        <v>0</v>
      </c>
      <c r="AA66" s="436">
        <f t="shared" ca="1" si="5"/>
        <v>0</v>
      </c>
      <c r="AB66" s="436">
        <f t="shared" ca="1" si="5"/>
        <v>0</v>
      </c>
      <c r="AC66" s="436">
        <f t="shared" ca="1" si="5"/>
        <v>0</v>
      </c>
      <c r="AD66" s="436">
        <f t="shared" ca="1" si="5"/>
        <v>0</v>
      </c>
      <c r="AE66" s="436">
        <f t="shared" ca="1" si="5"/>
        <v>0</v>
      </c>
      <c r="AF66" s="436">
        <f t="shared" ca="1" si="5"/>
        <v>0</v>
      </c>
      <c r="AG66" s="436">
        <f t="shared" ca="1" si="5"/>
        <v>0</v>
      </c>
      <c r="AH66" s="436">
        <f t="shared" ca="1" si="5"/>
        <v>0</v>
      </c>
      <c r="AI66" s="436">
        <f t="shared" ca="1" si="5"/>
        <v>0</v>
      </c>
      <c r="AJ66" s="436">
        <f t="shared" ca="1" si="5"/>
        <v>0</v>
      </c>
      <c r="AK66" s="436">
        <f t="shared" ca="1" si="5"/>
        <v>0</v>
      </c>
      <c r="AL66" s="436">
        <f t="shared" ca="1" si="5"/>
        <v>0</v>
      </c>
      <c r="AM66" s="436">
        <f t="shared" ca="1" si="5"/>
        <v>0</v>
      </c>
      <c r="AN66" s="437">
        <f t="shared" ca="1" si="5"/>
        <v>0</v>
      </c>
    </row>
    <row r="67" spans="2:40" ht="12.75" customHeight="1" x14ac:dyDescent="0.3">
      <c r="B67" s="432" t="s">
        <v>2451</v>
      </c>
      <c r="C67" s="83"/>
      <c r="D67" s="436">
        <f ca="1">D10*D$49</f>
        <v>2.0860672145889871E-7</v>
      </c>
      <c r="E67" s="433">
        <f ca="1">SUM(D67,F67:AN67)-SUM(E66,E68:E102)</f>
        <v>-4.2323965292211975E-9</v>
      </c>
      <c r="F67" s="436">
        <f ca="1">F10*F$49</f>
        <v>2.3983722115486447E-6</v>
      </c>
      <c r="G67" s="695">
        <f ca="1">G10*G$49</f>
        <v>1.9283224280952844E-4</v>
      </c>
      <c r="H67" s="436">
        <f t="shared" ref="H67:AN67" ca="1" si="6">H10*H$49</f>
        <v>0</v>
      </c>
      <c r="I67" s="436">
        <f t="shared" ca="1" si="6"/>
        <v>0</v>
      </c>
      <c r="J67" s="436">
        <f t="shared" ca="1" si="6"/>
        <v>0</v>
      </c>
      <c r="K67" s="436">
        <f t="shared" ca="1" si="6"/>
        <v>0</v>
      </c>
      <c r="L67" s="436">
        <f t="shared" ca="1" si="6"/>
        <v>0</v>
      </c>
      <c r="M67" s="436">
        <f t="shared" ca="1" si="6"/>
        <v>0</v>
      </c>
      <c r="N67" s="436">
        <f t="shared" ca="1" si="6"/>
        <v>0</v>
      </c>
      <c r="O67" s="436">
        <f t="shared" ca="1" si="6"/>
        <v>0</v>
      </c>
      <c r="P67" s="436">
        <f t="shared" ca="1" si="6"/>
        <v>0</v>
      </c>
      <c r="Q67" s="436">
        <f t="shared" ca="1" si="6"/>
        <v>0</v>
      </c>
      <c r="R67" s="436">
        <f t="shared" ca="1" si="6"/>
        <v>0</v>
      </c>
      <c r="S67" s="436">
        <f t="shared" ca="1" si="6"/>
        <v>0</v>
      </c>
      <c r="T67" s="436">
        <f t="shared" ca="1" si="6"/>
        <v>0</v>
      </c>
      <c r="U67" s="436">
        <f t="shared" ca="1" si="6"/>
        <v>0</v>
      </c>
      <c r="V67" s="436">
        <f t="shared" ca="1" si="6"/>
        <v>0</v>
      </c>
      <c r="W67" s="436">
        <f t="shared" ca="1" si="6"/>
        <v>0</v>
      </c>
      <c r="X67" s="436">
        <f t="shared" ca="1" si="6"/>
        <v>0</v>
      </c>
      <c r="Y67" s="436">
        <f t="shared" ca="1" si="6"/>
        <v>0</v>
      </c>
      <c r="Z67" s="436">
        <f t="shared" ca="1" si="6"/>
        <v>0</v>
      </c>
      <c r="AA67" s="436">
        <f t="shared" ca="1" si="6"/>
        <v>0</v>
      </c>
      <c r="AB67" s="436">
        <f t="shared" ca="1" si="6"/>
        <v>0</v>
      </c>
      <c r="AC67" s="436">
        <f t="shared" ca="1" si="6"/>
        <v>0</v>
      </c>
      <c r="AD67" s="436">
        <f t="shared" ca="1" si="6"/>
        <v>0</v>
      </c>
      <c r="AE67" s="436">
        <f t="shared" ca="1" si="6"/>
        <v>0</v>
      </c>
      <c r="AF67" s="436">
        <f t="shared" ca="1" si="6"/>
        <v>0</v>
      </c>
      <c r="AG67" s="436">
        <f t="shared" ca="1" si="6"/>
        <v>0</v>
      </c>
      <c r="AH67" s="436">
        <f t="shared" ca="1" si="6"/>
        <v>0</v>
      </c>
      <c r="AI67" s="436">
        <f t="shared" ca="1" si="6"/>
        <v>0</v>
      </c>
      <c r="AJ67" s="436">
        <f t="shared" ca="1" si="6"/>
        <v>0</v>
      </c>
      <c r="AK67" s="436">
        <f t="shared" ca="1" si="6"/>
        <v>0</v>
      </c>
      <c r="AL67" s="436">
        <f t="shared" ca="1" si="6"/>
        <v>0</v>
      </c>
      <c r="AM67" s="436">
        <f t="shared" ca="1" si="6"/>
        <v>0</v>
      </c>
      <c r="AN67" s="437">
        <f t="shared" ca="1" si="6"/>
        <v>0</v>
      </c>
    </row>
    <row r="68" spans="2:40" ht="12.75" customHeight="1" x14ac:dyDescent="0.3">
      <c r="B68" s="432" t="s">
        <v>2452</v>
      </c>
      <c r="C68" s="83"/>
      <c r="D68" s="436">
        <f ca="1">D11*D$49</f>
        <v>2.3989772967773315E-6</v>
      </c>
      <c r="E68" s="436">
        <f ca="1">E11*E$49</f>
        <v>0</v>
      </c>
      <c r="F68" s="433">
        <f ca="1">SUM(D68:E68,G68:AN68)-SUM(F66:F67,F69:F102)</f>
        <v>6.0490093975047631E-10</v>
      </c>
      <c r="G68" s="436">
        <f ca="1">G11*G$49</f>
        <v>0</v>
      </c>
      <c r="H68" s="436">
        <f t="shared" ref="H68:AN68" ca="1" si="7">H11*H$49</f>
        <v>0</v>
      </c>
      <c r="I68" s="436">
        <f t="shared" ca="1" si="7"/>
        <v>0</v>
      </c>
      <c r="J68" s="436">
        <f t="shared" ca="1" si="7"/>
        <v>0</v>
      </c>
      <c r="K68" s="436">
        <f t="shared" ca="1" si="7"/>
        <v>0</v>
      </c>
      <c r="L68" s="436">
        <f t="shared" ca="1" si="7"/>
        <v>0</v>
      </c>
      <c r="M68" s="436">
        <f t="shared" ca="1" si="7"/>
        <v>0</v>
      </c>
      <c r="N68" s="436">
        <f t="shared" ca="1" si="7"/>
        <v>0</v>
      </c>
      <c r="O68" s="436">
        <f t="shared" ca="1" si="7"/>
        <v>0</v>
      </c>
      <c r="P68" s="436">
        <f t="shared" ca="1" si="7"/>
        <v>0</v>
      </c>
      <c r="Q68" s="436">
        <f t="shared" ca="1" si="7"/>
        <v>0</v>
      </c>
      <c r="R68" s="436">
        <f t="shared" ca="1" si="7"/>
        <v>0</v>
      </c>
      <c r="S68" s="436">
        <f t="shared" ca="1" si="7"/>
        <v>0</v>
      </c>
      <c r="T68" s="436">
        <f t="shared" ca="1" si="7"/>
        <v>0</v>
      </c>
      <c r="U68" s="436">
        <f t="shared" ca="1" si="7"/>
        <v>0</v>
      </c>
      <c r="V68" s="436">
        <f t="shared" ca="1" si="7"/>
        <v>0</v>
      </c>
      <c r="W68" s="436">
        <f t="shared" ca="1" si="7"/>
        <v>0</v>
      </c>
      <c r="X68" s="436">
        <f t="shared" ca="1" si="7"/>
        <v>0</v>
      </c>
      <c r="Y68" s="436">
        <f t="shared" ca="1" si="7"/>
        <v>0</v>
      </c>
      <c r="Z68" s="436">
        <f t="shared" ca="1" si="7"/>
        <v>0</v>
      </c>
      <c r="AA68" s="436">
        <f t="shared" ca="1" si="7"/>
        <v>0</v>
      </c>
      <c r="AB68" s="436">
        <f t="shared" ca="1" si="7"/>
        <v>0</v>
      </c>
      <c r="AC68" s="436">
        <f t="shared" ca="1" si="7"/>
        <v>0</v>
      </c>
      <c r="AD68" s="436">
        <f t="shared" ca="1" si="7"/>
        <v>0</v>
      </c>
      <c r="AE68" s="436">
        <f t="shared" ca="1" si="7"/>
        <v>0</v>
      </c>
      <c r="AF68" s="436">
        <f t="shared" ca="1" si="7"/>
        <v>0</v>
      </c>
      <c r="AG68" s="436">
        <f t="shared" ca="1" si="7"/>
        <v>0</v>
      </c>
      <c r="AH68" s="436">
        <f t="shared" ca="1" si="7"/>
        <v>0</v>
      </c>
      <c r="AI68" s="436">
        <f t="shared" ca="1" si="7"/>
        <v>0</v>
      </c>
      <c r="AJ68" s="436">
        <f t="shared" ca="1" si="7"/>
        <v>0</v>
      </c>
      <c r="AK68" s="436">
        <f t="shared" ca="1" si="7"/>
        <v>0</v>
      </c>
      <c r="AL68" s="436">
        <f t="shared" ca="1" si="7"/>
        <v>0</v>
      </c>
      <c r="AM68" s="436">
        <f t="shared" ca="1" si="7"/>
        <v>0</v>
      </c>
      <c r="AN68" s="437">
        <f t="shared" ca="1" si="7"/>
        <v>0</v>
      </c>
    </row>
    <row r="69" spans="2:40" ht="12.75" customHeight="1" x14ac:dyDescent="0.3">
      <c r="B69" s="691" t="s">
        <v>2543</v>
      </c>
      <c r="C69" s="83"/>
      <c r="D69" s="436">
        <f ca="1">D12*D49</f>
        <v>0</v>
      </c>
      <c r="E69" s="695">
        <f t="shared" ref="E69:AN69" ca="1" si="8">E12*E49</f>
        <v>1.9283351569008176E-4</v>
      </c>
      <c r="F69" s="436">
        <f t="shared" ca="1" si="8"/>
        <v>0</v>
      </c>
      <c r="G69" s="698">
        <f ca="1">SUM(D69:F69,H69:AN69)-SUM(G66:G68,G70:G102)</f>
        <v>1.2728805533202252E-9</v>
      </c>
      <c r="H69" s="436">
        <f t="shared" ca="1" si="8"/>
        <v>0</v>
      </c>
      <c r="I69" s="436">
        <f t="shared" ca="1" si="8"/>
        <v>0</v>
      </c>
      <c r="J69" s="436">
        <f t="shared" ca="1" si="8"/>
        <v>0</v>
      </c>
      <c r="K69" s="436">
        <f t="shared" ca="1" si="8"/>
        <v>0</v>
      </c>
      <c r="L69" s="436">
        <f t="shared" ca="1" si="8"/>
        <v>0</v>
      </c>
      <c r="M69" s="436">
        <f t="shared" ca="1" si="8"/>
        <v>0</v>
      </c>
      <c r="N69" s="436">
        <f t="shared" ca="1" si="8"/>
        <v>0</v>
      </c>
      <c r="O69" s="436">
        <f t="shared" ca="1" si="8"/>
        <v>0</v>
      </c>
      <c r="P69" s="436">
        <f t="shared" ca="1" si="8"/>
        <v>0</v>
      </c>
      <c r="Q69" s="436">
        <f t="shared" ca="1" si="8"/>
        <v>0</v>
      </c>
      <c r="R69" s="436">
        <f t="shared" ca="1" si="8"/>
        <v>0</v>
      </c>
      <c r="S69" s="436">
        <f t="shared" ca="1" si="8"/>
        <v>0</v>
      </c>
      <c r="T69" s="436">
        <f t="shared" ca="1" si="8"/>
        <v>0</v>
      </c>
      <c r="U69" s="436">
        <f t="shared" ca="1" si="8"/>
        <v>0</v>
      </c>
      <c r="V69" s="436">
        <f t="shared" ca="1" si="8"/>
        <v>0</v>
      </c>
      <c r="W69" s="436">
        <f t="shared" ca="1" si="8"/>
        <v>0</v>
      </c>
      <c r="X69" s="436">
        <f t="shared" ca="1" si="8"/>
        <v>0</v>
      </c>
      <c r="Y69" s="436">
        <f t="shared" ca="1" si="8"/>
        <v>0</v>
      </c>
      <c r="Z69" s="436">
        <f t="shared" ca="1" si="8"/>
        <v>0</v>
      </c>
      <c r="AA69" s="436">
        <f t="shared" ca="1" si="8"/>
        <v>0</v>
      </c>
      <c r="AB69" s="436">
        <f t="shared" ca="1" si="8"/>
        <v>0</v>
      </c>
      <c r="AC69" s="436">
        <f t="shared" ca="1" si="8"/>
        <v>0</v>
      </c>
      <c r="AD69" s="436">
        <f t="shared" ca="1" si="8"/>
        <v>0</v>
      </c>
      <c r="AE69" s="436">
        <f t="shared" ca="1" si="8"/>
        <v>0</v>
      </c>
      <c r="AF69" s="436">
        <f t="shared" ca="1" si="8"/>
        <v>0</v>
      </c>
      <c r="AG69" s="436">
        <f t="shared" ca="1" si="8"/>
        <v>0</v>
      </c>
      <c r="AH69" s="436">
        <f t="shared" ca="1" si="8"/>
        <v>0</v>
      </c>
      <c r="AI69" s="436">
        <f t="shared" ca="1" si="8"/>
        <v>0</v>
      </c>
      <c r="AJ69" s="436">
        <f t="shared" ca="1" si="8"/>
        <v>0</v>
      </c>
      <c r="AK69" s="436">
        <f t="shared" ca="1" si="8"/>
        <v>0</v>
      </c>
      <c r="AL69" s="436">
        <f t="shared" ca="1" si="8"/>
        <v>0</v>
      </c>
      <c r="AM69" s="436">
        <f t="shared" ca="1" si="8"/>
        <v>0</v>
      </c>
      <c r="AN69" s="436">
        <f t="shared" ca="1" si="8"/>
        <v>0</v>
      </c>
    </row>
    <row r="70" spans="2:40" ht="12.75" customHeight="1" x14ac:dyDescent="0.3">
      <c r="B70" s="92" t="s">
        <v>1019</v>
      </c>
      <c r="C70" s="90"/>
      <c r="D70" s="436">
        <f t="shared" ref="D70:G89" ca="1" si="9">D13*D$49</f>
        <v>5.4910223614805397E-9</v>
      </c>
      <c r="E70" s="436">
        <f t="shared" ca="1" si="9"/>
        <v>0</v>
      </c>
      <c r="F70" s="436">
        <f t="shared" ca="1" si="9"/>
        <v>0</v>
      </c>
      <c r="G70" s="436">
        <f t="shared" ca="1" si="9"/>
        <v>0</v>
      </c>
      <c r="H70" s="220">
        <f ca="1">SUM(D70:G70,I70:AN70)-SUM(H66:H69,H71:H102)</f>
        <v>-4.2323913336834448E-6</v>
      </c>
      <c r="I70" s="112">
        <f t="shared" ref="I70:AN70" ca="1" si="10">I13*I$49</f>
        <v>3.3522991269388303E-32</v>
      </c>
      <c r="J70" s="112">
        <f t="shared" ca="1" si="10"/>
        <v>2.6695754605767217E-21</v>
      </c>
      <c r="K70" s="112">
        <f t="shared" ca="1" si="10"/>
        <v>3.3071221673063181E-21</v>
      </c>
      <c r="L70" s="217">
        <f t="shared" ca="1" si="10"/>
        <v>0</v>
      </c>
      <c r="M70" s="217">
        <f t="shared" ca="1" si="10"/>
        <v>0</v>
      </c>
      <c r="N70" s="112">
        <f t="shared" ca="1" si="10"/>
        <v>3.4497258739127597E-21</v>
      </c>
      <c r="O70" s="112">
        <f t="shared" ca="1" si="10"/>
        <v>3.7966793605728889E-21</v>
      </c>
      <c r="P70" s="112">
        <f t="shared" ca="1" si="10"/>
        <v>2.0678842513028988E-21</v>
      </c>
      <c r="Q70" s="112">
        <f t="shared" ca="1" si="10"/>
        <v>1.6223101603064521E-9</v>
      </c>
      <c r="R70" s="217">
        <f t="shared" ca="1" si="10"/>
        <v>0</v>
      </c>
      <c r="S70" s="217">
        <f t="shared" ca="1" si="10"/>
        <v>0</v>
      </c>
      <c r="T70" s="217">
        <f t="shared" ca="1" si="10"/>
        <v>0</v>
      </c>
      <c r="U70" s="217">
        <f t="shared" ca="1" si="10"/>
        <v>0</v>
      </c>
      <c r="V70" s="217">
        <f t="shared" ca="1" si="10"/>
        <v>0</v>
      </c>
      <c r="W70" s="217">
        <f t="shared" ca="1" si="10"/>
        <v>0</v>
      </c>
      <c r="X70" s="217">
        <f t="shared" ca="1" si="10"/>
        <v>0</v>
      </c>
      <c r="Y70" s="217">
        <f t="shared" ca="1" si="10"/>
        <v>0</v>
      </c>
      <c r="Z70" s="217">
        <f t="shared" ca="1" si="10"/>
        <v>0</v>
      </c>
      <c r="AA70" s="217">
        <f t="shared" ca="1" si="10"/>
        <v>0</v>
      </c>
      <c r="AB70" s="217">
        <f t="shared" ca="1" si="10"/>
        <v>0</v>
      </c>
      <c r="AC70" s="217">
        <f t="shared" ca="1" si="10"/>
        <v>0</v>
      </c>
      <c r="AD70" s="217">
        <f t="shared" ca="1" si="10"/>
        <v>0</v>
      </c>
      <c r="AE70" s="217">
        <f t="shared" ca="1" si="10"/>
        <v>0</v>
      </c>
      <c r="AF70" s="217">
        <f t="shared" ca="1" si="10"/>
        <v>0</v>
      </c>
      <c r="AG70" s="217">
        <f t="shared" ca="1" si="10"/>
        <v>0</v>
      </c>
      <c r="AH70" s="217">
        <f t="shared" ca="1" si="10"/>
        <v>0</v>
      </c>
      <c r="AI70" s="217">
        <f t="shared" ca="1" si="10"/>
        <v>0</v>
      </c>
      <c r="AJ70" s="217">
        <f t="shared" ca="1" si="10"/>
        <v>0</v>
      </c>
      <c r="AK70" s="217">
        <f t="shared" ca="1" si="10"/>
        <v>0</v>
      </c>
      <c r="AL70" s="217">
        <f t="shared" ca="1" si="10"/>
        <v>0</v>
      </c>
      <c r="AM70" s="217">
        <f t="shared" ca="1" si="10"/>
        <v>0</v>
      </c>
      <c r="AN70" s="221">
        <f t="shared" ca="1" si="10"/>
        <v>0</v>
      </c>
    </row>
    <row r="71" spans="2:40" ht="12.75" customHeight="1" x14ac:dyDescent="0.3">
      <c r="B71" s="92" t="s">
        <v>350</v>
      </c>
      <c r="C71" s="90"/>
      <c r="D71" s="436">
        <f t="shared" ca="1" si="9"/>
        <v>0</v>
      </c>
      <c r="E71" s="436">
        <f t="shared" ca="1" si="9"/>
        <v>0</v>
      </c>
      <c r="F71" s="436">
        <f t="shared" ca="1" si="9"/>
        <v>0</v>
      </c>
      <c r="G71" s="436">
        <f t="shared" ca="1" si="9"/>
        <v>0</v>
      </c>
      <c r="H71" s="112">
        <f t="shared" ref="H71:H102" ca="1" si="11">H14*H$49</f>
        <v>1.7507466753605207E-27</v>
      </c>
      <c r="I71" s="220">
        <f ca="1">SUM(D71:H71,J71:AN71)-SUM(I66:I70,I72:I102)</f>
        <v>9.0861584366638148E-28</v>
      </c>
      <c r="J71" s="112">
        <f t="shared" ref="J71:AN71" ca="1" si="12">J14*J$49</f>
        <v>0</v>
      </c>
      <c r="K71" s="217">
        <f t="shared" ca="1" si="12"/>
        <v>0</v>
      </c>
      <c r="L71" s="217">
        <f t="shared" ca="1" si="12"/>
        <v>0</v>
      </c>
      <c r="M71" s="217">
        <f t="shared" ca="1" si="12"/>
        <v>0</v>
      </c>
      <c r="N71" s="217">
        <f t="shared" ca="1" si="12"/>
        <v>0</v>
      </c>
      <c r="O71" s="217">
        <f t="shared" ca="1" si="12"/>
        <v>0</v>
      </c>
      <c r="P71" s="217">
        <f t="shared" ca="1" si="12"/>
        <v>0</v>
      </c>
      <c r="Q71" s="217">
        <f t="shared" ca="1" si="12"/>
        <v>0</v>
      </c>
      <c r="R71" s="217">
        <f t="shared" ca="1" si="12"/>
        <v>0</v>
      </c>
      <c r="S71" s="217">
        <f t="shared" ca="1" si="12"/>
        <v>0</v>
      </c>
      <c r="T71" s="217">
        <f t="shared" ca="1" si="12"/>
        <v>0</v>
      </c>
      <c r="U71" s="217">
        <f t="shared" ca="1" si="12"/>
        <v>0</v>
      </c>
      <c r="V71" s="217">
        <f t="shared" ca="1" si="12"/>
        <v>0</v>
      </c>
      <c r="W71" s="217">
        <f t="shared" ca="1" si="12"/>
        <v>0</v>
      </c>
      <c r="X71" s="217">
        <f t="shared" ca="1" si="12"/>
        <v>0</v>
      </c>
      <c r="Y71" s="217">
        <f t="shared" ca="1" si="12"/>
        <v>0</v>
      </c>
      <c r="Z71" s="217">
        <f t="shared" ca="1" si="12"/>
        <v>0</v>
      </c>
      <c r="AA71" s="217">
        <f t="shared" ca="1" si="12"/>
        <v>0</v>
      </c>
      <c r="AB71" s="217">
        <f t="shared" ca="1" si="12"/>
        <v>0</v>
      </c>
      <c r="AC71" s="217">
        <f t="shared" ca="1" si="12"/>
        <v>0</v>
      </c>
      <c r="AD71" s="217">
        <f t="shared" ca="1" si="12"/>
        <v>0</v>
      </c>
      <c r="AE71" s="217">
        <f t="shared" ca="1" si="12"/>
        <v>0</v>
      </c>
      <c r="AF71" s="217">
        <f t="shared" ca="1" si="12"/>
        <v>0</v>
      </c>
      <c r="AG71" s="217">
        <f t="shared" ca="1" si="12"/>
        <v>0</v>
      </c>
      <c r="AH71" s="217">
        <f t="shared" ca="1" si="12"/>
        <v>0</v>
      </c>
      <c r="AI71" s="217">
        <f t="shared" ca="1" si="12"/>
        <v>0</v>
      </c>
      <c r="AJ71" s="217">
        <f t="shared" ca="1" si="12"/>
        <v>0</v>
      </c>
      <c r="AK71" s="217">
        <f t="shared" ca="1" si="12"/>
        <v>0</v>
      </c>
      <c r="AL71" s="217">
        <f t="shared" ca="1" si="12"/>
        <v>0</v>
      </c>
      <c r="AM71" s="217">
        <f t="shared" ca="1" si="12"/>
        <v>0</v>
      </c>
      <c r="AN71" s="221">
        <f t="shared" ca="1" si="12"/>
        <v>0</v>
      </c>
    </row>
    <row r="72" spans="2:40" ht="12.75" customHeight="1" x14ac:dyDescent="0.3">
      <c r="B72" s="92" t="s">
        <v>1020</v>
      </c>
      <c r="C72" s="90"/>
      <c r="D72" s="436">
        <f t="shared" ca="1" si="9"/>
        <v>0</v>
      </c>
      <c r="E72" s="436">
        <f t="shared" ca="1" si="9"/>
        <v>2.6099384489834378E-6</v>
      </c>
      <c r="F72" s="436">
        <f t="shared" ca="1" si="9"/>
        <v>0</v>
      </c>
      <c r="G72" s="436">
        <f t="shared" ca="1" si="9"/>
        <v>0</v>
      </c>
      <c r="H72" s="112">
        <f t="shared" ca="1" si="11"/>
        <v>4.2017920208652492E-8</v>
      </c>
      <c r="I72" s="112">
        <f t="shared" ref="I72:I102" ca="1" si="13">I15*I$49</f>
        <v>8.4209730870286982E-28</v>
      </c>
      <c r="J72" s="220">
        <f ca="1">SUM(D72:I72,K72:AN72)-SUM(J66:J71,J73:J102)</f>
        <v>-4.2323965296726864E-6</v>
      </c>
      <c r="K72" s="217">
        <f t="shared" ref="K72:AN72" ca="1" si="14">K15*K$49</f>
        <v>0</v>
      </c>
      <c r="L72" s="112">
        <f t="shared" ca="1" si="14"/>
        <v>9.4200142149343877E-5</v>
      </c>
      <c r="M72" s="217">
        <f t="shared" ca="1" si="14"/>
        <v>0</v>
      </c>
      <c r="N72" s="112">
        <f t="shared" ca="1" si="14"/>
        <v>4.2092161806393186E-6</v>
      </c>
      <c r="O72" s="112">
        <f t="shared" ca="1" si="14"/>
        <v>4.2409434246742216E-6</v>
      </c>
      <c r="P72" s="112">
        <f t="shared" ca="1" si="14"/>
        <v>4.3117710193872931E-6</v>
      </c>
      <c r="Q72" s="217">
        <f t="shared" ca="1" si="14"/>
        <v>0</v>
      </c>
      <c r="R72" s="217">
        <f t="shared" ca="1" si="14"/>
        <v>0</v>
      </c>
      <c r="S72" s="112">
        <f t="shared" ca="1" si="14"/>
        <v>0</v>
      </c>
      <c r="T72" s="217">
        <f t="shared" ca="1" si="14"/>
        <v>0</v>
      </c>
      <c r="U72" s="217">
        <f t="shared" ca="1" si="14"/>
        <v>0</v>
      </c>
      <c r="V72" s="217">
        <f t="shared" ca="1" si="14"/>
        <v>0</v>
      </c>
      <c r="W72" s="217">
        <f t="shared" ca="1" si="14"/>
        <v>0</v>
      </c>
      <c r="X72" s="217">
        <f t="shared" ca="1" si="14"/>
        <v>0</v>
      </c>
      <c r="Y72" s="217">
        <f t="shared" ca="1" si="14"/>
        <v>0</v>
      </c>
      <c r="Z72" s="217">
        <f t="shared" ca="1" si="14"/>
        <v>0</v>
      </c>
      <c r="AA72" s="217">
        <f t="shared" ca="1" si="14"/>
        <v>0</v>
      </c>
      <c r="AB72" s="217">
        <f t="shared" ca="1" si="14"/>
        <v>0</v>
      </c>
      <c r="AC72" s="217">
        <f t="shared" ca="1" si="14"/>
        <v>0</v>
      </c>
      <c r="AD72" s="217">
        <f t="shared" ca="1" si="14"/>
        <v>0</v>
      </c>
      <c r="AE72" s="217">
        <f t="shared" ca="1" si="14"/>
        <v>0</v>
      </c>
      <c r="AF72" s="217">
        <f t="shared" ca="1" si="14"/>
        <v>0</v>
      </c>
      <c r="AG72" s="217">
        <f t="shared" ca="1" si="14"/>
        <v>0</v>
      </c>
      <c r="AH72" s="217">
        <f t="shared" ca="1" si="14"/>
        <v>0</v>
      </c>
      <c r="AI72" s="217">
        <f t="shared" ca="1" si="14"/>
        <v>0</v>
      </c>
      <c r="AJ72" s="217">
        <f t="shared" ca="1" si="14"/>
        <v>0</v>
      </c>
      <c r="AK72" s="217">
        <f t="shared" ca="1" si="14"/>
        <v>0</v>
      </c>
      <c r="AL72" s="217">
        <f t="shared" ca="1" si="14"/>
        <v>0</v>
      </c>
      <c r="AM72" s="217">
        <f t="shared" ca="1" si="14"/>
        <v>0</v>
      </c>
      <c r="AN72" s="221">
        <f t="shared" ca="1" si="14"/>
        <v>0</v>
      </c>
    </row>
    <row r="73" spans="2:40" ht="12.75" customHeight="1" x14ac:dyDescent="0.3">
      <c r="B73" s="92" t="s">
        <v>1021</v>
      </c>
      <c r="C73" s="90"/>
      <c r="D73" s="436">
        <f t="shared" ca="1" si="9"/>
        <v>0</v>
      </c>
      <c r="E73" s="436">
        <f t="shared" ca="1" si="9"/>
        <v>0</v>
      </c>
      <c r="F73" s="436">
        <f t="shared" ca="1" si="9"/>
        <v>0</v>
      </c>
      <c r="G73" s="436">
        <f t="shared" ca="1" si="9"/>
        <v>0</v>
      </c>
      <c r="H73" s="112">
        <f t="shared" ca="1" si="11"/>
        <v>7.9579394334569126E-30</v>
      </c>
      <c r="I73" s="112">
        <f t="shared" ca="1" si="13"/>
        <v>0</v>
      </c>
      <c r="J73" s="112">
        <f t="shared" ref="J73:J102" ca="1" si="15">J16*J$49</f>
        <v>7.2047674074144626E-6</v>
      </c>
      <c r="K73" s="220">
        <f ca="1">SUM(D73:J73,L73:AN73)-SUM(K66:K72,K74:K102)</f>
        <v>8.985325504473618E-18</v>
      </c>
      <c r="L73" s="217">
        <f t="shared" ref="L73:R73" ca="1" si="16">L16*L$49</f>
        <v>0</v>
      </c>
      <c r="M73" s="112">
        <f t="shared" ca="1" si="16"/>
        <v>5.6116840330428583E-5</v>
      </c>
      <c r="N73" s="217">
        <f t="shared" ca="1" si="16"/>
        <v>0</v>
      </c>
      <c r="O73" s="217">
        <f t="shared" ca="1" si="16"/>
        <v>0</v>
      </c>
      <c r="P73" s="217">
        <f t="shared" ca="1" si="16"/>
        <v>0</v>
      </c>
      <c r="Q73" s="217">
        <f t="shared" ca="1" si="16"/>
        <v>0</v>
      </c>
      <c r="R73" s="217">
        <f t="shared" ca="1" si="16"/>
        <v>0</v>
      </c>
      <c r="S73" s="217">
        <v>0</v>
      </c>
      <c r="T73" s="112">
        <f t="shared" ref="T73:AN73" ca="1" si="17">T16*T$49</f>
        <v>2.4312291088773645E-8</v>
      </c>
      <c r="U73" s="217">
        <f t="shared" ca="1" si="17"/>
        <v>0</v>
      </c>
      <c r="V73" s="217">
        <f t="shared" ca="1" si="17"/>
        <v>0</v>
      </c>
      <c r="W73" s="217">
        <f t="shared" ca="1" si="17"/>
        <v>0</v>
      </c>
      <c r="X73" s="217">
        <f t="shared" ca="1" si="17"/>
        <v>0</v>
      </c>
      <c r="Y73" s="217">
        <f t="shared" ca="1" si="17"/>
        <v>0</v>
      </c>
      <c r="Z73" s="217">
        <f t="shared" ca="1" si="17"/>
        <v>0</v>
      </c>
      <c r="AA73" s="217">
        <f t="shared" ca="1" si="17"/>
        <v>0</v>
      </c>
      <c r="AB73" s="217">
        <f t="shared" ca="1" si="17"/>
        <v>0</v>
      </c>
      <c r="AC73" s="217">
        <f t="shared" ca="1" si="17"/>
        <v>0</v>
      </c>
      <c r="AD73" s="217">
        <f t="shared" ca="1" si="17"/>
        <v>0</v>
      </c>
      <c r="AE73" s="217">
        <f t="shared" ca="1" si="17"/>
        <v>0</v>
      </c>
      <c r="AF73" s="217">
        <f t="shared" ca="1" si="17"/>
        <v>0</v>
      </c>
      <c r="AG73" s="217">
        <f t="shared" ca="1" si="17"/>
        <v>0</v>
      </c>
      <c r="AH73" s="217">
        <f t="shared" ca="1" si="17"/>
        <v>0</v>
      </c>
      <c r="AI73" s="217">
        <f t="shared" ca="1" si="17"/>
        <v>0</v>
      </c>
      <c r="AJ73" s="217">
        <f t="shared" ca="1" si="17"/>
        <v>0</v>
      </c>
      <c r="AK73" s="217">
        <f t="shared" ca="1" si="17"/>
        <v>0</v>
      </c>
      <c r="AL73" s="217">
        <f t="shared" ca="1" si="17"/>
        <v>0</v>
      </c>
      <c r="AM73" s="217">
        <f t="shared" ca="1" si="17"/>
        <v>0</v>
      </c>
      <c r="AN73" s="221">
        <f t="shared" ca="1" si="17"/>
        <v>0</v>
      </c>
    </row>
    <row r="74" spans="2:40" ht="12.75" customHeight="1" x14ac:dyDescent="0.3">
      <c r="B74" s="92" t="s">
        <v>1022</v>
      </c>
      <c r="C74" s="90"/>
      <c r="D74" s="436">
        <f t="shared" ca="1" si="9"/>
        <v>0</v>
      </c>
      <c r="E74" s="436">
        <f t="shared" ca="1" si="9"/>
        <v>0</v>
      </c>
      <c r="F74" s="436">
        <f t="shared" ca="1" si="9"/>
        <v>0</v>
      </c>
      <c r="G74" s="436">
        <f t="shared" ca="1" si="9"/>
        <v>0</v>
      </c>
      <c r="H74" s="217">
        <f t="shared" ca="1" si="11"/>
        <v>0</v>
      </c>
      <c r="I74" s="112">
        <f t="shared" ca="1" si="13"/>
        <v>0</v>
      </c>
      <c r="J74" s="112">
        <f t="shared" ca="1" si="15"/>
        <v>1.0664165826549503E-4</v>
      </c>
      <c r="K74" s="217">
        <f t="shared" ref="K74:K102" ca="1" si="18">K17*K$49</f>
        <v>0</v>
      </c>
      <c r="L74" s="220">
        <f ca="1">SUM(D74:K74,M74:AN74)-SUM(L66:L73,L75:L102)</f>
        <v>1.2441516116151158E-5</v>
      </c>
      <c r="M74" s="217">
        <f t="shared" ref="M74:S74" ca="1" si="19">M17*M$49</f>
        <v>0</v>
      </c>
      <c r="N74" s="217">
        <f t="shared" ca="1" si="19"/>
        <v>0</v>
      </c>
      <c r="O74" s="217">
        <f t="shared" ca="1" si="19"/>
        <v>0</v>
      </c>
      <c r="P74" s="217">
        <f t="shared" ca="1" si="19"/>
        <v>0</v>
      </c>
      <c r="Q74" s="217">
        <f t="shared" ca="1" si="19"/>
        <v>0</v>
      </c>
      <c r="R74" s="217">
        <f t="shared" ca="1" si="19"/>
        <v>0</v>
      </c>
      <c r="S74" s="217">
        <f t="shared" ca="1" si="19"/>
        <v>0</v>
      </c>
      <c r="T74" s="217">
        <f t="shared" ref="T74:AN74" ca="1" si="20">T17*T$49</f>
        <v>0</v>
      </c>
      <c r="U74" s="217">
        <f t="shared" ca="1" si="20"/>
        <v>0</v>
      </c>
      <c r="V74" s="217">
        <f t="shared" ca="1" si="20"/>
        <v>0</v>
      </c>
      <c r="W74" s="217">
        <f t="shared" ca="1" si="20"/>
        <v>0</v>
      </c>
      <c r="X74" s="217">
        <f t="shared" ca="1" si="20"/>
        <v>0</v>
      </c>
      <c r="Y74" s="217">
        <f t="shared" ca="1" si="20"/>
        <v>0</v>
      </c>
      <c r="Z74" s="217">
        <f t="shared" ca="1" si="20"/>
        <v>0</v>
      </c>
      <c r="AA74" s="217">
        <f t="shared" ca="1" si="20"/>
        <v>0</v>
      </c>
      <c r="AB74" s="217">
        <f t="shared" ca="1" si="20"/>
        <v>0</v>
      </c>
      <c r="AC74" s="217">
        <f t="shared" ca="1" si="20"/>
        <v>0</v>
      </c>
      <c r="AD74" s="217">
        <f t="shared" ca="1" si="20"/>
        <v>0</v>
      </c>
      <c r="AE74" s="217">
        <f t="shared" ca="1" si="20"/>
        <v>0</v>
      </c>
      <c r="AF74" s="217">
        <f t="shared" ca="1" si="20"/>
        <v>0</v>
      </c>
      <c r="AG74" s="217">
        <f t="shared" ca="1" si="20"/>
        <v>0</v>
      </c>
      <c r="AH74" s="217">
        <f t="shared" ca="1" si="20"/>
        <v>0</v>
      </c>
      <c r="AI74" s="217">
        <f t="shared" ca="1" si="20"/>
        <v>0</v>
      </c>
      <c r="AJ74" s="217">
        <f t="shared" ca="1" si="20"/>
        <v>0</v>
      </c>
      <c r="AK74" s="217">
        <f t="shared" ca="1" si="20"/>
        <v>0</v>
      </c>
      <c r="AL74" s="217">
        <f t="shared" ca="1" si="20"/>
        <v>0</v>
      </c>
      <c r="AM74" s="217">
        <f t="shared" ca="1" si="20"/>
        <v>0</v>
      </c>
      <c r="AN74" s="221">
        <f t="shared" ca="1" si="20"/>
        <v>0</v>
      </c>
    </row>
    <row r="75" spans="2:40" ht="12.75" customHeight="1" x14ac:dyDescent="0.3">
      <c r="B75" s="92" t="s">
        <v>1023</v>
      </c>
      <c r="C75" s="90"/>
      <c r="D75" s="436">
        <f t="shared" ca="1" si="9"/>
        <v>0</v>
      </c>
      <c r="E75" s="436">
        <f t="shared" ca="1" si="9"/>
        <v>0</v>
      </c>
      <c r="F75" s="436">
        <f t="shared" ca="1" si="9"/>
        <v>0</v>
      </c>
      <c r="G75" s="436">
        <f t="shared" ca="1" si="9"/>
        <v>0</v>
      </c>
      <c r="H75" s="217">
        <f t="shared" ca="1" si="11"/>
        <v>0</v>
      </c>
      <c r="I75" s="112">
        <f t="shared" ca="1" si="13"/>
        <v>0</v>
      </c>
      <c r="J75" s="217">
        <f t="shared" ca="1" si="15"/>
        <v>0</v>
      </c>
      <c r="K75" s="112">
        <f t="shared" ca="1" si="18"/>
        <v>6.3345920028914284E-5</v>
      </c>
      <c r="L75" s="217">
        <f t="shared" ref="L75:L102" ca="1" si="21">L18*L$49</f>
        <v>0</v>
      </c>
      <c r="M75" s="220">
        <f ca="1">SUM(D75:L75,N75:AN75)-SUM(M66:M74,M76:M102)</f>
        <v>7.2290796984857003E-6</v>
      </c>
      <c r="N75" s="217">
        <f t="shared" ref="N75:S75" ca="1" si="22">N18*N$49</f>
        <v>0</v>
      </c>
      <c r="O75" s="217">
        <f t="shared" ca="1" si="22"/>
        <v>0</v>
      </c>
      <c r="P75" s="217">
        <f t="shared" ca="1" si="22"/>
        <v>0</v>
      </c>
      <c r="Q75" s="217">
        <f t="shared" ca="1" si="22"/>
        <v>0</v>
      </c>
      <c r="R75" s="217">
        <f t="shared" ca="1" si="22"/>
        <v>0</v>
      </c>
      <c r="S75" s="217">
        <f t="shared" ca="1" si="22"/>
        <v>0</v>
      </c>
      <c r="T75" s="217">
        <f t="shared" ref="T75:AN75" ca="1" si="23">T18*T$49</f>
        <v>0</v>
      </c>
      <c r="U75" s="217">
        <f t="shared" ca="1" si="23"/>
        <v>0</v>
      </c>
      <c r="V75" s="217">
        <f t="shared" ca="1" si="23"/>
        <v>0</v>
      </c>
      <c r="W75" s="217">
        <f t="shared" ca="1" si="23"/>
        <v>0</v>
      </c>
      <c r="X75" s="217">
        <f t="shared" ca="1" si="23"/>
        <v>0</v>
      </c>
      <c r="Y75" s="217">
        <f t="shared" ca="1" si="23"/>
        <v>0</v>
      </c>
      <c r="Z75" s="217">
        <f t="shared" ca="1" si="23"/>
        <v>0</v>
      </c>
      <c r="AA75" s="217">
        <f t="shared" ca="1" si="23"/>
        <v>0</v>
      </c>
      <c r="AB75" s="217">
        <f t="shared" ca="1" si="23"/>
        <v>0</v>
      </c>
      <c r="AC75" s="217">
        <f t="shared" ca="1" si="23"/>
        <v>0</v>
      </c>
      <c r="AD75" s="217">
        <f t="shared" ca="1" si="23"/>
        <v>0</v>
      </c>
      <c r="AE75" s="217">
        <f t="shared" ca="1" si="23"/>
        <v>0</v>
      </c>
      <c r="AF75" s="217">
        <f t="shared" ca="1" si="23"/>
        <v>0</v>
      </c>
      <c r="AG75" s="217">
        <f t="shared" ca="1" si="23"/>
        <v>0</v>
      </c>
      <c r="AH75" s="217">
        <f t="shared" ca="1" si="23"/>
        <v>0</v>
      </c>
      <c r="AI75" s="217">
        <f t="shared" ca="1" si="23"/>
        <v>0</v>
      </c>
      <c r="AJ75" s="217">
        <f t="shared" ca="1" si="23"/>
        <v>0</v>
      </c>
      <c r="AK75" s="217">
        <f t="shared" ca="1" si="23"/>
        <v>0</v>
      </c>
      <c r="AL75" s="217">
        <f t="shared" ca="1" si="23"/>
        <v>0</v>
      </c>
      <c r="AM75" s="217">
        <f t="shared" ca="1" si="23"/>
        <v>0</v>
      </c>
      <c r="AN75" s="221">
        <f t="shared" ca="1" si="23"/>
        <v>0</v>
      </c>
    </row>
    <row r="76" spans="2:40" ht="12.75" customHeight="1" x14ac:dyDescent="0.3">
      <c r="B76" s="92" t="s">
        <v>1024</v>
      </c>
      <c r="C76" s="90"/>
      <c r="D76" s="436">
        <f t="shared" ca="1" si="9"/>
        <v>0</v>
      </c>
      <c r="E76" s="436">
        <f t="shared" ca="1" si="9"/>
        <v>0</v>
      </c>
      <c r="F76" s="436">
        <f t="shared" ca="1" si="9"/>
        <v>0</v>
      </c>
      <c r="G76" s="436">
        <f t="shared" ca="1" si="9"/>
        <v>0</v>
      </c>
      <c r="H76" s="112">
        <f t="shared" ca="1" si="11"/>
        <v>1.7507466752078772E-27</v>
      </c>
      <c r="I76" s="112">
        <f t="shared" ca="1" si="13"/>
        <v>0</v>
      </c>
      <c r="J76" s="217">
        <f t="shared" ca="1" si="15"/>
        <v>0</v>
      </c>
      <c r="K76" s="217">
        <f t="shared" ca="1" si="18"/>
        <v>0</v>
      </c>
      <c r="L76" s="217">
        <f t="shared" ca="1" si="21"/>
        <v>0</v>
      </c>
      <c r="M76" s="217">
        <f t="shared" ref="M76:M102" ca="1" si="24">M19*M$49</f>
        <v>0</v>
      </c>
      <c r="N76" s="220">
        <f ca="1">SUM(D76:M76,O76:AN76)-SUM(N66:N75,N77:N102)</f>
        <v>-4.2092161806393219E-6</v>
      </c>
      <c r="O76" s="217">
        <f ca="1">O19*O$49</f>
        <v>0</v>
      </c>
      <c r="P76" s="217">
        <f ca="1">P19*P$49</f>
        <v>0</v>
      </c>
      <c r="Q76" s="217">
        <f ca="1">Q19*Q$49</f>
        <v>0</v>
      </c>
      <c r="R76" s="217">
        <f ca="1">R19*R$49</f>
        <v>0</v>
      </c>
      <c r="S76" s="217">
        <f ca="1">S19*S$49</f>
        <v>0</v>
      </c>
      <c r="T76" s="217">
        <f t="shared" ref="T76:AN76" ca="1" si="25">T19*T$49</f>
        <v>0</v>
      </c>
      <c r="U76" s="217">
        <f t="shared" ca="1" si="25"/>
        <v>0</v>
      </c>
      <c r="V76" s="217">
        <f t="shared" ca="1" si="25"/>
        <v>0</v>
      </c>
      <c r="W76" s="217">
        <f t="shared" ca="1" si="25"/>
        <v>0</v>
      </c>
      <c r="X76" s="217">
        <f t="shared" ca="1" si="25"/>
        <v>0</v>
      </c>
      <c r="Y76" s="217">
        <f t="shared" ca="1" si="25"/>
        <v>0</v>
      </c>
      <c r="Z76" s="217">
        <f t="shared" ca="1" si="25"/>
        <v>0</v>
      </c>
      <c r="AA76" s="217">
        <f t="shared" ca="1" si="25"/>
        <v>0</v>
      </c>
      <c r="AB76" s="217">
        <f t="shared" ca="1" si="25"/>
        <v>0</v>
      </c>
      <c r="AC76" s="217">
        <f t="shared" ca="1" si="25"/>
        <v>0</v>
      </c>
      <c r="AD76" s="217">
        <f t="shared" ca="1" si="25"/>
        <v>0</v>
      </c>
      <c r="AE76" s="217">
        <f t="shared" ca="1" si="25"/>
        <v>0</v>
      </c>
      <c r="AF76" s="217">
        <f t="shared" ca="1" si="25"/>
        <v>0</v>
      </c>
      <c r="AG76" s="217">
        <f t="shared" ca="1" si="25"/>
        <v>0</v>
      </c>
      <c r="AH76" s="217">
        <f t="shared" ca="1" si="25"/>
        <v>0</v>
      </c>
      <c r="AI76" s="217">
        <f t="shared" ca="1" si="25"/>
        <v>0</v>
      </c>
      <c r="AJ76" s="217">
        <f t="shared" ca="1" si="25"/>
        <v>0</v>
      </c>
      <c r="AK76" s="217">
        <f t="shared" ca="1" si="25"/>
        <v>0</v>
      </c>
      <c r="AL76" s="217">
        <f t="shared" ca="1" si="25"/>
        <v>0</v>
      </c>
      <c r="AM76" s="217">
        <f t="shared" ca="1" si="25"/>
        <v>0</v>
      </c>
      <c r="AN76" s="221">
        <f t="shared" ca="1" si="25"/>
        <v>0</v>
      </c>
    </row>
    <row r="77" spans="2:40" ht="12.75" customHeight="1" x14ac:dyDescent="0.3">
      <c r="B77" s="92" t="s">
        <v>1025</v>
      </c>
      <c r="C77" s="90"/>
      <c r="D77" s="436">
        <f t="shared" ca="1" si="9"/>
        <v>0</v>
      </c>
      <c r="E77" s="436">
        <f t="shared" ca="1" si="9"/>
        <v>0</v>
      </c>
      <c r="F77" s="436">
        <f t="shared" ca="1" si="9"/>
        <v>0</v>
      </c>
      <c r="G77" s="436">
        <f t="shared" ca="1" si="9"/>
        <v>0</v>
      </c>
      <c r="H77" s="112">
        <f t="shared" ca="1" si="11"/>
        <v>3.1513440153741794E-8</v>
      </c>
      <c r="I77" s="112">
        <f t="shared" ca="1" si="13"/>
        <v>0</v>
      </c>
      <c r="J77" s="217">
        <f t="shared" ca="1" si="15"/>
        <v>0</v>
      </c>
      <c r="K77" s="217">
        <f t="shared" ca="1" si="18"/>
        <v>0</v>
      </c>
      <c r="L77" s="217">
        <f t="shared" ca="1" si="21"/>
        <v>0</v>
      </c>
      <c r="M77" s="217">
        <f t="shared" ca="1" si="24"/>
        <v>0</v>
      </c>
      <c r="N77" s="217">
        <f t="shared" ref="N77:N102" ca="1" si="26">N20*N$49</f>
        <v>0</v>
      </c>
      <c r="O77" s="220">
        <f ca="1">SUM(D77:N77,P77:AN77)-SUM(O66:O76,O78:O102)</f>
        <v>-4.2094299845204833E-6</v>
      </c>
      <c r="P77" s="217">
        <f ca="1">P20*P$49</f>
        <v>0</v>
      </c>
      <c r="Q77" s="217">
        <f ca="1">Q20*Q$49</f>
        <v>0</v>
      </c>
      <c r="R77" s="217">
        <f ca="1">R20*R$49</f>
        <v>0</v>
      </c>
      <c r="S77" s="217">
        <f ca="1">S20*S$49</f>
        <v>0</v>
      </c>
      <c r="T77" s="217">
        <f t="shared" ref="T77:AN77" ca="1" si="27">T20*T$49</f>
        <v>0</v>
      </c>
      <c r="U77" s="217">
        <f t="shared" ca="1" si="27"/>
        <v>0</v>
      </c>
      <c r="V77" s="217">
        <f t="shared" ca="1" si="27"/>
        <v>0</v>
      </c>
      <c r="W77" s="217">
        <f t="shared" ca="1" si="27"/>
        <v>0</v>
      </c>
      <c r="X77" s="217">
        <f t="shared" ca="1" si="27"/>
        <v>0</v>
      </c>
      <c r="Y77" s="217">
        <f t="shared" ca="1" si="27"/>
        <v>0</v>
      </c>
      <c r="Z77" s="217">
        <f t="shared" ca="1" si="27"/>
        <v>0</v>
      </c>
      <c r="AA77" s="217">
        <f t="shared" ca="1" si="27"/>
        <v>0</v>
      </c>
      <c r="AB77" s="217">
        <f t="shared" ca="1" si="27"/>
        <v>0</v>
      </c>
      <c r="AC77" s="217">
        <f t="shared" ca="1" si="27"/>
        <v>0</v>
      </c>
      <c r="AD77" s="217">
        <f t="shared" ca="1" si="27"/>
        <v>0</v>
      </c>
      <c r="AE77" s="217">
        <f t="shared" ca="1" si="27"/>
        <v>0</v>
      </c>
      <c r="AF77" s="217">
        <f t="shared" ca="1" si="27"/>
        <v>0</v>
      </c>
      <c r="AG77" s="217">
        <f t="shared" ca="1" si="27"/>
        <v>0</v>
      </c>
      <c r="AH77" s="217">
        <f t="shared" ca="1" si="27"/>
        <v>0</v>
      </c>
      <c r="AI77" s="217">
        <f t="shared" ca="1" si="27"/>
        <v>0</v>
      </c>
      <c r="AJ77" s="217">
        <f t="shared" ca="1" si="27"/>
        <v>0</v>
      </c>
      <c r="AK77" s="217">
        <f t="shared" ca="1" si="27"/>
        <v>0</v>
      </c>
      <c r="AL77" s="217">
        <f t="shared" ca="1" si="27"/>
        <v>0</v>
      </c>
      <c r="AM77" s="217">
        <f t="shared" ca="1" si="27"/>
        <v>0</v>
      </c>
      <c r="AN77" s="221">
        <f t="shared" ca="1" si="27"/>
        <v>0</v>
      </c>
    </row>
    <row r="78" spans="2:40" ht="12.75" customHeight="1" x14ac:dyDescent="0.3">
      <c r="B78" s="92" t="s">
        <v>1026</v>
      </c>
      <c r="C78" s="90"/>
      <c r="D78" s="436">
        <f t="shared" ca="1" si="9"/>
        <v>0</v>
      </c>
      <c r="E78" s="436">
        <f t="shared" ca="1" si="9"/>
        <v>0</v>
      </c>
      <c r="F78" s="436">
        <f t="shared" ca="1" si="9"/>
        <v>0</v>
      </c>
      <c r="G78" s="436">
        <f t="shared" ca="1" si="9"/>
        <v>0</v>
      </c>
      <c r="H78" s="112">
        <f t="shared" ca="1" si="11"/>
        <v>1.0154330716205688E-7</v>
      </c>
      <c r="I78" s="112">
        <f t="shared" ca="1" si="13"/>
        <v>0</v>
      </c>
      <c r="J78" s="217">
        <f t="shared" ca="1" si="15"/>
        <v>0</v>
      </c>
      <c r="K78" s="217">
        <f t="shared" ca="1" si="18"/>
        <v>0</v>
      </c>
      <c r="L78" s="217">
        <f t="shared" ca="1" si="21"/>
        <v>0</v>
      </c>
      <c r="M78" s="217">
        <f t="shared" ca="1" si="24"/>
        <v>0</v>
      </c>
      <c r="N78" s="217">
        <f t="shared" ca="1" si="26"/>
        <v>0</v>
      </c>
      <c r="O78" s="217">
        <f t="shared" ref="O78:O102" ca="1" si="28">O21*O$49</f>
        <v>0</v>
      </c>
      <c r="P78" s="220">
        <f ca="1">SUM(D78:O78,Q78:AN78)-SUM(P66:P77,P79:P102)</f>
        <v>-4.2102277122252376E-6</v>
      </c>
      <c r="Q78" s="217">
        <f ca="1">Q21*Q$49</f>
        <v>0</v>
      </c>
      <c r="R78" s="217">
        <f ca="1">R21*R$49</f>
        <v>0</v>
      </c>
      <c r="S78" s="217">
        <f ca="1">S21*S$49</f>
        <v>0</v>
      </c>
      <c r="T78" s="217">
        <f t="shared" ref="T78:AN78" ca="1" si="29">T21*T$49</f>
        <v>0</v>
      </c>
      <c r="U78" s="217">
        <f t="shared" ca="1" si="29"/>
        <v>0</v>
      </c>
      <c r="V78" s="217">
        <f t="shared" ca="1" si="29"/>
        <v>0</v>
      </c>
      <c r="W78" s="217">
        <f t="shared" ca="1" si="29"/>
        <v>0</v>
      </c>
      <c r="X78" s="217">
        <f t="shared" ca="1" si="29"/>
        <v>0</v>
      </c>
      <c r="Y78" s="217">
        <f t="shared" ca="1" si="29"/>
        <v>0</v>
      </c>
      <c r="Z78" s="217">
        <f t="shared" ca="1" si="29"/>
        <v>0</v>
      </c>
      <c r="AA78" s="217">
        <f t="shared" ca="1" si="29"/>
        <v>0</v>
      </c>
      <c r="AB78" s="217">
        <f t="shared" ca="1" si="29"/>
        <v>0</v>
      </c>
      <c r="AC78" s="217">
        <f t="shared" ca="1" si="29"/>
        <v>0</v>
      </c>
      <c r="AD78" s="217">
        <f t="shared" ca="1" si="29"/>
        <v>0</v>
      </c>
      <c r="AE78" s="217">
        <f t="shared" ca="1" si="29"/>
        <v>0</v>
      </c>
      <c r="AF78" s="217">
        <f t="shared" ca="1" si="29"/>
        <v>0</v>
      </c>
      <c r="AG78" s="217">
        <f t="shared" ca="1" si="29"/>
        <v>0</v>
      </c>
      <c r="AH78" s="217">
        <f t="shared" ca="1" si="29"/>
        <v>0</v>
      </c>
      <c r="AI78" s="217">
        <f t="shared" ca="1" si="29"/>
        <v>0</v>
      </c>
      <c r="AJ78" s="217">
        <f t="shared" ca="1" si="29"/>
        <v>0</v>
      </c>
      <c r="AK78" s="217">
        <f t="shared" ca="1" si="29"/>
        <v>0</v>
      </c>
      <c r="AL78" s="217">
        <f t="shared" ca="1" si="29"/>
        <v>0</v>
      </c>
      <c r="AM78" s="217">
        <f t="shared" ca="1" si="29"/>
        <v>0</v>
      </c>
      <c r="AN78" s="221">
        <f t="shared" ca="1" si="29"/>
        <v>0</v>
      </c>
    </row>
    <row r="79" spans="2:40" ht="12.75" customHeight="1" x14ac:dyDescent="0.3">
      <c r="B79" s="92" t="s">
        <v>1027</v>
      </c>
      <c r="C79" s="90"/>
      <c r="D79" s="436">
        <f t="shared" ca="1" si="9"/>
        <v>0</v>
      </c>
      <c r="E79" s="436">
        <f t="shared" ca="1" si="9"/>
        <v>0</v>
      </c>
      <c r="F79" s="436">
        <f t="shared" ca="1" si="9"/>
        <v>0</v>
      </c>
      <c r="G79" s="436">
        <f t="shared" ca="1" si="9"/>
        <v>0</v>
      </c>
      <c r="H79" s="112">
        <f t="shared" ca="1" si="11"/>
        <v>1.4555875379624235E-6</v>
      </c>
      <c r="I79" s="112">
        <f t="shared" ca="1" si="13"/>
        <v>0</v>
      </c>
      <c r="J79" s="217">
        <f t="shared" ca="1" si="15"/>
        <v>0</v>
      </c>
      <c r="K79" s="217">
        <f t="shared" ca="1" si="18"/>
        <v>0</v>
      </c>
      <c r="L79" s="217">
        <f t="shared" ca="1" si="21"/>
        <v>0</v>
      </c>
      <c r="M79" s="217">
        <f t="shared" ca="1" si="24"/>
        <v>0</v>
      </c>
      <c r="N79" s="217">
        <f t="shared" ca="1" si="26"/>
        <v>0</v>
      </c>
      <c r="O79" s="217">
        <f t="shared" ca="1" si="28"/>
        <v>0</v>
      </c>
      <c r="P79" s="217">
        <f t="shared" ref="P79:P102" ca="1" si="30">P22*P$49</f>
        <v>0</v>
      </c>
      <c r="Q79" s="220">
        <f ca="1">SUM(D79:P79,R79:AN79)-SUM(Q66:Q78,Q80:Q102)</f>
        <v>-4.2322932660621096E-6</v>
      </c>
      <c r="R79" s="112">
        <f ca="1">R22*R$49</f>
        <v>6.750768087230051E-25</v>
      </c>
      <c r="S79" s="112">
        <f ca="1">S22*S$49</f>
        <v>1.1316586880429357E-21</v>
      </c>
      <c r="T79" s="112">
        <f t="shared" ref="T79:AN79" ca="1" si="31">T22*T$49</f>
        <v>3.4243535723443514E-20</v>
      </c>
      <c r="U79" s="217">
        <f t="shared" ca="1" si="31"/>
        <v>0</v>
      </c>
      <c r="V79" s="217">
        <f t="shared" ca="1" si="31"/>
        <v>0</v>
      </c>
      <c r="W79" s="112">
        <f t="shared" ca="1" si="31"/>
        <v>9.4066432121579594E-22</v>
      </c>
      <c r="X79" s="112">
        <f t="shared" ca="1" si="31"/>
        <v>1.1069652384600827E-21</v>
      </c>
      <c r="Y79" s="112">
        <f t="shared" ca="1" si="31"/>
        <v>6.8921210298947349E-22</v>
      </c>
      <c r="Z79" s="112">
        <f t="shared" ca="1" si="31"/>
        <v>5.848979843004949E-9</v>
      </c>
      <c r="AA79" s="217">
        <f t="shared" ca="1" si="31"/>
        <v>0</v>
      </c>
      <c r="AB79" s="217">
        <f t="shared" ca="1" si="31"/>
        <v>0</v>
      </c>
      <c r="AC79" s="217">
        <f t="shared" ca="1" si="31"/>
        <v>0</v>
      </c>
      <c r="AD79" s="217">
        <f t="shared" ca="1" si="31"/>
        <v>0</v>
      </c>
      <c r="AE79" s="217">
        <f t="shared" ca="1" si="31"/>
        <v>0</v>
      </c>
      <c r="AF79" s="217">
        <f t="shared" ca="1" si="31"/>
        <v>0</v>
      </c>
      <c r="AG79" s="217">
        <f t="shared" ca="1" si="31"/>
        <v>0</v>
      </c>
      <c r="AH79" s="217">
        <f t="shared" ca="1" si="31"/>
        <v>0</v>
      </c>
      <c r="AI79" s="217">
        <f t="shared" ca="1" si="31"/>
        <v>0</v>
      </c>
      <c r="AJ79" s="217">
        <f t="shared" ca="1" si="31"/>
        <v>0</v>
      </c>
      <c r="AK79" s="217">
        <f t="shared" ca="1" si="31"/>
        <v>0</v>
      </c>
      <c r="AL79" s="217">
        <f t="shared" ca="1" si="31"/>
        <v>0</v>
      </c>
      <c r="AM79" s="217">
        <f t="shared" ca="1" si="31"/>
        <v>0</v>
      </c>
      <c r="AN79" s="221">
        <f t="shared" ca="1" si="31"/>
        <v>0</v>
      </c>
    </row>
    <row r="80" spans="2:40" ht="12.75" customHeight="1" x14ac:dyDescent="0.3">
      <c r="B80" s="92" t="s">
        <v>349</v>
      </c>
      <c r="C80" s="90"/>
      <c r="D80" s="436">
        <f t="shared" ca="1" si="9"/>
        <v>0</v>
      </c>
      <c r="E80" s="436">
        <f t="shared" ca="1" si="9"/>
        <v>0</v>
      </c>
      <c r="F80" s="436">
        <f t="shared" ca="1" si="9"/>
        <v>0</v>
      </c>
      <c r="G80" s="436">
        <f t="shared" ca="1" si="9"/>
        <v>0</v>
      </c>
      <c r="H80" s="112">
        <f t="shared" ca="1" si="11"/>
        <v>0</v>
      </c>
      <c r="I80" s="112">
        <f t="shared" ca="1" si="13"/>
        <v>0</v>
      </c>
      <c r="J80" s="217">
        <f t="shared" ca="1" si="15"/>
        <v>0</v>
      </c>
      <c r="K80" s="217">
        <f t="shared" ca="1" si="18"/>
        <v>0</v>
      </c>
      <c r="L80" s="217">
        <f t="shared" ca="1" si="21"/>
        <v>0</v>
      </c>
      <c r="M80" s="217">
        <f t="shared" ca="1" si="24"/>
        <v>0</v>
      </c>
      <c r="N80" s="217">
        <f t="shared" ca="1" si="26"/>
        <v>0</v>
      </c>
      <c r="O80" s="217">
        <f t="shared" ca="1" si="28"/>
        <v>0</v>
      </c>
      <c r="P80" s="217">
        <f t="shared" ca="1" si="30"/>
        <v>0</v>
      </c>
      <c r="Q80" s="112">
        <f t="shared" ref="Q80:Q102" ca="1" si="32">Q23*Q$49</f>
        <v>6.2131788370591273E-9</v>
      </c>
      <c r="R80" s="220">
        <f ca="1">SUM(D80:Q80,S80:AN80)-SUM(R66:R79,R81:R102)</f>
        <v>1.3549218433618593E-20</v>
      </c>
      <c r="S80" s="112">
        <f ca="1">S23*S$49</f>
        <v>0</v>
      </c>
      <c r="T80" s="217">
        <f t="shared" ref="T80:AN80" ca="1" si="33">T23*T$49</f>
        <v>0</v>
      </c>
      <c r="U80" s="217">
        <f t="shared" ca="1" si="33"/>
        <v>0</v>
      </c>
      <c r="V80" s="217">
        <f t="shared" ca="1" si="33"/>
        <v>0</v>
      </c>
      <c r="W80" s="217">
        <f t="shared" ca="1" si="33"/>
        <v>0</v>
      </c>
      <c r="X80" s="217">
        <f t="shared" ca="1" si="33"/>
        <v>0</v>
      </c>
      <c r="Y80" s="217">
        <f t="shared" ca="1" si="33"/>
        <v>0</v>
      </c>
      <c r="Z80" s="217">
        <f t="shared" ca="1" si="33"/>
        <v>0</v>
      </c>
      <c r="AA80" s="217">
        <f t="shared" ca="1" si="33"/>
        <v>0</v>
      </c>
      <c r="AB80" s="217">
        <f t="shared" ca="1" si="33"/>
        <v>0</v>
      </c>
      <c r="AC80" s="217">
        <f t="shared" ca="1" si="33"/>
        <v>0</v>
      </c>
      <c r="AD80" s="217">
        <f t="shared" ca="1" si="33"/>
        <v>0</v>
      </c>
      <c r="AE80" s="217">
        <f t="shared" ca="1" si="33"/>
        <v>0</v>
      </c>
      <c r="AF80" s="217">
        <f t="shared" ca="1" si="33"/>
        <v>0</v>
      </c>
      <c r="AG80" s="217">
        <f t="shared" ca="1" si="33"/>
        <v>0</v>
      </c>
      <c r="AH80" s="217">
        <f t="shared" ca="1" si="33"/>
        <v>0</v>
      </c>
      <c r="AI80" s="217">
        <f t="shared" ca="1" si="33"/>
        <v>0</v>
      </c>
      <c r="AJ80" s="217">
        <f t="shared" ca="1" si="33"/>
        <v>0</v>
      </c>
      <c r="AK80" s="217">
        <f t="shared" ca="1" si="33"/>
        <v>0</v>
      </c>
      <c r="AL80" s="217">
        <f t="shared" ca="1" si="33"/>
        <v>0</v>
      </c>
      <c r="AM80" s="217">
        <f t="shared" ca="1" si="33"/>
        <v>0</v>
      </c>
      <c r="AN80" s="221">
        <f t="shared" ca="1" si="33"/>
        <v>0</v>
      </c>
    </row>
    <row r="81" spans="2:40" ht="12.75" customHeight="1" x14ac:dyDescent="0.3">
      <c r="B81" s="92" t="s">
        <v>1028</v>
      </c>
      <c r="C81" s="90"/>
      <c r="D81" s="436">
        <f t="shared" ca="1" si="9"/>
        <v>0</v>
      </c>
      <c r="E81" s="436">
        <f t="shared" ca="1" si="9"/>
        <v>0</v>
      </c>
      <c r="F81" s="436">
        <f t="shared" ca="1" si="9"/>
        <v>0</v>
      </c>
      <c r="G81" s="436">
        <f t="shared" ca="1" si="9"/>
        <v>0</v>
      </c>
      <c r="H81" s="217">
        <f t="shared" ca="1" si="11"/>
        <v>0</v>
      </c>
      <c r="I81" s="112">
        <f t="shared" ca="1" si="13"/>
        <v>0</v>
      </c>
      <c r="J81" s="217">
        <f t="shared" ca="1" si="15"/>
        <v>0</v>
      </c>
      <c r="K81" s="217">
        <f t="shared" ca="1" si="18"/>
        <v>0</v>
      </c>
      <c r="L81" s="217">
        <f t="shared" ca="1" si="21"/>
        <v>0</v>
      </c>
      <c r="M81" s="217">
        <f t="shared" ca="1" si="24"/>
        <v>0</v>
      </c>
      <c r="N81" s="217">
        <f t="shared" ca="1" si="26"/>
        <v>0</v>
      </c>
      <c r="O81" s="217">
        <f t="shared" ca="1" si="28"/>
        <v>0</v>
      </c>
      <c r="P81" s="217">
        <f t="shared" ca="1" si="30"/>
        <v>0</v>
      </c>
      <c r="Q81" s="112">
        <f t="shared" ca="1" si="32"/>
        <v>6.8344967207650412E-8</v>
      </c>
      <c r="R81" s="112">
        <f t="shared" ref="R81:R102" ca="1" si="34">R24*R$49</f>
        <v>6.2131788370455773E-9</v>
      </c>
      <c r="S81" s="220">
        <f ca="1">SUM(D81:R81,T81:AN81)-SUM(S66:S80,S82:S102)</f>
        <v>-4.2323965296736351E-6</v>
      </c>
      <c r="T81" s="217">
        <f t="shared" ref="T81:AN81" ca="1" si="35">T24*T$49</f>
        <v>0</v>
      </c>
      <c r="U81" s="112">
        <f t="shared" ca="1" si="35"/>
        <v>1.1168981047391534E-4</v>
      </c>
      <c r="V81" s="217">
        <f t="shared" ca="1" si="35"/>
        <v>0</v>
      </c>
      <c r="W81" s="112">
        <f t="shared" ca="1" si="35"/>
        <v>4.8829487234653253E-6</v>
      </c>
      <c r="X81" s="112">
        <f t="shared" ca="1" si="35"/>
        <v>5.6685157286390757E-6</v>
      </c>
      <c r="Y81" s="112">
        <f t="shared" ca="1" si="35"/>
        <v>4.428540708006323E-6</v>
      </c>
      <c r="Z81" s="217">
        <f t="shared" ca="1" si="35"/>
        <v>0</v>
      </c>
      <c r="AA81" s="217">
        <f t="shared" ca="1" si="35"/>
        <v>0</v>
      </c>
      <c r="AB81" s="217">
        <f t="shared" ca="1" si="35"/>
        <v>0</v>
      </c>
      <c r="AC81" s="217">
        <f t="shared" ca="1" si="35"/>
        <v>0</v>
      </c>
      <c r="AD81" s="217">
        <f t="shared" ca="1" si="35"/>
        <v>0</v>
      </c>
      <c r="AE81" s="217">
        <f t="shared" ca="1" si="35"/>
        <v>0</v>
      </c>
      <c r="AF81" s="217">
        <f t="shared" ca="1" si="35"/>
        <v>0</v>
      </c>
      <c r="AG81" s="217">
        <f t="shared" ca="1" si="35"/>
        <v>0</v>
      </c>
      <c r="AH81" s="217">
        <f t="shared" ca="1" si="35"/>
        <v>0</v>
      </c>
      <c r="AI81" s="217">
        <f t="shared" ca="1" si="35"/>
        <v>0</v>
      </c>
      <c r="AJ81" s="217">
        <f t="shared" ca="1" si="35"/>
        <v>0</v>
      </c>
      <c r="AK81" s="217">
        <f t="shared" ca="1" si="35"/>
        <v>0</v>
      </c>
      <c r="AL81" s="217">
        <f t="shared" ca="1" si="35"/>
        <v>0</v>
      </c>
      <c r="AM81" s="217">
        <f t="shared" ca="1" si="35"/>
        <v>0</v>
      </c>
      <c r="AN81" s="221">
        <f t="shared" ca="1" si="35"/>
        <v>0</v>
      </c>
    </row>
    <row r="82" spans="2:40" ht="12.75" customHeight="1" x14ac:dyDescent="0.3">
      <c r="B82" s="92" t="s">
        <v>1029</v>
      </c>
      <c r="C82" s="90"/>
      <c r="D82" s="436">
        <f t="shared" ca="1" si="9"/>
        <v>0</v>
      </c>
      <c r="E82" s="436">
        <f t="shared" ca="1" si="9"/>
        <v>0</v>
      </c>
      <c r="F82" s="436">
        <f t="shared" ca="1" si="9"/>
        <v>0</v>
      </c>
      <c r="G82" s="436">
        <f t="shared" ca="1" si="9"/>
        <v>0</v>
      </c>
      <c r="H82" s="217">
        <f t="shared" ca="1" si="11"/>
        <v>0</v>
      </c>
      <c r="I82" s="112">
        <f t="shared" ca="1" si="13"/>
        <v>0</v>
      </c>
      <c r="J82" s="217">
        <f t="shared" ca="1" si="15"/>
        <v>0</v>
      </c>
      <c r="K82" s="112">
        <f t="shared" ca="1" si="18"/>
        <v>8.5532034362830475E-18</v>
      </c>
      <c r="L82" s="217">
        <f t="shared" ca="1" si="21"/>
        <v>0</v>
      </c>
      <c r="M82" s="217">
        <f t="shared" ca="1" si="24"/>
        <v>0</v>
      </c>
      <c r="N82" s="217">
        <f t="shared" ca="1" si="26"/>
        <v>0</v>
      </c>
      <c r="O82" s="217">
        <f t="shared" ca="1" si="28"/>
        <v>0</v>
      </c>
      <c r="P82" s="217">
        <f t="shared" ca="1" si="30"/>
        <v>0</v>
      </c>
      <c r="Q82" s="112">
        <f t="shared" ca="1" si="32"/>
        <v>2.4851423765901741E-6</v>
      </c>
      <c r="R82" s="112">
        <f t="shared" ca="1" si="34"/>
        <v>0</v>
      </c>
      <c r="S82" s="112">
        <f t="shared" ref="S82:S102" ca="1" si="36">S25*S$49</f>
        <v>1.0394187767677914E-5</v>
      </c>
      <c r="T82" s="220">
        <f ca="1">SUM(D82:S82,U82:AN82)-SUM(T66:T81,T83:T102)</f>
        <v>-4.2323965282996256E-6</v>
      </c>
      <c r="U82" s="217">
        <f t="shared" ref="U82:AN82" ca="1" si="37">U25*U$49</f>
        <v>0</v>
      </c>
      <c r="V82" s="112">
        <f t="shared" ca="1" si="37"/>
        <v>1.4659208565316868E-3</v>
      </c>
      <c r="W82" s="217">
        <f t="shared" ca="1" si="37"/>
        <v>0</v>
      </c>
      <c r="X82" s="217">
        <f t="shared" ca="1" si="37"/>
        <v>0</v>
      </c>
      <c r="Y82" s="217">
        <f t="shared" ca="1" si="37"/>
        <v>0</v>
      </c>
      <c r="Z82" s="217">
        <f t="shared" ca="1" si="37"/>
        <v>0</v>
      </c>
      <c r="AA82" s="112">
        <f t="shared" ca="1" si="37"/>
        <v>1.3610536466241257E-2</v>
      </c>
      <c r="AB82" s="217">
        <f t="shared" ca="1" si="37"/>
        <v>0</v>
      </c>
      <c r="AC82" s="217">
        <f t="shared" ca="1" si="37"/>
        <v>0</v>
      </c>
      <c r="AD82" s="217">
        <f t="shared" ca="1" si="37"/>
        <v>0</v>
      </c>
      <c r="AE82" s="217">
        <f t="shared" ca="1" si="37"/>
        <v>0</v>
      </c>
      <c r="AF82" s="217">
        <f t="shared" ca="1" si="37"/>
        <v>0</v>
      </c>
      <c r="AG82" s="217">
        <f t="shared" ca="1" si="37"/>
        <v>0</v>
      </c>
      <c r="AH82" s="217">
        <f t="shared" ca="1" si="37"/>
        <v>0</v>
      </c>
      <c r="AI82" s="217">
        <f t="shared" ca="1" si="37"/>
        <v>0</v>
      </c>
      <c r="AJ82" s="217">
        <f t="shared" ca="1" si="37"/>
        <v>0</v>
      </c>
      <c r="AK82" s="217">
        <f t="shared" ca="1" si="37"/>
        <v>0</v>
      </c>
      <c r="AL82" s="217">
        <f t="shared" ca="1" si="37"/>
        <v>0</v>
      </c>
      <c r="AM82" s="217">
        <f t="shared" ca="1" si="37"/>
        <v>0</v>
      </c>
      <c r="AN82" s="221">
        <f t="shared" ca="1" si="37"/>
        <v>0</v>
      </c>
    </row>
    <row r="83" spans="2:40" ht="12.75" customHeight="1" x14ac:dyDescent="0.3">
      <c r="B83" s="92" t="s">
        <v>1030</v>
      </c>
      <c r="C83" s="90"/>
      <c r="D83" s="436">
        <f t="shared" ca="1" si="9"/>
        <v>0</v>
      </c>
      <c r="E83" s="436">
        <f t="shared" ca="1" si="9"/>
        <v>0</v>
      </c>
      <c r="F83" s="436">
        <f t="shared" ca="1" si="9"/>
        <v>0</v>
      </c>
      <c r="G83" s="436">
        <f t="shared" ca="1" si="9"/>
        <v>0</v>
      </c>
      <c r="H83" s="217">
        <f t="shared" ca="1" si="11"/>
        <v>0</v>
      </c>
      <c r="I83" s="112">
        <f t="shared" ca="1" si="13"/>
        <v>0</v>
      </c>
      <c r="J83" s="217">
        <f t="shared" ca="1" si="15"/>
        <v>0</v>
      </c>
      <c r="K83" s="217">
        <f t="shared" ca="1" si="18"/>
        <v>0</v>
      </c>
      <c r="L83" s="217">
        <f t="shared" ca="1" si="21"/>
        <v>0</v>
      </c>
      <c r="M83" s="217">
        <f t="shared" ca="1" si="24"/>
        <v>0</v>
      </c>
      <c r="N83" s="217">
        <f t="shared" ca="1" si="26"/>
        <v>0</v>
      </c>
      <c r="O83" s="217">
        <f t="shared" ca="1" si="28"/>
        <v>0</v>
      </c>
      <c r="P83" s="217">
        <f t="shared" ca="1" si="30"/>
        <v>0</v>
      </c>
      <c r="Q83" s="217">
        <f t="shared" ca="1" si="32"/>
        <v>0</v>
      </c>
      <c r="R83" s="217">
        <f t="shared" ca="1" si="34"/>
        <v>0</v>
      </c>
      <c r="S83" s="112">
        <f t="shared" ca="1" si="36"/>
        <v>1.2058258254206646E-4</v>
      </c>
      <c r="T83" s="217">
        <f t="shared" ref="T83:T102" ca="1" si="38">T26*T$49</f>
        <v>0</v>
      </c>
      <c r="U83" s="220">
        <f ca="1">SUM(D83:T83,V83:AN83)-SUM(U66:U82,U84:U102)</f>
        <v>8.8927720681511197E-6</v>
      </c>
      <c r="V83" s="217">
        <f t="shared" ref="V83:AN83" ca="1" si="39">V26*V$49</f>
        <v>0</v>
      </c>
      <c r="W83" s="217">
        <f t="shared" ca="1" si="39"/>
        <v>0</v>
      </c>
      <c r="X83" s="217">
        <f t="shared" ca="1" si="39"/>
        <v>0</v>
      </c>
      <c r="Y83" s="217">
        <f t="shared" ca="1" si="39"/>
        <v>0</v>
      </c>
      <c r="Z83" s="217">
        <f t="shared" ca="1" si="39"/>
        <v>0</v>
      </c>
      <c r="AA83" s="217">
        <f t="shared" ca="1" si="39"/>
        <v>0</v>
      </c>
      <c r="AB83" s="217">
        <f t="shared" ca="1" si="39"/>
        <v>0</v>
      </c>
      <c r="AC83" s="217">
        <f t="shared" ca="1" si="39"/>
        <v>0</v>
      </c>
      <c r="AD83" s="217">
        <f t="shared" ca="1" si="39"/>
        <v>0</v>
      </c>
      <c r="AE83" s="217">
        <f t="shared" ca="1" si="39"/>
        <v>0</v>
      </c>
      <c r="AF83" s="217">
        <f t="shared" ca="1" si="39"/>
        <v>0</v>
      </c>
      <c r="AG83" s="217">
        <f t="shared" ca="1" si="39"/>
        <v>0</v>
      </c>
      <c r="AH83" s="217">
        <f t="shared" ca="1" si="39"/>
        <v>0</v>
      </c>
      <c r="AI83" s="217">
        <f t="shared" ca="1" si="39"/>
        <v>0</v>
      </c>
      <c r="AJ83" s="217">
        <f t="shared" ca="1" si="39"/>
        <v>0</v>
      </c>
      <c r="AK83" s="217">
        <f t="shared" ca="1" si="39"/>
        <v>0</v>
      </c>
      <c r="AL83" s="217">
        <f t="shared" ca="1" si="39"/>
        <v>0</v>
      </c>
      <c r="AM83" s="217">
        <f t="shared" ca="1" si="39"/>
        <v>0</v>
      </c>
      <c r="AN83" s="221">
        <f t="shared" ca="1" si="39"/>
        <v>0</v>
      </c>
    </row>
    <row r="84" spans="2:40" ht="12.75" customHeight="1" x14ac:dyDescent="0.3">
      <c r="B84" s="92" t="s">
        <v>1031</v>
      </c>
      <c r="C84" s="90"/>
      <c r="D84" s="436">
        <f t="shared" ca="1" si="9"/>
        <v>0</v>
      </c>
      <c r="E84" s="436">
        <f t="shared" ca="1" si="9"/>
        <v>0</v>
      </c>
      <c r="F84" s="436">
        <f t="shared" ca="1" si="9"/>
        <v>0</v>
      </c>
      <c r="G84" s="436">
        <f t="shared" ca="1" si="9"/>
        <v>0</v>
      </c>
      <c r="H84" s="217">
        <f t="shared" ca="1" si="11"/>
        <v>0</v>
      </c>
      <c r="I84" s="112">
        <f t="shared" ca="1" si="13"/>
        <v>0</v>
      </c>
      <c r="J84" s="217">
        <f t="shared" ca="1" si="15"/>
        <v>0</v>
      </c>
      <c r="K84" s="217">
        <f t="shared" ca="1" si="18"/>
        <v>0</v>
      </c>
      <c r="L84" s="217">
        <f t="shared" ca="1" si="21"/>
        <v>0</v>
      </c>
      <c r="M84" s="217">
        <f t="shared" ca="1" si="24"/>
        <v>0</v>
      </c>
      <c r="N84" s="217">
        <f t="shared" ca="1" si="26"/>
        <v>0</v>
      </c>
      <c r="O84" s="217">
        <f t="shared" ca="1" si="28"/>
        <v>0</v>
      </c>
      <c r="P84" s="217">
        <f t="shared" ca="1" si="30"/>
        <v>0</v>
      </c>
      <c r="Q84" s="217">
        <f t="shared" ca="1" si="32"/>
        <v>0</v>
      </c>
      <c r="R84" s="217">
        <f t="shared" ca="1" si="34"/>
        <v>0</v>
      </c>
      <c r="S84" s="217">
        <f t="shared" ca="1" si="36"/>
        <v>0</v>
      </c>
      <c r="T84" s="112">
        <f t="shared" ca="1" si="38"/>
        <v>1.4659208565319536E-3</v>
      </c>
      <c r="U84" s="217">
        <f t="shared" ref="U84:U102" ca="1" si="40">U27*U$49</f>
        <v>0</v>
      </c>
      <c r="V84" s="220">
        <f ca="1">SUM(D84:U84,W84:AN84)-SUM(V66:V83,V85:V102)</f>
        <v>2.6671373443143409E-16</v>
      </c>
      <c r="W84" s="217">
        <f t="shared" ref="W84:AN84" ca="1" si="41">W27*W$49</f>
        <v>0</v>
      </c>
      <c r="X84" s="217">
        <f t="shared" ca="1" si="41"/>
        <v>0</v>
      </c>
      <c r="Y84" s="217">
        <f t="shared" ca="1" si="41"/>
        <v>0</v>
      </c>
      <c r="Z84" s="217">
        <f t="shared" ca="1" si="41"/>
        <v>0</v>
      </c>
      <c r="AA84" s="217">
        <f t="shared" ca="1" si="41"/>
        <v>0</v>
      </c>
      <c r="AB84" s="217">
        <f t="shared" ca="1" si="41"/>
        <v>0</v>
      </c>
      <c r="AC84" s="217">
        <f t="shared" ca="1" si="41"/>
        <v>0</v>
      </c>
      <c r="AD84" s="217">
        <f t="shared" ca="1" si="41"/>
        <v>0</v>
      </c>
      <c r="AE84" s="217">
        <f t="shared" ca="1" si="41"/>
        <v>0</v>
      </c>
      <c r="AF84" s="217">
        <f t="shared" ca="1" si="41"/>
        <v>0</v>
      </c>
      <c r="AG84" s="217">
        <f t="shared" ca="1" si="41"/>
        <v>0</v>
      </c>
      <c r="AH84" s="217">
        <f t="shared" ca="1" si="41"/>
        <v>0</v>
      </c>
      <c r="AI84" s="217">
        <f t="shared" ca="1" si="41"/>
        <v>0</v>
      </c>
      <c r="AJ84" s="217">
        <f t="shared" ca="1" si="41"/>
        <v>0</v>
      </c>
      <c r="AK84" s="217">
        <f t="shared" ca="1" si="41"/>
        <v>0</v>
      </c>
      <c r="AL84" s="217">
        <f t="shared" ca="1" si="41"/>
        <v>0</v>
      </c>
      <c r="AM84" s="217">
        <f t="shared" ca="1" si="41"/>
        <v>0</v>
      </c>
      <c r="AN84" s="221">
        <f t="shared" ca="1" si="41"/>
        <v>0</v>
      </c>
    </row>
    <row r="85" spans="2:40" ht="12.75" customHeight="1" x14ac:dyDescent="0.3">
      <c r="B85" s="92" t="s">
        <v>1032</v>
      </c>
      <c r="C85" s="90"/>
      <c r="D85" s="436">
        <f t="shared" ca="1" si="9"/>
        <v>0</v>
      </c>
      <c r="E85" s="436">
        <f t="shared" ca="1" si="9"/>
        <v>0</v>
      </c>
      <c r="F85" s="436">
        <f t="shared" ca="1" si="9"/>
        <v>0</v>
      </c>
      <c r="G85" s="436">
        <f t="shared" ca="1" si="9"/>
        <v>0</v>
      </c>
      <c r="H85" s="217">
        <f t="shared" ca="1" si="11"/>
        <v>0</v>
      </c>
      <c r="I85" s="112">
        <f t="shared" ca="1" si="13"/>
        <v>0</v>
      </c>
      <c r="J85" s="217">
        <f t="shared" ca="1" si="15"/>
        <v>0</v>
      </c>
      <c r="K85" s="217">
        <f t="shared" ca="1" si="18"/>
        <v>0</v>
      </c>
      <c r="L85" s="217">
        <f t="shared" ca="1" si="21"/>
        <v>0</v>
      </c>
      <c r="M85" s="217">
        <f t="shared" ca="1" si="24"/>
        <v>0</v>
      </c>
      <c r="N85" s="217">
        <f t="shared" ca="1" si="26"/>
        <v>0</v>
      </c>
      <c r="O85" s="217">
        <f t="shared" ca="1" si="28"/>
        <v>0</v>
      </c>
      <c r="P85" s="217">
        <f t="shared" ca="1" si="30"/>
        <v>0</v>
      </c>
      <c r="Q85" s="112">
        <f t="shared" ca="1" si="32"/>
        <v>6.7102331430935283E-7</v>
      </c>
      <c r="R85" s="217">
        <f t="shared" ca="1" si="34"/>
        <v>0</v>
      </c>
      <c r="S85" s="217">
        <f t="shared" ca="1" si="36"/>
        <v>0</v>
      </c>
      <c r="T85" s="217">
        <f t="shared" ca="1" si="38"/>
        <v>0</v>
      </c>
      <c r="U85" s="217">
        <f t="shared" ca="1" si="40"/>
        <v>0</v>
      </c>
      <c r="V85" s="217">
        <f t="shared" ref="V85:V102" ca="1" si="42">V28*V$49</f>
        <v>0</v>
      </c>
      <c r="W85" s="220">
        <f ca="1">SUM(D85:V85,X85:AN85)-SUM(W66:W84,W86:W102)</f>
        <v>-4.2119254091559731E-6</v>
      </c>
      <c r="X85" s="217">
        <f t="shared" ref="X85:AN85" ca="1" si="43">X28*X$49</f>
        <v>0</v>
      </c>
      <c r="Y85" s="217">
        <f t="shared" ca="1" si="43"/>
        <v>0</v>
      </c>
      <c r="Z85" s="217">
        <f t="shared" ca="1" si="43"/>
        <v>0</v>
      </c>
      <c r="AA85" s="217">
        <f t="shared" ca="1" si="43"/>
        <v>0</v>
      </c>
      <c r="AB85" s="217">
        <f t="shared" ca="1" si="43"/>
        <v>0</v>
      </c>
      <c r="AC85" s="217">
        <f t="shared" ca="1" si="43"/>
        <v>0</v>
      </c>
      <c r="AD85" s="217">
        <f t="shared" ca="1" si="43"/>
        <v>0</v>
      </c>
      <c r="AE85" s="217">
        <f t="shared" ca="1" si="43"/>
        <v>0</v>
      </c>
      <c r="AF85" s="217">
        <f t="shared" ca="1" si="43"/>
        <v>0</v>
      </c>
      <c r="AG85" s="217">
        <f t="shared" ca="1" si="43"/>
        <v>0</v>
      </c>
      <c r="AH85" s="217">
        <f t="shared" ca="1" si="43"/>
        <v>0</v>
      </c>
      <c r="AI85" s="217">
        <f t="shared" ca="1" si="43"/>
        <v>0</v>
      </c>
      <c r="AJ85" s="217">
        <f t="shared" ca="1" si="43"/>
        <v>0</v>
      </c>
      <c r="AK85" s="217">
        <f t="shared" ca="1" si="43"/>
        <v>0</v>
      </c>
      <c r="AL85" s="217">
        <f t="shared" ca="1" si="43"/>
        <v>0</v>
      </c>
      <c r="AM85" s="217">
        <f t="shared" ca="1" si="43"/>
        <v>0</v>
      </c>
      <c r="AN85" s="221">
        <f t="shared" ca="1" si="43"/>
        <v>0</v>
      </c>
    </row>
    <row r="86" spans="2:40" ht="12.75" customHeight="1" x14ac:dyDescent="0.3">
      <c r="B86" s="92" t="s">
        <v>1033</v>
      </c>
      <c r="C86" s="90"/>
      <c r="D86" s="436">
        <f t="shared" ca="1" si="9"/>
        <v>0</v>
      </c>
      <c r="E86" s="436">
        <f t="shared" ca="1" si="9"/>
        <v>0</v>
      </c>
      <c r="F86" s="436">
        <f t="shared" ca="1" si="9"/>
        <v>0</v>
      </c>
      <c r="G86" s="436">
        <f t="shared" ca="1" si="9"/>
        <v>0</v>
      </c>
      <c r="H86" s="217">
        <f t="shared" ca="1" si="11"/>
        <v>0</v>
      </c>
      <c r="I86" s="112">
        <f t="shared" ca="1" si="13"/>
        <v>0</v>
      </c>
      <c r="J86" s="217">
        <f t="shared" ca="1" si="15"/>
        <v>0</v>
      </c>
      <c r="K86" s="217">
        <f t="shared" ca="1" si="18"/>
        <v>0</v>
      </c>
      <c r="L86" s="217">
        <f t="shared" ca="1" si="21"/>
        <v>0</v>
      </c>
      <c r="M86" s="217">
        <f t="shared" ca="1" si="24"/>
        <v>0</v>
      </c>
      <c r="N86" s="217">
        <f t="shared" ca="1" si="26"/>
        <v>0</v>
      </c>
      <c r="O86" s="217">
        <f t="shared" ca="1" si="28"/>
        <v>0</v>
      </c>
      <c r="P86" s="217">
        <f t="shared" ca="1" si="30"/>
        <v>0</v>
      </c>
      <c r="Q86" s="112">
        <f t="shared" ca="1" si="32"/>
        <v>1.4911629206874506E-6</v>
      </c>
      <c r="R86" s="217">
        <f t="shared" ca="1" si="34"/>
        <v>0</v>
      </c>
      <c r="S86" s="217">
        <f t="shared" ca="1" si="36"/>
        <v>0</v>
      </c>
      <c r="T86" s="217">
        <f t="shared" ca="1" si="38"/>
        <v>0</v>
      </c>
      <c r="U86" s="217">
        <f t="shared" ca="1" si="40"/>
        <v>0</v>
      </c>
      <c r="V86" s="217">
        <f t="shared" ca="1" si="42"/>
        <v>0</v>
      </c>
      <c r="W86" s="217">
        <f t="shared" ref="W86:W102" ca="1" si="44">W29*W$49</f>
        <v>0</v>
      </c>
      <c r="X86" s="220">
        <f ca="1">SUM(D86:W86,Y86:AN86)-SUM(X66:X85,X87:X102)</f>
        <v>-4.1773528079516259E-6</v>
      </c>
      <c r="Y86" s="217">
        <f t="shared" ref="Y86:AN86" ca="1" si="45">Y29*Y$49</f>
        <v>0</v>
      </c>
      <c r="Z86" s="217">
        <f t="shared" ca="1" si="45"/>
        <v>0</v>
      </c>
      <c r="AA86" s="217">
        <f t="shared" ca="1" si="45"/>
        <v>0</v>
      </c>
      <c r="AB86" s="217">
        <f t="shared" ca="1" si="45"/>
        <v>0</v>
      </c>
      <c r="AC86" s="217">
        <f t="shared" ca="1" si="45"/>
        <v>0</v>
      </c>
      <c r="AD86" s="217">
        <f t="shared" ca="1" si="45"/>
        <v>0</v>
      </c>
      <c r="AE86" s="217">
        <f t="shared" ca="1" si="45"/>
        <v>0</v>
      </c>
      <c r="AF86" s="217">
        <f t="shared" ca="1" si="45"/>
        <v>0</v>
      </c>
      <c r="AG86" s="217">
        <f t="shared" ca="1" si="45"/>
        <v>0</v>
      </c>
      <c r="AH86" s="217">
        <f t="shared" ca="1" si="45"/>
        <v>0</v>
      </c>
      <c r="AI86" s="217">
        <f t="shared" ca="1" si="45"/>
        <v>0</v>
      </c>
      <c r="AJ86" s="217">
        <f t="shared" ca="1" si="45"/>
        <v>0</v>
      </c>
      <c r="AK86" s="217">
        <f t="shared" ca="1" si="45"/>
        <v>0</v>
      </c>
      <c r="AL86" s="217">
        <f t="shared" ca="1" si="45"/>
        <v>0</v>
      </c>
      <c r="AM86" s="217">
        <f t="shared" ca="1" si="45"/>
        <v>0</v>
      </c>
      <c r="AN86" s="221">
        <f t="shared" ca="1" si="45"/>
        <v>0</v>
      </c>
    </row>
    <row r="87" spans="2:40" ht="12.75" customHeight="1" x14ac:dyDescent="0.3">
      <c r="B87" s="92" t="s">
        <v>1034</v>
      </c>
      <c r="C87" s="90"/>
      <c r="D87" s="436">
        <f t="shared" ca="1" si="9"/>
        <v>0</v>
      </c>
      <c r="E87" s="436">
        <f t="shared" ca="1" si="9"/>
        <v>0</v>
      </c>
      <c r="F87" s="436">
        <f t="shared" ca="1" si="9"/>
        <v>0</v>
      </c>
      <c r="G87" s="436">
        <f t="shared" ca="1" si="9"/>
        <v>0</v>
      </c>
      <c r="H87" s="217">
        <f t="shared" ca="1" si="11"/>
        <v>0</v>
      </c>
      <c r="I87" s="112">
        <f t="shared" ca="1" si="13"/>
        <v>0</v>
      </c>
      <c r="J87" s="217">
        <f t="shared" ca="1" si="15"/>
        <v>0</v>
      </c>
      <c r="K87" s="217">
        <f t="shared" ca="1" si="18"/>
        <v>0</v>
      </c>
      <c r="L87" s="217">
        <f t="shared" ca="1" si="21"/>
        <v>0</v>
      </c>
      <c r="M87" s="217">
        <f t="shared" ca="1" si="24"/>
        <v>0</v>
      </c>
      <c r="N87" s="217">
        <f t="shared" ca="1" si="26"/>
        <v>0</v>
      </c>
      <c r="O87" s="217">
        <f t="shared" ca="1" si="28"/>
        <v>0</v>
      </c>
      <c r="P87" s="217">
        <f t="shared" ca="1" si="30"/>
        <v>0</v>
      </c>
      <c r="Q87" s="112">
        <f t="shared" ca="1" si="32"/>
        <v>2.4852715344790844E-7</v>
      </c>
      <c r="R87" s="217">
        <f t="shared" ca="1" si="34"/>
        <v>0</v>
      </c>
      <c r="S87" s="217">
        <f t="shared" ca="1" si="36"/>
        <v>0</v>
      </c>
      <c r="T87" s="217">
        <f t="shared" ca="1" si="38"/>
        <v>0</v>
      </c>
      <c r="U87" s="217">
        <f t="shared" ca="1" si="40"/>
        <v>0</v>
      </c>
      <c r="V87" s="217">
        <f t="shared" ca="1" si="42"/>
        <v>0</v>
      </c>
      <c r="W87" s="217">
        <f t="shared" ca="1" si="44"/>
        <v>0</v>
      </c>
      <c r="X87" s="217">
        <f t="shared" ref="X87:X102" ca="1" si="46">X30*X$49</f>
        <v>0</v>
      </c>
      <c r="Y87" s="220">
        <f ca="1">SUM(D87:X87,Z87:AN87)-SUM(Y66:Y86,Y88:Y102)</f>
        <v>-4.1800135545584154E-6</v>
      </c>
      <c r="Z87" s="217">
        <f t="shared" ref="Z87:AN87" ca="1" si="47">Z30*Z$49</f>
        <v>0</v>
      </c>
      <c r="AA87" s="217">
        <f t="shared" ca="1" si="47"/>
        <v>0</v>
      </c>
      <c r="AB87" s="217">
        <f t="shared" ca="1" si="47"/>
        <v>0</v>
      </c>
      <c r="AC87" s="217">
        <f t="shared" ca="1" si="47"/>
        <v>0</v>
      </c>
      <c r="AD87" s="217">
        <f t="shared" ca="1" si="47"/>
        <v>0</v>
      </c>
      <c r="AE87" s="217">
        <f t="shared" ca="1" si="47"/>
        <v>0</v>
      </c>
      <c r="AF87" s="217">
        <f t="shared" ca="1" si="47"/>
        <v>0</v>
      </c>
      <c r="AG87" s="217">
        <f t="shared" ca="1" si="47"/>
        <v>0</v>
      </c>
      <c r="AH87" s="217">
        <f t="shared" ca="1" si="47"/>
        <v>0</v>
      </c>
      <c r="AI87" s="217">
        <f t="shared" ca="1" si="47"/>
        <v>0</v>
      </c>
      <c r="AJ87" s="217">
        <f t="shared" ca="1" si="47"/>
        <v>0</v>
      </c>
      <c r="AK87" s="217">
        <f t="shared" ca="1" si="47"/>
        <v>0</v>
      </c>
      <c r="AL87" s="217">
        <f t="shared" ca="1" si="47"/>
        <v>0</v>
      </c>
      <c r="AM87" s="217">
        <f t="shared" ca="1" si="47"/>
        <v>0</v>
      </c>
      <c r="AN87" s="221">
        <f t="shared" ca="1" si="47"/>
        <v>0</v>
      </c>
    </row>
    <row r="88" spans="2:40" ht="12.75" customHeight="1" x14ac:dyDescent="0.3">
      <c r="B88" s="92" t="s">
        <v>1035</v>
      </c>
      <c r="C88" s="90"/>
      <c r="D88" s="436">
        <f t="shared" ca="1" si="9"/>
        <v>0</v>
      </c>
      <c r="E88" s="436">
        <f t="shared" ca="1" si="9"/>
        <v>0</v>
      </c>
      <c r="F88" s="436">
        <f t="shared" ca="1" si="9"/>
        <v>0</v>
      </c>
      <c r="G88" s="436">
        <f t="shared" ca="1" si="9"/>
        <v>0</v>
      </c>
      <c r="H88" s="217">
        <f t="shared" ca="1" si="11"/>
        <v>0</v>
      </c>
      <c r="I88" s="112">
        <f t="shared" ca="1" si="13"/>
        <v>0</v>
      </c>
      <c r="J88" s="217">
        <f t="shared" ca="1" si="15"/>
        <v>0</v>
      </c>
      <c r="K88" s="217">
        <f t="shared" ca="1" si="18"/>
        <v>0</v>
      </c>
      <c r="L88" s="217">
        <f t="shared" ca="1" si="21"/>
        <v>0</v>
      </c>
      <c r="M88" s="217">
        <f t="shared" ca="1" si="24"/>
        <v>0</v>
      </c>
      <c r="N88" s="217">
        <f t="shared" ca="1" si="26"/>
        <v>0</v>
      </c>
      <c r="O88" s="217">
        <f t="shared" ca="1" si="28"/>
        <v>0</v>
      </c>
      <c r="P88" s="217">
        <f t="shared" ca="1" si="30"/>
        <v>0</v>
      </c>
      <c r="Q88" s="112">
        <f t="shared" ca="1" si="32"/>
        <v>7.2169356262767349E-7</v>
      </c>
      <c r="R88" s="217">
        <f t="shared" ca="1" si="34"/>
        <v>0</v>
      </c>
      <c r="S88" s="217">
        <f t="shared" ca="1" si="36"/>
        <v>0</v>
      </c>
      <c r="T88" s="217">
        <f t="shared" ca="1" si="38"/>
        <v>0</v>
      </c>
      <c r="U88" s="217">
        <f t="shared" ca="1" si="40"/>
        <v>0</v>
      </c>
      <c r="V88" s="217">
        <f t="shared" ca="1" si="42"/>
        <v>0</v>
      </c>
      <c r="W88" s="217">
        <f t="shared" ca="1" si="44"/>
        <v>0</v>
      </c>
      <c r="X88" s="217">
        <f t="shared" ca="1" si="46"/>
        <v>0</v>
      </c>
      <c r="Y88" s="217">
        <f t="shared" ref="Y88:Y102" ca="1" si="48">Y31*Y$49</f>
        <v>0</v>
      </c>
      <c r="Z88" s="220">
        <f ca="1">SUM(D88:Y88,AA88:AN88)-SUM(Z66:Z87,Z89:Z102)</f>
        <v>3.0035565316355664E-11</v>
      </c>
      <c r="AA88" s="112">
        <f t="shared" ref="AA88:AN88" ca="1" si="49">AA31*AA$49</f>
        <v>2.4320655198122686E-19</v>
      </c>
      <c r="AB88" s="217">
        <f t="shared" ca="1" si="49"/>
        <v>0</v>
      </c>
      <c r="AC88" s="217">
        <f t="shared" ca="1" si="49"/>
        <v>0</v>
      </c>
      <c r="AD88" s="112">
        <f t="shared" ca="1" si="49"/>
        <v>1.0599119882039206E-22</v>
      </c>
      <c r="AE88" s="112">
        <f t="shared" ca="1" si="49"/>
        <v>1.4311576627906838E-9</v>
      </c>
      <c r="AF88" s="217">
        <f t="shared" ca="1" si="49"/>
        <v>0</v>
      </c>
      <c r="AG88" s="217">
        <f t="shared" ca="1" si="49"/>
        <v>0</v>
      </c>
      <c r="AH88" s="217">
        <f t="shared" ca="1" si="49"/>
        <v>0</v>
      </c>
      <c r="AI88" s="217">
        <f t="shared" ca="1" si="49"/>
        <v>0</v>
      </c>
      <c r="AJ88" s="112">
        <f t="shared" ca="1" si="49"/>
        <v>1.4593380754864102E-9</v>
      </c>
      <c r="AK88" s="217">
        <f t="shared" ca="1" si="49"/>
        <v>0</v>
      </c>
      <c r="AL88" s="217">
        <f t="shared" ca="1" si="49"/>
        <v>0</v>
      </c>
      <c r="AM88" s="217">
        <f t="shared" ca="1" si="49"/>
        <v>0</v>
      </c>
      <c r="AN88" s="221">
        <f t="shared" ca="1" si="49"/>
        <v>0</v>
      </c>
    </row>
    <row r="89" spans="2:40" ht="12.75" customHeight="1" x14ac:dyDescent="0.3">
      <c r="B89" s="93" t="s">
        <v>1036</v>
      </c>
      <c r="C89" s="90"/>
      <c r="D89" s="436">
        <f t="shared" ca="1" si="9"/>
        <v>0</v>
      </c>
      <c r="E89" s="436">
        <f t="shared" ca="1" si="9"/>
        <v>0</v>
      </c>
      <c r="F89" s="436">
        <f t="shared" ca="1" si="9"/>
        <v>0</v>
      </c>
      <c r="G89" s="436">
        <f t="shared" ca="1" si="9"/>
        <v>0</v>
      </c>
      <c r="H89" s="217">
        <f t="shared" ca="1" si="11"/>
        <v>0</v>
      </c>
      <c r="I89" s="112">
        <f t="shared" ca="1" si="13"/>
        <v>0</v>
      </c>
      <c r="J89" s="217">
        <f t="shared" ca="1" si="15"/>
        <v>0</v>
      </c>
      <c r="K89" s="217">
        <f t="shared" ca="1" si="18"/>
        <v>0</v>
      </c>
      <c r="L89" s="217">
        <f t="shared" ca="1" si="21"/>
        <v>0</v>
      </c>
      <c r="M89" s="217">
        <f t="shared" ca="1" si="24"/>
        <v>0</v>
      </c>
      <c r="N89" s="217">
        <f t="shared" ca="1" si="26"/>
        <v>0</v>
      </c>
      <c r="O89" s="217">
        <f t="shared" ca="1" si="28"/>
        <v>0</v>
      </c>
      <c r="P89" s="217">
        <f t="shared" ca="1" si="30"/>
        <v>0</v>
      </c>
      <c r="Q89" s="217">
        <f t="shared" ca="1" si="32"/>
        <v>0</v>
      </c>
      <c r="R89" s="217">
        <f t="shared" ca="1" si="34"/>
        <v>0</v>
      </c>
      <c r="S89" s="217">
        <f t="shared" ca="1" si="36"/>
        <v>0</v>
      </c>
      <c r="T89" s="112">
        <f t="shared" ca="1" si="38"/>
        <v>1.3627623880622478E-2</v>
      </c>
      <c r="U89" s="217">
        <f t="shared" ca="1" si="40"/>
        <v>0</v>
      </c>
      <c r="V89" s="217">
        <f t="shared" ca="1" si="42"/>
        <v>0</v>
      </c>
      <c r="W89" s="217">
        <f t="shared" ca="1" si="44"/>
        <v>0</v>
      </c>
      <c r="X89" s="217">
        <f t="shared" ca="1" si="46"/>
        <v>0</v>
      </c>
      <c r="Y89" s="217">
        <f t="shared" ca="1" si="48"/>
        <v>0</v>
      </c>
      <c r="Z89" s="112">
        <f t="shared" ref="Z89:Z102" ca="1" si="50">Z32*Z$49</f>
        <v>3.2705670685374185E-7</v>
      </c>
      <c r="AA89" s="220">
        <f ca="1">SUM(D89:Z89,AB89:AN89)-SUM(AA66:AA88,AA90:AA102)</f>
        <v>7.7715611723760958E-15</v>
      </c>
      <c r="AB89" s="217">
        <f t="shared" ref="AB89:AN89" ca="1" si="51">AB32*AB$49</f>
        <v>0.4843103678035684</v>
      </c>
      <c r="AC89" s="217">
        <f t="shared" ca="1" si="51"/>
        <v>0</v>
      </c>
      <c r="AD89" s="112">
        <f t="shared" ca="1" si="51"/>
        <v>3.2542631302848703E-7</v>
      </c>
      <c r="AE89" s="217">
        <f t="shared" ca="1" si="51"/>
        <v>0</v>
      </c>
      <c r="AF89" s="112">
        <f t="shared" ca="1" si="51"/>
        <v>0</v>
      </c>
      <c r="AG89" s="217">
        <f t="shared" ca="1" si="51"/>
        <v>0</v>
      </c>
      <c r="AH89" s="217">
        <f t="shared" ca="1" si="51"/>
        <v>0</v>
      </c>
      <c r="AI89" s="217">
        <f t="shared" ca="1" si="51"/>
        <v>0</v>
      </c>
      <c r="AJ89" s="217">
        <f t="shared" ca="1" si="51"/>
        <v>0</v>
      </c>
      <c r="AK89" s="112">
        <f t="shared" ca="1" si="51"/>
        <v>7.6037973741382159E-2</v>
      </c>
      <c r="AL89" s="217">
        <f t="shared" ca="1" si="51"/>
        <v>0</v>
      </c>
      <c r="AM89" s="217">
        <f t="shared" ca="1" si="51"/>
        <v>0</v>
      </c>
      <c r="AN89" s="221">
        <f t="shared" ca="1" si="51"/>
        <v>0</v>
      </c>
    </row>
    <row r="90" spans="2:40" ht="12.75" customHeight="1" x14ac:dyDescent="0.3">
      <c r="B90" s="93" t="s">
        <v>1037</v>
      </c>
      <c r="C90" s="90"/>
      <c r="D90" s="436">
        <f t="shared" ref="D90:G102" ca="1" si="52">D33*D$49</f>
        <v>0</v>
      </c>
      <c r="E90" s="436">
        <f t="shared" ca="1" si="52"/>
        <v>0</v>
      </c>
      <c r="F90" s="436">
        <f t="shared" ca="1" si="52"/>
        <v>0</v>
      </c>
      <c r="G90" s="436">
        <f t="shared" ca="1" si="52"/>
        <v>0</v>
      </c>
      <c r="H90" s="217">
        <f t="shared" ca="1" si="11"/>
        <v>0</v>
      </c>
      <c r="I90" s="112">
        <f t="shared" ca="1" si="13"/>
        <v>0</v>
      </c>
      <c r="J90" s="217">
        <f t="shared" ca="1" si="15"/>
        <v>0</v>
      </c>
      <c r="K90" s="217">
        <f t="shared" ca="1" si="18"/>
        <v>0</v>
      </c>
      <c r="L90" s="217">
        <f t="shared" ca="1" si="21"/>
        <v>0</v>
      </c>
      <c r="M90" s="217">
        <f t="shared" ca="1" si="24"/>
        <v>0</v>
      </c>
      <c r="N90" s="217">
        <f t="shared" ca="1" si="26"/>
        <v>0</v>
      </c>
      <c r="O90" s="217">
        <f t="shared" ca="1" si="28"/>
        <v>0</v>
      </c>
      <c r="P90" s="217">
        <f t="shared" ca="1" si="30"/>
        <v>0</v>
      </c>
      <c r="Q90" s="217">
        <f t="shared" ca="1" si="32"/>
        <v>0</v>
      </c>
      <c r="R90" s="217">
        <f t="shared" ca="1" si="34"/>
        <v>0</v>
      </c>
      <c r="S90" s="217">
        <f t="shared" ca="1" si="36"/>
        <v>0</v>
      </c>
      <c r="T90" s="217">
        <f t="shared" ca="1" si="38"/>
        <v>0</v>
      </c>
      <c r="U90" s="217">
        <f t="shared" ca="1" si="40"/>
        <v>0</v>
      </c>
      <c r="V90" s="217">
        <f t="shared" ca="1" si="42"/>
        <v>0</v>
      </c>
      <c r="W90" s="217">
        <f t="shared" ca="1" si="44"/>
        <v>0</v>
      </c>
      <c r="X90" s="217">
        <f t="shared" ca="1" si="46"/>
        <v>0</v>
      </c>
      <c r="Y90" s="217">
        <f t="shared" ca="1" si="48"/>
        <v>0</v>
      </c>
      <c r="Z90" s="217">
        <f t="shared" ca="1" si="50"/>
        <v>0</v>
      </c>
      <c r="AA90" s="217">
        <f t="shared" ref="AA90:AA102" ca="1" si="53">AA33*AA$49</f>
        <v>0.48431732526021692</v>
      </c>
      <c r="AB90" s="220">
        <f ca="1">SUM(D90:AA90,AC90:AN90)-SUM(AB66:AB89,AB91:AB102)</f>
        <v>2.2881696537524476E-13</v>
      </c>
      <c r="AC90" s="217">
        <f t="shared" ref="AC90:AN90" ca="1" si="54">AC33*AC$49</f>
        <v>1.8429631283967577E-2</v>
      </c>
      <c r="AD90" s="217">
        <f t="shared" ca="1" si="54"/>
        <v>0</v>
      </c>
      <c r="AE90" s="217">
        <f t="shared" ca="1" si="54"/>
        <v>0</v>
      </c>
      <c r="AF90" s="217">
        <f t="shared" ca="1" si="54"/>
        <v>0</v>
      </c>
      <c r="AG90" s="217">
        <f t="shared" ca="1" si="54"/>
        <v>7.6046189692464974E-2</v>
      </c>
      <c r="AH90" s="217">
        <f t="shared" ca="1" si="54"/>
        <v>0</v>
      </c>
      <c r="AI90" s="217">
        <f t="shared" ca="1" si="54"/>
        <v>0</v>
      </c>
      <c r="AJ90" s="217">
        <f t="shared" ca="1" si="54"/>
        <v>0</v>
      </c>
      <c r="AK90" s="217">
        <f t="shared" ca="1" si="54"/>
        <v>0</v>
      </c>
      <c r="AL90" s="217">
        <f t="shared" ca="1" si="54"/>
        <v>0</v>
      </c>
      <c r="AM90" s="217">
        <f t="shared" ca="1" si="54"/>
        <v>0</v>
      </c>
      <c r="AN90" s="221">
        <f t="shared" ca="1" si="54"/>
        <v>0</v>
      </c>
    </row>
    <row r="91" spans="2:40" ht="12.75" customHeight="1" x14ac:dyDescent="0.3">
      <c r="B91" s="92" t="s">
        <v>1038</v>
      </c>
      <c r="C91" s="90"/>
      <c r="D91" s="436">
        <f t="shared" ca="1" si="52"/>
        <v>0</v>
      </c>
      <c r="E91" s="436">
        <f t="shared" ca="1" si="52"/>
        <v>0</v>
      </c>
      <c r="F91" s="436">
        <f t="shared" ca="1" si="52"/>
        <v>0</v>
      </c>
      <c r="G91" s="436">
        <f t="shared" ca="1" si="52"/>
        <v>0</v>
      </c>
      <c r="H91" s="217">
        <f t="shared" ca="1" si="11"/>
        <v>0</v>
      </c>
      <c r="I91" s="112">
        <f t="shared" ca="1" si="13"/>
        <v>0</v>
      </c>
      <c r="J91" s="217">
        <f t="shared" ca="1" si="15"/>
        <v>0</v>
      </c>
      <c r="K91" s="217">
        <f t="shared" ca="1" si="18"/>
        <v>0</v>
      </c>
      <c r="L91" s="217">
        <f t="shared" ca="1" si="21"/>
        <v>0</v>
      </c>
      <c r="M91" s="217">
        <f t="shared" ca="1" si="24"/>
        <v>0</v>
      </c>
      <c r="N91" s="217">
        <f t="shared" ca="1" si="26"/>
        <v>0</v>
      </c>
      <c r="O91" s="217">
        <f t="shared" ca="1" si="28"/>
        <v>0</v>
      </c>
      <c r="P91" s="217">
        <f t="shared" ca="1" si="30"/>
        <v>0</v>
      </c>
      <c r="Q91" s="217">
        <f t="shared" ca="1" si="32"/>
        <v>0</v>
      </c>
      <c r="R91" s="217">
        <f t="shared" ca="1" si="34"/>
        <v>0</v>
      </c>
      <c r="S91" s="217">
        <f t="shared" ca="1" si="36"/>
        <v>0</v>
      </c>
      <c r="T91" s="217">
        <f t="shared" ca="1" si="38"/>
        <v>0</v>
      </c>
      <c r="U91" s="217">
        <f t="shared" ca="1" si="40"/>
        <v>0</v>
      </c>
      <c r="V91" s="217">
        <f t="shared" ca="1" si="42"/>
        <v>0</v>
      </c>
      <c r="W91" s="217">
        <f t="shared" ca="1" si="44"/>
        <v>0</v>
      </c>
      <c r="X91" s="217">
        <f t="shared" ca="1" si="46"/>
        <v>0</v>
      </c>
      <c r="Y91" s="217">
        <f t="shared" ca="1" si="48"/>
        <v>0</v>
      </c>
      <c r="Z91" s="217">
        <f t="shared" ca="1" si="50"/>
        <v>0</v>
      </c>
      <c r="AA91" s="231">
        <f t="shared" ca="1" si="53"/>
        <v>0</v>
      </c>
      <c r="AB91" s="217">
        <f t="shared" ref="AB91:AB102" ca="1" si="55">AB34*AB$49</f>
        <v>1.843511472852187E-2</v>
      </c>
      <c r="AC91" s="220">
        <f ca="1">SUM(D91:AB91,AD91:AN91)-SUM(AC66:AC90,AC92:AC102)</f>
        <v>5.4834445542932542E-6</v>
      </c>
      <c r="AD91" s="217">
        <f t="shared" ref="AD91:AN91" ca="1" si="56">AD34*AD$49</f>
        <v>0</v>
      </c>
      <c r="AE91" s="217">
        <f t="shared" ca="1" si="56"/>
        <v>0</v>
      </c>
      <c r="AF91" s="217">
        <f t="shared" ca="1" si="56"/>
        <v>0</v>
      </c>
      <c r="AG91" s="217">
        <f t="shared" ca="1" si="56"/>
        <v>0</v>
      </c>
      <c r="AH91" s="217">
        <f t="shared" ca="1" si="56"/>
        <v>0</v>
      </c>
      <c r="AI91" s="217">
        <f t="shared" ca="1" si="56"/>
        <v>0</v>
      </c>
      <c r="AJ91" s="217">
        <f t="shared" ca="1" si="56"/>
        <v>0</v>
      </c>
      <c r="AK91" s="217">
        <f t="shared" ca="1" si="56"/>
        <v>0</v>
      </c>
      <c r="AL91" s="217">
        <f t="shared" ca="1" si="56"/>
        <v>0</v>
      </c>
      <c r="AM91" s="217">
        <f t="shared" ca="1" si="56"/>
        <v>0</v>
      </c>
      <c r="AN91" s="221">
        <f t="shared" ca="1" si="56"/>
        <v>0</v>
      </c>
    </row>
    <row r="92" spans="2:40" ht="12.75" customHeight="1" x14ac:dyDescent="0.3">
      <c r="B92" s="93" t="s">
        <v>1039</v>
      </c>
      <c r="C92" s="90"/>
      <c r="D92" s="436">
        <f t="shared" ca="1" si="52"/>
        <v>0</v>
      </c>
      <c r="E92" s="436">
        <f t="shared" ca="1" si="52"/>
        <v>0</v>
      </c>
      <c r="F92" s="436">
        <f t="shared" ca="1" si="52"/>
        <v>0</v>
      </c>
      <c r="G92" s="436">
        <f t="shared" ca="1" si="52"/>
        <v>0</v>
      </c>
      <c r="H92" s="217">
        <f t="shared" ca="1" si="11"/>
        <v>0</v>
      </c>
      <c r="I92" s="112">
        <f t="shared" ca="1" si="13"/>
        <v>0</v>
      </c>
      <c r="J92" s="217">
        <f t="shared" ca="1" si="15"/>
        <v>0</v>
      </c>
      <c r="K92" s="217">
        <f t="shared" ca="1" si="18"/>
        <v>0</v>
      </c>
      <c r="L92" s="217">
        <f t="shared" ca="1" si="21"/>
        <v>0</v>
      </c>
      <c r="M92" s="217">
        <f t="shared" ca="1" si="24"/>
        <v>0</v>
      </c>
      <c r="N92" s="217">
        <f t="shared" ca="1" si="26"/>
        <v>0</v>
      </c>
      <c r="O92" s="217">
        <f t="shared" ca="1" si="28"/>
        <v>0</v>
      </c>
      <c r="P92" s="217">
        <f t="shared" ca="1" si="30"/>
        <v>0</v>
      </c>
      <c r="Q92" s="217">
        <f t="shared" ca="1" si="32"/>
        <v>0</v>
      </c>
      <c r="R92" s="217">
        <f t="shared" ca="1" si="34"/>
        <v>0</v>
      </c>
      <c r="S92" s="217">
        <f t="shared" ca="1" si="36"/>
        <v>0</v>
      </c>
      <c r="T92" s="217">
        <f t="shared" ca="1" si="38"/>
        <v>0</v>
      </c>
      <c r="U92" s="217">
        <f t="shared" ca="1" si="40"/>
        <v>0</v>
      </c>
      <c r="V92" s="217">
        <f t="shared" ca="1" si="42"/>
        <v>0</v>
      </c>
      <c r="W92" s="217">
        <f t="shared" ca="1" si="44"/>
        <v>0</v>
      </c>
      <c r="X92" s="217">
        <f t="shared" ca="1" si="46"/>
        <v>0</v>
      </c>
      <c r="Y92" s="217">
        <f t="shared" ca="1" si="48"/>
        <v>0</v>
      </c>
      <c r="Z92" s="112">
        <f t="shared" ca="1" si="50"/>
        <v>3.2705670683699808E-7</v>
      </c>
      <c r="AA92" s="217">
        <f t="shared" ca="1" si="53"/>
        <v>0</v>
      </c>
      <c r="AB92" s="217">
        <f t="shared" ca="1" si="55"/>
        <v>0</v>
      </c>
      <c r="AC92" s="217">
        <f t="shared" ref="AC92:AC102" ca="1" si="57">AC35*AC$49</f>
        <v>0</v>
      </c>
      <c r="AD92" s="220">
        <f ca="1">SUM(D92:AC92,AE92:AN92)-SUM(AD66:AD91,AD93:AD102)</f>
        <v>1.6303938085109392E-9</v>
      </c>
      <c r="AE92" s="217">
        <f t="shared" ref="AE92:AN92" ca="1" si="58">AE35*AE$49</f>
        <v>0</v>
      </c>
      <c r="AF92" s="217">
        <f t="shared" ca="1" si="58"/>
        <v>0</v>
      </c>
      <c r="AG92" s="217">
        <f t="shared" ca="1" si="58"/>
        <v>0</v>
      </c>
      <c r="AH92" s="217">
        <f t="shared" ca="1" si="58"/>
        <v>0</v>
      </c>
      <c r="AI92" s="217">
        <f t="shared" ca="1" si="58"/>
        <v>0</v>
      </c>
      <c r="AJ92" s="217">
        <f t="shared" ca="1" si="58"/>
        <v>0</v>
      </c>
      <c r="AK92" s="217">
        <f t="shared" ca="1" si="58"/>
        <v>0</v>
      </c>
      <c r="AL92" s="217">
        <f t="shared" ca="1" si="58"/>
        <v>0</v>
      </c>
      <c r="AM92" s="217">
        <f t="shared" ca="1" si="58"/>
        <v>0</v>
      </c>
      <c r="AN92" s="221">
        <f t="shared" ca="1" si="58"/>
        <v>0</v>
      </c>
    </row>
    <row r="93" spans="2:40" ht="12.75" customHeight="1" x14ac:dyDescent="0.3">
      <c r="B93" s="92" t="s">
        <v>1040</v>
      </c>
      <c r="C93" s="90"/>
      <c r="D93" s="436">
        <f t="shared" ca="1" si="52"/>
        <v>0</v>
      </c>
      <c r="E93" s="436">
        <f t="shared" ca="1" si="52"/>
        <v>0</v>
      </c>
      <c r="F93" s="436">
        <f t="shared" ca="1" si="52"/>
        <v>0</v>
      </c>
      <c r="G93" s="436">
        <f t="shared" ca="1" si="52"/>
        <v>0</v>
      </c>
      <c r="H93" s="217">
        <f t="shared" ca="1" si="11"/>
        <v>0</v>
      </c>
      <c r="I93" s="112">
        <f t="shared" ca="1" si="13"/>
        <v>0</v>
      </c>
      <c r="J93" s="217">
        <f t="shared" ca="1" si="15"/>
        <v>0</v>
      </c>
      <c r="K93" s="217">
        <f t="shared" ca="1" si="18"/>
        <v>0</v>
      </c>
      <c r="L93" s="217">
        <f t="shared" ca="1" si="21"/>
        <v>0</v>
      </c>
      <c r="M93" s="217">
        <f t="shared" ca="1" si="24"/>
        <v>0</v>
      </c>
      <c r="N93" s="217">
        <f t="shared" ca="1" si="26"/>
        <v>0</v>
      </c>
      <c r="O93" s="217">
        <f t="shared" ca="1" si="28"/>
        <v>0</v>
      </c>
      <c r="P93" s="217">
        <f t="shared" ca="1" si="30"/>
        <v>0</v>
      </c>
      <c r="Q93" s="217">
        <f t="shared" ca="1" si="32"/>
        <v>0</v>
      </c>
      <c r="R93" s="217">
        <f t="shared" ca="1" si="34"/>
        <v>0</v>
      </c>
      <c r="S93" s="217">
        <f t="shared" ca="1" si="36"/>
        <v>0</v>
      </c>
      <c r="T93" s="217">
        <f t="shared" ca="1" si="38"/>
        <v>0</v>
      </c>
      <c r="U93" s="217">
        <f t="shared" ca="1" si="40"/>
        <v>0</v>
      </c>
      <c r="V93" s="217">
        <f t="shared" ca="1" si="42"/>
        <v>0</v>
      </c>
      <c r="W93" s="217">
        <f t="shared" ca="1" si="44"/>
        <v>0</v>
      </c>
      <c r="X93" s="217">
        <f t="shared" ca="1" si="46"/>
        <v>0</v>
      </c>
      <c r="Y93" s="217">
        <f t="shared" ca="1" si="48"/>
        <v>0</v>
      </c>
      <c r="Z93" s="112">
        <f t="shared" ca="1" si="50"/>
        <v>2.3642177183597039E-8</v>
      </c>
      <c r="AA93" s="217">
        <f t="shared" ca="1" si="53"/>
        <v>0</v>
      </c>
      <c r="AB93" s="217">
        <f t="shared" ca="1" si="55"/>
        <v>0</v>
      </c>
      <c r="AC93" s="217">
        <f t="shared" ca="1" si="57"/>
        <v>0</v>
      </c>
      <c r="AD93" s="217">
        <f t="shared" ref="AD93:AD102" ca="1" si="59">AD36*AD$49</f>
        <v>0</v>
      </c>
      <c r="AE93" s="220">
        <f ca="1">SUM(D93:AD93,AF93:AN93)-SUM(AE66:AE92,AE94:AE102)</f>
        <v>1.0096555454734946E-12</v>
      </c>
      <c r="AF93" s="112">
        <f t="shared" ref="AF93:AN93" ca="1" si="60">AF36*AF$49</f>
        <v>1.1926881271580389E-20</v>
      </c>
      <c r="AG93" s="217">
        <f t="shared" ca="1" si="60"/>
        <v>0</v>
      </c>
      <c r="AH93" s="217">
        <f t="shared" ca="1" si="60"/>
        <v>0</v>
      </c>
      <c r="AI93" s="112">
        <f t="shared" ca="1" si="60"/>
        <v>3.3365825832608977E-25</v>
      </c>
      <c r="AJ93" s="217">
        <f t="shared" ca="1" si="60"/>
        <v>0</v>
      </c>
      <c r="AK93" s="217">
        <f t="shared" ca="1" si="60"/>
        <v>0</v>
      </c>
      <c r="AL93" s="217">
        <f t="shared" ca="1" si="60"/>
        <v>0</v>
      </c>
      <c r="AM93" s="217">
        <f t="shared" ca="1" si="60"/>
        <v>0</v>
      </c>
      <c r="AN93" s="221">
        <f t="shared" ca="1" si="60"/>
        <v>0</v>
      </c>
    </row>
    <row r="94" spans="2:40" ht="12.75" customHeight="1" x14ac:dyDescent="0.3">
      <c r="B94" s="93" t="s">
        <v>1041</v>
      </c>
      <c r="C94" s="90"/>
      <c r="D94" s="436">
        <f t="shared" ca="1" si="52"/>
        <v>0</v>
      </c>
      <c r="E94" s="436">
        <f t="shared" ca="1" si="52"/>
        <v>0</v>
      </c>
      <c r="F94" s="436">
        <f t="shared" ca="1" si="52"/>
        <v>0</v>
      </c>
      <c r="G94" s="436">
        <f t="shared" ca="1" si="52"/>
        <v>0</v>
      </c>
      <c r="H94" s="217">
        <f t="shared" ca="1" si="11"/>
        <v>0</v>
      </c>
      <c r="I94" s="112">
        <f t="shared" ca="1" si="13"/>
        <v>0</v>
      </c>
      <c r="J94" s="217">
        <f t="shared" ca="1" si="15"/>
        <v>0</v>
      </c>
      <c r="K94" s="217">
        <f t="shared" ca="1" si="18"/>
        <v>0</v>
      </c>
      <c r="L94" s="217">
        <f t="shared" ca="1" si="21"/>
        <v>0</v>
      </c>
      <c r="M94" s="217">
        <f t="shared" ca="1" si="24"/>
        <v>0</v>
      </c>
      <c r="N94" s="217">
        <f t="shared" ca="1" si="26"/>
        <v>0</v>
      </c>
      <c r="O94" s="217">
        <f t="shared" ca="1" si="28"/>
        <v>0</v>
      </c>
      <c r="P94" s="217">
        <f t="shared" ca="1" si="30"/>
        <v>0</v>
      </c>
      <c r="Q94" s="217">
        <f t="shared" ca="1" si="32"/>
        <v>0</v>
      </c>
      <c r="R94" s="217">
        <f t="shared" ca="1" si="34"/>
        <v>0</v>
      </c>
      <c r="S94" s="217">
        <f t="shared" ca="1" si="36"/>
        <v>0</v>
      </c>
      <c r="T94" s="217">
        <f t="shared" ca="1" si="38"/>
        <v>0</v>
      </c>
      <c r="U94" s="217">
        <f t="shared" ca="1" si="40"/>
        <v>0</v>
      </c>
      <c r="V94" s="217">
        <f t="shared" ca="1" si="42"/>
        <v>0</v>
      </c>
      <c r="W94" s="217">
        <f t="shared" ca="1" si="44"/>
        <v>0</v>
      </c>
      <c r="X94" s="217">
        <f t="shared" ca="1" si="46"/>
        <v>0</v>
      </c>
      <c r="Y94" s="217">
        <f t="shared" ca="1" si="48"/>
        <v>0</v>
      </c>
      <c r="Z94" s="217">
        <f t="shared" ca="1" si="50"/>
        <v>0</v>
      </c>
      <c r="AA94" s="112">
        <f t="shared" ca="1" si="53"/>
        <v>7.6048756182126934E-2</v>
      </c>
      <c r="AB94" s="217">
        <f t="shared" ca="1" si="55"/>
        <v>0</v>
      </c>
      <c r="AC94" s="217">
        <f t="shared" ca="1" si="57"/>
        <v>0</v>
      </c>
      <c r="AD94" s="217">
        <f t="shared" ca="1" si="59"/>
        <v>0</v>
      </c>
      <c r="AE94" s="112">
        <f t="shared" ref="AE94:AE102" ca="1" si="61">AE37*AE$49</f>
        <v>1.3326005919433852E-8</v>
      </c>
      <c r="AF94" s="220">
        <f ca="1">SUM(D94:AE94,AG94:AN94)-SUM(AF66:AF93,AF95:AF102)</f>
        <v>1.2212453270876722E-15</v>
      </c>
      <c r="AG94" s="217">
        <f t="shared" ref="AG94:AN94" ca="1" si="62">AG37*AG$49</f>
        <v>0.3480969524811654</v>
      </c>
      <c r="AH94" s="217">
        <f t="shared" ca="1" si="62"/>
        <v>0</v>
      </c>
      <c r="AI94" s="112">
        <f t="shared" ca="1" si="62"/>
        <v>8.8536557498423093E-9</v>
      </c>
      <c r="AJ94" s="217">
        <f t="shared" ca="1" si="62"/>
        <v>0</v>
      </c>
      <c r="AK94" s="217">
        <f t="shared" ca="1" si="62"/>
        <v>0</v>
      </c>
      <c r="AL94" s="217">
        <f t="shared" ca="1" si="62"/>
        <v>0</v>
      </c>
      <c r="AM94" s="217">
        <f t="shared" ca="1" si="62"/>
        <v>0</v>
      </c>
      <c r="AN94" s="221">
        <f t="shared" ca="1" si="62"/>
        <v>0</v>
      </c>
    </row>
    <row r="95" spans="2:40" ht="12.75" customHeight="1" x14ac:dyDescent="0.3">
      <c r="B95" s="93" t="s">
        <v>1042</v>
      </c>
      <c r="C95" s="90"/>
      <c r="D95" s="436">
        <f t="shared" ca="1" si="52"/>
        <v>0</v>
      </c>
      <c r="E95" s="436">
        <f t="shared" ca="1" si="52"/>
        <v>0</v>
      </c>
      <c r="F95" s="436">
        <f t="shared" ca="1" si="52"/>
        <v>0</v>
      </c>
      <c r="G95" s="436">
        <f t="shared" ca="1" si="52"/>
        <v>0</v>
      </c>
      <c r="H95" s="217">
        <f t="shared" ca="1" si="11"/>
        <v>0</v>
      </c>
      <c r="I95" s="112">
        <f t="shared" ca="1" si="13"/>
        <v>0</v>
      </c>
      <c r="J95" s="217">
        <f t="shared" ca="1" si="15"/>
        <v>0</v>
      </c>
      <c r="K95" s="217">
        <f t="shared" ca="1" si="18"/>
        <v>0</v>
      </c>
      <c r="L95" s="217">
        <f t="shared" ca="1" si="21"/>
        <v>0</v>
      </c>
      <c r="M95" s="217">
        <f t="shared" ca="1" si="24"/>
        <v>0</v>
      </c>
      <c r="N95" s="217">
        <f t="shared" ca="1" si="26"/>
        <v>0</v>
      </c>
      <c r="O95" s="217">
        <f t="shared" ca="1" si="28"/>
        <v>0</v>
      </c>
      <c r="P95" s="217">
        <f t="shared" ca="1" si="30"/>
        <v>0</v>
      </c>
      <c r="Q95" s="217">
        <f t="shared" ca="1" si="32"/>
        <v>0</v>
      </c>
      <c r="R95" s="217">
        <f t="shared" ca="1" si="34"/>
        <v>0</v>
      </c>
      <c r="S95" s="217">
        <f t="shared" ca="1" si="36"/>
        <v>0</v>
      </c>
      <c r="T95" s="217">
        <f t="shared" ca="1" si="38"/>
        <v>0</v>
      </c>
      <c r="U95" s="217">
        <f t="shared" ca="1" si="40"/>
        <v>0</v>
      </c>
      <c r="V95" s="217">
        <f t="shared" ca="1" si="42"/>
        <v>0</v>
      </c>
      <c r="W95" s="217">
        <f t="shared" ca="1" si="44"/>
        <v>0</v>
      </c>
      <c r="X95" s="217">
        <f t="shared" ca="1" si="46"/>
        <v>0</v>
      </c>
      <c r="Y95" s="217">
        <f t="shared" ca="1" si="48"/>
        <v>0</v>
      </c>
      <c r="Z95" s="217">
        <f t="shared" ca="1" si="50"/>
        <v>0</v>
      </c>
      <c r="AA95" s="217">
        <f t="shared" ca="1" si="53"/>
        <v>0</v>
      </c>
      <c r="AB95" s="217">
        <f t="shared" ca="1" si="55"/>
        <v>0</v>
      </c>
      <c r="AC95" s="217">
        <f t="shared" ca="1" si="57"/>
        <v>0</v>
      </c>
      <c r="AD95" s="217">
        <f t="shared" ca="1" si="59"/>
        <v>0</v>
      </c>
      <c r="AE95" s="217">
        <f t="shared" ca="1" si="61"/>
        <v>0</v>
      </c>
      <c r="AF95" s="217">
        <f t="shared" ref="AF95:AF102" ca="1" si="63">AF38*AF$49</f>
        <v>0.42414573084295276</v>
      </c>
      <c r="AG95" s="220">
        <f ca="1">SUM(D95:AF95,AH95:AN95)-SUM(AG66:AG94,AG96:AG102)</f>
        <v>3.3251179587523438E-14</v>
      </c>
      <c r="AH95" s="217">
        <f t="shared" ref="AH95:AN95" ca="1" si="64">AH38*AH$49</f>
        <v>1.2281871737293755E-2</v>
      </c>
      <c r="AI95" s="217">
        <f t="shared" ca="1" si="64"/>
        <v>0</v>
      </c>
      <c r="AJ95" s="217">
        <f t="shared" ca="1" si="64"/>
        <v>0</v>
      </c>
      <c r="AK95" s="217">
        <f t="shared" ca="1" si="64"/>
        <v>0</v>
      </c>
      <c r="AL95" s="217">
        <f t="shared" ca="1" si="64"/>
        <v>0</v>
      </c>
      <c r="AM95" s="217">
        <f t="shared" ca="1" si="64"/>
        <v>0</v>
      </c>
      <c r="AN95" s="221">
        <f t="shared" ca="1" si="64"/>
        <v>0</v>
      </c>
    </row>
    <row r="96" spans="2:40" ht="12.75" customHeight="1" x14ac:dyDescent="0.3">
      <c r="B96" s="92" t="s">
        <v>1043</v>
      </c>
      <c r="C96" s="90"/>
      <c r="D96" s="436">
        <f t="shared" ca="1" si="52"/>
        <v>0</v>
      </c>
      <c r="E96" s="436">
        <f t="shared" ca="1" si="52"/>
        <v>0</v>
      </c>
      <c r="F96" s="436">
        <f t="shared" ca="1" si="52"/>
        <v>0</v>
      </c>
      <c r="G96" s="436">
        <f t="shared" ca="1" si="52"/>
        <v>0</v>
      </c>
      <c r="H96" s="217">
        <f t="shared" ca="1" si="11"/>
        <v>0</v>
      </c>
      <c r="I96" s="112">
        <f t="shared" ca="1" si="13"/>
        <v>0</v>
      </c>
      <c r="J96" s="217">
        <f t="shared" ca="1" si="15"/>
        <v>0</v>
      </c>
      <c r="K96" s="217">
        <f t="shared" ca="1" si="18"/>
        <v>0</v>
      </c>
      <c r="L96" s="217">
        <f t="shared" ca="1" si="21"/>
        <v>0</v>
      </c>
      <c r="M96" s="217">
        <f t="shared" ca="1" si="24"/>
        <v>0</v>
      </c>
      <c r="N96" s="217">
        <f t="shared" ca="1" si="26"/>
        <v>0</v>
      </c>
      <c r="O96" s="217">
        <f t="shared" ca="1" si="28"/>
        <v>0</v>
      </c>
      <c r="P96" s="217">
        <f t="shared" ca="1" si="30"/>
        <v>0</v>
      </c>
      <c r="Q96" s="217">
        <f t="shared" ca="1" si="32"/>
        <v>0</v>
      </c>
      <c r="R96" s="217">
        <f t="shared" ca="1" si="34"/>
        <v>0</v>
      </c>
      <c r="S96" s="217">
        <f t="shared" ca="1" si="36"/>
        <v>0</v>
      </c>
      <c r="T96" s="217">
        <f t="shared" ca="1" si="38"/>
        <v>0</v>
      </c>
      <c r="U96" s="217">
        <f t="shared" ca="1" si="40"/>
        <v>0</v>
      </c>
      <c r="V96" s="217">
        <f t="shared" ca="1" si="42"/>
        <v>0</v>
      </c>
      <c r="W96" s="217">
        <f t="shared" ca="1" si="44"/>
        <v>0</v>
      </c>
      <c r="X96" s="217">
        <f t="shared" ca="1" si="46"/>
        <v>0</v>
      </c>
      <c r="Y96" s="217">
        <f t="shared" ca="1" si="48"/>
        <v>0</v>
      </c>
      <c r="Z96" s="217">
        <f t="shared" ca="1" si="50"/>
        <v>0</v>
      </c>
      <c r="AA96" s="217">
        <f t="shared" ca="1" si="53"/>
        <v>0</v>
      </c>
      <c r="AB96" s="217">
        <f t="shared" ca="1" si="55"/>
        <v>0</v>
      </c>
      <c r="AC96" s="217">
        <f t="shared" ca="1" si="57"/>
        <v>0</v>
      </c>
      <c r="AD96" s="217">
        <f t="shared" ca="1" si="59"/>
        <v>0</v>
      </c>
      <c r="AE96" s="217">
        <f t="shared" ca="1" si="61"/>
        <v>0</v>
      </c>
      <c r="AF96" s="232">
        <f t="shared" ca="1" si="63"/>
        <v>0</v>
      </c>
      <c r="AG96" s="217">
        <f t="shared" ref="AG96:AG102" ca="1" si="65">AG39*AG$49</f>
        <v>1.2284460406582954E-2</v>
      </c>
      <c r="AH96" s="220">
        <f ca="1">SUM(D96:AG96,AI96:AN96)-SUM(AH66:AH95,AH97:AH102)</f>
        <v>2.5886692891982643E-6</v>
      </c>
      <c r="AI96" s="217">
        <f t="shared" ref="AI96:AN96" ca="1" si="66">AI39*AI$49</f>
        <v>0</v>
      </c>
      <c r="AJ96" s="217">
        <f t="shared" ca="1" si="66"/>
        <v>0</v>
      </c>
      <c r="AK96" s="217">
        <f t="shared" ca="1" si="66"/>
        <v>0</v>
      </c>
      <c r="AL96" s="217">
        <f t="shared" ca="1" si="66"/>
        <v>0</v>
      </c>
      <c r="AM96" s="217">
        <f t="shared" ca="1" si="66"/>
        <v>0</v>
      </c>
      <c r="AN96" s="221">
        <f t="shared" ca="1" si="66"/>
        <v>0</v>
      </c>
    </row>
    <row r="97" spans="2:40" ht="12.75" customHeight="1" x14ac:dyDescent="0.3">
      <c r="B97" s="93" t="s">
        <v>1044</v>
      </c>
      <c r="C97" s="90"/>
      <c r="D97" s="436">
        <f t="shared" ca="1" si="52"/>
        <v>0</v>
      </c>
      <c r="E97" s="436">
        <f t="shared" ca="1" si="52"/>
        <v>0</v>
      </c>
      <c r="F97" s="436">
        <f t="shared" ca="1" si="52"/>
        <v>0</v>
      </c>
      <c r="G97" s="436">
        <f t="shared" ca="1" si="52"/>
        <v>0</v>
      </c>
      <c r="H97" s="217">
        <f t="shared" ca="1" si="11"/>
        <v>0</v>
      </c>
      <c r="I97" s="112">
        <f t="shared" ca="1" si="13"/>
        <v>0</v>
      </c>
      <c r="J97" s="217">
        <f t="shared" ca="1" si="15"/>
        <v>0</v>
      </c>
      <c r="K97" s="217">
        <f t="shared" ca="1" si="18"/>
        <v>0</v>
      </c>
      <c r="L97" s="217">
        <f t="shared" ca="1" si="21"/>
        <v>0</v>
      </c>
      <c r="M97" s="217">
        <f t="shared" ca="1" si="24"/>
        <v>0</v>
      </c>
      <c r="N97" s="217">
        <f t="shared" ca="1" si="26"/>
        <v>0</v>
      </c>
      <c r="O97" s="217">
        <f t="shared" ca="1" si="28"/>
        <v>0</v>
      </c>
      <c r="P97" s="217">
        <f t="shared" ca="1" si="30"/>
        <v>0</v>
      </c>
      <c r="Q97" s="217">
        <f t="shared" ca="1" si="32"/>
        <v>0</v>
      </c>
      <c r="R97" s="217">
        <f t="shared" ca="1" si="34"/>
        <v>0</v>
      </c>
      <c r="S97" s="217">
        <f t="shared" ca="1" si="36"/>
        <v>0</v>
      </c>
      <c r="T97" s="217">
        <f t="shared" ca="1" si="38"/>
        <v>0</v>
      </c>
      <c r="U97" s="217">
        <f t="shared" ca="1" si="40"/>
        <v>0</v>
      </c>
      <c r="V97" s="217">
        <f t="shared" ca="1" si="42"/>
        <v>0</v>
      </c>
      <c r="W97" s="217">
        <f t="shared" ca="1" si="44"/>
        <v>0</v>
      </c>
      <c r="X97" s="217">
        <f t="shared" ca="1" si="46"/>
        <v>0</v>
      </c>
      <c r="Y97" s="217">
        <f t="shared" ca="1" si="48"/>
        <v>0</v>
      </c>
      <c r="Z97" s="217">
        <f t="shared" ca="1" si="50"/>
        <v>0</v>
      </c>
      <c r="AA97" s="217">
        <f t="shared" ca="1" si="53"/>
        <v>0</v>
      </c>
      <c r="AB97" s="217">
        <f t="shared" ca="1" si="55"/>
        <v>0</v>
      </c>
      <c r="AC97" s="217">
        <f t="shared" ca="1" si="57"/>
        <v>0</v>
      </c>
      <c r="AD97" s="217">
        <f t="shared" ca="1" si="59"/>
        <v>0</v>
      </c>
      <c r="AE97" s="112">
        <f t="shared" ca="1" si="61"/>
        <v>8.884003945838958E-9</v>
      </c>
      <c r="AF97" s="217">
        <f t="shared" ca="1" si="63"/>
        <v>0</v>
      </c>
      <c r="AG97" s="217">
        <f t="shared" ca="1" si="65"/>
        <v>0</v>
      </c>
      <c r="AH97" s="217">
        <f t="shared" ref="AH97:AH102" ca="1" si="67">AH40*AH$49</f>
        <v>0</v>
      </c>
      <c r="AI97" s="220">
        <f ca="1">SUM(D97:AH97,AJ97:AN97)-SUM(AI66:AI96,AI98:AI102)</f>
        <v>3.0348195996648752E-11</v>
      </c>
      <c r="AJ97" s="217">
        <f ca="1">AJ40*AJ$49</f>
        <v>0</v>
      </c>
      <c r="AK97" s="217">
        <f ca="1">AK40*AK$49</f>
        <v>0</v>
      </c>
      <c r="AL97" s="217">
        <f ca="1">AL40*AL$49</f>
        <v>0</v>
      </c>
      <c r="AM97" s="217">
        <f ca="1">AM40*AM$49</f>
        <v>0</v>
      </c>
      <c r="AN97" s="221">
        <f ca="1">AN40*AN$49</f>
        <v>0</v>
      </c>
    </row>
    <row r="98" spans="2:40" ht="12.75" customHeight="1" x14ac:dyDescent="0.3">
      <c r="B98" s="92" t="s">
        <v>1045</v>
      </c>
      <c r="C98" s="90"/>
      <c r="D98" s="436">
        <f t="shared" ca="1" si="52"/>
        <v>0</v>
      </c>
      <c r="E98" s="436">
        <f t="shared" ca="1" si="52"/>
        <v>0</v>
      </c>
      <c r="F98" s="436">
        <f t="shared" ca="1" si="52"/>
        <v>0</v>
      </c>
      <c r="G98" s="436">
        <f t="shared" ca="1" si="52"/>
        <v>0</v>
      </c>
      <c r="H98" s="217">
        <f t="shared" ca="1" si="11"/>
        <v>0</v>
      </c>
      <c r="I98" s="112">
        <f t="shared" ca="1" si="13"/>
        <v>0</v>
      </c>
      <c r="J98" s="217">
        <f t="shared" ca="1" si="15"/>
        <v>0</v>
      </c>
      <c r="K98" s="217">
        <f t="shared" ca="1" si="18"/>
        <v>0</v>
      </c>
      <c r="L98" s="217">
        <f t="shared" ca="1" si="21"/>
        <v>0</v>
      </c>
      <c r="M98" s="217">
        <f t="shared" ca="1" si="24"/>
        <v>0</v>
      </c>
      <c r="N98" s="217">
        <f t="shared" ca="1" si="26"/>
        <v>0</v>
      </c>
      <c r="O98" s="217">
        <f t="shared" ca="1" si="28"/>
        <v>0</v>
      </c>
      <c r="P98" s="217">
        <f t="shared" ca="1" si="30"/>
        <v>0</v>
      </c>
      <c r="Q98" s="217">
        <f t="shared" ca="1" si="32"/>
        <v>0</v>
      </c>
      <c r="R98" s="217">
        <f t="shared" ca="1" si="34"/>
        <v>0</v>
      </c>
      <c r="S98" s="217">
        <f t="shared" ca="1" si="36"/>
        <v>0</v>
      </c>
      <c r="T98" s="217">
        <f t="shared" ca="1" si="38"/>
        <v>0</v>
      </c>
      <c r="U98" s="217">
        <f t="shared" ca="1" si="40"/>
        <v>0</v>
      </c>
      <c r="V98" s="217">
        <f t="shared" ca="1" si="42"/>
        <v>0</v>
      </c>
      <c r="W98" s="217">
        <f t="shared" ca="1" si="44"/>
        <v>0</v>
      </c>
      <c r="X98" s="217">
        <f t="shared" ca="1" si="46"/>
        <v>0</v>
      </c>
      <c r="Y98" s="217">
        <f t="shared" ca="1" si="48"/>
        <v>0</v>
      </c>
      <c r="Z98" s="112">
        <f t="shared" ca="1" si="50"/>
        <v>4.0949452083535729E-8</v>
      </c>
      <c r="AA98" s="217">
        <f t="shared" ca="1" si="53"/>
        <v>0</v>
      </c>
      <c r="AB98" s="217">
        <f t="shared" ca="1" si="55"/>
        <v>0</v>
      </c>
      <c r="AC98" s="217">
        <f t="shared" ca="1" si="57"/>
        <v>0</v>
      </c>
      <c r="AD98" s="217">
        <f t="shared" ca="1" si="59"/>
        <v>0</v>
      </c>
      <c r="AE98" s="217">
        <f t="shared" ca="1" si="61"/>
        <v>0</v>
      </c>
      <c r="AF98" s="217">
        <f t="shared" ca="1" si="63"/>
        <v>0</v>
      </c>
      <c r="AG98" s="217">
        <f t="shared" ca="1" si="65"/>
        <v>0</v>
      </c>
      <c r="AH98" s="217">
        <f t="shared" ca="1" si="67"/>
        <v>0</v>
      </c>
      <c r="AI98" s="217">
        <f ca="1">AI41*AI$49</f>
        <v>0</v>
      </c>
      <c r="AJ98" s="220">
        <f ca="1">SUM(D98:AI98,AK98:AN98)-SUM(AJ66:AJ97,AJ99:AJ102)</f>
        <v>1.7832091989028713E-12</v>
      </c>
      <c r="AK98" s="112">
        <f ca="1">AK41*AK$49</f>
        <v>2.444690481869875E-18</v>
      </c>
      <c r="AL98" s="217">
        <f ca="1">AL41*AL$49</f>
        <v>0</v>
      </c>
      <c r="AM98" s="217">
        <f ca="1">AM41*AM$49</f>
        <v>0</v>
      </c>
      <c r="AN98" s="222">
        <f ca="1">AN41*AN$49</f>
        <v>1.0100249319519773E-23</v>
      </c>
    </row>
    <row r="99" spans="2:40" ht="12.75" customHeight="1" x14ac:dyDescent="0.3">
      <c r="B99" s="93" t="s">
        <v>1046</v>
      </c>
      <c r="C99" s="90"/>
      <c r="D99" s="436">
        <f t="shared" ca="1" si="52"/>
        <v>0</v>
      </c>
      <c r="E99" s="436">
        <f t="shared" ca="1" si="52"/>
        <v>0</v>
      </c>
      <c r="F99" s="436">
        <f t="shared" ca="1" si="52"/>
        <v>0</v>
      </c>
      <c r="G99" s="436">
        <f t="shared" ca="1" si="52"/>
        <v>0</v>
      </c>
      <c r="H99" s="217">
        <f t="shared" ca="1" si="11"/>
        <v>0</v>
      </c>
      <c r="I99" s="112">
        <f t="shared" ca="1" si="13"/>
        <v>0</v>
      </c>
      <c r="J99" s="217">
        <f t="shared" ca="1" si="15"/>
        <v>0</v>
      </c>
      <c r="K99" s="217">
        <f t="shared" ca="1" si="18"/>
        <v>0</v>
      </c>
      <c r="L99" s="217">
        <f t="shared" ca="1" si="21"/>
        <v>0</v>
      </c>
      <c r="M99" s="217">
        <f t="shared" ca="1" si="24"/>
        <v>0</v>
      </c>
      <c r="N99" s="217">
        <f t="shared" ca="1" si="26"/>
        <v>0</v>
      </c>
      <c r="O99" s="217">
        <f t="shared" ca="1" si="28"/>
        <v>0</v>
      </c>
      <c r="P99" s="217">
        <f t="shared" ca="1" si="30"/>
        <v>0</v>
      </c>
      <c r="Q99" s="217">
        <f t="shared" ca="1" si="32"/>
        <v>0</v>
      </c>
      <c r="R99" s="217">
        <f t="shared" ca="1" si="34"/>
        <v>0</v>
      </c>
      <c r="S99" s="217">
        <f t="shared" ca="1" si="36"/>
        <v>0</v>
      </c>
      <c r="T99" s="217">
        <f t="shared" ca="1" si="38"/>
        <v>0</v>
      </c>
      <c r="U99" s="217">
        <f t="shared" ca="1" si="40"/>
        <v>0</v>
      </c>
      <c r="V99" s="217">
        <f t="shared" ca="1" si="42"/>
        <v>0</v>
      </c>
      <c r="W99" s="217">
        <f t="shared" ca="1" si="44"/>
        <v>0</v>
      </c>
      <c r="X99" s="217">
        <f t="shared" ca="1" si="46"/>
        <v>0</v>
      </c>
      <c r="Y99" s="217">
        <f t="shared" ca="1" si="48"/>
        <v>0</v>
      </c>
      <c r="Z99" s="217">
        <f t="shared" ca="1" si="50"/>
        <v>0</v>
      </c>
      <c r="AA99" s="112">
        <f t="shared" ca="1" si="53"/>
        <v>0</v>
      </c>
      <c r="AB99" s="217">
        <f t="shared" ca="1" si="55"/>
        <v>0</v>
      </c>
      <c r="AC99" s="217">
        <f t="shared" ca="1" si="57"/>
        <v>0</v>
      </c>
      <c r="AD99" s="217">
        <f t="shared" ca="1" si="59"/>
        <v>0</v>
      </c>
      <c r="AE99" s="217">
        <f t="shared" ca="1" si="61"/>
        <v>0</v>
      </c>
      <c r="AF99" s="217">
        <f t="shared" ca="1" si="63"/>
        <v>0</v>
      </c>
      <c r="AG99" s="217">
        <f t="shared" ca="1" si="65"/>
        <v>0</v>
      </c>
      <c r="AH99" s="217">
        <f t="shared" ca="1" si="67"/>
        <v>0</v>
      </c>
      <c r="AI99" s="217">
        <f ca="1">AI42*AI$49</f>
        <v>0</v>
      </c>
      <c r="AJ99" s="112">
        <f ca="1">AJ42*AJ$49</f>
        <v>2.7641831561941128E-8</v>
      </c>
      <c r="AK99" s="220">
        <f ca="1">SUM(D99:AJ99,AL99:AN99)-SUM(AK66:AK98,AK100:AK102)</f>
        <v>4.3964831775156199E-14</v>
      </c>
      <c r="AL99" s="217">
        <f ca="1">AL42*AL$49</f>
        <v>1.104150705538739</v>
      </c>
      <c r="AM99" s="112">
        <f ca="1">AM42*AM$49</f>
        <v>0</v>
      </c>
      <c r="AN99" s="222">
        <f ca="1">AN42*AN$49</f>
        <v>1.1779560488764676E-8</v>
      </c>
    </row>
    <row r="100" spans="2:40" ht="12.75" customHeight="1" x14ac:dyDescent="0.3">
      <c r="B100" s="93" t="s">
        <v>1047</v>
      </c>
      <c r="C100" s="90"/>
      <c r="D100" s="436">
        <f t="shared" ca="1" si="52"/>
        <v>0</v>
      </c>
      <c r="E100" s="436">
        <f t="shared" ca="1" si="52"/>
        <v>0</v>
      </c>
      <c r="F100" s="436">
        <f t="shared" ca="1" si="52"/>
        <v>0</v>
      </c>
      <c r="G100" s="436">
        <f t="shared" ca="1" si="52"/>
        <v>0</v>
      </c>
      <c r="H100" s="217">
        <f t="shared" ca="1" si="11"/>
        <v>0</v>
      </c>
      <c r="I100" s="112">
        <f t="shared" ca="1" si="13"/>
        <v>0</v>
      </c>
      <c r="J100" s="217">
        <f t="shared" ca="1" si="15"/>
        <v>0</v>
      </c>
      <c r="K100" s="217">
        <f t="shared" ca="1" si="18"/>
        <v>0</v>
      </c>
      <c r="L100" s="217">
        <f t="shared" ca="1" si="21"/>
        <v>0</v>
      </c>
      <c r="M100" s="217">
        <f t="shared" ca="1" si="24"/>
        <v>0</v>
      </c>
      <c r="N100" s="217">
        <f t="shared" ca="1" si="26"/>
        <v>0</v>
      </c>
      <c r="O100" s="217">
        <f t="shared" ca="1" si="28"/>
        <v>0</v>
      </c>
      <c r="P100" s="217">
        <f t="shared" ca="1" si="30"/>
        <v>0</v>
      </c>
      <c r="Q100" s="217">
        <f t="shared" ca="1" si="32"/>
        <v>0</v>
      </c>
      <c r="R100" s="217">
        <f t="shared" ca="1" si="34"/>
        <v>0</v>
      </c>
      <c r="S100" s="217">
        <f t="shared" ca="1" si="36"/>
        <v>0</v>
      </c>
      <c r="T100" s="217">
        <f t="shared" ca="1" si="38"/>
        <v>0</v>
      </c>
      <c r="U100" s="217">
        <f t="shared" ca="1" si="40"/>
        <v>0</v>
      </c>
      <c r="V100" s="217">
        <f t="shared" ca="1" si="42"/>
        <v>0</v>
      </c>
      <c r="W100" s="217">
        <f t="shared" ca="1" si="44"/>
        <v>0</v>
      </c>
      <c r="X100" s="217">
        <f t="shared" ca="1" si="46"/>
        <v>0</v>
      </c>
      <c r="Y100" s="217">
        <f t="shared" ca="1" si="48"/>
        <v>0</v>
      </c>
      <c r="Z100" s="217">
        <f t="shared" ca="1" si="50"/>
        <v>0</v>
      </c>
      <c r="AA100" s="217">
        <f t="shared" ca="1" si="53"/>
        <v>0</v>
      </c>
      <c r="AB100" s="217">
        <f t="shared" ca="1" si="55"/>
        <v>7.6047663704330429E-2</v>
      </c>
      <c r="AC100" s="217">
        <f t="shared" ca="1" si="57"/>
        <v>0</v>
      </c>
      <c r="AD100" s="217">
        <f t="shared" ca="1" si="59"/>
        <v>0</v>
      </c>
      <c r="AE100" s="217">
        <f t="shared" ca="1" si="61"/>
        <v>0</v>
      </c>
      <c r="AF100" s="217">
        <f t="shared" ca="1" si="63"/>
        <v>0</v>
      </c>
      <c r="AG100" s="217">
        <f t="shared" ca="1" si="65"/>
        <v>0</v>
      </c>
      <c r="AH100" s="217">
        <f t="shared" ca="1" si="67"/>
        <v>0</v>
      </c>
      <c r="AI100" s="217">
        <f ca="1">AI43*AI$49</f>
        <v>0</v>
      </c>
      <c r="AJ100" s="217">
        <f ca="1">AJ43*AJ$49</f>
        <v>0</v>
      </c>
      <c r="AK100" s="217">
        <f ca="1">AK43*AK$49</f>
        <v>1.0281127712187048</v>
      </c>
      <c r="AL100" s="220">
        <f ca="1">SUM(D100:AK100,AM100:AN100)-SUM(AL66:AL99,AL101:AL102)</f>
        <v>1.4108714196936489E-12</v>
      </c>
      <c r="AM100" s="217">
        <f ca="1">AM43*AM$49</f>
        <v>4.6160794916247971E-2</v>
      </c>
      <c r="AN100" s="221">
        <f ca="1">AN43*AN$49</f>
        <v>0</v>
      </c>
    </row>
    <row r="101" spans="2:40" ht="12.75" customHeight="1" x14ac:dyDescent="0.3">
      <c r="B101" s="92" t="s">
        <v>1048</v>
      </c>
      <c r="C101" s="90"/>
      <c r="D101" s="436">
        <f t="shared" ca="1" si="52"/>
        <v>0</v>
      </c>
      <c r="E101" s="436">
        <f t="shared" ca="1" si="52"/>
        <v>0</v>
      </c>
      <c r="F101" s="436">
        <f t="shared" ca="1" si="52"/>
        <v>0</v>
      </c>
      <c r="G101" s="436">
        <f t="shared" ca="1" si="52"/>
        <v>0</v>
      </c>
      <c r="H101" s="217">
        <f t="shared" ca="1" si="11"/>
        <v>0</v>
      </c>
      <c r="I101" s="112">
        <f t="shared" ca="1" si="13"/>
        <v>0</v>
      </c>
      <c r="J101" s="217">
        <f t="shared" ca="1" si="15"/>
        <v>0</v>
      </c>
      <c r="K101" s="217">
        <f t="shared" ca="1" si="18"/>
        <v>0</v>
      </c>
      <c r="L101" s="217">
        <f t="shared" ca="1" si="21"/>
        <v>0</v>
      </c>
      <c r="M101" s="217">
        <f t="shared" ca="1" si="24"/>
        <v>0</v>
      </c>
      <c r="N101" s="217">
        <f t="shared" ca="1" si="26"/>
        <v>0</v>
      </c>
      <c r="O101" s="217">
        <f t="shared" ca="1" si="28"/>
        <v>0</v>
      </c>
      <c r="P101" s="217">
        <f t="shared" ca="1" si="30"/>
        <v>0</v>
      </c>
      <c r="Q101" s="217">
        <f t="shared" ca="1" si="32"/>
        <v>0</v>
      </c>
      <c r="R101" s="217">
        <f t="shared" ca="1" si="34"/>
        <v>0</v>
      </c>
      <c r="S101" s="217">
        <f t="shared" ca="1" si="36"/>
        <v>0</v>
      </c>
      <c r="T101" s="217">
        <f t="shared" ca="1" si="38"/>
        <v>0</v>
      </c>
      <c r="U101" s="217">
        <f t="shared" ca="1" si="40"/>
        <v>0</v>
      </c>
      <c r="V101" s="217">
        <f t="shared" ca="1" si="42"/>
        <v>0</v>
      </c>
      <c r="W101" s="217">
        <f t="shared" ca="1" si="44"/>
        <v>0</v>
      </c>
      <c r="X101" s="217">
        <f t="shared" ca="1" si="46"/>
        <v>0</v>
      </c>
      <c r="Y101" s="217">
        <f t="shared" ca="1" si="48"/>
        <v>0</v>
      </c>
      <c r="Z101" s="217">
        <f t="shared" ca="1" si="50"/>
        <v>0</v>
      </c>
      <c r="AA101" s="217">
        <f t="shared" ca="1" si="53"/>
        <v>0</v>
      </c>
      <c r="AB101" s="217">
        <f t="shared" ca="1" si="55"/>
        <v>0</v>
      </c>
      <c r="AC101" s="217">
        <f t="shared" ca="1" si="57"/>
        <v>0</v>
      </c>
      <c r="AD101" s="217">
        <f t="shared" ca="1" si="59"/>
        <v>0</v>
      </c>
      <c r="AE101" s="217">
        <f t="shared" ca="1" si="61"/>
        <v>0</v>
      </c>
      <c r="AF101" s="217">
        <f t="shared" ca="1" si="63"/>
        <v>0</v>
      </c>
      <c r="AG101" s="217">
        <f t="shared" ca="1" si="65"/>
        <v>0</v>
      </c>
      <c r="AH101" s="217">
        <f t="shared" ca="1" si="67"/>
        <v>0</v>
      </c>
      <c r="AI101" s="217">
        <f ca="1">AI44*AI$49</f>
        <v>0</v>
      </c>
      <c r="AJ101" s="217">
        <f ca="1">AJ44*AJ$49</f>
        <v>0</v>
      </c>
      <c r="AK101" s="232">
        <f ca="1">AK44*AK$49</f>
        <v>0</v>
      </c>
      <c r="AL101" s="217">
        <f ca="1">AL44*AL$49</f>
        <v>4.6170524299133257E-2</v>
      </c>
      <c r="AM101" s="220">
        <f ca="1">SUM(D101:AL101,AN101)-SUM(AM66:AM100,AM102)</f>
        <v>9.7293828852859643E-6</v>
      </c>
      <c r="AN101" s="221">
        <f ca="1">AN44*AN$49</f>
        <v>0</v>
      </c>
    </row>
    <row r="102" spans="2:40" ht="12.75" customHeight="1" x14ac:dyDescent="0.3">
      <c r="B102" s="94" t="s">
        <v>1049</v>
      </c>
      <c r="C102" s="88"/>
      <c r="D102" s="431">
        <f t="shared" ca="1" si="52"/>
        <v>0</v>
      </c>
      <c r="E102" s="431">
        <f t="shared" ca="1" si="52"/>
        <v>0</v>
      </c>
      <c r="F102" s="431">
        <f t="shared" ca="1" si="52"/>
        <v>0</v>
      </c>
      <c r="G102" s="431">
        <f t="shared" ca="1" si="52"/>
        <v>0</v>
      </c>
      <c r="H102" s="214">
        <f t="shared" ca="1" si="11"/>
        <v>0</v>
      </c>
      <c r="I102" s="213">
        <f t="shared" ca="1" si="13"/>
        <v>0</v>
      </c>
      <c r="J102" s="214">
        <f t="shared" ca="1" si="15"/>
        <v>0</v>
      </c>
      <c r="K102" s="214">
        <f t="shared" ca="1" si="18"/>
        <v>0</v>
      </c>
      <c r="L102" s="214">
        <f t="shared" ca="1" si="21"/>
        <v>0</v>
      </c>
      <c r="M102" s="214">
        <f t="shared" ca="1" si="24"/>
        <v>0</v>
      </c>
      <c r="N102" s="214">
        <f t="shared" ca="1" si="26"/>
        <v>0</v>
      </c>
      <c r="O102" s="214">
        <f t="shared" ca="1" si="28"/>
        <v>0</v>
      </c>
      <c r="P102" s="214">
        <f t="shared" ca="1" si="30"/>
        <v>0</v>
      </c>
      <c r="Q102" s="214">
        <f t="shared" ca="1" si="32"/>
        <v>0</v>
      </c>
      <c r="R102" s="214">
        <f t="shared" ca="1" si="34"/>
        <v>0</v>
      </c>
      <c r="S102" s="214">
        <f t="shared" ca="1" si="36"/>
        <v>0</v>
      </c>
      <c r="T102" s="214">
        <f t="shared" ca="1" si="38"/>
        <v>0</v>
      </c>
      <c r="U102" s="214">
        <f t="shared" ca="1" si="40"/>
        <v>0</v>
      </c>
      <c r="V102" s="214">
        <f t="shared" ca="1" si="42"/>
        <v>0</v>
      </c>
      <c r="W102" s="214">
        <f t="shared" ca="1" si="44"/>
        <v>0</v>
      </c>
      <c r="X102" s="214">
        <f t="shared" ca="1" si="46"/>
        <v>0</v>
      </c>
      <c r="Y102" s="214">
        <f t="shared" ca="1" si="48"/>
        <v>0</v>
      </c>
      <c r="Z102" s="214">
        <f t="shared" ca="1" si="50"/>
        <v>0</v>
      </c>
      <c r="AA102" s="214">
        <f t="shared" ca="1" si="53"/>
        <v>0</v>
      </c>
      <c r="AB102" s="214">
        <f t="shared" ca="1" si="55"/>
        <v>0</v>
      </c>
      <c r="AC102" s="214">
        <f t="shared" ca="1" si="57"/>
        <v>0</v>
      </c>
      <c r="AD102" s="214">
        <f t="shared" ca="1" si="59"/>
        <v>0</v>
      </c>
      <c r="AE102" s="214">
        <f t="shared" ca="1" si="61"/>
        <v>0</v>
      </c>
      <c r="AF102" s="214">
        <f t="shared" ca="1" si="63"/>
        <v>0</v>
      </c>
      <c r="AG102" s="214">
        <f t="shared" ca="1" si="65"/>
        <v>0</v>
      </c>
      <c r="AH102" s="214">
        <f t="shared" ca="1" si="67"/>
        <v>0</v>
      </c>
      <c r="AI102" s="214">
        <f ca="1">AI45*AI$49</f>
        <v>0</v>
      </c>
      <c r="AJ102" s="213">
        <f ca="1">AJ45*AJ$49</f>
        <v>1.184649923935399E-8</v>
      </c>
      <c r="AK102" s="214">
        <f ca="1">AK45*AK$49</f>
        <v>0</v>
      </c>
      <c r="AL102" s="214">
        <f ca="1">AL45*AL$49</f>
        <v>0</v>
      </c>
      <c r="AM102" s="214">
        <f ca="1">AM45*AM$49</f>
        <v>0</v>
      </c>
      <c r="AN102" s="223">
        <f ca="1">SUM(D102:AM102)-SUM(AN66:AN101)</f>
        <v>6.6938750589304348E-11</v>
      </c>
    </row>
    <row r="103" spans="2:40" ht="12.75" customHeight="1" x14ac:dyDescent="0.3">
      <c r="H103" s="216"/>
      <c r="I103" s="112"/>
      <c r="J103" s="216"/>
      <c r="K103" s="216"/>
      <c r="L103" s="216"/>
      <c r="M103" s="216"/>
      <c r="N103" s="216"/>
      <c r="O103" s="216"/>
      <c r="P103" s="216"/>
      <c r="Q103" s="216"/>
      <c r="R103" s="112"/>
      <c r="S103" s="112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</row>
    <row r="104" spans="2:40" ht="12.75" customHeight="1" x14ac:dyDescent="0.3">
      <c r="H104" s="216"/>
      <c r="I104" s="112"/>
      <c r="J104" s="216"/>
      <c r="K104" s="216"/>
      <c r="L104" s="216"/>
      <c r="M104" s="216"/>
      <c r="N104" s="216"/>
      <c r="O104" s="216"/>
      <c r="P104" s="216"/>
      <c r="Q104" s="216"/>
      <c r="R104" s="112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</row>
    <row r="105" spans="2:40" ht="12.75" customHeight="1" x14ac:dyDescent="0.3">
      <c r="B105" s="91" t="s">
        <v>525</v>
      </c>
      <c r="C105" s="95" t="s">
        <v>1740</v>
      </c>
      <c r="D105" s="429" t="s">
        <v>2441</v>
      </c>
      <c r="E105" s="429" t="s">
        <v>2442</v>
      </c>
      <c r="F105" s="429" t="s">
        <v>2443</v>
      </c>
      <c r="G105" s="699" t="s">
        <v>2542</v>
      </c>
      <c r="H105" s="218" t="s">
        <v>1307</v>
      </c>
      <c r="I105" s="218" t="s">
        <v>270</v>
      </c>
      <c r="J105" s="218" t="s">
        <v>1308</v>
      </c>
      <c r="K105" s="218" t="s">
        <v>1309</v>
      </c>
      <c r="L105" s="218" t="s">
        <v>1310</v>
      </c>
      <c r="M105" s="218" t="s">
        <v>1311</v>
      </c>
      <c r="N105" s="218" t="s">
        <v>1312</v>
      </c>
      <c r="O105" s="218" t="s">
        <v>1313</v>
      </c>
      <c r="P105" s="218" t="s">
        <v>1314</v>
      </c>
      <c r="Q105" s="218" t="s">
        <v>511</v>
      </c>
      <c r="R105" s="218" t="s">
        <v>271</v>
      </c>
      <c r="S105" s="218" t="s">
        <v>1315</v>
      </c>
      <c r="T105" s="218" t="s">
        <v>1316</v>
      </c>
      <c r="U105" s="218" t="s">
        <v>1317</v>
      </c>
      <c r="V105" s="218" t="s">
        <v>1318</v>
      </c>
      <c r="W105" s="218" t="s">
        <v>1319</v>
      </c>
      <c r="X105" s="218" t="s">
        <v>1320</v>
      </c>
      <c r="Y105" s="218" t="s">
        <v>510</v>
      </c>
      <c r="Z105" s="218" t="s">
        <v>512</v>
      </c>
      <c r="AA105" s="218" t="s">
        <v>1505</v>
      </c>
      <c r="AB105" s="218" t="s">
        <v>1506</v>
      </c>
      <c r="AC105" s="218" t="s">
        <v>513</v>
      </c>
      <c r="AD105" s="218" t="s">
        <v>518</v>
      </c>
      <c r="AE105" s="218" t="s">
        <v>514</v>
      </c>
      <c r="AF105" s="218" t="s">
        <v>1507</v>
      </c>
      <c r="AG105" s="218" t="s">
        <v>1508</v>
      </c>
      <c r="AH105" s="218" t="s">
        <v>515</v>
      </c>
      <c r="AI105" s="218" t="s">
        <v>519</v>
      </c>
      <c r="AJ105" s="218" t="s">
        <v>516</v>
      </c>
      <c r="AK105" s="218" t="s">
        <v>1509</v>
      </c>
      <c r="AL105" s="218" t="s">
        <v>1510</v>
      </c>
      <c r="AM105" s="218" t="s">
        <v>517</v>
      </c>
      <c r="AN105" s="219" t="s">
        <v>520</v>
      </c>
    </row>
    <row r="106" spans="2:40" ht="12.75" customHeight="1" x14ac:dyDescent="0.3">
      <c r="B106" s="92" t="s">
        <v>1203</v>
      </c>
      <c r="C106" s="96">
        <f>SUM(D5:AN5)</f>
        <v>4.6569059016006303E-5</v>
      </c>
      <c r="D106" s="443">
        <f t="array" ref="D106:AN106">D5:AN5</f>
        <v>4.2323965296742981E-9</v>
      </c>
      <c r="E106" s="443">
        <v>4.2323965296742981E-9</v>
      </c>
      <c r="F106" s="443">
        <v>4.2323965296742981E-9</v>
      </c>
      <c r="G106" s="700">
        <v>0</v>
      </c>
      <c r="H106" s="443">
        <v>4.2323965296742974E-6</v>
      </c>
      <c r="I106" s="443">
        <v>0</v>
      </c>
      <c r="J106" s="443">
        <v>4.2323965296742974E-6</v>
      </c>
      <c r="K106" s="443">
        <v>0</v>
      </c>
      <c r="L106" s="443">
        <v>0</v>
      </c>
      <c r="M106" s="443">
        <v>0</v>
      </c>
      <c r="N106" s="443">
        <v>4.2323965296742974E-6</v>
      </c>
      <c r="O106" s="443">
        <v>4.2323965296742974E-6</v>
      </c>
      <c r="P106" s="443">
        <v>4.2323965296742974E-6</v>
      </c>
      <c r="Q106" s="443">
        <v>4.2323965296742974E-6</v>
      </c>
      <c r="R106" s="443">
        <v>0</v>
      </c>
      <c r="S106" s="443">
        <v>4.2323965296742974E-6</v>
      </c>
      <c r="T106" s="443">
        <v>4.2323965296742974E-6</v>
      </c>
      <c r="U106" s="443">
        <v>0</v>
      </c>
      <c r="V106" s="443">
        <v>0</v>
      </c>
      <c r="W106" s="443">
        <v>4.2323965296742974E-6</v>
      </c>
      <c r="X106" s="443">
        <v>4.2323965296742974E-6</v>
      </c>
      <c r="Y106" s="443">
        <v>4.2323965296742974E-6</v>
      </c>
      <c r="Z106" s="443">
        <v>0</v>
      </c>
      <c r="AA106" s="443">
        <v>0</v>
      </c>
      <c r="AB106" s="443">
        <v>0</v>
      </c>
      <c r="AC106" s="443">
        <v>0</v>
      </c>
      <c r="AD106" s="443">
        <v>0</v>
      </c>
      <c r="AE106" s="443">
        <v>0</v>
      </c>
      <c r="AF106" s="443">
        <v>0</v>
      </c>
      <c r="AG106" s="443">
        <v>0</v>
      </c>
      <c r="AH106" s="443">
        <v>0</v>
      </c>
      <c r="AI106" s="443">
        <v>0</v>
      </c>
      <c r="AJ106" s="443">
        <v>0</v>
      </c>
      <c r="AK106" s="443">
        <v>0</v>
      </c>
      <c r="AL106" s="443">
        <v>0</v>
      </c>
      <c r="AM106" s="443">
        <v>0</v>
      </c>
      <c r="AN106" s="443">
        <v>0</v>
      </c>
    </row>
    <row r="107" spans="2:40" ht="12.75" customHeight="1" x14ac:dyDescent="0.3">
      <c r="B107" s="92" t="s">
        <v>1204</v>
      </c>
      <c r="C107" s="96">
        <f ca="1">SUM(D107:AN107)</f>
        <v>4.3622491398487693</v>
      </c>
      <c r="D107" s="436">
        <f ca="1">SUM($D$66:$AN$66)</f>
        <v>2.6046102494169086E-6</v>
      </c>
      <c r="E107" s="436">
        <f ca="1">SUM($D$67:$AN$67)</f>
        <v>1.9543498934600676E-4</v>
      </c>
      <c r="F107" s="436">
        <f ca="1">SUM($D$68:$AN$68)</f>
        <v>2.399582197717082E-6</v>
      </c>
      <c r="G107" s="695">
        <f ca="1">SUM($D$69:$AN$69)</f>
        <v>1.9283478857063508E-4</v>
      </c>
      <c r="H107" s="112">
        <f ca="1">SUM($D$70:$AN$70)</f>
        <v>-4.2252780011616428E-6</v>
      </c>
      <c r="I107" s="112">
        <f ca="1">SUM($D$71:$AN$71)</f>
        <v>2.659362519026902E-27</v>
      </c>
      <c r="J107" s="112">
        <f ca="1">SUM($D$72:$AN$72)</f>
        <v>1.0538163261356413E-4</v>
      </c>
      <c r="K107" s="112">
        <f ca="1">SUM($D$73:$AN$73)</f>
        <v>6.3345920028940806E-5</v>
      </c>
      <c r="L107" s="112">
        <f ca="1">SUM($D$74:$AN$74)</f>
        <v>1.1908317438164619E-4</v>
      </c>
      <c r="M107" s="112">
        <f ca="1">SUM($D$75:$AN$75)</f>
        <v>7.0574999727399991E-5</v>
      </c>
      <c r="N107" s="112">
        <f ca="1">SUM($D$76:$AN$76)</f>
        <v>-4.2092161806393219E-6</v>
      </c>
      <c r="O107" s="112">
        <f ca="1">SUM($D$77:$AN$77)</f>
        <v>-4.1779165443667417E-6</v>
      </c>
      <c r="P107" s="112">
        <f ca="1">SUM($D$78:$AN$78)</f>
        <v>-4.1086844050631804E-6</v>
      </c>
      <c r="Q107" s="112">
        <f ca="1">SUM($D$79:$AN$79)</f>
        <v>-2.7708567482566428E-6</v>
      </c>
      <c r="R107" s="112">
        <f ca="1">SUM($D$80:$AN$80)</f>
        <v>6.2131788370726765E-9</v>
      </c>
      <c r="S107" s="112">
        <f ca="1">SUM($D$81:$AN$81)</f>
        <v>1.2251197725039712E-4</v>
      </c>
      <c r="T107" s="112">
        <f ca="1">SUM($D$82:$AN$82)</f>
        <v>1.5085104256388921E-2</v>
      </c>
      <c r="U107" s="112">
        <f ca="1">SUM($D$83:$AN$83)</f>
        <v>1.2947535461021759E-4</v>
      </c>
      <c r="V107" s="112">
        <f ca="1">SUM($D$84:$AN$84)</f>
        <v>1.4659208565322203E-3</v>
      </c>
      <c r="W107" s="112">
        <f ca="1">SUM($D$85:$AN$85)</f>
        <v>-3.54090209484662E-6</v>
      </c>
      <c r="X107" s="112">
        <f ca="1">SUM($D$86:$AN$86)</f>
        <v>-2.6861898872641752E-6</v>
      </c>
      <c r="Y107" s="112">
        <f ca="1">SUM($D$87:$AN$87)</f>
        <v>-3.931486401110507E-6</v>
      </c>
      <c r="Z107" s="112">
        <f ca="1">SUM($D$88:$AN$88)</f>
        <v>7.246140939315103E-7</v>
      </c>
      <c r="AA107" s="112">
        <f ca="1">SUM($D$89:$AN$89)</f>
        <v>0.57397661790860066</v>
      </c>
      <c r="AB107" s="112">
        <f ca="1">SUM($D$90:$AN$90)</f>
        <v>0.57879314623687839</v>
      </c>
      <c r="AC107" s="112">
        <f ca="1">SUM($D$91:$AN$91)</f>
        <v>1.8440598173076164E-2</v>
      </c>
      <c r="AD107" s="112">
        <f ca="1">SUM($D$92:$AN$92)</f>
        <v>3.2868710064550901E-7</v>
      </c>
      <c r="AE107" s="112">
        <f ca="1">SUM($D$93:$AN$93)</f>
        <v>2.3643186839154441E-8</v>
      </c>
      <c r="AF107" s="112">
        <f ca="1">SUM($D$94:$AN$94)</f>
        <v>0.4241457308429552</v>
      </c>
      <c r="AG107" s="112">
        <f ca="1">SUM($D$95:$AN$95)</f>
        <v>0.43642760258027979</v>
      </c>
      <c r="AH107" s="112">
        <f ca="1">SUM($D$96:$AN$96)</f>
        <v>1.2287049075872152E-2</v>
      </c>
      <c r="AI107" s="112">
        <f ca="1">SUM($D$97:$AN$97)</f>
        <v>8.9143521418356068E-9</v>
      </c>
      <c r="AJ107" s="112">
        <f ca="1">SUM($D$98:$AN$98)</f>
        <v>4.0951235295179335E-8</v>
      </c>
      <c r="AK107" s="112">
        <f ca="1">SUM($D$99:$AN$99)</f>
        <v>1.1041507449601748</v>
      </c>
      <c r="AL107" s="112">
        <f ca="1">SUM($D$100:$AN$100)</f>
        <v>1.150321229840694</v>
      </c>
      <c r="AM107" s="112">
        <f ca="1">SUM($D$101:$AN$101)</f>
        <v>4.6180253682018543E-2</v>
      </c>
      <c r="AN107" s="222">
        <f ca="1">SUM($D$102:$AN$102)</f>
        <v>1.1913437989943295E-8</v>
      </c>
    </row>
    <row r="108" spans="2:40" ht="12.75" customHeight="1" x14ac:dyDescent="0.3">
      <c r="B108" s="92" t="s">
        <v>1206</v>
      </c>
      <c r="C108" s="96">
        <f ca="1">SUM(D108:AN108)</f>
        <v>4.3622491398487684</v>
      </c>
      <c r="D108" s="436">
        <f t="shared" ref="D108:AN108" ca="1" si="68">SUM(D66:D102)</f>
        <v>2.6088426450073098E-6</v>
      </c>
      <c r="E108" s="436">
        <f t="shared" ca="1" si="68"/>
        <v>1.9543922174253598E-4</v>
      </c>
      <c r="F108" s="436">
        <f t="shared" ca="1" si="68"/>
        <v>2.3989772967773315E-6</v>
      </c>
      <c r="G108" s="695">
        <f t="shared" ca="1" si="68"/>
        <v>1.9283351569008176E-4</v>
      </c>
      <c r="H108" s="112">
        <f t="shared" ca="1" si="68"/>
        <v>7.1133325218023442E-9</v>
      </c>
      <c r="I108" s="112">
        <f t="shared" ca="1" si="68"/>
        <v>1.7507466753605207E-27</v>
      </c>
      <c r="J108" s="112">
        <f t="shared" ca="1" si="68"/>
        <v>1.0961402914323681E-4</v>
      </c>
      <c r="K108" s="112">
        <f t="shared" ca="1" si="68"/>
        <v>6.3345920028931821E-5</v>
      </c>
      <c r="L108" s="112">
        <f t="shared" ca="1" si="68"/>
        <v>1.0664165826549503E-4</v>
      </c>
      <c r="M108" s="112">
        <f t="shared" ca="1" si="68"/>
        <v>6.3345920028914284E-5</v>
      </c>
      <c r="N108" s="112">
        <f t="shared" ca="1" si="68"/>
        <v>0</v>
      </c>
      <c r="O108" s="112">
        <f t="shared" ca="1" si="68"/>
        <v>3.1513440153741648E-8</v>
      </c>
      <c r="P108" s="112">
        <f t="shared" ca="1" si="68"/>
        <v>1.0154330716205718E-7</v>
      </c>
      <c r="Q108" s="112">
        <f t="shared" ca="1" si="68"/>
        <v>1.4614365178054664E-6</v>
      </c>
      <c r="R108" s="112">
        <f t="shared" ca="1" si="68"/>
        <v>6.2131788370591273E-9</v>
      </c>
      <c r="S108" s="112">
        <f t="shared" ca="1" si="68"/>
        <v>1.2674437378007073E-4</v>
      </c>
      <c r="T108" s="112">
        <f t="shared" ca="1" si="68"/>
        <v>1.508933665291722E-2</v>
      </c>
      <c r="U108" s="112">
        <f t="shared" ca="1" si="68"/>
        <v>1.2058258254206646E-4</v>
      </c>
      <c r="V108" s="112">
        <f t="shared" ca="1" si="68"/>
        <v>1.4659208565319536E-3</v>
      </c>
      <c r="W108" s="112">
        <f t="shared" ca="1" si="68"/>
        <v>6.7102331430935304E-7</v>
      </c>
      <c r="X108" s="112">
        <f t="shared" ca="1" si="68"/>
        <v>1.4911629206874506E-6</v>
      </c>
      <c r="Y108" s="112">
        <f t="shared" ca="1" si="68"/>
        <v>2.4852715344790844E-7</v>
      </c>
      <c r="Z108" s="112">
        <f t="shared" ca="1" si="68"/>
        <v>7.2458405836619394E-7</v>
      </c>
      <c r="AA108" s="112">
        <f t="shared" ca="1" si="68"/>
        <v>0.57397661790859289</v>
      </c>
      <c r="AB108" s="112">
        <f t="shared" ca="1" si="68"/>
        <v>0.57879314623664957</v>
      </c>
      <c r="AC108" s="112">
        <f t="shared" ca="1" si="68"/>
        <v>1.843511472852187E-2</v>
      </c>
      <c r="AD108" s="112">
        <f t="shared" ca="1" si="68"/>
        <v>3.2705670683699808E-7</v>
      </c>
      <c r="AE108" s="112">
        <f t="shared" ca="1" si="68"/>
        <v>2.3642177183608967E-8</v>
      </c>
      <c r="AF108" s="112">
        <f t="shared" ca="1" si="68"/>
        <v>0.42414573084295398</v>
      </c>
      <c r="AG108" s="112">
        <f t="shared" ca="1" si="68"/>
        <v>0.43642760258024654</v>
      </c>
      <c r="AH108" s="112">
        <f t="shared" ca="1" si="68"/>
        <v>1.2284460406582954E-2</v>
      </c>
      <c r="AI108" s="112">
        <f t="shared" ca="1" si="68"/>
        <v>8.884003945838958E-9</v>
      </c>
      <c r="AJ108" s="112">
        <f t="shared" ca="1" si="68"/>
        <v>4.0949452085980432E-8</v>
      </c>
      <c r="AK108" s="112">
        <f t="shared" ca="1" si="68"/>
        <v>1.1041507449601309</v>
      </c>
      <c r="AL108" s="112">
        <f t="shared" ca="1" si="68"/>
        <v>1.1503212298392831</v>
      </c>
      <c r="AM108" s="112">
        <f t="shared" ca="1" si="68"/>
        <v>4.6170524299133257E-2</v>
      </c>
      <c r="AN108" s="222">
        <f t="shared" ca="1" si="68"/>
        <v>1.184649923935399E-8</v>
      </c>
    </row>
    <row r="109" spans="2:40" ht="12.75" customHeight="1" x14ac:dyDescent="0.3">
      <c r="B109" s="98" t="s">
        <v>1205</v>
      </c>
      <c r="C109" s="96">
        <f ca="1">SUM(D109:AN109)</f>
        <v>4.6569059015879614E-5</v>
      </c>
      <c r="D109" s="436">
        <f ca="1">k.aL*D49</f>
        <v>9.3927490039441278E-16</v>
      </c>
      <c r="E109" s="436">
        <f ca="1">k.wL*E49</f>
        <v>4.8435183215546153E-19</v>
      </c>
      <c r="F109" s="436">
        <f ca="1">k.sL*F49</f>
        <v>4.8372974694237264E-9</v>
      </c>
      <c r="G109" s="695">
        <f ca="1">k.sdL*G49</f>
        <v>1.272880553282194E-9</v>
      </c>
      <c r="H109" s="112">
        <f ca="1">k.aR*H49</f>
        <v>5.1959908507603531E-12</v>
      </c>
      <c r="I109" s="112">
        <f ca="1">k.w0R*I49</f>
        <v>9.0861584366638201E-28</v>
      </c>
      <c r="J109" s="112">
        <f ca="1">k.w1R*J49</f>
        <v>1.6037990796539361E-18</v>
      </c>
      <c r="K109" s="112">
        <f ca="1">k.w2R*K49</f>
        <v>8.9637096344047516E-18</v>
      </c>
      <c r="L109" s="112">
        <f ca="1">k.sd1R*L49</f>
        <v>1.2441516116151153E-5</v>
      </c>
      <c r="M109" s="112">
        <f ca="1">k.sd2R*M49</f>
        <v>7.2290796984857071E-6</v>
      </c>
      <c r="N109" s="112">
        <f ca="1">k.s1R*N49</f>
        <v>2.318034903497513E-8</v>
      </c>
      <c r="O109" s="112">
        <f ca="1">k.s2R*O49</f>
        <v>2.2966545153813385E-8</v>
      </c>
      <c r="P109" s="112">
        <f ca="1">k.s3R*P49</f>
        <v>2.2168817449058996E-8</v>
      </c>
      <c r="Q109" s="112">
        <f ca="1">k.aC*Q49</f>
        <v>1.0326361218734429E-10</v>
      </c>
      <c r="R109" s="112">
        <f ca="1">k.w0C*R49</f>
        <v>1.3551024803154578E-20</v>
      </c>
      <c r="S109" s="112">
        <f ca="1">k.w1C*S49</f>
        <v>7.0164000105664289E-19</v>
      </c>
      <c r="T109" s="112">
        <f ca="1">k.w2C*T49</f>
        <v>1.3747620891136076E-15</v>
      </c>
      <c r="U109" s="112">
        <f ca="1">k.sd1C*U49</f>
        <v>8.892772068151118E-6</v>
      </c>
      <c r="V109" s="112">
        <f ca="1">k.sd2C*V49</f>
        <v>2.6684236992338788E-16</v>
      </c>
      <c r="W109" s="112">
        <f ca="1">k.s1C*W49</f>
        <v>2.0471120518324968E-8</v>
      </c>
      <c r="X109" s="112">
        <f ca="1">k.s2C*X49</f>
        <v>5.5043721722669373E-8</v>
      </c>
      <c r="Y109" s="112">
        <f ca="1">k.s3C*Y49</f>
        <v>5.2382975115881746E-8</v>
      </c>
      <c r="Z109" s="112">
        <f ca="1">k.aM*Z49</f>
        <v>3.0035565316669896E-11</v>
      </c>
      <c r="AA109" s="112">
        <f ca="1">k.w2M*AA49</f>
        <v>7.6277126818359962E-15</v>
      </c>
      <c r="AB109" s="112">
        <f ca="1">k.w3M*AB49</f>
        <v>2.2882809317972072E-13</v>
      </c>
      <c r="AC109" s="112">
        <f ca="1">k.sdM*AC49</f>
        <v>5.4834445542927155E-6</v>
      </c>
      <c r="AD109" s="112">
        <f ca="1">k.sM*AD49</f>
        <v>1.6303938085108857E-9</v>
      </c>
      <c r="AE109" s="112">
        <f ca="1">k.aA*AE49</f>
        <v>1.0096555454629535E-12</v>
      </c>
      <c r="AF109" s="112">
        <f ca="1">k.w2A*AF49</f>
        <v>1.3478675431136857E-15</v>
      </c>
      <c r="AG109" s="112">
        <f ca="1">k.w3A*AG49</f>
        <v>3.3185899325711342E-14</v>
      </c>
      <c r="AH109" s="112">
        <f ca="1">k.sdA*AH49</f>
        <v>2.5886692892000401E-6</v>
      </c>
      <c r="AI109" s="112">
        <f ca="1">k.sA*AI49</f>
        <v>3.0348195996650936E-11</v>
      </c>
      <c r="AJ109" s="112">
        <f ca="1">k.aT*AJ49</f>
        <v>1.7832091989025702E-12</v>
      </c>
      <c r="AK109" s="112">
        <f ca="1">k.w2T*AK49</f>
        <v>4.3798419865311505E-14</v>
      </c>
      <c r="AL109" s="112">
        <f ca="1">k.w3T*AL49</f>
        <v>1.4111308861120523E-12</v>
      </c>
      <c r="AM109" s="112">
        <f ca="1">k.sdT*AM49</f>
        <v>9.7293828852817359E-6</v>
      </c>
      <c r="AN109" s="215">
        <f ca="1">k.sT*AN49</f>
        <v>6.6938750589302512E-11</v>
      </c>
    </row>
    <row r="110" spans="2:40" ht="12.75" customHeight="1" x14ac:dyDescent="0.3">
      <c r="B110" s="99" t="s">
        <v>771</v>
      </c>
      <c r="C110" s="100">
        <f t="shared" ref="C110:AN110" ca="1" si="69">SUM(C106:C107)-SUM(C108:C109)</f>
        <v>0</v>
      </c>
      <c r="D110" s="444">
        <f t="shared" ca="1" si="69"/>
        <v>0</v>
      </c>
      <c r="E110" s="444">
        <f t="shared" ca="1" si="69"/>
        <v>0</v>
      </c>
      <c r="F110" s="444">
        <f t="shared" ca="1" si="69"/>
        <v>0</v>
      </c>
      <c r="G110" s="701">
        <f t="shared" ca="1" si="69"/>
        <v>0</v>
      </c>
      <c r="H110" s="100">
        <f t="shared" ca="1" si="69"/>
        <v>1.4971969087209801E-21</v>
      </c>
      <c r="I110" s="100">
        <f t="shared" ca="1" si="69"/>
        <v>0</v>
      </c>
      <c r="J110" s="100">
        <f t="shared" ca="1" si="69"/>
        <v>0</v>
      </c>
      <c r="K110" s="100">
        <f t="shared" ca="1" si="69"/>
        <v>0</v>
      </c>
      <c r="L110" s="100">
        <f t="shared" ca="1" si="69"/>
        <v>0</v>
      </c>
      <c r="M110" s="100">
        <f t="shared" ca="1" si="69"/>
        <v>0</v>
      </c>
      <c r="N110" s="100">
        <f t="shared" ca="1" si="69"/>
        <v>3.6395946952333218E-22</v>
      </c>
      <c r="O110" s="100">
        <f t="shared" ca="1" si="69"/>
        <v>7.1468404924581591E-22</v>
      </c>
      <c r="P110" s="100">
        <f t="shared" ca="1" si="69"/>
        <v>8.4703294725430034E-22</v>
      </c>
      <c r="Q110" s="100">
        <f t="shared" ca="1" si="69"/>
        <v>0</v>
      </c>
      <c r="R110" s="100">
        <f t="shared" ca="1" si="69"/>
        <v>0</v>
      </c>
      <c r="S110" s="100">
        <f t="shared" ca="1" si="69"/>
        <v>0</v>
      </c>
      <c r="T110" s="100">
        <f t="shared" ca="1" si="69"/>
        <v>0</v>
      </c>
      <c r="U110" s="100">
        <f t="shared" ca="1" si="69"/>
        <v>0</v>
      </c>
      <c r="V110" s="100">
        <f t="shared" ca="1" si="69"/>
        <v>0</v>
      </c>
      <c r="W110" s="100">
        <f t="shared" ca="1" si="69"/>
        <v>0</v>
      </c>
      <c r="X110" s="100">
        <f t="shared" ca="1" si="69"/>
        <v>2.1175823681357508E-21</v>
      </c>
      <c r="Y110" s="100">
        <f t="shared" ca="1" si="69"/>
        <v>0</v>
      </c>
      <c r="Z110" s="100">
        <f t="shared" ca="1" si="69"/>
        <v>0</v>
      </c>
      <c r="AA110" s="100">
        <f t="shared" ca="1" si="69"/>
        <v>0</v>
      </c>
      <c r="AB110" s="100">
        <f t="shared" ca="1" si="69"/>
        <v>0</v>
      </c>
      <c r="AC110" s="100">
        <f t="shared" ca="1" si="69"/>
        <v>0</v>
      </c>
      <c r="AD110" s="100">
        <f t="shared" ca="1" si="69"/>
        <v>0</v>
      </c>
      <c r="AE110" s="100">
        <f t="shared" ca="1" si="69"/>
        <v>0</v>
      </c>
      <c r="AF110" s="100">
        <f t="shared" ca="1" si="69"/>
        <v>0</v>
      </c>
      <c r="AG110" s="100">
        <f t="shared" ca="1" si="69"/>
        <v>0</v>
      </c>
      <c r="AH110" s="100">
        <f t="shared" ca="1" si="69"/>
        <v>0</v>
      </c>
      <c r="AI110" s="100">
        <f t="shared" ca="1" si="69"/>
        <v>0</v>
      </c>
      <c r="AJ110" s="100">
        <f t="shared" ca="1" si="69"/>
        <v>0</v>
      </c>
      <c r="AK110" s="100">
        <f t="shared" ca="1" si="69"/>
        <v>0</v>
      </c>
      <c r="AL110" s="100">
        <f t="shared" ca="1" si="69"/>
        <v>0</v>
      </c>
      <c r="AM110" s="100">
        <f t="shared" ca="1" si="69"/>
        <v>0</v>
      </c>
      <c r="AN110" s="101">
        <f t="shared" ca="1" si="69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9" type="noConversion"/>
  <conditionalFormatting sqref="C70:C102">
    <cfRule type="cellIs" dxfId="39" priority="202" stopIfTrue="1" operator="notEqual">
      <formula>0</formula>
    </cfRule>
    <cfRule type="cellIs" dxfId="38" priority="214" stopIfTrue="1" operator="equal">
      <formula>0</formula>
    </cfRule>
  </conditionalFormatting>
  <conditionalFormatting sqref="H4:AN4">
    <cfRule type="cellIs" dxfId="37" priority="206" stopIfTrue="1" operator="equal">
      <formula>0</formula>
    </cfRule>
    <cfRule type="cellIs" dxfId="36" priority="207" stopIfTrue="1" operator="notEqual">
      <formula>0</formula>
    </cfRule>
  </conditionalFormatting>
  <conditionalFormatting sqref="C1:AN4 C5 C6:AN8 C46:AN48 C9:C45 C65:C102 C103:AN105 C111:AN1048576 D66:AN102 C60:AN64">
    <cfRule type="cellIs" dxfId="35" priority="200" operator="equal">
      <formula>0</formula>
    </cfRule>
  </conditionalFormatting>
  <conditionalFormatting sqref="C49:AN58">
    <cfRule type="cellIs" dxfId="34" priority="60" operator="equal">
      <formula>0</formula>
    </cfRule>
  </conditionalFormatting>
  <conditionalFormatting sqref="C59:AN59">
    <cfRule type="cellIs" dxfId="33" priority="59" operator="between">
      <formula>-0.00001</formula>
      <formula>0.00001</formula>
    </cfRule>
  </conditionalFormatting>
  <conditionalFormatting sqref="D5:AN5">
    <cfRule type="cellIs" dxfId="32" priority="56" operator="equal">
      <formula>0</formula>
    </cfRule>
  </conditionalFormatting>
  <conditionalFormatting sqref="C106:AN110">
    <cfRule type="cellIs" dxfId="31" priority="1" operator="equal">
      <formula>0</formula>
    </cfRule>
  </conditionalFormatting>
  <conditionalFormatting sqref="D9:AN45">
    <cfRule type="cellIs" dxfId="30" priority="3" operator="equal">
      <formula>0</formula>
    </cfRule>
  </conditionalFormatting>
  <conditionalFormatting sqref="D4:AN4 D9:AN45">
    <cfRule type="expression" dxfId="29" priority="215" stopIfTrue="1">
      <formula>RiskColorCellsSimOutput</formula>
    </cfRule>
    <cfRule type="expression" dxfId="28" priority="216" stopIfTrue="1">
      <formula>RiskColorCellsSimInput</formula>
    </cfRule>
    <cfRule type="expression" dxfId="27" priority="217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pageSetUpPr fitToPage="1"/>
  </sheetPr>
  <dimension ref="A1:C891"/>
  <sheetViews>
    <sheetView showFormulas="1" zoomScaleNormal="100" workbookViewId="0">
      <selection activeCell="B2" sqref="B2"/>
    </sheetView>
  </sheetViews>
  <sheetFormatPr defaultColWidth="9.09765625" defaultRowHeight="15" customHeight="1" x14ac:dyDescent="0.3"/>
  <cols>
    <col min="1" max="1" width="10.3984375" style="122" customWidth="1"/>
    <col min="2" max="2" width="102" style="122" customWidth="1"/>
    <col min="3" max="3" width="5.59765625" style="122" bestFit="1" customWidth="1"/>
    <col min="4" max="16384" width="9.09765625" style="122"/>
  </cols>
  <sheetData>
    <row r="1" spans="1:3" s="142" customFormat="1" ht="15" customHeight="1" x14ac:dyDescent="0.3">
      <c r="A1" s="141" t="s">
        <v>1663</v>
      </c>
      <c r="B1" s="141" t="s">
        <v>1662</v>
      </c>
      <c r="C1" s="141" t="s">
        <v>929</v>
      </c>
    </row>
    <row r="2" spans="1:3" ht="15" customHeight="1" x14ac:dyDescent="0.3">
      <c r="A2" s="124" t="s">
        <v>655</v>
      </c>
      <c r="B2" s="125">
        <f ca="1">(kwsd.water.wC*kwsd.sed.sdC)/(kwsd.water.wC+kwsd.sed.sdC)*FRw.w1C*(SYSTEMAREA.C*AREAFRAC.w1C)</f>
        <v>7056.5870909980194</v>
      </c>
      <c r="C2" s="126" t="s">
        <v>1664</v>
      </c>
    </row>
    <row r="3" spans="1:3" ht="15" customHeight="1" x14ac:dyDescent="0.3">
      <c r="A3" s="124" t="s">
        <v>1078</v>
      </c>
      <c r="B3" s="125">
        <f ca="1">(kwsd.water.wR*kwsd.sed.sdR)/(kwsd.water.wR+kwsd.sed.sdR)*FRw.w1R*(SYSTEMAREA.R*AREAFRAC.w1R)</f>
        <v>0.7687612561001822</v>
      </c>
      <c r="C3" s="126" t="s">
        <v>1664</v>
      </c>
    </row>
    <row r="4" spans="1:3" ht="15" customHeight="1" x14ac:dyDescent="0.3">
      <c r="A4" s="124" t="s">
        <v>657</v>
      </c>
      <c r="B4" s="125">
        <f ca="1">(kwsd.water.wC*kwsd.sed.sdC)/(kwsd.water.wC+kwsd.sed.sdC)*FRw.w2C*(SYSTEMAREA.C*AREAFRAC.w2C)</f>
        <v>272166.97686793539</v>
      </c>
      <c r="C4" s="126" t="s">
        <v>1664</v>
      </c>
    </row>
    <row r="5" spans="1:3" ht="15" customHeight="1" x14ac:dyDescent="0.3">
      <c r="A5" s="124" t="s">
        <v>934</v>
      </c>
      <c r="B5" s="125">
        <f ca="1">(kwsd.water.wR*kwsd.sed.sdR)/(kwsd.water.wR+kwsd.sed.sdR)*FRw.w2R*(SYSTEMAREA.R*AREAFRAC.w2R)</f>
        <v>1.5074852162326907E-22</v>
      </c>
      <c r="C5" s="126" t="s">
        <v>1664</v>
      </c>
    </row>
    <row r="6" spans="1:3" ht="15" customHeight="1" x14ac:dyDescent="0.3">
      <c r="A6" s="124" t="s">
        <v>155</v>
      </c>
      <c r="B6" s="125">
        <f ca="1">(kwsd.water.wA*kwsd.sed.sdA)/(kwsd.water.wA+kwsd.sed.sdA)*FRw.w3A*(SYSTEMAREA.A*AREAFRAC.wA)</f>
        <v>678987.8291155349</v>
      </c>
      <c r="C6" s="123" t="s">
        <v>1664</v>
      </c>
    </row>
    <row r="7" spans="1:3" ht="15" customHeight="1" x14ac:dyDescent="0.3">
      <c r="A7" s="124" t="s">
        <v>157</v>
      </c>
      <c r="B7" s="125">
        <f ca="1">(kwsd.water.wM*kwsd.sed.sdM)/(kwsd.water.wM+kwsd.sed.sdM)*FRw.w3M*(SYSTEMAREA.M*AREAFRAC.wM)</f>
        <v>1018927.6123477549</v>
      </c>
      <c r="C7" s="123" t="s">
        <v>1664</v>
      </c>
    </row>
    <row r="8" spans="1:3" ht="15" customHeight="1" x14ac:dyDescent="0.3">
      <c r="A8" s="124" t="s">
        <v>150</v>
      </c>
      <c r="B8" s="125">
        <f ca="1">(kwsd.water.wT*kwsd.sed.sdT)/(kwsd.water.wT+kwsd.sed.sdT)*FRw.w3T*(SYSTEMAREA.T*AREAFRAC.wT)</f>
        <v>2376457.401904372</v>
      </c>
      <c r="C8" s="123" t="s">
        <v>1664</v>
      </c>
    </row>
    <row r="9" spans="1:3" ht="15" customHeight="1" x14ac:dyDescent="0.3">
      <c r="A9" s="127" t="s">
        <v>485</v>
      </c>
      <c r="B9" s="125">
        <v>1E-3</v>
      </c>
      <c r="C9" s="128" t="s">
        <v>1665</v>
      </c>
    </row>
    <row r="10" spans="1:3" ht="15" customHeight="1" x14ac:dyDescent="0.3">
      <c r="A10" s="127" t="s">
        <v>451</v>
      </c>
      <c r="B10" s="125">
        <v>1E-3</v>
      </c>
      <c r="C10" s="129" t="s">
        <v>1665</v>
      </c>
    </row>
    <row r="11" spans="1:3" ht="15" customHeight="1" x14ac:dyDescent="0.3">
      <c r="A11" s="127" t="s">
        <v>921</v>
      </c>
      <c r="B11" s="125">
        <v>1E-3</v>
      </c>
      <c r="C11" s="128" t="s">
        <v>1665</v>
      </c>
    </row>
    <row r="12" spans="1:3" ht="15" customHeight="1" x14ac:dyDescent="0.3">
      <c r="A12" s="127" t="s">
        <v>113</v>
      </c>
      <c r="B12" s="125">
        <v>1E-3</v>
      </c>
      <c r="C12" s="129" t="s">
        <v>1665</v>
      </c>
    </row>
    <row r="13" spans="1:3" ht="15" customHeight="1" x14ac:dyDescent="0.3">
      <c r="A13" s="127" t="s">
        <v>915</v>
      </c>
      <c r="B13" s="130">
        <v>1E-3</v>
      </c>
      <c r="C13" s="128" t="s">
        <v>1665</v>
      </c>
    </row>
    <row r="14" spans="1:3" ht="15" customHeight="1" x14ac:dyDescent="0.3">
      <c r="A14" s="124" t="s">
        <v>984</v>
      </c>
      <c r="B14" s="125">
        <f>(FRaerw.aA+FRaers.aA)*(tdry.A+twet.A)/twet.A*RAINrate.A*COLLECTeff.A</f>
        <v>2.6424826650756742E-2</v>
      </c>
      <c r="C14" s="129" t="s">
        <v>1665</v>
      </c>
    </row>
    <row r="15" spans="1:3" ht="15" customHeight="1" x14ac:dyDescent="0.3">
      <c r="A15" s="124" t="s">
        <v>1286</v>
      </c>
      <c r="B15" s="125">
        <f ca="1">(FRaerw.aC+FRaers.aC)*(tdry.C+twet.C)/twet.C*RAINrate.C*COLLECTeff.C</f>
        <v>7.288351039199348E-3</v>
      </c>
      <c r="C15" s="129" t="s">
        <v>1665</v>
      </c>
    </row>
    <row r="16" spans="1:3" ht="15" customHeight="1" x14ac:dyDescent="0.3">
      <c r="A16" s="124" t="s">
        <v>539</v>
      </c>
      <c r="B16" s="125">
        <f>(FRaerw.aM+FRaers.aM)*(tdry.M+twet.M)/twet.M*RAINrate.M*COLLECTeff.M</f>
        <v>7.3989514622118877E-2</v>
      </c>
      <c r="C16" s="129" t="s">
        <v>1665</v>
      </c>
    </row>
    <row r="17" spans="1:3" ht="15" customHeight="1" x14ac:dyDescent="0.3">
      <c r="A17" s="124" t="s">
        <v>580</v>
      </c>
      <c r="B17" s="125">
        <f ca="1">(FRaerw.aR+FRaers.aR)*(tdry.R+twet.R)/twet.R*COLLECTeff.R*RAINrate.R</f>
        <v>2.2101841672217473E-2</v>
      </c>
      <c r="C17" s="129" t="s">
        <v>1665</v>
      </c>
    </row>
    <row r="18" spans="1:3" ht="15" customHeight="1" x14ac:dyDescent="0.3">
      <c r="A18" s="124" t="s">
        <v>1395</v>
      </c>
      <c r="B18" s="125">
        <f>(FRaerw.aT+FRaers.aT)*(tdry.T+twet.T)/twet.T*RAINrate.T*COLLECTeff.T</f>
        <v>0.13740909856564162</v>
      </c>
      <c r="C18" s="129" t="s">
        <v>1665</v>
      </c>
    </row>
    <row r="19" spans="1:3" ht="15" customHeight="1" x14ac:dyDescent="0.3">
      <c r="A19" s="124" t="s">
        <v>400</v>
      </c>
      <c r="B19" s="125">
        <f>VOLUME.aA/TAU.aA</f>
        <v>22068396540.32888</v>
      </c>
      <c r="C19" s="123" t="s">
        <v>1664</v>
      </c>
    </row>
    <row r="20" spans="1:3" ht="15" customHeight="1" x14ac:dyDescent="0.3">
      <c r="A20" s="124" t="s">
        <v>662</v>
      </c>
      <c r="B20" s="125" t="e">
        <f ca="1">VOLUME.aC/TAU.aC-AIRflow.aC.aR</f>
        <v>#NAME?</v>
      </c>
      <c r="C20" s="123" t="s">
        <v>1664</v>
      </c>
    </row>
    <row r="21" spans="1:3" ht="15" customHeight="1" x14ac:dyDescent="0.3">
      <c r="A21" s="124" t="s">
        <v>1201</v>
      </c>
      <c r="B21" s="125" t="e">
        <f>AIRflow.aR.aC</f>
        <v>#NAME?</v>
      </c>
      <c r="C21" s="123" t="s">
        <v>1664</v>
      </c>
    </row>
    <row r="22" spans="1:3" ht="15" customHeight="1" x14ac:dyDescent="0.3">
      <c r="A22" s="124" t="s">
        <v>785</v>
      </c>
      <c r="B22" s="125" t="e">
        <f>AIRflow.aA.aM</f>
        <v>#NAME?</v>
      </c>
      <c r="C22" s="123" t="s">
        <v>1664</v>
      </c>
    </row>
    <row r="23" spans="1:3" ht="15" customHeight="1" x14ac:dyDescent="0.3">
      <c r="A23" s="124" t="s">
        <v>784</v>
      </c>
      <c r="B23" s="125" t="e">
        <f>AIRflow.aC.aM</f>
        <v>#NAME?</v>
      </c>
      <c r="C23" s="123" t="s">
        <v>1664</v>
      </c>
    </row>
    <row r="24" spans="1:3" ht="15" customHeight="1" x14ac:dyDescent="0.3">
      <c r="A24" s="124" t="s">
        <v>786</v>
      </c>
      <c r="B24" s="125" t="e">
        <f>AIRflow.aT.aM</f>
        <v>#NAME?</v>
      </c>
      <c r="C24" s="123" t="s">
        <v>1664</v>
      </c>
    </row>
    <row r="25" spans="1:3" ht="15" customHeight="1" x14ac:dyDescent="0.3">
      <c r="A25" s="124" t="s">
        <v>723</v>
      </c>
      <c r="B25" s="125">
        <f ca="1">VOLUME.aR/TAU.aR</f>
        <v>12272823.615329193</v>
      </c>
      <c r="C25" s="126" t="s">
        <v>1664</v>
      </c>
    </row>
    <row r="26" spans="1:3" ht="15" customHeight="1" x14ac:dyDescent="0.3">
      <c r="A26" s="124" t="s">
        <v>1197</v>
      </c>
      <c r="B26" s="125">
        <f>VOLUME.aT/TAU.aT</f>
        <v>38223584049.426857</v>
      </c>
      <c r="C26" s="123" t="s">
        <v>1664</v>
      </c>
    </row>
    <row r="27" spans="1:3" ht="15" customHeight="1" x14ac:dyDescent="0.3">
      <c r="A27" s="127" t="s">
        <v>1444</v>
      </c>
      <c r="B27" s="125">
        <f>AREAland.C*FRACnatsoil.C/SYSTEMAREA.C</f>
        <v>0.13500350803008165</v>
      </c>
      <c r="C27" s="123" t="s">
        <v>28</v>
      </c>
    </row>
    <row r="28" spans="1:3" ht="15" customHeight="1" x14ac:dyDescent="0.3">
      <c r="A28" s="127" t="s">
        <v>1185</v>
      </c>
      <c r="B28" s="125">
        <f>AREAland.R*FRACnatsoil.R/SYSTEMAREA.R</f>
        <v>9.9999999999999995E-21</v>
      </c>
      <c r="C28" s="126" t="s">
        <v>28</v>
      </c>
    </row>
    <row r="29" spans="1:3" ht="15" customHeight="1" x14ac:dyDescent="0.3">
      <c r="A29" s="127" t="s">
        <v>1292</v>
      </c>
      <c r="B29" s="125">
        <f>AREAland.C*FRACagsoil.C/SYSTEMAREA.C</f>
        <v>0.30000779562240365</v>
      </c>
      <c r="C29" s="123" t="s">
        <v>28</v>
      </c>
    </row>
    <row r="30" spans="1:3" ht="15" customHeight="1" x14ac:dyDescent="0.3">
      <c r="A30" s="127" t="s">
        <v>1186</v>
      </c>
      <c r="B30" s="125">
        <f>AREAland.R*FRACagsoil.R/SYSTEMAREA.R</f>
        <v>0.18</v>
      </c>
      <c r="C30" s="126" t="s">
        <v>28</v>
      </c>
    </row>
    <row r="31" spans="1:3" ht="15" customHeight="1" x14ac:dyDescent="0.3">
      <c r="A31" s="127" t="s">
        <v>843</v>
      </c>
      <c r="B31" s="125">
        <f>AREAland.C*FRACothersoil.C/SYSTEMAREA.C</f>
        <v>5.0001299270400611E-2</v>
      </c>
      <c r="C31" s="123" t="s">
        <v>28</v>
      </c>
    </row>
    <row r="32" spans="1:3" ht="15" customHeight="1" x14ac:dyDescent="0.3">
      <c r="A32" s="127" t="s">
        <v>1187</v>
      </c>
      <c r="B32" s="125">
        <f>AREAland.R*FRACothersoil.R/SYSTEMAREA.R</f>
        <v>0.57999999999999996</v>
      </c>
      <c r="C32" s="126" t="s">
        <v>28</v>
      </c>
    </row>
    <row r="33" spans="1:3" ht="15" customHeight="1" x14ac:dyDescent="0.3">
      <c r="A33" s="127" t="s">
        <v>18</v>
      </c>
      <c r="B33" s="125">
        <f>1-AREAFRAC.wA</f>
        <v>0.4</v>
      </c>
      <c r="C33" s="123" t="s">
        <v>28</v>
      </c>
    </row>
    <row r="34" spans="1:3" ht="15" customHeight="1" x14ac:dyDescent="0.3">
      <c r="A34" s="127" t="s">
        <v>1181</v>
      </c>
      <c r="B34" s="125">
        <f>1-AREAFRAC.wM</f>
        <v>0.5</v>
      </c>
      <c r="C34" s="123" t="s">
        <v>28</v>
      </c>
    </row>
    <row r="35" spans="1:3" ht="15" customHeight="1" x14ac:dyDescent="0.3">
      <c r="A35" s="127" t="s">
        <v>1406</v>
      </c>
      <c r="B35" s="125">
        <f>1-AREAFRAC.wT</f>
        <v>0.30000000000000004</v>
      </c>
      <c r="C35" s="126" t="s">
        <v>28</v>
      </c>
    </row>
    <row r="36" spans="1:3" ht="15" customHeight="1" x14ac:dyDescent="0.3">
      <c r="A36" s="127" t="s">
        <v>321</v>
      </c>
      <c r="B36" s="125">
        <f>AREAland.C*FRAClake.C/SYSTEMAREA.C</f>
        <v>1.2500324817600152E-3</v>
      </c>
      <c r="C36" s="126" t="s">
        <v>28</v>
      </c>
    </row>
    <row r="37" spans="1:3" ht="15" customHeight="1" x14ac:dyDescent="0.3">
      <c r="A37" s="127" t="s">
        <v>279</v>
      </c>
      <c r="B37" s="125">
        <f>AREAland.R*FRAClake.R/SYSTEMAREA.R</f>
        <v>9.9999999999999995E-21</v>
      </c>
      <c r="C37" s="126" t="s">
        <v>28</v>
      </c>
    </row>
    <row r="38" spans="1:3" ht="15" customHeight="1" x14ac:dyDescent="0.3">
      <c r="A38" s="127" t="s">
        <v>1442</v>
      </c>
      <c r="B38" s="125">
        <f>AREAland.C*FRACfresh.C/SYSTEMAREA.C</f>
        <v>1.3750357299360168E-2</v>
      </c>
      <c r="C38" s="123" t="s">
        <v>28</v>
      </c>
    </row>
    <row r="39" spans="1:3" ht="15" customHeight="1" x14ac:dyDescent="0.3">
      <c r="A39" s="127" t="s">
        <v>1183</v>
      </c>
      <c r="B39" s="125">
        <f>AREAland.R*FRACfresh.R/SYSTEMAREA.R</f>
        <v>0.24</v>
      </c>
      <c r="C39" s="126" t="s">
        <v>28</v>
      </c>
    </row>
    <row r="40" spans="1:3" ht="15" customHeight="1" x14ac:dyDescent="0.3">
      <c r="A40" s="127" t="s">
        <v>1443</v>
      </c>
      <c r="B40" s="125">
        <f>1-AREAFRAC.w0C-AREAFRAC.w1C-AREAFRAC.s1C-AREAFRAC.s2C-AREAFRAC.s3C</f>
        <v>0.49998700729599393</v>
      </c>
      <c r="C40" s="123" t="s">
        <v>28</v>
      </c>
    </row>
    <row r="41" spans="1:3" ht="15" customHeight="1" x14ac:dyDescent="0.3">
      <c r="A41" s="127" t="s">
        <v>1184</v>
      </c>
      <c r="B41" s="125">
        <f>1-AREAFRAC.w0R-AREAFRAC.w1R-AREAFRAC.s1R-AREAFRAC.s2R-AREAFRAC.s3R</f>
        <v>0</v>
      </c>
      <c r="C41" s="126" t="s">
        <v>28</v>
      </c>
    </row>
    <row r="42" spans="1:3" ht="15" customHeight="1" x14ac:dyDescent="0.3">
      <c r="A42" s="127" t="s">
        <v>17</v>
      </c>
      <c r="B42" s="138">
        <v>0.6</v>
      </c>
      <c r="C42" s="123" t="s">
        <v>28</v>
      </c>
    </row>
    <row r="43" spans="1:3" ht="15" customHeight="1" x14ac:dyDescent="0.3">
      <c r="A43" s="127" t="s">
        <v>1180</v>
      </c>
      <c r="B43" s="138">
        <v>0.5</v>
      </c>
      <c r="C43" s="123" t="s">
        <v>28</v>
      </c>
    </row>
    <row r="44" spans="1:3" ht="15" customHeight="1" x14ac:dyDescent="0.3">
      <c r="A44" s="127" t="s">
        <v>1405</v>
      </c>
      <c r="B44" s="139">
        <v>0.7</v>
      </c>
      <c r="C44" s="126" t="s">
        <v>28</v>
      </c>
    </row>
    <row r="45" spans="1:3" ht="15" customHeight="1" x14ac:dyDescent="0.3">
      <c r="A45" s="123" t="s">
        <v>1440</v>
      </c>
      <c r="B45" s="139">
        <v>3714410000000</v>
      </c>
      <c r="C45" s="129" t="s">
        <v>1666</v>
      </c>
    </row>
    <row r="46" spans="1:3" ht="15" customHeight="1" x14ac:dyDescent="0.3">
      <c r="A46" s="123" t="s">
        <v>1393</v>
      </c>
      <c r="B46" s="139">
        <v>228570000000</v>
      </c>
      <c r="C46" s="129" t="s">
        <v>1666</v>
      </c>
    </row>
    <row r="47" spans="1:3" ht="15" customHeight="1" x14ac:dyDescent="0.3">
      <c r="A47" s="123" t="s">
        <v>1441</v>
      </c>
      <c r="B47" s="139">
        <v>3714410000000</v>
      </c>
      <c r="C47" s="129" t="s">
        <v>1666</v>
      </c>
    </row>
    <row r="48" spans="1:3" ht="15" customHeight="1" x14ac:dyDescent="0.3">
      <c r="A48" s="123" t="s">
        <v>1394</v>
      </c>
      <c r="B48" s="139">
        <v>1000000000</v>
      </c>
      <c r="C48" s="129" t="s">
        <v>1666</v>
      </c>
    </row>
    <row r="49" spans="1:3" ht="15" customHeight="1" x14ac:dyDescent="0.3">
      <c r="A49" s="126" t="s">
        <v>15</v>
      </c>
      <c r="B49" s="139">
        <v>40000</v>
      </c>
      <c r="C49" s="126" t="s">
        <v>1667</v>
      </c>
    </row>
    <row r="50" spans="1:3" ht="15" customHeight="1" x14ac:dyDescent="0.3">
      <c r="A50" s="127" t="s">
        <v>348</v>
      </c>
      <c r="B50" s="138">
        <v>40000</v>
      </c>
      <c r="C50" s="126" t="s">
        <v>724</v>
      </c>
    </row>
    <row r="51" spans="1:3" ht="15" customHeight="1" x14ac:dyDescent="0.3">
      <c r="A51" s="127" t="s">
        <v>301</v>
      </c>
      <c r="B51" s="138">
        <v>40000</v>
      </c>
      <c r="C51" s="126" t="s">
        <v>724</v>
      </c>
    </row>
    <row r="52" spans="1:3" ht="15" customHeight="1" x14ac:dyDescent="0.3">
      <c r="A52" s="127" t="s">
        <v>680</v>
      </c>
      <c r="B52" s="138">
        <v>40000</v>
      </c>
      <c r="C52" s="126" t="s">
        <v>724</v>
      </c>
    </row>
    <row r="53" spans="1:3" ht="15" customHeight="1" x14ac:dyDescent="0.3">
      <c r="A53" s="127" t="s">
        <v>682</v>
      </c>
      <c r="B53" s="138">
        <v>40000</v>
      </c>
      <c r="C53" s="126" t="s">
        <v>724</v>
      </c>
    </row>
    <row r="54" spans="1:3" ht="15" customHeight="1" x14ac:dyDescent="0.3">
      <c r="A54" s="127" t="s">
        <v>1153</v>
      </c>
      <c r="B54" s="138">
        <v>40000</v>
      </c>
      <c r="C54" s="126" t="s">
        <v>724</v>
      </c>
    </row>
    <row r="55" spans="1:3" ht="15" customHeight="1" x14ac:dyDescent="0.3">
      <c r="A55" s="127" t="s">
        <v>681</v>
      </c>
      <c r="B55" s="138">
        <v>40000</v>
      </c>
      <c r="C55" s="126" t="s">
        <v>724</v>
      </c>
    </row>
    <row r="56" spans="1:3" ht="15" customHeight="1" x14ac:dyDescent="0.3">
      <c r="A56" s="127" t="s">
        <v>678</v>
      </c>
      <c r="B56" s="138">
        <v>40000</v>
      </c>
      <c r="C56" s="126" t="s">
        <v>724</v>
      </c>
    </row>
    <row r="57" spans="1:3" ht="15" customHeight="1" x14ac:dyDescent="0.3">
      <c r="A57" s="127" t="s">
        <v>683</v>
      </c>
      <c r="B57" s="138">
        <v>40000</v>
      </c>
      <c r="C57" s="126" t="s">
        <v>724</v>
      </c>
    </row>
    <row r="58" spans="1:3" ht="15" customHeight="1" x14ac:dyDescent="0.3">
      <c r="A58" s="127" t="s">
        <v>1134</v>
      </c>
      <c r="B58" s="139">
        <v>40000</v>
      </c>
      <c r="C58" s="126" t="s">
        <v>724</v>
      </c>
    </row>
    <row r="59" spans="1:3" ht="15" customHeight="1" x14ac:dyDescent="0.3">
      <c r="A59" s="127" t="s">
        <v>1154</v>
      </c>
      <c r="B59" s="138">
        <v>40000</v>
      </c>
      <c r="C59" s="126" t="s">
        <v>724</v>
      </c>
    </row>
    <row r="60" spans="1:3" ht="15" customHeight="1" x14ac:dyDescent="0.3">
      <c r="A60" s="127" t="s">
        <v>679</v>
      </c>
      <c r="B60" s="138">
        <v>40000</v>
      </c>
      <c r="C60" s="126" t="s">
        <v>724</v>
      </c>
    </row>
    <row r="61" spans="1:3" ht="15" customHeight="1" x14ac:dyDescent="0.3">
      <c r="A61" s="127" t="s">
        <v>1135</v>
      </c>
      <c r="B61" s="139">
        <v>40000</v>
      </c>
      <c r="C61" s="126" t="s">
        <v>724</v>
      </c>
    </row>
    <row r="62" spans="1:3" ht="15" customHeight="1" x14ac:dyDescent="0.3">
      <c r="A62" s="124" t="s">
        <v>759</v>
      </c>
      <c r="B62" s="131" t="s">
        <v>1291</v>
      </c>
      <c r="C62" s="126" t="s">
        <v>1290</v>
      </c>
    </row>
    <row r="63" spans="1:3" ht="15" customHeight="1" x14ac:dyDescent="0.3">
      <c r="A63" s="124" t="s">
        <v>1211</v>
      </c>
      <c r="B63" s="125">
        <f>NETsedrate.w1C*SYSTEMAREA.C*AREAFRAC.w1C</f>
        <v>10.038056923063769</v>
      </c>
      <c r="C63" s="126" t="s">
        <v>1664</v>
      </c>
    </row>
    <row r="64" spans="1:3" ht="15" customHeight="1" x14ac:dyDescent="0.3">
      <c r="A64" s="124" t="s">
        <v>1333</v>
      </c>
      <c r="B64" s="125">
        <f>NETsedrate.w1R*SYSTEMAREA.R*AREAFRAC.w1R</f>
        <v>4.5862633181126336E-3</v>
      </c>
      <c r="C64" s="126" t="s">
        <v>1664</v>
      </c>
    </row>
    <row r="65" spans="1:3" ht="15" customHeight="1" x14ac:dyDescent="0.3">
      <c r="A65" s="124" t="s">
        <v>1212</v>
      </c>
      <c r="B65" s="125">
        <f>NETsedrate.w2C*SYSTEMAREA.C*AREAFRAC.w2C</f>
        <v>0</v>
      </c>
      <c r="C65" s="126" t="s">
        <v>1664</v>
      </c>
    </row>
    <row r="66" spans="1:3" ht="15" customHeight="1" x14ac:dyDescent="0.3">
      <c r="A66" s="124" t="s">
        <v>1215</v>
      </c>
      <c r="B66" s="125">
        <f>NETsedrate.w2R*SYSTEMAREA.R*AREAFRAC.w2R</f>
        <v>2.74287972475951E-25</v>
      </c>
      <c r="C66" s="126" t="s">
        <v>1664</v>
      </c>
    </row>
    <row r="67" spans="1:3" ht="15" customHeight="1" x14ac:dyDescent="0.3">
      <c r="A67" s="124" t="s">
        <v>853</v>
      </c>
      <c r="B67" s="125">
        <f>NETsedrate.wA*SYSTEMAREA.A*AREAFRAC.wA</f>
        <v>1.6171993911719766</v>
      </c>
      <c r="C67" s="126" t="s">
        <v>1664</v>
      </c>
    </row>
    <row r="68" spans="1:3" ht="15" customHeight="1" x14ac:dyDescent="0.3">
      <c r="A68" s="124" t="s">
        <v>777</v>
      </c>
      <c r="B68" s="125">
        <f>NETsedrate.wM*SYSTEMAREA.M*AREAFRAC.wM</f>
        <v>3.4255636054709089</v>
      </c>
      <c r="C68" s="126" t="s">
        <v>1664</v>
      </c>
    </row>
    <row r="69" spans="1:3" ht="15" customHeight="1" x14ac:dyDescent="0.3">
      <c r="A69" s="124" t="s">
        <v>1386</v>
      </c>
      <c r="B69" s="125">
        <f>NETsedrate.wT*SYSTEMAREA.T*AREAFRAC.wT</f>
        <v>5.6601978691020065</v>
      </c>
      <c r="C69" s="126" t="s">
        <v>1664</v>
      </c>
    </row>
    <row r="70" spans="1:3" ht="15" customHeight="1" x14ac:dyDescent="0.3">
      <c r="A70" s="124" t="s">
        <v>1304</v>
      </c>
      <c r="B70" s="130">
        <v>500000</v>
      </c>
      <c r="C70" s="126" t="s">
        <v>1668</v>
      </c>
    </row>
    <row r="71" spans="1:3" ht="15" customHeight="1" x14ac:dyDescent="0.3">
      <c r="A71" s="124" t="s">
        <v>799</v>
      </c>
      <c r="B71" s="125">
        <v>500000</v>
      </c>
      <c r="C71" s="126" t="s">
        <v>1668</v>
      </c>
    </row>
    <row r="72" spans="1:3" ht="15" customHeight="1" x14ac:dyDescent="0.3">
      <c r="A72" s="124" t="s">
        <v>180</v>
      </c>
      <c r="B72" s="125">
        <v>500000</v>
      </c>
      <c r="C72" s="126" t="s">
        <v>1668</v>
      </c>
    </row>
    <row r="73" spans="1:3" ht="15" customHeight="1" x14ac:dyDescent="0.3">
      <c r="A73" s="124" t="s">
        <v>964</v>
      </c>
      <c r="B73" s="125">
        <v>500000</v>
      </c>
      <c r="C73" s="126" t="s">
        <v>1668</v>
      </c>
    </row>
    <row r="74" spans="1:3" ht="15" customHeight="1" x14ac:dyDescent="0.3">
      <c r="A74" s="124" t="s">
        <v>933</v>
      </c>
      <c r="B74" s="125">
        <v>500000</v>
      </c>
      <c r="C74" s="126" t="s">
        <v>1668</v>
      </c>
    </row>
    <row r="75" spans="1:3" ht="15" customHeight="1" x14ac:dyDescent="0.3">
      <c r="A75" s="124" t="s">
        <v>1397</v>
      </c>
      <c r="B75" s="125">
        <v>500000</v>
      </c>
      <c r="C75" s="126" t="s">
        <v>1668</v>
      </c>
    </row>
    <row r="76" spans="1:3" ht="15" customHeight="1" x14ac:dyDescent="0.3">
      <c r="A76" s="127" t="s">
        <v>340</v>
      </c>
      <c r="B76" s="125">
        <v>1E-3</v>
      </c>
      <c r="C76" s="126" t="s">
        <v>1706</v>
      </c>
    </row>
    <row r="77" spans="1:3" ht="15" customHeight="1" x14ac:dyDescent="0.3">
      <c r="A77" s="127" t="s">
        <v>291</v>
      </c>
      <c r="B77" s="125">
        <v>1E-3</v>
      </c>
      <c r="C77" s="126" t="s">
        <v>1706</v>
      </c>
    </row>
    <row r="78" spans="1:3" ht="15" customHeight="1" x14ac:dyDescent="0.3">
      <c r="A78" s="127" t="s">
        <v>548</v>
      </c>
      <c r="B78" s="125">
        <v>1E-3</v>
      </c>
      <c r="C78" s="126" t="s">
        <v>1706</v>
      </c>
    </row>
    <row r="79" spans="1:3" ht="15" customHeight="1" x14ac:dyDescent="0.3">
      <c r="A79" s="127" t="s">
        <v>544</v>
      </c>
      <c r="B79" s="125">
        <v>1E-3</v>
      </c>
      <c r="C79" s="126" t="s">
        <v>1706</v>
      </c>
    </row>
    <row r="80" spans="1:3" ht="15" customHeight="1" x14ac:dyDescent="0.3">
      <c r="A80" s="127" t="s">
        <v>1148</v>
      </c>
      <c r="B80" s="125">
        <v>1E-3</v>
      </c>
      <c r="C80" s="126" t="s">
        <v>1706</v>
      </c>
    </row>
    <row r="81" spans="1:3" ht="15" customHeight="1" x14ac:dyDescent="0.3">
      <c r="A81" s="127" t="s">
        <v>550</v>
      </c>
      <c r="B81" s="125">
        <v>1E-3</v>
      </c>
      <c r="C81" s="126" t="s">
        <v>1706</v>
      </c>
    </row>
    <row r="82" spans="1:3" ht="15" customHeight="1" x14ac:dyDescent="0.3">
      <c r="A82" s="127" t="s">
        <v>134</v>
      </c>
      <c r="B82" s="125">
        <v>1E-3</v>
      </c>
      <c r="C82" s="126" t="s">
        <v>1706</v>
      </c>
    </row>
    <row r="83" spans="1:3" ht="15" customHeight="1" x14ac:dyDescent="0.3">
      <c r="A83" s="127" t="s">
        <v>546</v>
      </c>
      <c r="B83" s="125">
        <v>1E-3</v>
      </c>
      <c r="C83" s="126" t="s">
        <v>1706</v>
      </c>
    </row>
    <row r="84" spans="1:3" ht="15" customHeight="1" x14ac:dyDescent="0.3">
      <c r="A84" s="127" t="s">
        <v>1137</v>
      </c>
      <c r="B84" s="125">
        <v>1E-3</v>
      </c>
      <c r="C84" s="126" t="s">
        <v>1706</v>
      </c>
    </row>
    <row r="85" spans="1:3" ht="15" customHeight="1" x14ac:dyDescent="0.3">
      <c r="A85" s="127" t="s">
        <v>1149</v>
      </c>
      <c r="B85" s="125">
        <v>1E-3</v>
      </c>
      <c r="C85" s="126" t="s">
        <v>1706</v>
      </c>
    </row>
    <row r="86" spans="1:3" ht="15" customHeight="1" x14ac:dyDescent="0.3">
      <c r="A86" s="127" t="s">
        <v>135</v>
      </c>
      <c r="B86" s="125">
        <v>1E-3</v>
      </c>
      <c r="C86" s="126" t="s">
        <v>1706</v>
      </c>
    </row>
    <row r="87" spans="1:3" ht="15" customHeight="1" x14ac:dyDescent="0.3">
      <c r="A87" s="127" t="s">
        <v>1124</v>
      </c>
      <c r="B87" s="125">
        <v>1E-3</v>
      </c>
      <c r="C87" s="126" t="s">
        <v>1706</v>
      </c>
    </row>
    <row r="88" spans="1:3" ht="15" customHeight="1" x14ac:dyDescent="0.3">
      <c r="A88" s="127" t="s">
        <v>487</v>
      </c>
      <c r="B88" s="125">
        <v>200000</v>
      </c>
      <c r="C88" s="126" t="s">
        <v>28</v>
      </c>
    </row>
    <row r="89" spans="1:3" ht="15" customHeight="1" x14ac:dyDescent="0.3">
      <c r="A89" s="127" t="s">
        <v>1057</v>
      </c>
      <c r="B89" s="125">
        <v>200000</v>
      </c>
      <c r="C89" s="126" t="s">
        <v>28</v>
      </c>
    </row>
    <row r="90" spans="1:3" ht="15" customHeight="1" x14ac:dyDescent="0.3">
      <c r="A90" s="127" t="s">
        <v>923</v>
      </c>
      <c r="B90" s="125">
        <v>200000</v>
      </c>
      <c r="C90" s="126" t="s">
        <v>28</v>
      </c>
    </row>
    <row r="91" spans="1:3" ht="15" customHeight="1" x14ac:dyDescent="0.3">
      <c r="A91" s="127" t="s">
        <v>115</v>
      </c>
      <c r="B91" s="125">
        <v>200000</v>
      </c>
      <c r="C91" s="126" t="s">
        <v>28</v>
      </c>
    </row>
    <row r="92" spans="1:3" ht="15" customHeight="1" x14ac:dyDescent="0.3">
      <c r="A92" s="127" t="s">
        <v>917</v>
      </c>
      <c r="B92" s="130">
        <v>200000</v>
      </c>
      <c r="C92" s="126" t="s">
        <v>28</v>
      </c>
    </row>
    <row r="93" spans="1:3" ht="15" customHeight="1" x14ac:dyDescent="0.3">
      <c r="A93" s="127" t="s">
        <v>944</v>
      </c>
      <c r="B93" s="130">
        <v>0.02</v>
      </c>
      <c r="C93" s="126" t="s">
        <v>28</v>
      </c>
    </row>
    <row r="94" spans="1:3" ht="15" customHeight="1" x14ac:dyDescent="0.3">
      <c r="A94" s="127" t="s">
        <v>471</v>
      </c>
      <c r="B94" s="125">
        <v>0.02</v>
      </c>
      <c r="C94" s="126" t="s">
        <v>28</v>
      </c>
    </row>
    <row r="95" spans="1:3" ht="15" customHeight="1" x14ac:dyDescent="0.3">
      <c r="A95" s="127" t="s">
        <v>1063</v>
      </c>
      <c r="B95" s="125">
        <v>0.02</v>
      </c>
      <c r="C95" s="126" t="s">
        <v>28</v>
      </c>
    </row>
    <row r="96" spans="1:3" ht="15" customHeight="1" x14ac:dyDescent="0.3">
      <c r="A96" s="127" t="s">
        <v>473</v>
      </c>
      <c r="B96" s="125">
        <v>0.02</v>
      </c>
      <c r="C96" s="126" t="s">
        <v>28</v>
      </c>
    </row>
    <row r="97" spans="1:3" ht="15" customHeight="1" x14ac:dyDescent="0.3">
      <c r="A97" s="127" t="s">
        <v>1065</v>
      </c>
      <c r="B97" s="125">
        <v>0.02</v>
      </c>
      <c r="C97" s="126" t="s">
        <v>28</v>
      </c>
    </row>
    <row r="98" spans="1:3" ht="15" customHeight="1" x14ac:dyDescent="0.3">
      <c r="A98" s="127" t="s">
        <v>475</v>
      </c>
      <c r="B98" s="125">
        <v>0.02</v>
      </c>
      <c r="C98" s="126" t="s">
        <v>28</v>
      </c>
    </row>
    <row r="99" spans="1:3" ht="15" customHeight="1" x14ac:dyDescent="0.3">
      <c r="A99" s="127" t="s">
        <v>1067</v>
      </c>
      <c r="B99" s="125">
        <v>0.02</v>
      </c>
      <c r="C99" s="126" t="s">
        <v>28</v>
      </c>
    </row>
    <row r="100" spans="1:3" ht="15" customHeight="1" x14ac:dyDescent="0.3">
      <c r="A100" s="127" t="s">
        <v>405</v>
      </c>
      <c r="B100" s="125">
        <v>0.02</v>
      </c>
      <c r="C100" s="126" t="s">
        <v>28</v>
      </c>
    </row>
    <row r="101" spans="1:3" ht="15" customHeight="1" x14ac:dyDescent="0.3">
      <c r="A101" s="127" t="s">
        <v>1293</v>
      </c>
      <c r="B101" s="125">
        <v>0.05</v>
      </c>
      <c r="C101" s="126" t="s">
        <v>28</v>
      </c>
    </row>
    <row r="102" spans="1:3" ht="15" customHeight="1" x14ac:dyDescent="0.3">
      <c r="A102" s="127" t="s">
        <v>1059</v>
      </c>
      <c r="B102" s="125">
        <v>0.05</v>
      </c>
      <c r="C102" s="126" t="s">
        <v>28</v>
      </c>
    </row>
    <row r="103" spans="1:3" ht="15" customHeight="1" x14ac:dyDescent="0.3">
      <c r="A103" s="127" t="s">
        <v>1295</v>
      </c>
      <c r="B103" s="125">
        <v>0.05</v>
      </c>
      <c r="C103" s="126" t="s">
        <v>28</v>
      </c>
    </row>
    <row r="104" spans="1:3" ht="15" customHeight="1" x14ac:dyDescent="0.3">
      <c r="A104" s="127" t="s">
        <v>1061</v>
      </c>
      <c r="B104" s="125">
        <v>0.05</v>
      </c>
      <c r="C104" s="126" t="s">
        <v>28</v>
      </c>
    </row>
    <row r="105" spans="1:3" ht="15" customHeight="1" x14ac:dyDescent="0.3">
      <c r="A105" s="127" t="s">
        <v>404</v>
      </c>
      <c r="B105" s="125">
        <v>0.05</v>
      </c>
      <c r="C105" s="126" t="s">
        <v>28</v>
      </c>
    </row>
    <row r="106" spans="1:3" ht="15" customHeight="1" x14ac:dyDescent="0.3">
      <c r="A106" s="127" t="s">
        <v>432</v>
      </c>
      <c r="B106" s="125">
        <v>0.05</v>
      </c>
      <c r="C106" s="126" t="s">
        <v>28</v>
      </c>
    </row>
    <row r="107" spans="1:3" ht="15" customHeight="1" x14ac:dyDescent="0.3">
      <c r="A107" s="127" t="s">
        <v>106</v>
      </c>
      <c r="B107" s="125">
        <v>0.05</v>
      </c>
      <c r="C107" s="126" t="s">
        <v>28</v>
      </c>
    </row>
    <row r="108" spans="1:3" ht="15" customHeight="1" x14ac:dyDescent="0.3">
      <c r="A108" s="127" t="s">
        <v>918</v>
      </c>
      <c r="B108" s="125">
        <v>0.02</v>
      </c>
      <c r="C108" s="126" t="s">
        <v>28</v>
      </c>
    </row>
    <row r="109" spans="1:3" ht="15" customHeight="1" x14ac:dyDescent="0.3">
      <c r="A109" s="127" t="s">
        <v>1005</v>
      </c>
      <c r="B109" s="125">
        <v>0.02</v>
      </c>
      <c r="C109" s="126" t="s">
        <v>28</v>
      </c>
    </row>
    <row r="110" spans="1:3" ht="15" customHeight="1" x14ac:dyDescent="0.3">
      <c r="A110" s="127" t="s">
        <v>337</v>
      </c>
      <c r="B110" s="125">
        <v>0.1</v>
      </c>
      <c r="C110" s="126" t="s">
        <v>28</v>
      </c>
    </row>
    <row r="111" spans="1:3" ht="15" customHeight="1" x14ac:dyDescent="0.3">
      <c r="A111" s="127" t="s">
        <v>288</v>
      </c>
      <c r="B111" s="125">
        <v>0.1</v>
      </c>
      <c r="C111" s="126" t="s">
        <v>28</v>
      </c>
    </row>
    <row r="112" spans="1:3" ht="15" customHeight="1" x14ac:dyDescent="0.3">
      <c r="A112" s="127" t="s">
        <v>1449</v>
      </c>
      <c r="B112" s="125">
        <v>0.1</v>
      </c>
      <c r="C112" s="126" t="s">
        <v>28</v>
      </c>
    </row>
    <row r="113" spans="1:3" ht="15" customHeight="1" x14ac:dyDescent="0.3">
      <c r="A113" s="127" t="s">
        <v>1451</v>
      </c>
      <c r="B113" s="125">
        <v>0.1</v>
      </c>
      <c r="C113" s="126" t="s">
        <v>28</v>
      </c>
    </row>
    <row r="114" spans="1:3" ht="15" customHeight="1" x14ac:dyDescent="0.3">
      <c r="A114" s="127" t="s">
        <v>1453</v>
      </c>
      <c r="B114" s="125">
        <v>0.1</v>
      </c>
      <c r="C114" s="126" t="s">
        <v>28</v>
      </c>
    </row>
    <row r="115" spans="1:3" ht="15" customHeight="1" x14ac:dyDescent="0.3">
      <c r="A115" s="127" t="s">
        <v>1450</v>
      </c>
      <c r="B115" s="125">
        <v>0.1</v>
      </c>
      <c r="C115" s="126" t="s">
        <v>28</v>
      </c>
    </row>
    <row r="116" spans="1:3" ht="15" customHeight="1" x14ac:dyDescent="0.3">
      <c r="A116" s="127" t="s">
        <v>1447</v>
      </c>
      <c r="B116" s="125">
        <v>0.1</v>
      </c>
      <c r="C116" s="126" t="s">
        <v>28</v>
      </c>
    </row>
    <row r="117" spans="1:3" ht="15" customHeight="1" x14ac:dyDescent="0.3">
      <c r="A117" s="127" t="s">
        <v>1452</v>
      </c>
      <c r="B117" s="125">
        <v>0.1</v>
      </c>
      <c r="C117" s="126" t="s">
        <v>28</v>
      </c>
    </row>
    <row r="118" spans="1:3" ht="15" customHeight="1" x14ac:dyDescent="0.3">
      <c r="A118" s="127" t="s">
        <v>1455</v>
      </c>
      <c r="B118" s="132">
        <v>0.1</v>
      </c>
      <c r="C118" s="126" t="s">
        <v>28</v>
      </c>
    </row>
    <row r="119" spans="1:3" ht="15" customHeight="1" x14ac:dyDescent="0.3">
      <c r="A119" s="127" t="s">
        <v>1454</v>
      </c>
      <c r="B119" s="125">
        <v>0.1</v>
      </c>
      <c r="C119" s="126" t="s">
        <v>28</v>
      </c>
    </row>
    <row r="120" spans="1:3" ht="15" customHeight="1" x14ac:dyDescent="0.3">
      <c r="A120" s="127" t="s">
        <v>1448</v>
      </c>
      <c r="B120" s="125">
        <v>0.1</v>
      </c>
      <c r="C120" s="126" t="s">
        <v>28</v>
      </c>
    </row>
    <row r="121" spans="1:3" ht="15" customHeight="1" x14ac:dyDescent="0.3">
      <c r="A121" s="127" t="s">
        <v>1456</v>
      </c>
      <c r="B121" s="132">
        <v>0.1</v>
      </c>
      <c r="C121" s="126" t="s">
        <v>28</v>
      </c>
    </row>
    <row r="122" spans="1:3" ht="15" customHeight="1" x14ac:dyDescent="0.3">
      <c r="A122" s="123" t="s">
        <v>1563</v>
      </c>
      <c r="B122" s="125">
        <v>0.1</v>
      </c>
      <c r="C122" s="123" t="s">
        <v>28</v>
      </c>
    </row>
    <row r="123" spans="1:3" ht="15" customHeight="1" x14ac:dyDescent="0.3">
      <c r="A123" s="124" t="s">
        <v>872</v>
      </c>
      <c r="B123" s="125" t="e">
        <f>(EXP((-1/0.1)*DEPTHdrain.s1C)*(1/0.1)*DEPTH.s1C/(1-EXP((-1/0.1)*DEPTH.s1C)))</f>
        <v>#NAME?</v>
      </c>
      <c r="C123" s="123" t="s">
        <v>28</v>
      </c>
    </row>
    <row r="124" spans="1:3" ht="15" customHeight="1" x14ac:dyDescent="0.3">
      <c r="A124" s="124" t="s">
        <v>1497</v>
      </c>
      <c r="B124" s="125" t="e">
        <f>(EXP((-1/0.1)*DEPTHdrain.s1R)*(1/0.1)*DEPTH.s1R/(1-EXP((-1/0.1)*DEPTH.s1R)))</f>
        <v>#NAME?</v>
      </c>
      <c r="C124" s="123" t="s">
        <v>28</v>
      </c>
    </row>
    <row r="125" spans="1:3" ht="15" customHeight="1" x14ac:dyDescent="0.3">
      <c r="A125" s="124" t="s">
        <v>873</v>
      </c>
      <c r="B125" s="125" t="e">
        <f>(EXP((-1/0.1)*DEPTHdrain.s2C)*(1/0.1)*DEPTH.s2C/(1-EXP((-1/0.1)*DEPTH.s2C)))</f>
        <v>#NAME?</v>
      </c>
      <c r="C125" s="123" t="s">
        <v>28</v>
      </c>
    </row>
    <row r="126" spans="1:3" ht="15" customHeight="1" x14ac:dyDescent="0.3">
      <c r="A126" s="124" t="s">
        <v>1498</v>
      </c>
      <c r="B126" s="125" t="e">
        <f>(EXP((-1/0.1)*DEPTHdrain.s2R)*(1/0.1)*DEPTH.s2R/(1-EXP((-1/0.1)*DEPTH.s2R)))</f>
        <v>#NAME?</v>
      </c>
      <c r="C126" s="123" t="s">
        <v>28</v>
      </c>
    </row>
    <row r="127" spans="1:3" ht="15" customHeight="1" x14ac:dyDescent="0.3">
      <c r="A127" s="124" t="s">
        <v>874</v>
      </c>
      <c r="B127" s="125" t="e">
        <f>(EXP((-1/0.1)*DEPTHdrain.s3C)*(1/0.1)*DEPTH.s3C/(1-EXP((-1/0.1)*DEPTH.s3C)))</f>
        <v>#NAME?</v>
      </c>
      <c r="C127" s="123" t="s">
        <v>28</v>
      </c>
    </row>
    <row r="128" spans="1:3" ht="15" customHeight="1" x14ac:dyDescent="0.3">
      <c r="A128" s="124" t="s">
        <v>1499</v>
      </c>
      <c r="B128" s="125" t="e">
        <f>(EXP((-1/0.1)*DEPTHdrain.s3R)*(1/0.1)*DEPTH.s3R/(1-EXP((-1/0.1)*DEPTH.s3R)))</f>
        <v>#NAME?</v>
      </c>
      <c r="C128" s="123" t="s">
        <v>28</v>
      </c>
    </row>
    <row r="129" spans="1:3" ht="15" customHeight="1" x14ac:dyDescent="0.3">
      <c r="A129" s="124" t="s">
        <v>880</v>
      </c>
      <c r="B129" s="125">
        <f>CORRvolat.sA*EXP((-1/0.1)*DEPTH.sA)</f>
        <v>0.77074704126839921</v>
      </c>
      <c r="C129" s="123" t="s">
        <v>28</v>
      </c>
    </row>
    <row r="130" spans="1:3" ht="15" customHeight="1" x14ac:dyDescent="0.3">
      <c r="A130" s="124" t="s">
        <v>877</v>
      </c>
      <c r="B130" s="125">
        <f>CORRvolat.sM*EXP((-1/0.1)*DEPTH.sM)</f>
        <v>0.77074704126839921</v>
      </c>
      <c r="C130" s="123" t="s">
        <v>28</v>
      </c>
    </row>
    <row r="131" spans="1:3" ht="15" customHeight="1" x14ac:dyDescent="0.3">
      <c r="A131" s="124" t="s">
        <v>851</v>
      </c>
      <c r="B131" s="125">
        <f>CORRvolat.sT*EXP((-1/0.1)*DEPTH.sT)</f>
        <v>0.77074704126839921</v>
      </c>
      <c r="C131" s="123" t="s">
        <v>28</v>
      </c>
    </row>
    <row r="132" spans="1:3" ht="15" customHeight="1" x14ac:dyDescent="0.3">
      <c r="A132" s="124" t="s">
        <v>869</v>
      </c>
      <c r="B132" s="133" t="s">
        <v>1687</v>
      </c>
      <c r="C132" s="123" t="s">
        <v>28</v>
      </c>
    </row>
    <row r="133" spans="1:3" ht="15" customHeight="1" x14ac:dyDescent="0.3">
      <c r="A133" s="124" t="s">
        <v>1494</v>
      </c>
      <c r="B133" s="133" t="s">
        <v>1688</v>
      </c>
      <c r="C133" s="123" t="s">
        <v>28</v>
      </c>
    </row>
    <row r="134" spans="1:3" ht="15" customHeight="1" x14ac:dyDescent="0.3">
      <c r="A134" s="124" t="s">
        <v>870</v>
      </c>
      <c r="B134" s="133" t="s">
        <v>1689</v>
      </c>
      <c r="C134" s="123" t="s">
        <v>28</v>
      </c>
    </row>
    <row r="135" spans="1:3" ht="15" customHeight="1" x14ac:dyDescent="0.3">
      <c r="A135" s="124" t="s">
        <v>1495</v>
      </c>
      <c r="B135" s="133" t="s">
        <v>1690</v>
      </c>
      <c r="C135" s="123" t="s">
        <v>28</v>
      </c>
    </row>
    <row r="136" spans="1:3" ht="15" customHeight="1" x14ac:dyDescent="0.3">
      <c r="A136" s="124" t="s">
        <v>871</v>
      </c>
      <c r="B136" s="133" t="s">
        <v>1691</v>
      </c>
      <c r="C136" s="123" t="s">
        <v>28</v>
      </c>
    </row>
    <row r="137" spans="1:3" ht="15" customHeight="1" x14ac:dyDescent="0.3">
      <c r="A137" s="124" t="s">
        <v>1496</v>
      </c>
      <c r="B137" s="133" t="s">
        <v>1692</v>
      </c>
      <c r="C137" s="123" t="s">
        <v>28</v>
      </c>
    </row>
    <row r="138" spans="1:3" ht="15" customHeight="1" x14ac:dyDescent="0.3">
      <c r="A138" s="124" t="s">
        <v>879</v>
      </c>
      <c r="B138" s="125" t="e">
        <f>SURFfrac.sA*CORRvolat.sA+SUBSURFfrac.sA*(EXP((-1/0.1)*DEPTHsubsurf.sA*(1/0.1)*DEPTH.sA)/(1-EXP((-1/0.1)*DEPTH.sA)))</f>
        <v>#NAME?</v>
      </c>
      <c r="C138" s="123" t="s">
        <v>28</v>
      </c>
    </row>
    <row r="139" spans="1:3" ht="15" customHeight="1" x14ac:dyDescent="0.3">
      <c r="A139" s="124" t="s">
        <v>876</v>
      </c>
      <c r="B139" s="125" t="e">
        <f>SURFfrac.sM*CORRvolat.sM+SUBSURFfrac.sM*(EXP((-1/FRACs.sdM)*DEPTHsubsurf.sM*(1/FRACs.sdM)*DEPTH.sM)/(1-EXP((-1/0.1)*DEPTH.sM)))</f>
        <v>#NAME?</v>
      </c>
      <c r="C139" s="123" t="s">
        <v>28</v>
      </c>
    </row>
    <row r="140" spans="1:3" ht="15" customHeight="1" x14ac:dyDescent="0.3">
      <c r="A140" s="124" t="s">
        <v>852</v>
      </c>
      <c r="B140" s="125" t="e">
        <f>SURFfrac.sT*CORRvolat.sT+SUBSURFfrac.sT*(EXP((-1/0.1)*DEPTHsubsurf.sT*(1/0.1)*DEPTH.sT)/(1-EXP((-1/0.1)*DEPTH.sT)))</f>
        <v>#NAME?</v>
      </c>
      <c r="C140" s="123" t="s">
        <v>28</v>
      </c>
    </row>
    <row r="141" spans="1:3" ht="15" customHeight="1" x14ac:dyDescent="0.3">
      <c r="A141" s="124" t="s">
        <v>1500</v>
      </c>
      <c r="B141" s="125">
        <f>(1/0.1)*DEPTH.s1C/(1-EXP((-1/0.1)*DEPTH.s1C))</f>
        <v>1.2707470412683992</v>
      </c>
      <c r="C141" s="123" t="s">
        <v>28</v>
      </c>
    </row>
    <row r="142" spans="1:3" ht="15" customHeight="1" x14ac:dyDescent="0.3">
      <c r="A142" s="124" t="s">
        <v>1491</v>
      </c>
      <c r="B142" s="125">
        <f>(1/0.1)*DEPTH.s1R/(1-EXP((-1/0.1)*DEPTH.s1R))</f>
        <v>1.2707470412683992</v>
      </c>
      <c r="C142" s="123" t="s">
        <v>28</v>
      </c>
    </row>
    <row r="143" spans="1:3" ht="15" customHeight="1" x14ac:dyDescent="0.3">
      <c r="A143" s="124" t="s">
        <v>1501</v>
      </c>
      <c r="B143" s="125">
        <f>(1/0.1)*DEPTH.s2C/(1-EXP((-1/0.1)*DEPTH.s2C))</f>
        <v>2.3130352854993315</v>
      </c>
      <c r="C143" s="123" t="s">
        <v>28</v>
      </c>
    </row>
    <row r="144" spans="1:3" ht="15" customHeight="1" x14ac:dyDescent="0.3">
      <c r="A144" s="124" t="s">
        <v>1492</v>
      </c>
      <c r="B144" s="125">
        <f>(1/0.1)*DEPTH.s2R/(1-EXP((-1/0.1)*DEPTH.s2R))</f>
        <v>2.3130352854993315</v>
      </c>
      <c r="C144" s="123" t="s">
        <v>28</v>
      </c>
    </row>
    <row r="145" spans="1:3" ht="15" customHeight="1" x14ac:dyDescent="0.3">
      <c r="A145" s="124" t="s">
        <v>868</v>
      </c>
      <c r="B145" s="125">
        <f>(1/0.1)*DEPTH.s3C/(1-EXP((-1/0.1)*DEPTH.s3C))</f>
        <v>1.2707470412683992</v>
      </c>
      <c r="C145" s="123" t="s">
        <v>28</v>
      </c>
    </row>
    <row r="146" spans="1:3" ht="15" customHeight="1" x14ac:dyDescent="0.3">
      <c r="A146" s="124" t="s">
        <v>1493</v>
      </c>
      <c r="B146" s="125">
        <f>(1/0.1)*DEPTH.s3R/(1-EXP((-1/0.1)*DEPTH.s3R))</f>
        <v>1.2707470412683992</v>
      </c>
      <c r="C146" s="123" t="s">
        <v>28</v>
      </c>
    </row>
    <row r="147" spans="1:3" ht="15" customHeight="1" x14ac:dyDescent="0.3">
      <c r="A147" s="124" t="s">
        <v>878</v>
      </c>
      <c r="B147" s="125">
        <f>(1/0.1)*DEPTH.sA/(1-EXP((-1/0.1)*DEPTH.sA))</f>
        <v>1.2707470412683992</v>
      </c>
      <c r="C147" s="123" t="s">
        <v>28</v>
      </c>
    </row>
    <row r="148" spans="1:3" ht="15" customHeight="1" x14ac:dyDescent="0.3">
      <c r="A148" s="124" t="s">
        <v>875</v>
      </c>
      <c r="B148" s="125">
        <f>(1/0.1)*DEPTH.sM/(1-EXP((-1/0.1)*DEPTH.sM))</f>
        <v>1.2707470412683992</v>
      </c>
      <c r="C148" s="123" t="s">
        <v>28</v>
      </c>
    </row>
    <row r="149" spans="1:3" ht="15" customHeight="1" x14ac:dyDescent="0.3">
      <c r="A149" s="124" t="s">
        <v>806</v>
      </c>
      <c r="B149" s="125">
        <f>(1/0.1)*DEPTH.sT/(1-EXP((-1/0.1)*DEPTH.sT))</f>
        <v>1.2707470412683992</v>
      </c>
      <c r="C149" s="123" t="s">
        <v>28</v>
      </c>
    </row>
    <row r="150" spans="1:3" ht="15" customHeight="1" x14ac:dyDescent="0.3">
      <c r="A150" s="124" t="s">
        <v>601</v>
      </c>
      <c r="B150" s="133" t="s">
        <v>1686</v>
      </c>
      <c r="C150" s="126" t="s">
        <v>28</v>
      </c>
    </row>
    <row r="151" spans="1:3" ht="15" customHeight="1" x14ac:dyDescent="0.3">
      <c r="A151" s="124" t="s">
        <v>407</v>
      </c>
      <c r="B151" s="125" t="e">
        <f>(KDEPmean.A*HEIGHT.aA)*(SYSTEMAREA.A*AREAFRAC.sA)</f>
        <v>#NAME?</v>
      </c>
      <c r="C151" s="123" t="s">
        <v>1664</v>
      </c>
    </row>
    <row r="152" spans="1:3" ht="15" customHeight="1" x14ac:dyDescent="0.3">
      <c r="A152" s="124" t="s">
        <v>1150</v>
      </c>
      <c r="B152" s="125" t="e">
        <f>(KDEPmean.A*HEIGHT.aA)*(SYSTEMAREA.A*AREAFRAC.wA)</f>
        <v>#NAME?</v>
      </c>
      <c r="C152" s="123" t="s">
        <v>1664</v>
      </c>
    </row>
    <row r="153" spans="1:3" ht="15" customHeight="1" x14ac:dyDescent="0.3">
      <c r="A153" s="124" t="s">
        <v>480</v>
      </c>
      <c r="B153" s="125" t="e">
        <f ca="1">(KDEPmean.C*HEIGHT.aC)*(SYSTEMAREA.C*AREAFRAC.s1C)</f>
        <v>#NAME?</v>
      </c>
      <c r="C153" s="126" t="s">
        <v>1664</v>
      </c>
    </row>
    <row r="154" spans="1:3" ht="15" customHeight="1" x14ac:dyDescent="0.3">
      <c r="A154" s="124" t="s">
        <v>481</v>
      </c>
      <c r="B154" s="125" t="e">
        <f ca="1">(KDEPmean.C*HEIGHT.aC)*(SYSTEMAREA.C*AREAFRAC.s2C)</f>
        <v>#NAME?</v>
      </c>
      <c r="C154" s="126" t="s">
        <v>1664</v>
      </c>
    </row>
    <row r="155" spans="1:3" ht="15" customHeight="1" x14ac:dyDescent="0.3">
      <c r="A155" s="124" t="s">
        <v>482</v>
      </c>
      <c r="B155" s="125" t="e">
        <f ca="1">(KDEPmean.C*HEIGHT.aC)*(SYSTEMAREA.C*AREAFRAC.s3C)</f>
        <v>#NAME?</v>
      </c>
      <c r="C155" s="126" t="s">
        <v>1664</v>
      </c>
    </row>
    <row r="156" spans="1:3" ht="15" customHeight="1" x14ac:dyDescent="0.3">
      <c r="A156" s="124" t="s">
        <v>343</v>
      </c>
      <c r="B156" s="125" t="e">
        <f ca="1">(KDEPmean.C*HEIGHT.aC)*(SYSTEMAREA.C*AREAFRAC.w0C)</f>
        <v>#NAME?</v>
      </c>
      <c r="C156" s="126" t="s">
        <v>1664</v>
      </c>
    </row>
    <row r="157" spans="1:3" ht="15" customHeight="1" x14ac:dyDescent="0.3">
      <c r="A157" s="124" t="s">
        <v>449</v>
      </c>
      <c r="B157" s="125" t="e">
        <f ca="1">(KDEPmean.C*HEIGHT.aC)*(SYSTEMAREA.C*AREAFRAC.w1C)</f>
        <v>#NAME?</v>
      </c>
      <c r="C157" s="126" t="s">
        <v>1664</v>
      </c>
    </row>
    <row r="158" spans="1:3" ht="15" customHeight="1" x14ac:dyDescent="0.3">
      <c r="A158" s="124" t="s">
        <v>567</v>
      </c>
      <c r="B158" s="125" t="e">
        <f ca="1">(KDEPmean.C*HEIGHT.aC)*(SYSTEMAREA.C*AREAFRAC.w2C)</f>
        <v>#NAME?</v>
      </c>
      <c r="C158" s="126" t="s">
        <v>1664</v>
      </c>
    </row>
    <row r="159" spans="1:3" ht="15" customHeight="1" x14ac:dyDescent="0.3">
      <c r="A159" s="124" t="s">
        <v>919</v>
      </c>
      <c r="B159" s="125" t="e">
        <f>(KDEPmean.M*HEIGHT.aM)*(SYSTEMAREA.M*AREAFRAC.sM)</f>
        <v>#NAME?</v>
      </c>
      <c r="C159" s="123" t="s">
        <v>1664</v>
      </c>
    </row>
    <row r="160" spans="1:3" ht="15" customHeight="1" x14ac:dyDescent="0.3">
      <c r="A160" s="124" t="s">
        <v>136</v>
      </c>
      <c r="B160" s="125" t="e">
        <f>(KDEPmean.M*HEIGHT.aM)*(SYSTEMAREA.M*AREAFRAC.wM)</f>
        <v>#NAME?</v>
      </c>
      <c r="C160" s="123" t="s">
        <v>1664</v>
      </c>
    </row>
    <row r="161" spans="1:3" ht="15" customHeight="1" x14ac:dyDescent="0.3">
      <c r="A161" s="124" t="s">
        <v>1003</v>
      </c>
      <c r="B161" s="134" t="e">
        <f ca="1">(KDEPmean.R*HEIGHT.aR)*(SYSTEMAREA.R*AREAFRAC.s1R)</f>
        <v>#NAME?</v>
      </c>
      <c r="C161" s="126" t="s">
        <v>1664</v>
      </c>
    </row>
    <row r="162" spans="1:3" ht="15" customHeight="1" x14ac:dyDescent="0.3">
      <c r="A162" s="124" t="s">
        <v>572</v>
      </c>
      <c r="B162" s="134" t="e">
        <f ca="1">(KDEPmean.R*HEIGHT.aR)*(SYSTEMAREA.R*AREAFRAC.s2R)</f>
        <v>#NAME?</v>
      </c>
      <c r="C162" s="126" t="s">
        <v>1664</v>
      </c>
    </row>
    <row r="163" spans="1:3" ht="15" customHeight="1" x14ac:dyDescent="0.3">
      <c r="A163" s="124" t="s">
        <v>573</v>
      </c>
      <c r="B163" s="134" t="e">
        <f ca="1">(KDEPmean.R*HEIGHT.aR)*(SYSTEMAREA.R*AREAFRAC.s3R)</f>
        <v>#NAME?</v>
      </c>
      <c r="C163" s="126" t="s">
        <v>1664</v>
      </c>
    </row>
    <row r="164" spans="1:3" ht="15" customHeight="1" x14ac:dyDescent="0.3">
      <c r="A164" s="124" t="s">
        <v>295</v>
      </c>
      <c r="B164" s="134" t="e">
        <f ca="1">(KDEPmean.R*HEIGHT.aR)*(SYSTEMAREA.R*AREAFRAC.w0R)</f>
        <v>#NAME?</v>
      </c>
      <c r="C164" s="126" t="s">
        <v>1664</v>
      </c>
    </row>
    <row r="165" spans="1:3" ht="15" customHeight="1" x14ac:dyDescent="0.3">
      <c r="A165" s="124" t="s">
        <v>1002</v>
      </c>
      <c r="B165" s="134" t="e">
        <f ca="1">(KDEPmean.R*HEIGHT.aR)*(SYSTEMAREA.R*AREAFRAC.w1R)</f>
        <v>#NAME?</v>
      </c>
      <c r="C165" s="126" t="s">
        <v>1664</v>
      </c>
    </row>
    <row r="166" spans="1:3" ht="15" customHeight="1" x14ac:dyDescent="0.3">
      <c r="A166" s="124" t="s">
        <v>566</v>
      </c>
      <c r="B166" s="134" t="e">
        <f ca="1">(KDEPmean.R*HEIGHT.aR)*(SYSTEMAREA.R*AREAFRAC.w2R)</f>
        <v>#NAME?</v>
      </c>
      <c r="C166" s="126" t="s">
        <v>1664</v>
      </c>
    </row>
    <row r="167" spans="1:3" ht="15" customHeight="1" x14ac:dyDescent="0.3">
      <c r="A167" s="124" t="s">
        <v>913</v>
      </c>
      <c r="B167" s="125" t="e">
        <f>(KDEPmean.T*HEIGHT.aT)*(SYSTEMAREA.T*AREAFRAC.sT)</f>
        <v>#NAME?</v>
      </c>
      <c r="C167" s="123" t="s">
        <v>1664</v>
      </c>
    </row>
    <row r="168" spans="1:3" ht="15" customHeight="1" x14ac:dyDescent="0.3">
      <c r="A168" s="124" t="s">
        <v>1125</v>
      </c>
      <c r="B168" s="125" t="e">
        <f>(KDEPmean.T*HEIGHT.aT)*(SYSTEMAREA.T*AREAFRAC.wT)</f>
        <v>#NAME?</v>
      </c>
      <c r="C168" s="123" t="s">
        <v>1664</v>
      </c>
    </row>
    <row r="169" spans="1:3" ht="15" customHeight="1" x14ac:dyDescent="0.3">
      <c r="A169" s="127" t="s">
        <v>1350</v>
      </c>
      <c r="B169" s="125">
        <v>0.05</v>
      </c>
      <c r="C169" s="123" t="s">
        <v>713</v>
      </c>
    </row>
    <row r="170" spans="1:3" ht="15" customHeight="1" x14ac:dyDescent="0.3">
      <c r="A170" s="127" t="s">
        <v>1193</v>
      </c>
      <c r="B170" s="130">
        <v>0.05</v>
      </c>
      <c r="C170" s="126" t="s">
        <v>713</v>
      </c>
    </row>
    <row r="171" spans="1:3" ht="15" customHeight="1" x14ac:dyDescent="0.3">
      <c r="A171" s="127" t="s">
        <v>463</v>
      </c>
      <c r="B171" s="125">
        <v>0.2</v>
      </c>
      <c r="C171" s="123" t="s">
        <v>713</v>
      </c>
    </row>
    <row r="172" spans="1:3" ht="15" customHeight="1" x14ac:dyDescent="0.3">
      <c r="A172" s="127" t="s">
        <v>49</v>
      </c>
      <c r="B172" s="130">
        <v>0.2</v>
      </c>
      <c r="C172" s="126" t="s">
        <v>713</v>
      </c>
    </row>
    <row r="173" spans="1:3" ht="15" customHeight="1" x14ac:dyDescent="0.3">
      <c r="A173" s="127" t="s">
        <v>769</v>
      </c>
      <c r="B173" s="125">
        <v>0.05</v>
      </c>
      <c r="C173" s="123" t="s">
        <v>713</v>
      </c>
    </row>
    <row r="174" spans="1:3" ht="15" customHeight="1" x14ac:dyDescent="0.3">
      <c r="A174" s="127" t="s">
        <v>50</v>
      </c>
      <c r="B174" s="130">
        <v>0.05</v>
      </c>
      <c r="C174" s="126" t="s">
        <v>713</v>
      </c>
    </row>
    <row r="175" spans="1:3" ht="15" customHeight="1" x14ac:dyDescent="0.3">
      <c r="A175" s="127" t="s">
        <v>21</v>
      </c>
      <c r="B175" s="125">
        <v>0.05</v>
      </c>
      <c r="C175" s="126" t="s">
        <v>713</v>
      </c>
    </row>
    <row r="176" spans="1:3" ht="15" customHeight="1" x14ac:dyDescent="0.3">
      <c r="A176" s="127" t="s">
        <v>461</v>
      </c>
      <c r="B176" s="125">
        <v>0.03</v>
      </c>
      <c r="C176" s="126" t="s">
        <v>713</v>
      </c>
    </row>
    <row r="177" spans="1:3" ht="15" customHeight="1" x14ac:dyDescent="0.3">
      <c r="A177" s="127" t="s">
        <v>1191</v>
      </c>
      <c r="B177" s="125">
        <v>0.03</v>
      </c>
      <c r="C177" s="126" t="s">
        <v>713</v>
      </c>
    </row>
    <row r="178" spans="1:3" ht="15" customHeight="1" x14ac:dyDescent="0.3">
      <c r="A178" s="127" t="s">
        <v>462</v>
      </c>
      <c r="B178" s="125">
        <v>0.03</v>
      </c>
      <c r="C178" s="126" t="s">
        <v>713</v>
      </c>
    </row>
    <row r="179" spans="1:3" ht="15" customHeight="1" x14ac:dyDescent="0.3">
      <c r="A179" s="127" t="s">
        <v>1192</v>
      </c>
      <c r="B179" s="125">
        <v>0.03</v>
      </c>
      <c r="C179" s="126" t="s">
        <v>713</v>
      </c>
    </row>
    <row r="180" spans="1:3" ht="15" customHeight="1" x14ac:dyDescent="0.3">
      <c r="A180" s="127" t="s">
        <v>20</v>
      </c>
      <c r="B180" s="125">
        <v>0.03</v>
      </c>
      <c r="C180" s="126" t="s">
        <v>713</v>
      </c>
    </row>
    <row r="181" spans="1:3" ht="15" customHeight="1" x14ac:dyDescent="0.3">
      <c r="A181" s="127" t="s">
        <v>1348</v>
      </c>
      <c r="B181" s="125">
        <v>0.03</v>
      </c>
      <c r="C181" s="126" t="s">
        <v>713</v>
      </c>
    </row>
    <row r="182" spans="1:3" ht="15" customHeight="1" x14ac:dyDescent="0.3">
      <c r="A182" s="127" t="s">
        <v>1408</v>
      </c>
      <c r="B182" s="125">
        <v>0.03</v>
      </c>
      <c r="C182" s="126" t="s">
        <v>713</v>
      </c>
    </row>
    <row r="183" spans="1:3" ht="15" customHeight="1" x14ac:dyDescent="0.3">
      <c r="A183" s="127" t="s">
        <v>1349</v>
      </c>
      <c r="B183" s="125">
        <v>0.05</v>
      </c>
      <c r="C183" s="126" t="s">
        <v>713</v>
      </c>
    </row>
    <row r="184" spans="1:3" ht="15" customHeight="1" x14ac:dyDescent="0.3">
      <c r="A184" s="127" t="s">
        <v>1409</v>
      </c>
      <c r="B184" s="125">
        <v>0.05</v>
      </c>
      <c r="C184" s="126" t="s">
        <v>713</v>
      </c>
    </row>
    <row r="185" spans="1:3" ht="15" customHeight="1" x14ac:dyDescent="0.3">
      <c r="A185" s="127" t="s">
        <v>322</v>
      </c>
      <c r="B185" s="125">
        <f>DEPTHlake.C</f>
        <v>100</v>
      </c>
      <c r="C185" s="126" t="s">
        <v>713</v>
      </c>
    </row>
    <row r="186" spans="1:3" ht="15" customHeight="1" x14ac:dyDescent="0.3">
      <c r="A186" s="127" t="s">
        <v>281</v>
      </c>
      <c r="B186" s="125">
        <f>DEPTHlake.R</f>
        <v>100</v>
      </c>
      <c r="C186" s="126" t="s">
        <v>713</v>
      </c>
    </row>
    <row r="187" spans="1:3" ht="15" customHeight="1" x14ac:dyDescent="0.3">
      <c r="A187" s="127" t="s">
        <v>104</v>
      </c>
      <c r="B187" s="125">
        <f ca="1">DEPTHfreshwater.C</f>
        <v>3.0887298632747657</v>
      </c>
      <c r="C187" s="123" t="s">
        <v>713</v>
      </c>
    </row>
    <row r="188" spans="1:3" ht="15" customHeight="1" x14ac:dyDescent="0.3">
      <c r="A188" s="127" t="s">
        <v>1189</v>
      </c>
      <c r="B188" s="125">
        <f ca="1">DEPTHfreshwater.R</f>
        <v>2.216512663873031</v>
      </c>
      <c r="C188" s="126" t="s">
        <v>713</v>
      </c>
    </row>
    <row r="189" spans="1:3" ht="15" customHeight="1" x14ac:dyDescent="0.3">
      <c r="A189" s="127" t="s">
        <v>911</v>
      </c>
      <c r="B189" s="125">
        <v>100</v>
      </c>
      <c r="C189" s="126" t="s">
        <v>713</v>
      </c>
    </row>
    <row r="190" spans="1:3" ht="15" customHeight="1" x14ac:dyDescent="0.3">
      <c r="A190" s="127" t="s">
        <v>460</v>
      </c>
      <c r="B190" s="125">
        <v>200</v>
      </c>
      <c r="C190" s="123" t="s">
        <v>713</v>
      </c>
    </row>
    <row r="191" spans="1:3" ht="15" customHeight="1" x14ac:dyDescent="0.3">
      <c r="A191" s="127" t="s">
        <v>902</v>
      </c>
      <c r="B191" s="125">
        <v>100</v>
      </c>
      <c r="C191" s="126" t="s">
        <v>713</v>
      </c>
    </row>
    <row r="192" spans="1:3" ht="15" customHeight="1" x14ac:dyDescent="0.3">
      <c r="A192" s="127" t="s">
        <v>1190</v>
      </c>
      <c r="B192" s="125">
        <v>10</v>
      </c>
      <c r="C192" s="126" t="s">
        <v>713</v>
      </c>
    </row>
    <row r="193" spans="1:3" ht="15" customHeight="1" x14ac:dyDescent="0.3">
      <c r="A193" s="127" t="s">
        <v>908</v>
      </c>
      <c r="B193" s="130">
        <v>100</v>
      </c>
      <c r="C193" s="126" t="s">
        <v>713</v>
      </c>
    </row>
    <row r="194" spans="1:3" ht="15" customHeight="1" x14ac:dyDescent="0.3">
      <c r="A194" s="127" t="s">
        <v>912</v>
      </c>
      <c r="B194" s="125">
        <v>3000</v>
      </c>
      <c r="C194" s="126" t="s">
        <v>713</v>
      </c>
    </row>
    <row r="195" spans="1:3" ht="15" customHeight="1" x14ac:dyDescent="0.3">
      <c r="A195" s="127" t="s">
        <v>901</v>
      </c>
      <c r="B195" s="125">
        <v>3000</v>
      </c>
      <c r="C195" s="126" t="s">
        <v>713</v>
      </c>
    </row>
    <row r="196" spans="1:3" ht="15" customHeight="1" x14ac:dyDescent="0.3">
      <c r="A196" s="127" t="s">
        <v>909</v>
      </c>
      <c r="B196" s="125">
        <v>3000</v>
      </c>
      <c r="C196" s="126" t="s">
        <v>713</v>
      </c>
    </row>
    <row r="197" spans="1:3" ht="15" customHeight="1" x14ac:dyDescent="0.3">
      <c r="A197" s="123" t="s">
        <v>1337</v>
      </c>
      <c r="B197" s="130">
        <v>3</v>
      </c>
      <c r="C197" s="123" t="s">
        <v>714</v>
      </c>
    </row>
    <row r="198" spans="1:3" ht="15" customHeight="1" x14ac:dyDescent="0.3">
      <c r="A198" s="123" t="s">
        <v>1413</v>
      </c>
      <c r="B198" s="130">
        <v>3</v>
      </c>
      <c r="C198" s="123" t="s">
        <v>714</v>
      </c>
    </row>
    <row r="199" spans="1:3" ht="15" customHeight="1" x14ac:dyDescent="0.3">
      <c r="A199" s="123" t="s">
        <v>307</v>
      </c>
      <c r="B199" s="130">
        <v>100</v>
      </c>
      <c r="C199" s="123" t="s">
        <v>714</v>
      </c>
    </row>
    <row r="200" spans="1:3" ht="15" customHeight="1" x14ac:dyDescent="0.3">
      <c r="A200" s="123" t="s">
        <v>306</v>
      </c>
      <c r="B200" s="130">
        <v>100</v>
      </c>
      <c r="C200" s="123" t="s">
        <v>714</v>
      </c>
    </row>
    <row r="201" spans="1:3" ht="15" customHeight="1" x14ac:dyDescent="0.3">
      <c r="A201" s="124" t="s">
        <v>656</v>
      </c>
      <c r="B201" s="125">
        <f ca="1">((kwsd.water.wC*kwsd.sed.sdC)/(kwsd.water.wC+kwsd.sed.sdC))/Ksdw1.C*(SYSTEMAREA.C*AREAFRAC.w1C)</f>
        <v>5.6427700162384919</v>
      </c>
      <c r="C201" s="126" t="s">
        <v>1664</v>
      </c>
    </row>
    <row r="202" spans="1:3" ht="15" customHeight="1" x14ac:dyDescent="0.3">
      <c r="A202" s="124" t="s">
        <v>1079</v>
      </c>
      <c r="B202" s="125">
        <f ca="1">((kwsd.water.wR*kwsd.sed.sdR)/(kwsd.water.wR+kwsd.sed.sdR))/Ksdw1.R*(SYSTEMAREA.R*AREAFRAC.w1R)</f>
        <v>2.3402434953557268E-4</v>
      </c>
      <c r="C202" s="126" t="s">
        <v>1664</v>
      </c>
    </row>
    <row r="203" spans="1:3" ht="15" customHeight="1" x14ac:dyDescent="0.3">
      <c r="A203" s="124" t="s">
        <v>658</v>
      </c>
      <c r="B203" s="125">
        <f ca="1">((kwsd.water.wC*kwsd.sed.sdC)/(kwsd.water.wC+kwsd.sed.sdC))/Ksdw2.C*(SYSTEMAREA.C*AREAFRAC.w2C)</f>
        <v>477.76195210127855</v>
      </c>
      <c r="C203" s="126" t="s">
        <v>1664</v>
      </c>
    </row>
    <row r="204" spans="1:3" ht="15" customHeight="1" x14ac:dyDescent="0.3">
      <c r="A204" s="124" t="s">
        <v>935</v>
      </c>
      <c r="B204" s="125">
        <f ca="1">((kwsd.water.wR*kwsd.sed.sdR)/(kwsd.water.wR+kwsd.sed.sdR))/Ksdw2.R*(SYSTEMAREA.R*AREAFRAC.w2R)</f>
        <v>9.5846771993592524E-26</v>
      </c>
      <c r="C204" s="126" t="s">
        <v>1664</v>
      </c>
    </row>
    <row r="205" spans="1:3" ht="15" customHeight="1" x14ac:dyDescent="0.3">
      <c r="A205" s="124" t="s">
        <v>156</v>
      </c>
      <c r="B205" s="125">
        <f ca="1">((kwsd.water.wA*kwsd.sed.sdA)/(kwsd.water.wA+kwsd.sed.sdA))/Ksdw.A*(SYSTEMAREA.A*AREAFRAC.wA)</f>
        <v>418.18365728861357</v>
      </c>
      <c r="C205" s="123" t="s">
        <v>1664</v>
      </c>
    </row>
    <row r="206" spans="1:3" ht="15" customHeight="1" x14ac:dyDescent="0.3">
      <c r="A206" s="124" t="s">
        <v>158</v>
      </c>
      <c r="B206" s="125">
        <f ca="1">((kwsd.water.wM*kwsd.sed.sdM)/(kwsd.water.wM+kwsd.sed.sdM))/Ksdw.M*(SYSTEMAREA.M*AREAFRAC.wM)</f>
        <v>627.55009320120655</v>
      </c>
      <c r="C206" s="123" t="s">
        <v>1664</v>
      </c>
    </row>
    <row r="207" spans="1:3" ht="15" customHeight="1" x14ac:dyDescent="0.3">
      <c r="A207" s="124" t="s">
        <v>151</v>
      </c>
      <c r="B207" s="125">
        <f ca="1">((kwsd.water.wT*kwsd.sed.sdT)/(kwsd.water.wT+kwsd.sed.sdT))/Ksdw.T*(SYSTEMAREA.T*AREAFRAC.wT)</f>
        <v>1463.6428005101475</v>
      </c>
      <c r="C207" s="123" t="s">
        <v>1664</v>
      </c>
    </row>
    <row r="208" spans="1:3" ht="15" customHeight="1" x14ac:dyDescent="0.3">
      <c r="A208" s="126" t="s">
        <v>1167</v>
      </c>
      <c r="B208" s="130">
        <f>0.0000257*SQRT(18)/SQRT(Molweight*1000)</f>
        <v>1.2596963012095067E-5</v>
      </c>
      <c r="C208" s="129" t="s">
        <v>1669</v>
      </c>
    </row>
    <row r="209" spans="1:3" ht="15" customHeight="1" x14ac:dyDescent="0.3">
      <c r="A209" s="126" t="s">
        <v>849</v>
      </c>
      <c r="B209" s="130">
        <f>0.000000002*SQRT(32)/SQRT(Molweight*1000)</f>
        <v>1.3070778741473482E-9</v>
      </c>
      <c r="C209" s="129" t="s">
        <v>1669</v>
      </c>
    </row>
    <row r="210" spans="1:3" ht="15" customHeight="1" x14ac:dyDescent="0.3">
      <c r="A210" s="127" t="s">
        <v>408</v>
      </c>
      <c r="B210" s="125">
        <f>AEROSOLdeprate.A*(FRaerw.aA+FRaers.aA)</f>
        <v>9.9999999990991735E-4</v>
      </c>
      <c r="C210" s="128" t="s">
        <v>1665</v>
      </c>
    </row>
    <row r="211" spans="1:3" ht="15" customHeight="1" x14ac:dyDescent="0.3">
      <c r="A211" s="127" t="s">
        <v>450</v>
      </c>
      <c r="B211" s="125">
        <f ca="1">AEROSOLdeprate.C*(FRaerw.aC+FRaers.aC)</f>
        <v>2.9944375229100867E-3</v>
      </c>
      <c r="C211" s="129" t="s">
        <v>1665</v>
      </c>
    </row>
    <row r="212" spans="1:3" ht="15" customHeight="1" x14ac:dyDescent="0.3">
      <c r="A212" s="127" t="s">
        <v>920</v>
      </c>
      <c r="B212" s="125">
        <f>AEROSOLdeprate.M*(FRaerw.aM+FRaers.aM)</f>
        <v>9.9999999990991735E-4</v>
      </c>
      <c r="C212" s="128" t="s">
        <v>1665</v>
      </c>
    </row>
    <row r="213" spans="1:3" ht="15" customHeight="1" x14ac:dyDescent="0.3">
      <c r="A213" s="127" t="s">
        <v>112</v>
      </c>
      <c r="B213" s="125">
        <f ca="1">AEROSOLdeprate.R*(FRaerw.aR+FRaers.aR)</f>
        <v>9.872248977750111E-4</v>
      </c>
      <c r="C213" s="129" t="s">
        <v>1665</v>
      </c>
    </row>
    <row r="214" spans="1:3" ht="15" customHeight="1" x14ac:dyDescent="0.3">
      <c r="A214" s="127" t="s">
        <v>914</v>
      </c>
      <c r="B214" s="125">
        <f>AEROSOLdeprate.T*(FRaerw.aT+FRaers.aT)</f>
        <v>9.9999999977678643E-4</v>
      </c>
      <c r="C214" s="128" t="s">
        <v>1665</v>
      </c>
    </row>
    <row r="215" spans="1:3" ht="15" customHeight="1" x14ac:dyDescent="0.3">
      <c r="A215" s="124" t="s">
        <v>930</v>
      </c>
      <c r="B215" s="130">
        <v>6000</v>
      </c>
      <c r="C215" s="126" t="s">
        <v>1707</v>
      </c>
    </row>
    <row r="216" spans="1:3" ht="15" customHeight="1" x14ac:dyDescent="0.3">
      <c r="A216" s="123" t="s">
        <v>1340</v>
      </c>
      <c r="B216" s="140">
        <f>0.03/1000/(3600*24*365)</f>
        <v>9.5129375951293754E-13</v>
      </c>
      <c r="C216" s="123" t="s">
        <v>1589</v>
      </c>
    </row>
    <row r="217" spans="1:3" ht="15" customHeight="1" x14ac:dyDescent="0.3">
      <c r="A217" s="123" t="s">
        <v>1416</v>
      </c>
      <c r="B217" s="140">
        <f t="shared" ref="B217:B226" si="0">0.03/1000/(3600*24*365)</f>
        <v>9.5129375951293754E-13</v>
      </c>
      <c r="C217" s="123" t="s">
        <v>1589</v>
      </c>
    </row>
    <row r="218" spans="1:3" ht="15" customHeight="1" x14ac:dyDescent="0.3">
      <c r="A218" s="127" t="s">
        <v>562</v>
      </c>
      <c r="B218" s="140">
        <f t="shared" si="0"/>
        <v>9.5129375951293754E-13</v>
      </c>
      <c r="C218" s="123" t="s">
        <v>1589</v>
      </c>
    </row>
    <row r="219" spans="1:3" ht="15" customHeight="1" x14ac:dyDescent="0.3">
      <c r="A219" s="127" t="s">
        <v>940</v>
      </c>
      <c r="B219" s="140">
        <f t="shared" si="0"/>
        <v>9.5129375951293754E-13</v>
      </c>
      <c r="C219" s="123" t="s">
        <v>1589</v>
      </c>
    </row>
    <row r="220" spans="1:3" ht="15" customHeight="1" x14ac:dyDescent="0.3">
      <c r="A220" s="127" t="s">
        <v>563</v>
      </c>
      <c r="B220" s="140">
        <f t="shared" si="0"/>
        <v>9.5129375951293754E-13</v>
      </c>
      <c r="C220" s="123" t="s">
        <v>1589</v>
      </c>
    </row>
    <row r="221" spans="1:3" ht="15" customHeight="1" x14ac:dyDescent="0.3">
      <c r="A221" s="127" t="s">
        <v>941</v>
      </c>
      <c r="B221" s="140">
        <f t="shared" si="0"/>
        <v>9.5129375951293754E-13</v>
      </c>
      <c r="C221" s="123" t="s">
        <v>1589</v>
      </c>
    </row>
    <row r="222" spans="1:3" ht="15" customHeight="1" x14ac:dyDescent="0.3">
      <c r="A222" s="127" t="s">
        <v>1559</v>
      </c>
      <c r="B222" s="140">
        <f t="shared" si="0"/>
        <v>9.5129375951293754E-13</v>
      </c>
      <c r="C222" s="123" t="s">
        <v>1589</v>
      </c>
    </row>
    <row r="223" spans="1:3" ht="15" customHeight="1" x14ac:dyDescent="0.3">
      <c r="A223" s="127" t="s">
        <v>942</v>
      </c>
      <c r="B223" s="140">
        <f t="shared" si="0"/>
        <v>9.5129375951293754E-13</v>
      </c>
      <c r="C223" s="123" t="s">
        <v>1589</v>
      </c>
    </row>
    <row r="224" spans="1:3" ht="15" customHeight="1" x14ac:dyDescent="0.3">
      <c r="A224" s="127" t="s">
        <v>663</v>
      </c>
      <c r="B224" s="140">
        <f t="shared" si="0"/>
        <v>9.5129375951293754E-13</v>
      </c>
      <c r="C224" s="123" t="s">
        <v>1589</v>
      </c>
    </row>
    <row r="225" spans="1:3" ht="15" customHeight="1" x14ac:dyDescent="0.3">
      <c r="A225" s="127" t="s">
        <v>182</v>
      </c>
      <c r="B225" s="140">
        <f t="shared" si="0"/>
        <v>9.5129375951293754E-13</v>
      </c>
      <c r="C225" s="123" t="s">
        <v>1589</v>
      </c>
    </row>
    <row r="226" spans="1:3" ht="15" customHeight="1" x14ac:dyDescent="0.3">
      <c r="A226" s="127" t="s">
        <v>42</v>
      </c>
      <c r="B226" s="140">
        <f t="shared" si="0"/>
        <v>9.5129375951293754E-13</v>
      </c>
      <c r="C226" s="123" t="s">
        <v>1589</v>
      </c>
    </row>
    <row r="227" spans="1:3" ht="15" customHeight="1" x14ac:dyDescent="0.3">
      <c r="A227" s="123" t="s">
        <v>1229</v>
      </c>
      <c r="B227" s="130">
        <v>0</v>
      </c>
      <c r="C227" s="123" t="s">
        <v>477</v>
      </c>
    </row>
    <row r="228" spans="1:3" ht="15" customHeight="1" x14ac:dyDescent="0.3">
      <c r="A228" s="123" t="s">
        <v>5</v>
      </c>
      <c r="B228" s="130">
        <v>0</v>
      </c>
      <c r="C228" s="123" t="s">
        <v>477</v>
      </c>
    </row>
    <row r="229" spans="1:3" ht="15" customHeight="1" x14ac:dyDescent="0.3">
      <c r="A229" s="127" t="s">
        <v>35</v>
      </c>
      <c r="B229" s="125">
        <v>0.2</v>
      </c>
      <c r="C229" s="123" t="s">
        <v>716</v>
      </c>
    </row>
    <row r="230" spans="1:3" ht="15" customHeight="1" x14ac:dyDescent="0.3">
      <c r="A230" s="127" t="s">
        <v>864</v>
      </c>
      <c r="B230" s="125">
        <v>0.2</v>
      </c>
      <c r="C230" s="126" t="s">
        <v>716</v>
      </c>
    </row>
    <row r="231" spans="1:3" ht="15" customHeight="1" x14ac:dyDescent="0.3">
      <c r="A231" s="127" t="s">
        <v>439</v>
      </c>
      <c r="B231" s="125">
        <v>0.2</v>
      </c>
      <c r="C231" s="123" t="s">
        <v>716</v>
      </c>
    </row>
    <row r="232" spans="1:3" ht="15" customHeight="1" x14ac:dyDescent="0.3">
      <c r="A232" s="127" t="s">
        <v>7</v>
      </c>
      <c r="B232" s="125">
        <v>0.2</v>
      </c>
      <c r="C232" s="126" t="s">
        <v>716</v>
      </c>
    </row>
    <row r="233" spans="1:3" ht="15" customHeight="1" x14ac:dyDescent="0.3">
      <c r="A233" s="127" t="s">
        <v>30</v>
      </c>
      <c r="B233" s="125">
        <v>0.2</v>
      </c>
      <c r="C233" s="123" t="s">
        <v>716</v>
      </c>
    </row>
    <row r="234" spans="1:3" ht="15" customHeight="1" x14ac:dyDescent="0.3">
      <c r="A234" s="127" t="s">
        <v>8</v>
      </c>
      <c r="B234" s="125">
        <v>0.2</v>
      </c>
      <c r="C234" s="126" t="s">
        <v>716</v>
      </c>
    </row>
    <row r="235" spans="1:3" ht="15" customHeight="1" x14ac:dyDescent="0.3">
      <c r="A235" s="127" t="s">
        <v>465</v>
      </c>
      <c r="B235" s="125">
        <v>0.2</v>
      </c>
      <c r="C235" s="126" t="s">
        <v>716</v>
      </c>
    </row>
    <row r="236" spans="1:3" ht="15" customHeight="1" x14ac:dyDescent="0.3">
      <c r="A236" s="127" t="s">
        <v>653</v>
      </c>
      <c r="B236" s="125">
        <v>0.2</v>
      </c>
      <c r="C236" s="126" t="s">
        <v>716</v>
      </c>
    </row>
    <row r="237" spans="1:3" ht="15" customHeight="1" x14ac:dyDescent="0.3">
      <c r="A237" s="127" t="s">
        <v>1074</v>
      </c>
      <c r="B237" s="130">
        <v>0.2</v>
      </c>
      <c r="C237" s="126" t="s">
        <v>716</v>
      </c>
    </row>
    <row r="238" spans="1:3" ht="15" customHeight="1" x14ac:dyDescent="0.3">
      <c r="A238" s="126" t="s">
        <v>1637</v>
      </c>
      <c r="B238" s="125">
        <v>1.9999999999999999E-11</v>
      </c>
      <c r="C238" s="126" t="s">
        <v>716</v>
      </c>
    </row>
    <row r="239" spans="1:3" ht="15" customHeight="1" x14ac:dyDescent="0.3">
      <c r="A239" s="126" t="s">
        <v>1670</v>
      </c>
      <c r="B239" s="125">
        <v>1.9999999999999999E-11</v>
      </c>
      <c r="C239" s="126" t="s">
        <v>716</v>
      </c>
    </row>
    <row r="240" spans="1:3" ht="15" customHeight="1" x14ac:dyDescent="0.3">
      <c r="A240" s="126" t="s">
        <v>1629</v>
      </c>
      <c r="B240" s="125">
        <v>1.9999999999999999E-11</v>
      </c>
      <c r="C240" s="126" t="s">
        <v>716</v>
      </c>
    </row>
    <row r="241" spans="1:3" ht="15" customHeight="1" x14ac:dyDescent="0.3">
      <c r="A241" s="126" t="s">
        <v>1610</v>
      </c>
      <c r="B241" s="125">
        <v>1.9999999999999999E-11</v>
      </c>
      <c r="C241" s="126" t="s">
        <v>716</v>
      </c>
    </row>
    <row r="242" spans="1:3" ht="15" customHeight="1" x14ac:dyDescent="0.3">
      <c r="A242" s="126" t="s">
        <v>1641</v>
      </c>
      <c r="B242" s="125">
        <v>1.9999999999999999E-11</v>
      </c>
      <c r="C242" s="126" t="s">
        <v>716</v>
      </c>
    </row>
    <row r="243" spans="1:3" ht="15" customHeight="1" x14ac:dyDescent="0.3">
      <c r="A243" s="126" t="s">
        <v>1638</v>
      </c>
      <c r="B243" s="125">
        <v>1.9999999999999999E-11</v>
      </c>
      <c r="C243" s="126" t="s">
        <v>716</v>
      </c>
    </row>
    <row r="244" spans="1:3" ht="15" customHeight="1" x14ac:dyDescent="0.3">
      <c r="A244" s="126" t="s">
        <v>1671</v>
      </c>
      <c r="B244" s="125">
        <v>1.9999999999999999E-11</v>
      </c>
      <c r="C244" s="126" t="s">
        <v>716</v>
      </c>
    </row>
    <row r="245" spans="1:3" ht="15" customHeight="1" x14ac:dyDescent="0.3">
      <c r="A245" s="126" t="s">
        <v>1630</v>
      </c>
      <c r="B245" s="125">
        <v>1.9999999999999999E-11</v>
      </c>
      <c r="C245" s="126" t="s">
        <v>716</v>
      </c>
    </row>
    <row r="246" spans="1:3" ht="15" customHeight="1" x14ac:dyDescent="0.3">
      <c r="A246" s="126" t="s">
        <v>1611</v>
      </c>
      <c r="B246" s="125">
        <v>1.9999999999999999E-11</v>
      </c>
      <c r="C246" s="126" t="s">
        <v>716</v>
      </c>
    </row>
    <row r="247" spans="1:3" ht="15" customHeight="1" x14ac:dyDescent="0.3">
      <c r="A247" s="126" t="s">
        <v>1642</v>
      </c>
      <c r="B247" s="125">
        <v>1.9999999999999999E-11</v>
      </c>
      <c r="C247" s="126" t="s">
        <v>716</v>
      </c>
    </row>
    <row r="248" spans="1:3" ht="15" customHeight="1" x14ac:dyDescent="0.3">
      <c r="A248" s="123" t="s">
        <v>1335</v>
      </c>
      <c r="B248" s="130">
        <v>0.6</v>
      </c>
      <c r="C248" s="123" t="s">
        <v>477</v>
      </c>
    </row>
    <row r="249" spans="1:3" ht="15" customHeight="1" x14ac:dyDescent="0.3">
      <c r="A249" s="123" t="s">
        <v>1411</v>
      </c>
      <c r="B249" s="130">
        <v>0.6</v>
      </c>
      <c r="C249" s="123" t="s">
        <v>477</v>
      </c>
    </row>
    <row r="250" spans="1:3" ht="15" customHeight="1" x14ac:dyDescent="0.3">
      <c r="A250" s="123" t="s">
        <v>1417</v>
      </c>
      <c r="B250" s="130">
        <v>2.75E-2</v>
      </c>
      <c r="C250" s="123" t="s">
        <v>477</v>
      </c>
    </row>
    <row r="251" spans="1:3" ht="15" customHeight="1" x14ac:dyDescent="0.3">
      <c r="A251" s="123" t="s">
        <v>675</v>
      </c>
      <c r="B251" s="130">
        <v>2.75E-2</v>
      </c>
      <c r="C251" s="123" t="s">
        <v>477</v>
      </c>
    </row>
    <row r="252" spans="1:3" ht="15" customHeight="1" x14ac:dyDescent="0.3">
      <c r="A252" s="123" t="s">
        <v>1338</v>
      </c>
      <c r="B252" s="130">
        <v>0.25</v>
      </c>
      <c r="C252" s="123" t="s">
        <v>477</v>
      </c>
    </row>
    <row r="253" spans="1:3" ht="15" customHeight="1" x14ac:dyDescent="0.3">
      <c r="A253" s="123" t="s">
        <v>1414</v>
      </c>
      <c r="B253" s="130">
        <v>0.25</v>
      </c>
      <c r="C253" s="123" t="s">
        <v>477</v>
      </c>
    </row>
    <row r="254" spans="1:3" ht="15" customHeight="1" x14ac:dyDescent="0.3">
      <c r="A254" s="127" t="s">
        <v>418</v>
      </c>
      <c r="B254" s="125">
        <f>FRACinf.C</f>
        <v>0.25</v>
      </c>
      <c r="C254" s="126" t="s">
        <v>28</v>
      </c>
    </row>
    <row r="255" spans="1:3" ht="15" customHeight="1" x14ac:dyDescent="0.3">
      <c r="A255" s="127" t="s">
        <v>1219</v>
      </c>
      <c r="B255" s="125">
        <f>FRACinf.R</f>
        <v>0.25</v>
      </c>
      <c r="C255" s="126" t="s">
        <v>28</v>
      </c>
    </row>
    <row r="256" spans="1:3" ht="15" customHeight="1" x14ac:dyDescent="0.3">
      <c r="A256" s="127" t="s">
        <v>419</v>
      </c>
      <c r="B256" s="125">
        <f>FRACinf.C</f>
        <v>0.25</v>
      </c>
      <c r="C256" s="126" t="s">
        <v>28</v>
      </c>
    </row>
    <row r="257" spans="1:3" ht="15" customHeight="1" x14ac:dyDescent="0.3">
      <c r="A257" s="127" t="s">
        <v>1220</v>
      </c>
      <c r="B257" s="125">
        <f>FRACinf.R</f>
        <v>0.25</v>
      </c>
      <c r="C257" s="126" t="s">
        <v>28</v>
      </c>
    </row>
    <row r="258" spans="1:3" ht="15" customHeight="1" x14ac:dyDescent="0.3">
      <c r="A258" s="127" t="s">
        <v>420</v>
      </c>
      <c r="B258" s="125">
        <f>FRACinf.C</f>
        <v>0.25</v>
      </c>
      <c r="C258" s="126" t="s">
        <v>28</v>
      </c>
    </row>
    <row r="259" spans="1:3" ht="15" customHeight="1" x14ac:dyDescent="0.3">
      <c r="A259" s="127" t="s">
        <v>1221</v>
      </c>
      <c r="B259" s="125">
        <f>FRACinf.R</f>
        <v>0.25</v>
      </c>
      <c r="C259" s="126" t="s">
        <v>28</v>
      </c>
    </row>
    <row r="260" spans="1:3" ht="15" customHeight="1" x14ac:dyDescent="0.3">
      <c r="A260" s="127" t="s">
        <v>855</v>
      </c>
      <c r="B260" s="125">
        <v>0.25</v>
      </c>
      <c r="C260" s="126" t="s">
        <v>28</v>
      </c>
    </row>
    <row r="261" spans="1:3" ht="15" customHeight="1" x14ac:dyDescent="0.3">
      <c r="A261" s="127" t="s">
        <v>264</v>
      </c>
      <c r="B261" s="125">
        <v>0.25</v>
      </c>
      <c r="C261" s="126" t="s">
        <v>28</v>
      </c>
    </row>
    <row r="262" spans="1:3" ht="15" customHeight="1" x14ac:dyDescent="0.3">
      <c r="A262" s="127" t="s">
        <v>1388</v>
      </c>
      <c r="B262" s="130">
        <v>0.25</v>
      </c>
      <c r="C262" s="126" t="s">
        <v>28</v>
      </c>
    </row>
    <row r="263" spans="1:3" ht="15" customHeight="1" x14ac:dyDescent="0.3">
      <c r="A263" s="123" t="s">
        <v>304</v>
      </c>
      <c r="B263" s="130">
        <v>2.5000000000000001E-3</v>
      </c>
      <c r="C263" s="123" t="s">
        <v>477</v>
      </c>
    </row>
    <row r="264" spans="1:3" ht="15" customHeight="1" x14ac:dyDescent="0.3">
      <c r="A264" s="123" t="s">
        <v>303</v>
      </c>
      <c r="B264" s="130">
        <v>2.5000000000000001E-3</v>
      </c>
      <c r="C264" s="123" t="s">
        <v>477</v>
      </c>
    </row>
    <row r="265" spans="1:3" ht="15" customHeight="1" x14ac:dyDescent="0.3">
      <c r="A265" s="123" t="s">
        <v>1418</v>
      </c>
      <c r="B265" s="130">
        <v>0.27</v>
      </c>
      <c r="C265" s="123" t="s">
        <v>477</v>
      </c>
    </row>
    <row r="266" spans="1:3" ht="15" customHeight="1" x14ac:dyDescent="0.3">
      <c r="A266" s="123" t="s">
        <v>676</v>
      </c>
      <c r="B266" s="130">
        <v>0.27</v>
      </c>
      <c r="C266" s="123" t="s">
        <v>477</v>
      </c>
    </row>
    <row r="267" spans="1:3" ht="15" customHeight="1" x14ac:dyDescent="0.3">
      <c r="A267" s="123" t="s">
        <v>1336</v>
      </c>
      <c r="B267" s="130">
        <v>0.1</v>
      </c>
      <c r="C267" s="123" t="s">
        <v>477</v>
      </c>
    </row>
    <row r="268" spans="1:3" ht="15" customHeight="1" x14ac:dyDescent="0.3">
      <c r="A268" s="123" t="s">
        <v>1412</v>
      </c>
      <c r="B268" s="130">
        <v>0.1</v>
      </c>
      <c r="C268" s="123" t="s">
        <v>477</v>
      </c>
    </row>
    <row r="269" spans="1:3" ht="15" customHeight="1" x14ac:dyDescent="0.3">
      <c r="A269" s="123" t="s">
        <v>1339</v>
      </c>
      <c r="B269" s="130">
        <v>0.25</v>
      </c>
      <c r="C269" s="123" t="s">
        <v>477</v>
      </c>
    </row>
    <row r="270" spans="1:3" ht="15" customHeight="1" x14ac:dyDescent="0.3">
      <c r="A270" s="123" t="s">
        <v>1415</v>
      </c>
      <c r="B270" s="130">
        <v>0.25</v>
      </c>
      <c r="C270" s="123" t="s">
        <v>477</v>
      </c>
    </row>
    <row r="271" spans="1:3" ht="15" customHeight="1" x14ac:dyDescent="0.3">
      <c r="A271" s="127" t="s">
        <v>970</v>
      </c>
      <c r="B271" s="125">
        <f>FRACrun.C</f>
        <v>0.25</v>
      </c>
      <c r="C271" s="126" t="s">
        <v>28</v>
      </c>
    </row>
    <row r="272" spans="1:3" ht="15" customHeight="1" x14ac:dyDescent="0.3">
      <c r="A272" s="127" t="s">
        <v>943</v>
      </c>
      <c r="B272" s="125">
        <f>FRACrun.R</f>
        <v>0.25</v>
      </c>
      <c r="C272" s="126" t="s">
        <v>28</v>
      </c>
    </row>
    <row r="273" spans="1:3" ht="15" customHeight="1" x14ac:dyDescent="0.3">
      <c r="A273" s="127" t="s">
        <v>971</v>
      </c>
      <c r="B273" s="125">
        <f>FRACrun.C</f>
        <v>0.25</v>
      </c>
      <c r="C273" s="126" t="s">
        <v>28</v>
      </c>
    </row>
    <row r="274" spans="1:3" ht="15" customHeight="1" x14ac:dyDescent="0.3">
      <c r="A274" s="127" t="s">
        <v>453</v>
      </c>
      <c r="B274" s="125">
        <f>FRACrun.R</f>
        <v>0.25</v>
      </c>
      <c r="C274" s="126" t="s">
        <v>28</v>
      </c>
    </row>
    <row r="275" spans="1:3" ht="15" customHeight="1" x14ac:dyDescent="0.3">
      <c r="A275" s="127" t="s">
        <v>972</v>
      </c>
      <c r="B275" s="125">
        <f>FRACrun.C</f>
        <v>0.25</v>
      </c>
      <c r="C275" s="126" t="s">
        <v>28</v>
      </c>
    </row>
    <row r="276" spans="1:3" ht="15" customHeight="1" x14ac:dyDescent="0.3">
      <c r="A276" s="127" t="s">
        <v>454</v>
      </c>
      <c r="B276" s="125">
        <f>FRACrun.R</f>
        <v>0.25</v>
      </c>
      <c r="C276" s="126" t="s">
        <v>28</v>
      </c>
    </row>
    <row r="277" spans="1:3" ht="15" customHeight="1" x14ac:dyDescent="0.3">
      <c r="A277" s="127" t="s">
        <v>664</v>
      </c>
      <c r="B277" s="125">
        <v>0.25</v>
      </c>
      <c r="C277" s="126" t="s">
        <v>28</v>
      </c>
    </row>
    <row r="278" spans="1:3" ht="15" customHeight="1" x14ac:dyDescent="0.3">
      <c r="A278" s="127" t="s">
        <v>183</v>
      </c>
      <c r="B278" s="125">
        <v>0.25</v>
      </c>
      <c r="C278" s="126" t="s">
        <v>28</v>
      </c>
    </row>
    <row r="279" spans="1:3" ht="15" customHeight="1" x14ac:dyDescent="0.3">
      <c r="A279" s="127" t="s">
        <v>43</v>
      </c>
      <c r="B279" s="130">
        <v>0.25</v>
      </c>
      <c r="C279" s="126" t="s">
        <v>28</v>
      </c>
    </row>
    <row r="280" spans="1:3" ht="15" customHeight="1" x14ac:dyDescent="0.3">
      <c r="A280" s="127" t="s">
        <v>438</v>
      </c>
      <c r="B280" s="125">
        <f ca="1">1-FRACa.s1C-FRACw.s1C</f>
        <v>0.4911606872535732</v>
      </c>
      <c r="C280" s="123" t="s">
        <v>716</v>
      </c>
    </row>
    <row r="281" spans="1:3" ht="15" customHeight="1" x14ac:dyDescent="0.3">
      <c r="A281" s="127" t="s">
        <v>861</v>
      </c>
      <c r="B281" s="125">
        <f ca="1">1-FRACa.s1R-FRACw.s1R</f>
        <v>0.40589000539577197</v>
      </c>
      <c r="C281" s="126" t="s">
        <v>716</v>
      </c>
    </row>
    <row r="282" spans="1:3" ht="15" customHeight="1" x14ac:dyDescent="0.3">
      <c r="A282" s="127" t="s">
        <v>191</v>
      </c>
      <c r="B282" s="125">
        <f ca="1">1-FRACa.s2C-FRACw.s2C</f>
        <v>0.2889586398667946</v>
      </c>
      <c r="C282" s="123" t="s">
        <v>716</v>
      </c>
    </row>
    <row r="283" spans="1:3" ht="15" customHeight="1" x14ac:dyDescent="0.3">
      <c r="A283" s="127" t="s">
        <v>862</v>
      </c>
      <c r="B283" s="125">
        <f ca="1">1-FRACa.s2R-FRACw.s2R</f>
        <v>0.34500044514876299</v>
      </c>
      <c r="C283" s="126" t="s">
        <v>716</v>
      </c>
    </row>
    <row r="284" spans="1:3" ht="15" customHeight="1" x14ac:dyDescent="0.3">
      <c r="A284" s="127" t="s">
        <v>32</v>
      </c>
      <c r="B284" s="125">
        <f ca="1">1-FRACa.s3C-FRACw.s3C</f>
        <v>0.29113116285564322</v>
      </c>
      <c r="C284" s="123" t="s">
        <v>716</v>
      </c>
    </row>
    <row r="285" spans="1:3" ht="15" customHeight="1" x14ac:dyDescent="0.3">
      <c r="A285" s="127" t="s">
        <v>863</v>
      </c>
      <c r="B285" s="125">
        <f ca="1">1-FRACa.s3R-FRACw.s3R</f>
        <v>0.70144912187728781</v>
      </c>
      <c r="C285" s="126" t="s">
        <v>716</v>
      </c>
    </row>
    <row r="286" spans="1:3" ht="15" customHeight="1" x14ac:dyDescent="0.3">
      <c r="A286" s="127" t="s">
        <v>1300</v>
      </c>
      <c r="B286" s="125">
        <f>1-FRACa.sA-FRACw.sA</f>
        <v>0.60000000000000009</v>
      </c>
      <c r="C286" s="126" t="s">
        <v>716</v>
      </c>
    </row>
    <row r="287" spans="1:3" ht="15" customHeight="1" x14ac:dyDescent="0.3">
      <c r="A287" s="127" t="s">
        <v>467</v>
      </c>
      <c r="B287" s="125">
        <f>1-FRACw.sdA</f>
        <v>0.19999999999999996</v>
      </c>
      <c r="C287" s="126" t="s">
        <v>716</v>
      </c>
    </row>
    <row r="288" spans="1:3" ht="15" customHeight="1" x14ac:dyDescent="0.3">
      <c r="A288" s="127" t="s">
        <v>34</v>
      </c>
      <c r="B288" s="125">
        <f ca="1">1-FRACw.sdC</f>
        <v>0.13855573393662368</v>
      </c>
      <c r="C288" s="123" t="s">
        <v>716</v>
      </c>
    </row>
    <row r="289" spans="1:3" ht="15" customHeight="1" x14ac:dyDescent="0.3">
      <c r="A289" s="127" t="s">
        <v>652</v>
      </c>
      <c r="B289" s="130">
        <f>1-FRACw.sdM</f>
        <v>0.19999999999999996</v>
      </c>
      <c r="C289" s="126" t="s">
        <v>716</v>
      </c>
    </row>
    <row r="290" spans="1:3" ht="15" customHeight="1" x14ac:dyDescent="0.3">
      <c r="A290" s="127" t="s">
        <v>866</v>
      </c>
      <c r="B290" s="125">
        <f ca="1">1-FRACw.sdR</f>
        <v>0.19373239892744465</v>
      </c>
      <c r="C290" s="126" t="s">
        <v>716</v>
      </c>
    </row>
    <row r="291" spans="1:3" ht="15" customHeight="1" x14ac:dyDescent="0.3">
      <c r="A291" s="127" t="s">
        <v>1075</v>
      </c>
      <c r="B291" s="125">
        <f>1-FRACw.sdT</f>
        <v>0.19999999999999996</v>
      </c>
      <c r="C291" s="126" t="s">
        <v>716</v>
      </c>
    </row>
    <row r="292" spans="1:3" ht="15" customHeight="1" x14ac:dyDescent="0.3">
      <c r="A292" s="127" t="s">
        <v>585</v>
      </c>
      <c r="B292" s="125">
        <f>1-FRACa.sM-FRACw.sM</f>
        <v>0.60000000000000009</v>
      </c>
      <c r="C292" s="126" t="s">
        <v>716</v>
      </c>
    </row>
    <row r="293" spans="1:3" ht="15" customHeight="1" x14ac:dyDescent="0.3">
      <c r="A293" s="127" t="s">
        <v>1073</v>
      </c>
      <c r="B293" s="125">
        <f>1-FRACa.sT-FRACw.sT</f>
        <v>0.60000000000000009</v>
      </c>
      <c r="C293" s="126" t="s">
        <v>716</v>
      </c>
    </row>
    <row r="294" spans="1:3" ht="15" customHeight="1" x14ac:dyDescent="0.3">
      <c r="A294" s="127" t="s">
        <v>437</v>
      </c>
      <c r="B294" s="125">
        <v>0.2</v>
      </c>
      <c r="C294" s="123" t="s">
        <v>716</v>
      </c>
    </row>
    <row r="295" spans="1:3" ht="15" customHeight="1" x14ac:dyDescent="0.3">
      <c r="A295" s="127" t="s">
        <v>9</v>
      </c>
      <c r="B295" s="125">
        <v>0.2</v>
      </c>
      <c r="C295" s="126" t="s">
        <v>716</v>
      </c>
    </row>
    <row r="296" spans="1:3" ht="15" customHeight="1" x14ac:dyDescent="0.3">
      <c r="A296" s="127" t="s">
        <v>190</v>
      </c>
      <c r="B296" s="125">
        <v>0.2</v>
      </c>
      <c r="C296" s="123" t="s">
        <v>716</v>
      </c>
    </row>
    <row r="297" spans="1:3" ht="15" customHeight="1" x14ac:dyDescent="0.3">
      <c r="A297" s="127" t="s">
        <v>10</v>
      </c>
      <c r="B297" s="125">
        <v>0.2</v>
      </c>
      <c r="C297" s="126" t="s">
        <v>716</v>
      </c>
    </row>
    <row r="298" spans="1:3" ht="15" customHeight="1" x14ac:dyDescent="0.3">
      <c r="A298" s="127" t="s">
        <v>31</v>
      </c>
      <c r="B298" s="125">
        <v>0.2</v>
      </c>
      <c r="C298" s="123" t="s">
        <v>716</v>
      </c>
    </row>
    <row r="299" spans="1:3" ht="15" customHeight="1" x14ac:dyDescent="0.3">
      <c r="A299" s="127" t="s">
        <v>11</v>
      </c>
      <c r="B299" s="125">
        <v>0.2</v>
      </c>
      <c r="C299" s="126" t="s">
        <v>716</v>
      </c>
    </row>
    <row r="300" spans="1:3" ht="15" customHeight="1" x14ac:dyDescent="0.3">
      <c r="A300" s="127" t="s">
        <v>1299</v>
      </c>
      <c r="B300" s="125">
        <v>0.2</v>
      </c>
      <c r="C300" s="126" t="s">
        <v>716</v>
      </c>
    </row>
    <row r="301" spans="1:3" ht="15" customHeight="1" x14ac:dyDescent="0.3">
      <c r="A301" s="127" t="s">
        <v>1301</v>
      </c>
      <c r="B301" s="125">
        <v>0.8</v>
      </c>
      <c r="C301" s="126" t="s">
        <v>716</v>
      </c>
    </row>
    <row r="302" spans="1:3" ht="15" customHeight="1" x14ac:dyDescent="0.3">
      <c r="A302" s="127" t="s">
        <v>33</v>
      </c>
      <c r="B302" s="125">
        <v>0.8</v>
      </c>
      <c r="C302" s="123" t="s">
        <v>716</v>
      </c>
    </row>
    <row r="303" spans="1:3" ht="15" customHeight="1" x14ac:dyDescent="0.3">
      <c r="A303" s="127" t="s">
        <v>586</v>
      </c>
      <c r="B303" s="125">
        <v>0.8</v>
      </c>
      <c r="C303" s="126" t="s">
        <v>716</v>
      </c>
    </row>
    <row r="304" spans="1:3" ht="15" customHeight="1" x14ac:dyDescent="0.3">
      <c r="A304" s="127" t="s">
        <v>865</v>
      </c>
      <c r="B304" s="125">
        <v>0.8</v>
      </c>
      <c r="C304" s="126" t="s">
        <v>716</v>
      </c>
    </row>
    <row r="305" spans="1:3" ht="15" customHeight="1" x14ac:dyDescent="0.3">
      <c r="A305" s="127" t="s">
        <v>1071</v>
      </c>
      <c r="B305" s="130">
        <v>0.8</v>
      </c>
      <c r="C305" s="126" t="s">
        <v>716</v>
      </c>
    </row>
    <row r="306" spans="1:3" ht="15" customHeight="1" x14ac:dyDescent="0.3">
      <c r="A306" s="127" t="s">
        <v>584</v>
      </c>
      <c r="B306" s="125">
        <v>0.2</v>
      </c>
      <c r="C306" s="126" t="s">
        <v>716</v>
      </c>
    </row>
    <row r="307" spans="1:3" ht="15" customHeight="1" x14ac:dyDescent="0.3">
      <c r="A307" s="127" t="s">
        <v>1072</v>
      </c>
      <c r="B307" s="130">
        <v>0.2</v>
      </c>
      <c r="C307" s="126" t="s">
        <v>716</v>
      </c>
    </row>
    <row r="308" spans="1:3" ht="15" customHeight="1" x14ac:dyDescent="0.3">
      <c r="A308" s="123" t="s">
        <v>634</v>
      </c>
      <c r="B308" s="237" t="s">
        <v>1773</v>
      </c>
      <c r="C308" s="123" t="s">
        <v>28</v>
      </c>
    </row>
    <row r="309" spans="1:3" ht="15" customHeight="1" x14ac:dyDescent="0.3">
      <c r="A309" s="123" t="s">
        <v>619</v>
      </c>
      <c r="B309" s="237" t="s">
        <v>1774</v>
      </c>
      <c r="C309" s="123" t="s">
        <v>28</v>
      </c>
    </row>
    <row r="310" spans="1:3" ht="15" customHeight="1" x14ac:dyDescent="0.3">
      <c r="A310" s="123" t="s">
        <v>629</v>
      </c>
      <c r="B310" s="237" t="s">
        <v>1775</v>
      </c>
      <c r="C310" s="123" t="s">
        <v>28</v>
      </c>
    </row>
    <row r="311" spans="1:3" ht="15" customHeight="1" x14ac:dyDescent="0.3">
      <c r="A311" s="123" t="s">
        <v>604</v>
      </c>
      <c r="B311" s="237" t="s">
        <v>1776</v>
      </c>
      <c r="C311" s="123" t="s">
        <v>28</v>
      </c>
    </row>
    <row r="312" spans="1:3" ht="15" customHeight="1" x14ac:dyDescent="0.3">
      <c r="A312" s="123" t="s">
        <v>624</v>
      </c>
      <c r="B312" s="237" t="s">
        <v>1777</v>
      </c>
      <c r="C312" s="123" t="s">
        <v>28</v>
      </c>
    </row>
    <row r="313" spans="1:3" ht="15" customHeight="1" x14ac:dyDescent="0.3">
      <c r="A313" s="123" t="s">
        <v>633</v>
      </c>
      <c r="B313" s="238">
        <f>FRACaerw.aA*Kaerw.aA/(1+FRACaerw.aA*Kaerw.aA+FRACaers.aA*Kaers.aA)</f>
        <v>0.9829214179439465</v>
      </c>
      <c r="C313" s="123" t="s">
        <v>28</v>
      </c>
    </row>
    <row r="314" spans="1:3" ht="15" customHeight="1" x14ac:dyDescent="0.3">
      <c r="A314" s="123" t="s">
        <v>618</v>
      </c>
      <c r="B314" s="238">
        <f ca="1">FRACaerw.aC*Kaerw.aC/(1+FRACaerw.aC*Kaerw.aC+FRACaers.aC*Kaers.aC)</f>
        <v>0.83069933348894709</v>
      </c>
      <c r="C314" s="123" t="s">
        <v>28</v>
      </c>
    </row>
    <row r="315" spans="1:3" ht="15" customHeight="1" x14ac:dyDescent="0.3">
      <c r="A315" s="123" t="s">
        <v>628</v>
      </c>
      <c r="B315" s="238">
        <f>FRACaerw.aM*Kaerw.aM/(1+FRACaerw.aM*Kaerw.aM+FRACaers.aM*Kaers.aM)</f>
        <v>0.77659421367858483</v>
      </c>
      <c r="C315" s="123" t="s">
        <v>28</v>
      </c>
    </row>
    <row r="316" spans="1:3" ht="15" customHeight="1" x14ac:dyDescent="0.3">
      <c r="A316" s="123" t="s">
        <v>603</v>
      </c>
      <c r="B316" s="238" t="e">
        <f ca="1">Kaerw.aR/(1+FRACaerw.aR*Kaerw.aR+FRACaers.aR*Kaers.aR+FRACcldw.aR*Kcldw.aR)</f>
        <v>#NAME?</v>
      </c>
      <c r="C316" s="123" t="s">
        <v>28</v>
      </c>
    </row>
    <row r="317" spans="1:3" ht="15" customHeight="1" x14ac:dyDescent="0.3">
      <c r="A317" s="123" t="s">
        <v>623</v>
      </c>
      <c r="B317" s="238">
        <f>FRACaerw.aT*Kaerw.aT/(1+FRACaerw.aT*Kaerw.aT+FRACaers.aT*Kaers.aT)</f>
        <v>0.44642739323560415</v>
      </c>
      <c r="C317" s="123" t="s">
        <v>28</v>
      </c>
    </row>
    <row r="318" spans="1:3" ht="15" customHeight="1" x14ac:dyDescent="0.3">
      <c r="A318" s="123" t="s">
        <v>635</v>
      </c>
      <c r="B318" s="238" t="e">
        <f>FRACcldw.aA *Kcldw.aA/(1+FRACaerw.aA*Kaerw.aA+FRACaers.aA*Kaers.aA)</f>
        <v>#NAME?</v>
      </c>
      <c r="C318" s="123" t="s">
        <v>28</v>
      </c>
    </row>
    <row r="319" spans="1:3" ht="15" customHeight="1" x14ac:dyDescent="0.3">
      <c r="A319" s="123" t="s">
        <v>620</v>
      </c>
      <c r="B319" s="238" t="e">
        <f ca="1">FRACcldw.aC *Kcldw.aC/(1+FRACaerw.aC*Kaerw.aC+FRACaers.aC*Kaers.aC)</f>
        <v>#NAME?</v>
      </c>
      <c r="C319" s="123" t="s">
        <v>28</v>
      </c>
    </row>
    <row r="320" spans="1:3" ht="15" customHeight="1" x14ac:dyDescent="0.3">
      <c r="A320" s="123" t="s">
        <v>630</v>
      </c>
      <c r="B320" s="238" t="e">
        <f>FRACcldw.aM *Kcldw.aM/(1+FRACaerw.aM*Kaerw.aM+FRACaers.aM*Kaers.aM)</f>
        <v>#NAME?</v>
      </c>
      <c r="C320" s="123" t="s">
        <v>28</v>
      </c>
    </row>
    <row r="321" spans="1:3" ht="15" customHeight="1" x14ac:dyDescent="0.3">
      <c r="A321" s="123" t="s">
        <v>611</v>
      </c>
      <c r="B321" s="238" t="e">
        <f ca="1">FRACcldw.aR*Kcldw.aR/(1+FRACaerw.aR*Kaerw.aR+FRACaers.aR*Kaers.aR)</f>
        <v>#NAME?</v>
      </c>
      <c r="C321" s="123" t="s">
        <v>28</v>
      </c>
    </row>
    <row r="322" spans="1:3" ht="15" customHeight="1" x14ac:dyDescent="0.3">
      <c r="A322" s="123" t="s">
        <v>625</v>
      </c>
      <c r="B322" s="238" t="e">
        <f>FRACcldw.aT *Kcldw.aT/(1+FRACaerw.aT*Kaerw.aT+FRACaers.aT*Kaers.aT)</f>
        <v>#NAME?</v>
      </c>
      <c r="C322" s="123" t="s">
        <v>28</v>
      </c>
    </row>
    <row r="323" spans="1:3" ht="15" customHeight="1" x14ac:dyDescent="0.3">
      <c r="A323" s="126" t="s">
        <v>1639</v>
      </c>
      <c r="B323" s="238">
        <f>1-FRaerw.aA-FRaers.aA</f>
        <v>9.0082635795241117E-11</v>
      </c>
      <c r="C323" s="126" t="s">
        <v>28</v>
      </c>
    </row>
    <row r="324" spans="1:3" ht="15" customHeight="1" x14ac:dyDescent="0.3">
      <c r="A324" s="126" t="s">
        <v>1615</v>
      </c>
      <c r="B324" s="238">
        <f ca="1">1-FRaerw.aC-FRaers.aC</f>
        <v>6.8266003960815169E-11</v>
      </c>
      <c r="C324" s="126" t="s">
        <v>28</v>
      </c>
    </row>
    <row r="325" spans="1:3" ht="15" customHeight="1" x14ac:dyDescent="0.3">
      <c r="A325" s="126" t="s">
        <v>1631</v>
      </c>
      <c r="B325" s="238">
        <f>1-FRaerw.aM-FRaers.aM</f>
        <v>9.0082635795241117E-11</v>
      </c>
      <c r="C325" s="126" t="s">
        <v>28</v>
      </c>
    </row>
    <row r="326" spans="1:3" ht="15" customHeight="1" x14ac:dyDescent="0.3">
      <c r="A326" s="123" t="s">
        <v>1612</v>
      </c>
      <c r="B326" s="238">
        <f ca="1">1-FRaerw.aR-FRaers.aR</f>
        <v>2.3531998571968415E-10</v>
      </c>
      <c r="C326" s="123" t="s">
        <v>28</v>
      </c>
    </row>
    <row r="327" spans="1:3" ht="15" customHeight="1" x14ac:dyDescent="0.3">
      <c r="A327" s="126" t="s">
        <v>1643</v>
      </c>
      <c r="B327" s="238">
        <f>1-FRaerw.aT-FRaers.aT</f>
        <v>2.232136697699616E-10</v>
      </c>
      <c r="C327" s="126" t="s">
        <v>28</v>
      </c>
    </row>
    <row r="328" spans="1:3" ht="15" customHeight="1" x14ac:dyDescent="0.3">
      <c r="A328" s="126" t="s">
        <v>616</v>
      </c>
      <c r="B328" s="125">
        <f>IF(ChemClass="Acid",1/(1+10^(pH.aerw-pKa)),IF(ChemClass="Base",1/(1+10^(pKa-pH.aerw)),1))</f>
        <v>1</v>
      </c>
      <c r="C328" s="126" t="s">
        <v>28</v>
      </c>
    </row>
    <row r="329" spans="1:3" ht="15" customHeight="1" x14ac:dyDescent="0.3">
      <c r="A329" s="235" t="s">
        <v>615</v>
      </c>
      <c r="B329" s="236">
        <f>IF(ChemClass="Acid",1/(1+10^(pH.cldw-pKa)),IF(ChemClass="Base",1/(1+10^(pKa-pH.cldw)),1))</f>
        <v>1</v>
      </c>
      <c r="C329" s="235" t="s">
        <v>28</v>
      </c>
    </row>
    <row r="330" spans="1:3" ht="15" customHeight="1" x14ac:dyDescent="0.3">
      <c r="A330" s="126" t="s">
        <v>598</v>
      </c>
      <c r="B330" s="125">
        <f>IF(ChemClass="Acid",1/(1+10^(pH.s1-0.6-pKa)),IF(ChemClass="Base",1/(1+10^(pKa-4.5)),1))</f>
        <v>1</v>
      </c>
      <c r="C330" s="126" t="s">
        <v>28</v>
      </c>
    </row>
    <row r="331" spans="1:3" ht="15" customHeight="1" x14ac:dyDescent="0.3">
      <c r="A331" s="126" t="s">
        <v>639</v>
      </c>
      <c r="B331" s="125">
        <f>IF(ChemClass="Acid",1/(1+10^(pH.s1-pKa)),IF(ChemClass="Base",1/(1+10^(pKa-pH.s1)),1))</f>
        <v>1</v>
      </c>
      <c r="C331" s="126" t="s">
        <v>28</v>
      </c>
    </row>
    <row r="332" spans="1:3" ht="15" customHeight="1" x14ac:dyDescent="0.3">
      <c r="A332" s="126" t="s">
        <v>599</v>
      </c>
      <c r="B332" s="125">
        <f>IF(ChemClass="Acid",1/(1+10^(pH.s2-0.6-pKa)),IF(ChemClass="Base",1/(1+10^(pKa-4.5)),1))</f>
        <v>1</v>
      </c>
      <c r="C332" s="126" t="s">
        <v>28</v>
      </c>
    </row>
    <row r="333" spans="1:3" ht="15" customHeight="1" x14ac:dyDescent="0.3">
      <c r="A333" s="126" t="s">
        <v>640</v>
      </c>
      <c r="B333" s="125">
        <f>IF(ChemClass="Acid",1/(1+10^(pH.s2-pKa)),IF(ChemClass="Base",1/(1+10^(pKa-pH.s2)),1))</f>
        <v>1</v>
      </c>
      <c r="C333" s="126" t="s">
        <v>28</v>
      </c>
    </row>
    <row r="334" spans="1:3" ht="15" customHeight="1" x14ac:dyDescent="0.3">
      <c r="A334" s="126" t="s">
        <v>600</v>
      </c>
      <c r="B334" s="125">
        <f>IF(ChemClass="Acid",1/(1+10^(pH.s3-0.6-pKa)),IF(ChemClass="Base",1/(1+10^(pKa-4.5)),1))</f>
        <v>1</v>
      </c>
      <c r="C334" s="126" t="s">
        <v>28</v>
      </c>
    </row>
    <row r="335" spans="1:3" ht="15" customHeight="1" x14ac:dyDescent="0.3">
      <c r="A335" s="126" t="s">
        <v>641</v>
      </c>
      <c r="B335" s="125">
        <f>IF(ChemClass="Acid",1/(1+10^(pH.s3-pKa)),IF(ChemClass="Base",1/(1+10^(pKa-pH.s3)),1))</f>
        <v>1</v>
      </c>
      <c r="C335" s="126" t="s">
        <v>28</v>
      </c>
    </row>
    <row r="336" spans="1:3" ht="15" customHeight="1" x14ac:dyDescent="0.3">
      <c r="A336" s="126" t="s">
        <v>594</v>
      </c>
      <c r="B336" s="125">
        <f>IF(ChemClass="Acid",1/(1+10^(pH.w1-0.6-pKa)),IF(ChemClass="Base",1/(1+10^(pKa-4.5)),1))</f>
        <v>1</v>
      </c>
      <c r="C336" s="126" t="s">
        <v>28</v>
      </c>
    </row>
    <row r="337" spans="1:3" ht="15" customHeight="1" x14ac:dyDescent="0.3">
      <c r="A337" s="126" t="s">
        <v>595</v>
      </c>
      <c r="B337" s="125">
        <f>IF(ChemClass="Acid",1/(1+10^(pH.w2-0.6-pKa)),IF(ChemClass="Base",1/(1+10^(pKa-4.5)),1))</f>
        <v>1</v>
      </c>
      <c r="C337" s="126"/>
    </row>
    <row r="338" spans="1:3" ht="15" customHeight="1" x14ac:dyDescent="0.3">
      <c r="A338" s="126" t="s">
        <v>592</v>
      </c>
      <c r="B338" s="125">
        <f>IF(ChemClass="Acid",1/(1+10^(pH.w1-pKa)),IF(ChemClass="Base",1/(1+10^(pKa-pH.w1)),1))</f>
        <v>1</v>
      </c>
      <c r="C338" s="126" t="s">
        <v>28</v>
      </c>
    </row>
    <row r="339" spans="1:3" ht="15" customHeight="1" x14ac:dyDescent="0.3">
      <c r="A339" s="126" t="s">
        <v>593</v>
      </c>
      <c r="B339" s="125">
        <f>IF(ChemClass="Acid",1/(1+10^(pH.w2-pKa)),IF(ChemClass="Base",1/(1+10^(pKa-pH.w2)),1))</f>
        <v>1</v>
      </c>
      <c r="C339" s="126" t="s">
        <v>28</v>
      </c>
    </row>
    <row r="340" spans="1:3" ht="15" customHeight="1" x14ac:dyDescent="0.3">
      <c r="A340" s="127" t="s">
        <v>992</v>
      </c>
      <c r="B340" s="125">
        <f ca="1">FRACs.s1C / (FRACa.s1C*Kaw.C*FRorig.s1w/(Kp.s1C*RHOsolid/1000)+FRACw.s1C /(Kp.s1C*RHOsolid/1000)+FRACs.s1C )</f>
        <v>0.99993835102225204</v>
      </c>
      <c r="C340" s="126" t="s">
        <v>28</v>
      </c>
    </row>
    <row r="341" spans="1:3" ht="15" customHeight="1" x14ac:dyDescent="0.3">
      <c r="A341" s="127" t="s">
        <v>990</v>
      </c>
      <c r="B341" s="132">
        <f ca="1">FRACs.s1R / (FRACa.s1R*Kaw.R*FRorig.s1w/(Kp.s1R*RHOsolid/1000)+FRACw.s1R /(Kp.s1R*RHOsolid/1000)+FRACs.s1R )</f>
        <v>0.99977848210653752</v>
      </c>
      <c r="C341" s="126" t="s">
        <v>28</v>
      </c>
    </row>
    <row r="342" spans="1:3" ht="15" customHeight="1" x14ac:dyDescent="0.3">
      <c r="A342" s="127" t="s">
        <v>993</v>
      </c>
      <c r="B342" s="125">
        <f ca="1">FRACs.s2C / (FRACa.s2C*Kaw.C*FRorig.s2w/(Kp.s2C*RHOsolid/1000)+FRACw.s2C /(Kp.s2C*RHOsolid/1000)+FRACs.s2C )</f>
        <v>0.99982399329791705</v>
      </c>
      <c r="C342" s="126" t="s">
        <v>28</v>
      </c>
    </row>
    <row r="343" spans="1:3" ht="15" customHeight="1" x14ac:dyDescent="0.3">
      <c r="A343" s="127" t="s">
        <v>991</v>
      </c>
      <c r="B343" s="132">
        <f ca="1">FRACs.s2R / (FRACa.s2R*Kaw.R*FRorig.s2w/(Kp.s2R*RHOsolid/1000)+FRACw.s2R /(Kp.s2R*RHOsolid/1000)+FRACs.s2R )</f>
        <v>0.99967566304590594</v>
      </c>
      <c r="C343" s="126" t="s">
        <v>28</v>
      </c>
    </row>
    <row r="344" spans="1:3" ht="15" customHeight="1" x14ac:dyDescent="0.3">
      <c r="A344" s="127" t="s">
        <v>994</v>
      </c>
      <c r="B344" s="125">
        <f ca="1">FRACs.s3C / (FRACa.s3C*Kaw.C*FRorig.s3w/(Kp.s3C*RHOsolid/1000)+FRACw.s3C /(Kp.s3C*RHOsolid/1000)+FRACs.s3C )</f>
        <v>0.99979636521997617</v>
      </c>
      <c r="C344" s="126" t="s">
        <v>28</v>
      </c>
    </row>
    <row r="345" spans="1:3" ht="15" customHeight="1" x14ac:dyDescent="0.3">
      <c r="A345" s="127" t="s">
        <v>1100</v>
      </c>
      <c r="B345" s="132">
        <f ca="1">FRACs.s3R / (FRACa.s3R*Kaw.R*FRorig.s3w/(Kp.s3R*RHOsolid/1000)+FRACw.s3R /(Kp.s3R*RHOsolid/1000)+FRACs.s3R )</f>
        <v>0.99998400673374643</v>
      </c>
      <c r="C345" s="126" t="s">
        <v>28</v>
      </c>
    </row>
    <row r="346" spans="1:3" ht="15" customHeight="1" x14ac:dyDescent="0.3">
      <c r="A346" s="127" t="s">
        <v>1298</v>
      </c>
      <c r="B346" s="125">
        <f ca="1">FRACs.sA/ (FRACa.sA*Kaw.A*FRorig.s1w/(Kp.sA*RHOsolid/1000)+FRACw.sA/(Kp.sA*RHOsolid/1000)+FRACs.sA )</f>
        <v>0.99990059029505118</v>
      </c>
      <c r="C346" s="126" t="s">
        <v>28</v>
      </c>
    </row>
    <row r="347" spans="1:3" ht="15" customHeight="1" x14ac:dyDescent="0.3">
      <c r="A347" s="127" t="s">
        <v>36</v>
      </c>
      <c r="B347" s="125">
        <f ca="1">FRACs.sM / (FRACa.sM*Kaw.M*FRorig.s1w/(Kp.sM*RHOsolid/1000)+FRACw.sM/(Kp.sM*RHOsolid/1000)+FRACs.sM )</f>
        <v>0.99990059029505118</v>
      </c>
      <c r="C347" s="126" t="s">
        <v>28</v>
      </c>
    </row>
    <row r="348" spans="1:3" ht="15" customHeight="1" x14ac:dyDescent="0.3">
      <c r="A348" s="127" t="s">
        <v>468</v>
      </c>
      <c r="B348" s="125">
        <f ca="1">FRACs.sT/ (FRACa.sT*Kaw.T*FRorig.s1w/(Kp.sT*RHOsolid/1000)+FRACw.sT/(Kp.sT*RHOsolid/1000)+FRACs.sT )</f>
        <v>0.99990059029505118</v>
      </c>
      <c r="C348" s="126" t="s">
        <v>28</v>
      </c>
    </row>
    <row r="349" spans="1:3" ht="15" customHeight="1" x14ac:dyDescent="0.3">
      <c r="A349" s="127" t="s">
        <v>569</v>
      </c>
      <c r="B349" s="125">
        <f ca="1">FRACw.s1C/(FRACa.s1C*(Kaw.C*FRorig.s1w)+FRACw.s1C+FRACs.s1C*Kp.s1C*RHOsolid/1000)</f>
        <v>6.164897774799451E-5</v>
      </c>
      <c r="C349" s="126" t="s">
        <v>28</v>
      </c>
    </row>
    <row r="350" spans="1:3" ht="15" customHeight="1" x14ac:dyDescent="0.3">
      <c r="A350" s="127" t="s">
        <v>986</v>
      </c>
      <c r="B350" s="132">
        <f ca="1">FRACw.s1R/(FRACa.s1R*(Kaw.R*FRorig.s1w)+FRACw.s1R+FRACs.s1R*Kp.s1R*RHOsolid/1000)</f>
        <v>2.2151789346244432E-4</v>
      </c>
      <c r="C350" s="126" t="s">
        <v>28</v>
      </c>
    </row>
    <row r="351" spans="1:3" ht="15" customHeight="1" x14ac:dyDescent="0.3">
      <c r="A351" s="127" t="s">
        <v>570</v>
      </c>
      <c r="B351" s="125">
        <f ca="1">FRACw.s2C/(FRACa.s2C*(Kaw.C*FRorig.s2w)+FRACw.s2C+FRACs.s2C*Kp.s2C*RHOsolid/1000)</f>
        <v>1.7600670208304855E-4</v>
      </c>
      <c r="C351" s="126" t="s">
        <v>28</v>
      </c>
    </row>
    <row r="352" spans="1:3" ht="15" customHeight="1" x14ac:dyDescent="0.3">
      <c r="A352" s="127" t="s">
        <v>987</v>
      </c>
      <c r="B352" s="132">
        <f ca="1">FRACw.s2R/(FRACa.s2R*(Kaw.R*FRorig.s2w)+FRACw.s2R+FRACs.s2R*Kp.s2R*RHOsolid/1000)</f>
        <v>3.2433695409401922E-4</v>
      </c>
      <c r="C352" s="126" t="s">
        <v>28</v>
      </c>
    </row>
    <row r="353" spans="1:3" ht="15" customHeight="1" x14ac:dyDescent="0.3">
      <c r="A353" s="127" t="s">
        <v>571</v>
      </c>
      <c r="B353" s="125">
        <f ca="1">FRACw.s3C/(FRACa.s3C*(Kaw.C*FRorig.s3w)+FRACw.s3C+FRACs.s3C*Kp.s3C*RHOsolid/1000)</f>
        <v>2.0363478002383617E-4</v>
      </c>
      <c r="C353" s="126" t="s">
        <v>28</v>
      </c>
    </row>
    <row r="354" spans="1:3" ht="15" customHeight="1" x14ac:dyDescent="0.3">
      <c r="A354" s="127" t="s">
        <v>988</v>
      </c>
      <c r="B354" s="132">
        <f ca="1">FRACw.s3R/(FRACa.s3R*(Kaw.R*FRorig.s3w)+FRACw.s3R+FRACs.s3R*Kp.s3R*RHOsolid/1000)</f>
        <v>1.599326625359735E-5</v>
      </c>
      <c r="C354" s="126" t="s">
        <v>28</v>
      </c>
    </row>
    <row r="355" spans="1:3" ht="15" customHeight="1" x14ac:dyDescent="0.3">
      <c r="A355" s="127" t="s">
        <v>1297</v>
      </c>
      <c r="B355" s="125">
        <f ca="1">FRACw.sA/(FRACa.sA*(Kaw.A*FRorig.s1w)+FRACw.sA+FRACs.sA*Kp.sA*RHOsolid/1000)</f>
        <v>9.9409704948821942E-5</v>
      </c>
      <c r="C355" s="126" t="s">
        <v>28</v>
      </c>
    </row>
    <row r="356" spans="1:3" ht="15" customHeight="1" x14ac:dyDescent="0.3">
      <c r="A356" s="127" t="s">
        <v>583</v>
      </c>
      <c r="B356" s="125">
        <f ca="1">FRACw.sM/(FRACa.sM*(Kaw.M*FRorig.s1w)+FRACw.sM+FRACs.sM*Kp.sM*RHOsolid/1000)</f>
        <v>9.9409704948821942E-5</v>
      </c>
      <c r="C356" s="126" t="s">
        <v>28</v>
      </c>
    </row>
    <row r="357" spans="1:3" ht="15" customHeight="1" x14ac:dyDescent="0.3">
      <c r="A357" s="127" t="s">
        <v>469</v>
      </c>
      <c r="B357" s="125">
        <f ca="1">FRACw.sT/(FRACa.sT*(Kaw.T*FRorig.s1w)+FRACw.sT+FRACs.sT*Kp.sT*RHOsolid/1000)</f>
        <v>9.9409704948821942E-5</v>
      </c>
      <c r="C357" s="126" t="s">
        <v>28</v>
      </c>
    </row>
    <row r="358" spans="1:3" ht="15" customHeight="1" x14ac:dyDescent="0.3">
      <c r="A358" s="127" t="s">
        <v>335</v>
      </c>
      <c r="B358" s="132">
        <f ca="1">1/(1+Kp.susp0C*SUSP.w0C/1000+Kp.col0C*COL.w0C/1000)</f>
        <v>0.99671269431501808</v>
      </c>
      <c r="C358" s="126" t="s">
        <v>28</v>
      </c>
    </row>
    <row r="359" spans="1:3" ht="15" customHeight="1" x14ac:dyDescent="0.3">
      <c r="A359" s="127" t="s">
        <v>286</v>
      </c>
      <c r="B359" s="132">
        <f ca="1">1/(1+Kp.susp0R*SUSP.w0R/1000+Kp.col0R*COL.w0R/1000)</f>
        <v>0.99671269431501808</v>
      </c>
      <c r="C359" s="126" t="s">
        <v>28</v>
      </c>
    </row>
    <row r="360" spans="1:3" ht="15" customHeight="1" x14ac:dyDescent="0.3">
      <c r="A360" s="127" t="s">
        <v>564</v>
      </c>
      <c r="B360" s="132">
        <f ca="1">1/(1+Kp.susp1C*SUSP.w1C/1000+Kp.col1C*COL.w1C/1000)</f>
        <v>0.90795196740749706</v>
      </c>
      <c r="C360" s="126" t="s">
        <v>28</v>
      </c>
    </row>
    <row r="361" spans="1:3" ht="15" customHeight="1" x14ac:dyDescent="0.3">
      <c r="A361" s="127" t="s">
        <v>530</v>
      </c>
      <c r="B361" s="132">
        <f ca="1">1/(1+Kp.susp1R*SUSP.w1R/1000+Kp.col1R*COL.w1R/1000)</f>
        <v>0.93500825455603809</v>
      </c>
      <c r="C361" s="126" t="s">
        <v>28</v>
      </c>
    </row>
    <row r="362" spans="1:3" ht="15" customHeight="1" x14ac:dyDescent="0.3">
      <c r="A362" s="124" t="s">
        <v>1140</v>
      </c>
      <c r="B362" s="125">
        <f ca="1">1/(1+Kp.susp2A*SUSP.w2A/1000+Kp.col2A*COL.w2A/1000)</f>
        <v>0.96807931705231609</v>
      </c>
      <c r="C362" s="126" t="s">
        <v>28</v>
      </c>
    </row>
    <row r="363" spans="1:3" ht="15" customHeight="1" x14ac:dyDescent="0.3">
      <c r="A363" s="127" t="s">
        <v>565</v>
      </c>
      <c r="B363" s="132">
        <f ca="1">1/(1+Kp.susp2C*SUSP.w2C/1000+Kp.col2C*COL.w2C/1000)</f>
        <v>0.96307223379410145</v>
      </c>
      <c r="C363" s="126" t="s">
        <v>28</v>
      </c>
    </row>
    <row r="364" spans="1:3" ht="15" customHeight="1" x14ac:dyDescent="0.3">
      <c r="A364" s="124" t="s">
        <v>126</v>
      </c>
      <c r="B364" s="125">
        <f ca="1">1/(1+Kp.susp2M*SUSP.w2M/1000+Kp.col2M*COL.w2M/1000)</f>
        <v>0.96807931705231609</v>
      </c>
      <c r="C364" s="126" t="s">
        <v>28</v>
      </c>
    </row>
    <row r="365" spans="1:3" ht="15" customHeight="1" x14ac:dyDescent="0.3">
      <c r="A365" s="127" t="s">
        <v>531</v>
      </c>
      <c r="B365" s="125">
        <f ca="1">1/(1+Kp.susp2R*SUSP.w2R/1000+Kp.col2R*COL.w2R/1000)</f>
        <v>0.96807931705231609</v>
      </c>
      <c r="C365" s="126" t="s">
        <v>28</v>
      </c>
    </row>
    <row r="366" spans="1:3" ht="15" customHeight="1" x14ac:dyDescent="0.3">
      <c r="A366" s="124" t="s">
        <v>99</v>
      </c>
      <c r="B366" s="132">
        <f ca="1">1/(1+Kp.susp2T*SUSP.w2T/1000+Kp.col2T*COL.w2T/1000)</f>
        <v>0.96807931705231609</v>
      </c>
      <c r="C366" s="126" t="s">
        <v>28</v>
      </c>
    </row>
    <row r="367" spans="1:3" ht="15" customHeight="1" x14ac:dyDescent="0.3">
      <c r="A367" s="124" t="s">
        <v>1141</v>
      </c>
      <c r="B367" s="125">
        <f ca="1">1/(1+Kp.susp3A*SUSP.w3A/1000+Kp.col3A*COL.w3A/1000)</f>
        <v>0.96807931705231609</v>
      </c>
      <c r="C367" s="126" t="s">
        <v>28</v>
      </c>
    </row>
    <row r="368" spans="1:3" ht="15" customHeight="1" x14ac:dyDescent="0.3">
      <c r="A368" s="124" t="s">
        <v>127</v>
      </c>
      <c r="B368" s="125">
        <f ca="1">1/(1+Kp.susp3M*SUSP.w3M/1000+Kp.col3M*COL.w3M/1000)</f>
        <v>0.96807931705231609</v>
      </c>
      <c r="C368" s="126" t="s">
        <v>28</v>
      </c>
    </row>
    <row r="369" spans="1:3" ht="15" customHeight="1" x14ac:dyDescent="0.3">
      <c r="A369" s="124" t="s">
        <v>1113</v>
      </c>
      <c r="B369" s="132">
        <f ca="1">1/(1+Kp.susp3T*SUSP.w3T/1000+Kp.col3T*COL.w3T/1000)</f>
        <v>0.96807931705231609</v>
      </c>
      <c r="C369" s="126" t="s">
        <v>28</v>
      </c>
    </row>
    <row r="370" spans="1:3" ht="15" customHeight="1" x14ac:dyDescent="0.3">
      <c r="A370" s="124" t="s">
        <v>1226</v>
      </c>
      <c r="B370" s="125">
        <f ca="1">FRgas.aA*(MTCas.air.aA*MTCas.soil.sA)/(MTCas.air.aA*((Kaw.A*FRorig.s1w)/Kslw.A)+MTCas.soil.sA)*SYSTEMAREA.A*AREAFRAC.sA</f>
        <v>1.6045407504803433</v>
      </c>
      <c r="C370" s="123" t="s">
        <v>1664</v>
      </c>
    </row>
    <row r="371" spans="1:3" ht="15" customHeight="1" x14ac:dyDescent="0.3">
      <c r="A371" s="124" t="s">
        <v>1155</v>
      </c>
      <c r="B371" s="125">
        <f>FRgas.aA*(MTCaw.air.aA*MTCaw.water.wA/(FRorig.w1*MTCaw.air.aA*Kaw.A+MTCaw.water.wA))*SYSTEMAREA.A*AREAFRAC.wA</f>
        <v>12.821732282086884</v>
      </c>
      <c r="C371" s="123" t="s">
        <v>1664</v>
      </c>
    </row>
    <row r="372" spans="1:3" ht="15" customHeight="1" x14ac:dyDescent="0.3">
      <c r="A372" s="124" t="s">
        <v>1379</v>
      </c>
      <c r="B372" s="125">
        <f ca="1">FRgas.aC*(MTCas.air.aC*MTCas.soil.sC)/(MTCas.air.aC*((Kaw.C*FRorig.s1w)/Ks1w.C)+MTCas.soil.sC)*(SYSTEMAREA.C*AREAFRAC.s1C)</f>
        <v>8.1752930601126816E-2</v>
      </c>
      <c r="C372" s="126" t="s">
        <v>1664</v>
      </c>
    </row>
    <row r="373" spans="1:3" ht="15" customHeight="1" x14ac:dyDescent="0.3">
      <c r="A373" s="124" t="s">
        <v>1233</v>
      </c>
      <c r="B373" s="125">
        <f ca="1">FRgas.aC*(MTCas.air.aC*MTCas.soil.sC)/(MTCas.air.aC*((Kaw.C*FRorig.s2w)/Ks2w.C)+MTCas.soil.sC)*(SYSTEMAREA.C*AREAFRAC.s2C)</f>
        <v>0.18167304273435705</v>
      </c>
      <c r="C373" s="126" t="s">
        <v>1664</v>
      </c>
    </row>
    <row r="374" spans="1:3" ht="15" customHeight="1" x14ac:dyDescent="0.3">
      <c r="A374" s="124" t="s">
        <v>1235</v>
      </c>
      <c r="B374" s="125">
        <f ca="1">FRgas.aC*(MTCas.air.aC*MTCas.soil.sC)/(MTCas.air.aC*((Kaw.C*FRorig.s3w)/Ks3w.C)+MTCas.soil.sC)*(SYSTEMAREA.C*AREAFRAC.s3C)</f>
        <v>3.0278831701867931E-2</v>
      </c>
      <c r="C374" s="126" t="s">
        <v>1664</v>
      </c>
    </row>
    <row r="375" spans="1:3" ht="15" customHeight="1" x14ac:dyDescent="0.3">
      <c r="A375" s="124" t="s">
        <v>344</v>
      </c>
      <c r="B375" s="125">
        <f ca="1">FRgas.aC*(MTCaw.air.aC*MTCaw.water.wC/(FRorig.w1*MTCaw.air.aC*Kaw.C+MTCaw.water.wC))*SYSTEMAREA.C*AREAFRAC.w0C</f>
        <v>7.2736097728016086E-3</v>
      </c>
      <c r="C375" s="126" t="s">
        <v>1664</v>
      </c>
    </row>
    <row r="376" spans="1:3" ht="15" customHeight="1" x14ac:dyDescent="0.3">
      <c r="A376" s="124" t="s">
        <v>12</v>
      </c>
      <c r="B376" s="125">
        <f ca="1">FRgas.aC*(MTCaw.air.aC*MTCaw.water.wC/(FRorig.w1*MTCaw.air.aC*Kaw.C+MTCaw.water.wC))*SYSTEMAREA.C*AREAFRAC.w1C</f>
        <v>8.0009707500817692E-2</v>
      </c>
      <c r="C376" s="126" t="s">
        <v>1664</v>
      </c>
    </row>
    <row r="377" spans="1:3" ht="15" customHeight="1" x14ac:dyDescent="0.3">
      <c r="A377" s="124" t="s">
        <v>1377</v>
      </c>
      <c r="B377" s="125">
        <f ca="1">FRgas.aC*(MTCaw.air.aC*MTCaw.water.wC/(FRorig.w2*MTCaw.air.aC*Kaw.C+MTCaw.water.wC))*SYSTEMAREA.C*AREAFRAC.w2C</f>
        <v>2.9092927068755614</v>
      </c>
      <c r="C377" s="126" t="s">
        <v>1664</v>
      </c>
    </row>
    <row r="378" spans="1:3" ht="15" customHeight="1" x14ac:dyDescent="0.3">
      <c r="A378" s="124" t="s">
        <v>1325</v>
      </c>
      <c r="B378" s="125">
        <f ca="1">FRgas.aM*(MTCas.air.aM*MTCas.soil.sM)/(MTCas.air.aM*((Kaw.M*FRorig.s1w)/Kslw.M)+MTCas.soil.sM)*SYSTEMAREA.M*AREAFRAC.sM</f>
        <v>3.6117893983631206</v>
      </c>
      <c r="C378" s="123" t="s">
        <v>1664</v>
      </c>
    </row>
    <row r="379" spans="1:3" ht="15" customHeight="1" x14ac:dyDescent="0.3">
      <c r="A379" s="124" t="s">
        <v>137</v>
      </c>
      <c r="B379" s="125">
        <f>FRgas.aM*(MTCaw.air.aM*MTCaw.water.wM/(FRorig.w1*MTCaw.air.aM*Kaw.M+MTCaw.water.wM))*SYSTEMAREA.M*AREAFRAC.wM</f>
        <v>19.241018027328895</v>
      </c>
      <c r="C379" s="123" t="s">
        <v>1664</v>
      </c>
    </row>
    <row r="380" spans="1:3" ht="15" customHeight="1" x14ac:dyDescent="0.3">
      <c r="A380" s="124" t="s">
        <v>732</v>
      </c>
      <c r="B380" s="125">
        <f ca="1">FRgas.aR*(MTCas.air.aR*MTCas.soil.sR/(MTCas.air.aR*(Kaw.R*FRorig.s1)/Ks1w.R+MTCas.soil.sR))*(SYSTEMAREA.R*AREAFRAC.s1R)</f>
        <v>5.4242528688304269E-25</v>
      </c>
      <c r="C380" s="126" t="s">
        <v>1664</v>
      </c>
    </row>
    <row r="381" spans="1:3" ht="15" customHeight="1" x14ac:dyDescent="0.3">
      <c r="A381" s="124" t="s">
        <v>734</v>
      </c>
      <c r="B381" s="125">
        <f ca="1">FRgas.aR*(MTCas.air.aR*MTCas.soil.sR/(MTCas.air.aR*(Kaw.R*FRorig.s2)/Ks2w.R+MTCas.soil.sR))*(SYSTEMAREA.R*AREAFRAC.s2R)</f>
        <v>9.763639062037629E-6</v>
      </c>
      <c r="C381" s="126" t="s">
        <v>1664</v>
      </c>
    </row>
    <row r="382" spans="1:3" ht="15" customHeight="1" x14ac:dyDescent="0.3">
      <c r="A382" s="124" t="s">
        <v>736</v>
      </c>
      <c r="B382" s="125">
        <f ca="1">FRgas.aR*(MTCas.air.aR*MTCas.soil.sR/(MTCas.air.aR*(Kaw.R*FRorig.s3)/Ks3w.R+MTCas.soil.sR))*(SYSTEMAREA.R*AREAFRAC.s3R)</f>
        <v>3.1460804227816368E-5</v>
      </c>
      <c r="C382" s="126" t="s">
        <v>1664</v>
      </c>
    </row>
    <row r="383" spans="1:3" ht="15" customHeight="1" x14ac:dyDescent="0.3">
      <c r="A383" s="124" t="s">
        <v>296</v>
      </c>
      <c r="B383" s="125">
        <f ca="1">FRgas.aR*(MTCaw.air.aR*MTCaw.water.wR/(MTCaw.air.aR*(Kaw.R*FRorig.w1)+MTCaw.water.wR))*(SYSTEMAREA.R*AREAFRAC.w0R)</f>
        <v>1.8294405114509015E-24</v>
      </c>
      <c r="C383" s="126" t="s">
        <v>1664</v>
      </c>
    </row>
    <row r="384" spans="1:3" ht="15" customHeight="1" x14ac:dyDescent="0.3">
      <c r="A384" s="124" t="s">
        <v>1001</v>
      </c>
      <c r="B384" s="125">
        <f ca="1">FRgas.aR*(MTCaw.air.aR*MTCaw.water.wR/(MTCaw.air.aR*(Kaw.R*FRorig.w1)+MTCaw.water.wR))*(SYSTEMAREA.R*AREAFRAC.w1R)</f>
        <v>4.3906572274821636E-5</v>
      </c>
      <c r="C384" s="126" t="s">
        <v>1664</v>
      </c>
    </row>
    <row r="385" spans="1:3" ht="15" customHeight="1" x14ac:dyDescent="0.3">
      <c r="A385" s="124" t="s">
        <v>730</v>
      </c>
      <c r="B385" s="125">
        <f ca="1">FRgas.aR*(MTCaw.air.aR*MTCaw.water.wR/(MTCaw.air.aR*(Kaw.R*FRorig.w2)+MTCaw.water.wR))*(SYSTEMAREA.R*AREAFRAC.w2R)</f>
        <v>8.3156386884131893E-27</v>
      </c>
      <c r="C385" s="126" t="s">
        <v>1664</v>
      </c>
    </row>
    <row r="386" spans="1:3" ht="15" customHeight="1" x14ac:dyDescent="0.3">
      <c r="A386" s="124" t="s">
        <v>1374</v>
      </c>
      <c r="B386" s="125">
        <f ca="1">FRgas.aT*(MTCas.air.aT*MTCas.soil.sT/(MTCas.air.aT*(Kaw.T*FRorig.s1w)/Kslw.T+MTCas.soil.sT))*SYSTEMAREA.T*AREAFRAC.sT</f>
        <v>8.9456328312937536</v>
      </c>
      <c r="C386" s="123" t="s">
        <v>1664</v>
      </c>
    </row>
    <row r="387" spans="1:3" ht="15" customHeight="1" x14ac:dyDescent="0.3">
      <c r="A387" s="124" t="s">
        <v>1126</v>
      </c>
      <c r="B387" s="125">
        <f>FRgas.aT*(MTCaw.air.aT*MTCaw.water.wT/(FRorig.w1*MTCaw.air.aT*Kaw.T+MTCaw.water.wT))*SYSTEMAREA.T*AREAFRAC.wT</f>
        <v>111.1973535831338</v>
      </c>
      <c r="C387" s="123" t="s">
        <v>1664</v>
      </c>
    </row>
    <row r="388" spans="1:3" ht="15" customHeight="1" x14ac:dyDescent="0.3">
      <c r="A388" s="124" t="s">
        <v>985</v>
      </c>
      <c r="B388" s="239" t="e">
        <f>FRgas.aA*(tdry.A+twet.A)/twet.A*RAINrate.A/(Kaw.A*FRorig.cldw)</f>
        <v>#NAME?</v>
      </c>
      <c r="C388" s="129" t="s">
        <v>1665</v>
      </c>
    </row>
    <row r="389" spans="1:3" ht="15" customHeight="1" x14ac:dyDescent="0.3">
      <c r="A389" s="124" t="s">
        <v>895</v>
      </c>
      <c r="B389" s="239" t="e">
        <f ca="1">FRgas.aC*(tdry.C+twet.C)/twet.C*RAINrate.C/(Kaw.C*FRorig.cldw)</f>
        <v>#NAME?</v>
      </c>
      <c r="C389" s="129" t="s">
        <v>1665</v>
      </c>
    </row>
    <row r="390" spans="1:3" ht="15" customHeight="1" x14ac:dyDescent="0.3">
      <c r="A390" s="124" t="s">
        <v>540</v>
      </c>
      <c r="B390" s="239" t="e">
        <f>FRgas.aM*(tdry.M+twet.M)/twet.M*RAINrate.M/(Kaw.M*FRorig.cldw)</f>
        <v>#NAME?</v>
      </c>
      <c r="C390" s="129" t="s">
        <v>1665</v>
      </c>
    </row>
    <row r="391" spans="1:3" ht="15" customHeight="1" x14ac:dyDescent="0.3">
      <c r="A391" s="124" t="s">
        <v>581</v>
      </c>
      <c r="B391" s="239" t="e">
        <f ca="1">FRgas.aR*(tdry.R+twet.R)/twet.R*RAINrate.R/(Kaw.R*FRorig.cldw)</f>
        <v>#NAME?</v>
      </c>
      <c r="C391" s="129" t="s">
        <v>1665</v>
      </c>
    </row>
    <row r="392" spans="1:3" ht="15" customHeight="1" x14ac:dyDescent="0.3">
      <c r="A392" s="124" t="s">
        <v>1396</v>
      </c>
      <c r="B392" s="239" t="e">
        <f>FRgas.aT*(tdry.T+twet.T)/twet.T*RAINrate.T/(Kaw.T*FRorig.cldw)</f>
        <v>#NAME?</v>
      </c>
      <c r="C392" s="129" t="s">
        <v>1665</v>
      </c>
    </row>
    <row r="393" spans="1:3" ht="15" customHeight="1" x14ac:dyDescent="0.3">
      <c r="A393" s="127" t="s">
        <v>1055</v>
      </c>
      <c r="B393" s="125">
        <f ca="1">IF(SETTLvelocity.C*SUSP.w1C/(FRACs.sdC*RHOsolid)&gt;NETsedrate.w1C,SETTLvelocity.C*SUSP.w1C/(FRACs.sdC*RHOsolid),NETsedrate.w1C)</f>
        <v>1.1207317164629032E-9</v>
      </c>
      <c r="C393" s="129" t="s">
        <v>1665</v>
      </c>
    </row>
    <row r="394" spans="1:3" ht="15" customHeight="1" x14ac:dyDescent="0.3">
      <c r="A394" s="127" t="s">
        <v>499</v>
      </c>
      <c r="B394" s="125">
        <f ca="1">IF(SETTLvelocity.R*SUSP.w1R/(FRACs.sdR*RHOsolid)&gt;NETsedrate.w1R,SETTLvelocity.R*SUSP.w1R/(FRACs.sdR*RHOsolid),NETsedrate.w1R)</f>
        <v>7.4009162578597541E-10</v>
      </c>
      <c r="C394" s="129" t="s">
        <v>1665</v>
      </c>
    </row>
    <row r="395" spans="1:3" ht="15" customHeight="1" x14ac:dyDescent="0.3">
      <c r="A395" s="127" t="s">
        <v>489</v>
      </c>
      <c r="B395" s="125">
        <f ca="1">IF(SETTLvelocity.C*SUSP.w2C/(FRACs.sdC*RHOsolid)&gt;NETsedrate.w2C,SETTLvelocity.C*SUSP.w2C/(FRACs.sdC*RHOsolid),NETsedrate.w2C)</f>
        <v>7.5969077727662131E-10</v>
      </c>
      <c r="C395" s="129" t="s">
        <v>1665</v>
      </c>
    </row>
    <row r="396" spans="1:3" ht="15" customHeight="1" x14ac:dyDescent="0.3">
      <c r="A396" s="127" t="s">
        <v>410</v>
      </c>
      <c r="B396" s="125">
        <f ca="1">IF(SETTLvelocity.R*SUSP.w2R/(FRACs.sdR*RHOsolid)&gt;NETsedrate.w2R,SETTLvelocity.R*SUSP.w2R/(FRACs.sdR*RHOsolid),NETsedrate.w2R)</f>
        <v>2.3076436713579277E-10</v>
      </c>
      <c r="C396" s="129" t="s">
        <v>1665</v>
      </c>
    </row>
    <row r="397" spans="1:3" ht="15" customHeight="1" x14ac:dyDescent="0.3">
      <c r="A397" s="127" t="s">
        <v>154</v>
      </c>
      <c r="B397" s="125">
        <f ca="1">IF(SETTLvelocity.A*SUSP.w3A/(FRACs.sdA*RHOsolid)&gt;NETsedrate.wA,SETTLvelocity.A*SUSP.w3A/(FRACs.sdA*RHOsolid),NETsedrate.wA)</f>
        <v>2.8455656902988043E-10</v>
      </c>
      <c r="C397" s="128" t="s">
        <v>1665</v>
      </c>
    </row>
    <row r="398" spans="1:3" ht="15" customHeight="1" x14ac:dyDescent="0.3">
      <c r="A398" s="127" t="s">
        <v>146</v>
      </c>
      <c r="B398" s="125">
        <f ca="1">IF(SETTLvelocity.M*SUSP.w3M/(FRACs.sdM*RHOsolid)&gt;NETsedrate.wM,SETTLvelocity.M*SUSP.w3M/(FRACs.sdM*RHOsolid),NETsedrate.wM)</f>
        <v>2.8455656902988043E-10</v>
      </c>
      <c r="C398" s="128" t="s">
        <v>1665</v>
      </c>
    </row>
    <row r="399" spans="1:3" ht="15" customHeight="1" x14ac:dyDescent="0.3">
      <c r="A399" s="127" t="s">
        <v>149</v>
      </c>
      <c r="B399" s="125">
        <f ca="1">IF(SETTLvelocity.T*SUSP.w3T/(FRACs.sdT*RHOsolid)&gt;NETsedrate.wT,SETTLvelocity.T*SUSP.w3T/(FRACs.sdT*RHOsolid),NETsedrate.wT)</f>
        <v>2.8455656902988043E-10</v>
      </c>
      <c r="C399" s="128" t="s">
        <v>1665</v>
      </c>
    </row>
    <row r="400" spans="1:3" ht="15" customHeight="1" x14ac:dyDescent="0.3">
      <c r="A400" s="124" t="s">
        <v>931</v>
      </c>
      <c r="B400" s="130">
        <v>10000</v>
      </c>
      <c r="C400" s="126" t="s">
        <v>1708</v>
      </c>
    </row>
    <row r="401" spans="1:3" ht="15" customHeight="1" x14ac:dyDescent="0.3">
      <c r="A401" s="124" t="s">
        <v>691</v>
      </c>
      <c r="B401" s="130">
        <f>(-3.82*LN(IF(Tm&gt;298,Pvap25*EXP(-6.79*(1-Tm/298)),Pvap25))+70)*1000</f>
        <v>91780.813429308153</v>
      </c>
      <c r="C401" s="126" t="s">
        <v>1708</v>
      </c>
    </row>
    <row r="402" spans="1:3" ht="15" customHeight="1" x14ac:dyDescent="0.3">
      <c r="A402" s="127" t="s">
        <v>19</v>
      </c>
      <c r="B402" s="125">
        <v>1000</v>
      </c>
      <c r="C402" s="126" t="s">
        <v>713</v>
      </c>
    </row>
    <row r="403" spans="1:3" ht="15" customHeight="1" x14ac:dyDescent="0.3">
      <c r="A403" s="127" t="s">
        <v>103</v>
      </c>
      <c r="B403" s="125">
        <v>1000</v>
      </c>
      <c r="C403" s="123" t="s">
        <v>713</v>
      </c>
    </row>
    <row r="404" spans="1:3" ht="15" customHeight="1" x14ac:dyDescent="0.3">
      <c r="A404" s="127" t="s">
        <v>1182</v>
      </c>
      <c r="B404" s="125">
        <v>1000</v>
      </c>
      <c r="C404" s="126" t="s">
        <v>713</v>
      </c>
    </row>
    <row r="405" spans="1:3" ht="15" customHeight="1" x14ac:dyDescent="0.3">
      <c r="A405" s="127" t="s">
        <v>1188</v>
      </c>
      <c r="B405" s="125">
        <v>1000</v>
      </c>
      <c r="C405" s="126" t="s">
        <v>713</v>
      </c>
    </row>
    <row r="406" spans="1:3" ht="15" customHeight="1" x14ac:dyDescent="0.3">
      <c r="A406" s="127" t="s">
        <v>1407</v>
      </c>
      <c r="B406" s="130">
        <v>1000</v>
      </c>
      <c r="C406" s="126" t="s">
        <v>713</v>
      </c>
    </row>
    <row r="407" spans="1:3" ht="15" customHeight="1" x14ac:dyDescent="0.3">
      <c r="A407" s="124" t="s">
        <v>1360</v>
      </c>
      <c r="B407" s="125">
        <f>kesc.aA+FRgas.aA*kdeg.air*(C.OHrad.aA/C.OHrad)*Tempfactor.aA</f>
        <v>3.663258818281463E-10</v>
      </c>
      <c r="C407" s="126" t="s">
        <v>1673</v>
      </c>
    </row>
    <row r="408" spans="1:3" ht="15" customHeight="1" x14ac:dyDescent="0.3">
      <c r="A408" s="126" t="s">
        <v>1253</v>
      </c>
      <c r="B408" s="125">
        <f>1/TAU.aA</f>
        <v>5.1925638918420895E-7</v>
      </c>
      <c r="C408" s="126" t="s">
        <v>1673</v>
      </c>
    </row>
    <row r="409" spans="1:3" ht="15" customHeight="1" x14ac:dyDescent="0.3">
      <c r="A409" s="126" t="s">
        <v>841</v>
      </c>
      <c r="B409" s="125" t="e">
        <f>(DEPflow.aA.sA+GASABSflow.aA.sA)/VOLUME.aA</f>
        <v>#NAME?</v>
      </c>
      <c r="C409" s="126" t="s">
        <v>1673</v>
      </c>
    </row>
    <row r="410" spans="1:3" ht="15" customHeight="1" x14ac:dyDescent="0.3">
      <c r="A410" s="126" t="s">
        <v>1254</v>
      </c>
      <c r="B410" s="125" t="e">
        <f>(DEPflow.aA.w2A+GASABSflow.aA.w2A)/VOLUME.aA</f>
        <v>#NAME?</v>
      </c>
      <c r="C410" s="126" t="s">
        <v>1673</v>
      </c>
    </row>
    <row r="411" spans="1:3" ht="15" customHeight="1" x14ac:dyDescent="0.3">
      <c r="A411" s="124" t="s">
        <v>824</v>
      </c>
      <c r="B411" s="125">
        <f ca="1">kesc.aC+FRgas.aC*kdeg.air*(C.OHrad.aC/C.OHrad)*Tempfactor.aC</f>
        <v>3.663258818281463E-10</v>
      </c>
      <c r="C411" s="126" t="s">
        <v>1673</v>
      </c>
    </row>
    <row r="412" spans="1:3" ht="15" customHeight="1" x14ac:dyDescent="0.3">
      <c r="A412" s="126" t="s">
        <v>251</v>
      </c>
      <c r="B412" s="125" t="e">
        <f ca="1">1/TAU.aC-AIRflow.aC.aR /VOLUME.aC</f>
        <v>#NAME?</v>
      </c>
      <c r="C412" s="126" t="s">
        <v>1673</v>
      </c>
    </row>
    <row r="413" spans="1:3" ht="15" customHeight="1" x14ac:dyDescent="0.3">
      <c r="A413" s="126" t="s">
        <v>252</v>
      </c>
      <c r="B413" s="125" t="e">
        <f ca="1">AIRflow.aR.aC/VOLUME.aC</f>
        <v>#NAME?</v>
      </c>
      <c r="C413" s="126" t="s">
        <v>1673</v>
      </c>
    </row>
    <row r="414" spans="1:3" ht="15" customHeight="1" x14ac:dyDescent="0.3">
      <c r="A414" s="126" t="s">
        <v>258</v>
      </c>
      <c r="B414" s="125" t="e">
        <f ca="1">(DEPflow.aC.s1C+GASABSflow.aC.s1C)/VOLUME.aC</f>
        <v>#NAME?</v>
      </c>
      <c r="C414" s="126" t="s">
        <v>1673</v>
      </c>
    </row>
    <row r="415" spans="1:3" ht="15" customHeight="1" x14ac:dyDescent="0.3">
      <c r="A415" s="126" t="s">
        <v>810</v>
      </c>
      <c r="B415" s="125" t="e">
        <f ca="1">(DEPflow.aC.s2C+GASABSflow.aC.s2C)/VOLUME.aC</f>
        <v>#NAME?</v>
      </c>
      <c r="C415" s="126" t="s">
        <v>1673</v>
      </c>
    </row>
    <row r="416" spans="1:3" ht="15" customHeight="1" x14ac:dyDescent="0.3">
      <c r="A416" s="126" t="s">
        <v>811</v>
      </c>
      <c r="B416" s="125" t="e">
        <f ca="1">(DEPflow.aC.s3C+GASABSflow.aC.s3C)/VOLUME.aC</f>
        <v>#NAME?</v>
      </c>
      <c r="C416" s="126" t="s">
        <v>1673</v>
      </c>
    </row>
    <row r="417" spans="1:3" ht="15" customHeight="1" x14ac:dyDescent="0.3">
      <c r="A417" s="126" t="s">
        <v>341</v>
      </c>
      <c r="B417" s="125" t="e">
        <f ca="1">(DEPflow.aC.w0C+GASABSflow.aC.w0C)/VOLUME.aC</f>
        <v>#NAME?</v>
      </c>
      <c r="C417" s="126" t="s">
        <v>1673</v>
      </c>
    </row>
    <row r="418" spans="1:3" ht="15" customHeight="1" x14ac:dyDescent="0.3">
      <c r="A418" s="126" t="s">
        <v>256</v>
      </c>
      <c r="B418" s="125" t="e">
        <f ca="1">(DEPflow.aC.w1C+GASABSflow.aC.w1C)/VOLUME.aC</f>
        <v>#NAME?</v>
      </c>
      <c r="C418" s="126" t="s">
        <v>1673</v>
      </c>
    </row>
    <row r="419" spans="1:3" ht="15" customHeight="1" x14ac:dyDescent="0.3">
      <c r="A419" s="126" t="s">
        <v>257</v>
      </c>
      <c r="B419" s="125" t="e">
        <f ca="1">(DEPflow.aC.w2C+GASABSflow.aC.w2C)/VOLUME.aC</f>
        <v>#NAME?</v>
      </c>
      <c r="C419" s="126" t="s">
        <v>1673</v>
      </c>
    </row>
    <row r="420" spans="1:3" ht="15" customHeight="1" x14ac:dyDescent="0.3">
      <c r="A420" s="124" t="s">
        <v>837</v>
      </c>
      <c r="B420" s="125">
        <f>kesc.aM+FRgas.aM*kdeg.air*(C.OHrad.aM/C.OHrad)*Tempfactor.aM</f>
        <v>3.663258818281463E-10</v>
      </c>
      <c r="C420" s="126" t="s">
        <v>1673</v>
      </c>
    </row>
    <row r="421" spans="1:3" ht="15" customHeight="1" x14ac:dyDescent="0.3">
      <c r="A421" s="126" t="s">
        <v>833</v>
      </c>
      <c r="B421" s="125" t="e">
        <f>AIRflow.aA.aM/VOLUME.aM</f>
        <v>#NAME?</v>
      </c>
      <c r="C421" s="126" t="s">
        <v>1673</v>
      </c>
    </row>
    <row r="422" spans="1:3" ht="15" customHeight="1" x14ac:dyDescent="0.3">
      <c r="A422" s="126" t="s">
        <v>832</v>
      </c>
      <c r="B422" s="125" t="e">
        <f>AIRflow.aC.aM/VOLUME.aM</f>
        <v>#NAME?</v>
      </c>
      <c r="C422" s="126" t="s">
        <v>1673</v>
      </c>
    </row>
    <row r="423" spans="1:3" ht="15" customHeight="1" x14ac:dyDescent="0.3">
      <c r="A423" s="126" t="s">
        <v>834</v>
      </c>
      <c r="B423" s="125" t="e">
        <f>AIRflow.aT.aM/VOLUME.aM</f>
        <v>#NAME?</v>
      </c>
      <c r="C423" s="126" t="s">
        <v>1673</v>
      </c>
    </row>
    <row r="424" spans="1:3" ht="15" customHeight="1" x14ac:dyDescent="0.3">
      <c r="A424" s="126" t="s">
        <v>835</v>
      </c>
      <c r="B424" s="125" t="e">
        <f>(DEPflow.aM.sM+GASABSflow.aM.sM)/VOLUME.aM</f>
        <v>#NAME?</v>
      </c>
      <c r="C424" s="126" t="s">
        <v>1673</v>
      </c>
    </row>
    <row r="425" spans="1:3" ht="15" customHeight="1" x14ac:dyDescent="0.3">
      <c r="A425" s="126" t="s">
        <v>1246</v>
      </c>
      <c r="B425" s="125" t="e">
        <f>(DEPflow.aM.w2M+GASABSflow.aM.w2M)/VOLUME.aM</f>
        <v>#NAME?</v>
      </c>
      <c r="C425" s="126" t="s">
        <v>1673</v>
      </c>
    </row>
    <row r="426" spans="1:3" ht="15" customHeight="1" x14ac:dyDescent="0.3">
      <c r="A426" s="124" t="s">
        <v>239</v>
      </c>
      <c r="B426" s="125">
        <f ca="1">kesc.aR+FRgas.aR*kdeg.air*(C.OHrad.aR/C.OHrad)*Tempfactor.aR</f>
        <v>3.663258818281463E-10</v>
      </c>
      <c r="C426" s="126" t="s">
        <v>1673</v>
      </c>
    </row>
    <row r="427" spans="1:3" ht="15" customHeight="1" x14ac:dyDescent="0.3">
      <c r="A427" s="126" t="s">
        <v>219</v>
      </c>
      <c r="B427" s="125">
        <f ca="1">1/TAU.aR</f>
        <v>1.0262131010952738E-4</v>
      </c>
      <c r="C427" s="126" t="s">
        <v>1673</v>
      </c>
    </row>
    <row r="428" spans="1:3" ht="15" customHeight="1" x14ac:dyDescent="0.3">
      <c r="A428" s="126" t="s">
        <v>224</v>
      </c>
      <c r="B428" s="134" t="e">
        <f ca="1">(DEPflow.aR.s1R+GASABSflow.aR.s1R)/VOLUME.aR</f>
        <v>#NAME?</v>
      </c>
      <c r="C428" s="126" t="s">
        <v>1673</v>
      </c>
    </row>
    <row r="429" spans="1:3" ht="15" customHeight="1" x14ac:dyDescent="0.3">
      <c r="A429" s="126" t="s">
        <v>225</v>
      </c>
      <c r="B429" s="134" t="e">
        <f ca="1">(DEPflow.aR.s2R+GASABSflow.aR.s2R)/VOLUME.aR</f>
        <v>#NAME?</v>
      </c>
      <c r="C429" s="126" t="s">
        <v>1673</v>
      </c>
    </row>
    <row r="430" spans="1:3" ht="15" customHeight="1" x14ac:dyDescent="0.3">
      <c r="A430" s="126" t="s">
        <v>226</v>
      </c>
      <c r="B430" s="134" t="e">
        <f ca="1">(DEPflow.aR.s3R+GASABSflow.aR.s3R)/VOLUME.aR</f>
        <v>#NAME?</v>
      </c>
      <c r="C430" s="126" t="s">
        <v>1673</v>
      </c>
    </row>
    <row r="431" spans="1:3" ht="15" customHeight="1" x14ac:dyDescent="0.3">
      <c r="A431" s="126" t="s">
        <v>293</v>
      </c>
      <c r="B431" s="134" t="e">
        <f ca="1">(DEPflow.aR.w0R+GASABSflow.aR.w0R)/VOLUME.aR</f>
        <v>#NAME?</v>
      </c>
      <c r="C431" s="126" t="s">
        <v>1673</v>
      </c>
    </row>
    <row r="432" spans="1:3" ht="15" customHeight="1" x14ac:dyDescent="0.3">
      <c r="A432" s="126" t="s">
        <v>222</v>
      </c>
      <c r="B432" s="134" t="e">
        <f ca="1">(DEPflow.aR.w1R+GASABSflow.aR.w1R)/VOLUME.aR</f>
        <v>#NAME?</v>
      </c>
      <c r="C432" s="126" t="s">
        <v>1673</v>
      </c>
    </row>
    <row r="433" spans="1:3" ht="15" customHeight="1" x14ac:dyDescent="0.3">
      <c r="A433" s="126" t="s">
        <v>223</v>
      </c>
      <c r="B433" s="134" t="e">
        <f ca="1">(DEPflow.aR.w2R+GASABSflow.aR.w2R)/VOLUME.aR</f>
        <v>#NAME?</v>
      </c>
      <c r="C433" s="126" t="s">
        <v>1673</v>
      </c>
    </row>
    <row r="434" spans="1:3" ht="15" customHeight="1" x14ac:dyDescent="0.3">
      <c r="A434" s="124" t="s">
        <v>1364</v>
      </c>
      <c r="B434" s="134">
        <f>kesc.aT+FRgas.aT*kdeg.air*(C.OHrad.aT/C.OHrad)*Tempfactor.aT</f>
        <v>3.663258818281463E-10</v>
      </c>
      <c r="C434" s="126" t="s">
        <v>1673</v>
      </c>
    </row>
    <row r="435" spans="1:3" ht="15" customHeight="1" x14ac:dyDescent="0.3">
      <c r="A435" s="126" t="s">
        <v>840</v>
      </c>
      <c r="B435" s="125">
        <f>1/TAU.aT</f>
        <v>2.9979281607393609E-7</v>
      </c>
      <c r="C435" s="126" t="s">
        <v>1673</v>
      </c>
    </row>
    <row r="436" spans="1:3" ht="15" customHeight="1" x14ac:dyDescent="0.3">
      <c r="A436" s="126" t="s">
        <v>1362</v>
      </c>
      <c r="B436" s="125" t="e">
        <f>(DEPflow.aT.sT+GASABSflow.aT.sT)/VOLUME.aT</f>
        <v>#NAME?</v>
      </c>
      <c r="C436" s="126" t="s">
        <v>1673</v>
      </c>
    </row>
    <row r="437" spans="1:3" ht="15" customHeight="1" x14ac:dyDescent="0.3">
      <c r="A437" s="126" t="s">
        <v>1259</v>
      </c>
      <c r="B437" s="125" t="e">
        <f>(DEPflow.aT.w2T+GASABSflow.aT.w2T)/VOLUME.aT</f>
        <v>#NAME?</v>
      </c>
      <c r="C437" s="126" t="s">
        <v>1673</v>
      </c>
    </row>
    <row r="438" spans="1:3" ht="15" customHeight="1" x14ac:dyDescent="0.3">
      <c r="A438" s="124" t="s">
        <v>829</v>
      </c>
      <c r="B438" s="125">
        <f ca="1">Tempfactor.wsdsC*kdeg.soil+FRACinf.s1C*RAINrate.C/Ks1w.C*CORRleach.s1C*SYSTEMAREA.C*AREAFRAC.s1C/VOLUME.s1C</f>
        <v>1.9012579917039832E-13</v>
      </c>
      <c r="C438" s="126" t="s">
        <v>1673</v>
      </c>
    </row>
    <row r="439" spans="1:3" ht="15" customHeight="1" x14ac:dyDescent="0.3">
      <c r="A439" s="126" t="s">
        <v>814</v>
      </c>
      <c r="B439" s="125" t="e">
        <f>VOLATflow.s1C.aC/VOLUME.s1C</f>
        <v>#NAME?</v>
      </c>
      <c r="C439" s="126" t="s">
        <v>1673</v>
      </c>
    </row>
    <row r="440" spans="1:3" ht="15" customHeight="1" x14ac:dyDescent="0.3">
      <c r="A440" s="124" t="s">
        <v>821</v>
      </c>
      <c r="B440" s="125">
        <f ca="1">(RAINrate.C*FRACrun.s1C/Ks1w.C+EROSION.s1C)*CORRrunoff.s1C * (SYSTEMAREA.C*AREAFRAC.s1C/VOLUME.s1C)</f>
        <v>4.5350450041358292E-11</v>
      </c>
      <c r="C440" s="126" t="s">
        <v>1673</v>
      </c>
    </row>
    <row r="441" spans="1:3" ht="15" customHeight="1" x14ac:dyDescent="0.3">
      <c r="A441" s="124" t="s">
        <v>242</v>
      </c>
      <c r="B441" s="125">
        <f ca="1">Tempfactor.wsdsR*kdeg.soil+FRACinf.s1R*RAINrate.R/Ks1w.R*CORRleach.s1R*SYSTEMAREA.R*AREAFRAC.s1R/VOLUME.s1R</f>
        <v>1.1367055550282924E-12</v>
      </c>
      <c r="C441" s="126" t="s">
        <v>1673</v>
      </c>
    </row>
    <row r="442" spans="1:3" ht="15" customHeight="1" x14ac:dyDescent="0.3">
      <c r="A442" s="126" t="s">
        <v>229</v>
      </c>
      <c r="B442" s="125" t="e">
        <f>VOLATflow.s1R.aR/VOLUME.s1R</f>
        <v>#NAME?</v>
      </c>
      <c r="C442" s="126" t="s">
        <v>1673</v>
      </c>
    </row>
    <row r="443" spans="1:3" ht="15" customHeight="1" x14ac:dyDescent="0.3">
      <c r="A443" s="124" t="s">
        <v>236</v>
      </c>
      <c r="B443" s="125">
        <f ca="1">(RAINrate.R*FRACrun.s1R/Ks1w.R+EROSION.s1R)*CORRrunoff.s1R * (SYSTEMAREA.R*AREAFRAC.s1R/VOLUME.s1R)</f>
        <v>2.0640929123321204E-10</v>
      </c>
      <c r="C443" s="126" t="s">
        <v>1673</v>
      </c>
    </row>
    <row r="444" spans="1:3" ht="15" customHeight="1" x14ac:dyDescent="0.3">
      <c r="A444" s="124" t="s">
        <v>830</v>
      </c>
      <c r="B444" s="125">
        <f ca="1">Tempfactor.wsdsC*kdeg.soil+FRACinf.s2C*RAINrate.C/Ks2w.C*CORRleach.s2C*SYSTEMAREA.C*AREAFRAC.s2C/VOLUME.s2C</f>
        <v>1.9768379794900897E-13</v>
      </c>
      <c r="C444" s="126" t="s">
        <v>1673</v>
      </c>
    </row>
    <row r="445" spans="1:3" ht="15" customHeight="1" x14ac:dyDescent="0.3">
      <c r="A445" s="126" t="s">
        <v>815</v>
      </c>
      <c r="B445" s="125" t="e">
        <f>VOLATflow.s2C.aC/VOLUME.s2C</f>
        <v>#NAME?</v>
      </c>
      <c r="C445" s="126" t="s">
        <v>1673</v>
      </c>
    </row>
    <row r="446" spans="1:3" ht="15" customHeight="1" x14ac:dyDescent="0.3">
      <c r="A446" s="124" t="s">
        <v>822</v>
      </c>
      <c r="B446" s="125">
        <f ca="1">(RAINrate.C*FRACrun.s2C/Ks2w.C+EROSION.s2C)*CORRrunoff.s2C * (SYSTEMAREA.C*AREAFRAC.s2C/VOLUME.s2C)</f>
        <v>2.0357884294541915E-11</v>
      </c>
      <c r="C446" s="126" t="s">
        <v>1673</v>
      </c>
    </row>
    <row r="447" spans="1:3" ht="15" customHeight="1" x14ac:dyDescent="0.3">
      <c r="A447" s="124" t="s">
        <v>243</v>
      </c>
      <c r="B447" s="125">
        <f ca="1">Tempfactor.wsdsR*kdeg.soil+FRACinf.s2R*RAINrate.R/Ks2w.R*CORRleach.s2R*SYSTEMAREA.R*AREAFRAC.s2R/VOLUME.s2R</f>
        <v>5.9055572856741947E-13</v>
      </c>
      <c r="C447" s="126" t="s">
        <v>1673</v>
      </c>
    </row>
    <row r="448" spans="1:3" ht="15" customHeight="1" x14ac:dyDescent="0.3">
      <c r="A448" s="126" t="s">
        <v>230</v>
      </c>
      <c r="B448" s="125" t="e">
        <f>VOLATflow.s2R.aR/VOLUME.s2R</f>
        <v>#NAME?</v>
      </c>
      <c r="C448" s="126" t="s">
        <v>1673</v>
      </c>
    </row>
    <row r="449" spans="1:3" ht="15" customHeight="1" x14ac:dyDescent="0.3">
      <c r="A449" s="124" t="s">
        <v>237</v>
      </c>
      <c r="B449" s="125">
        <f ca="1">(RAINrate.R*FRACrun.s2R/Ks2w.R+EROSION.s2R)*CORRrunoff.s2R * (SYSTEMAREA.R*AREAFRAC.s2R/VOLUME.s2R)</f>
        <v>1.0818853681929861E-10</v>
      </c>
      <c r="C449" s="126" t="s">
        <v>1673</v>
      </c>
    </row>
    <row r="450" spans="1:3" ht="15" customHeight="1" x14ac:dyDescent="0.3">
      <c r="A450" s="124" t="s">
        <v>831</v>
      </c>
      <c r="B450" s="125">
        <f ca="1">Tempfactor.wsdsC*kdeg.soil+FRACinf.s3C*RAINrate.C/Ks3w.C*CORRleach.s3C*SYSTEMAREA.C*AREAFRAC.s3C/VOLUME.s3C</f>
        <v>6.6400503836320768E-13</v>
      </c>
      <c r="C450" s="126" t="s">
        <v>1673</v>
      </c>
    </row>
    <row r="451" spans="1:3" ht="15" customHeight="1" x14ac:dyDescent="0.3">
      <c r="A451" s="126" t="s">
        <v>816</v>
      </c>
      <c r="B451" s="125" t="e">
        <f>VOLATflow.s3C.aC/VOLUME.s3C</f>
        <v>#NAME?</v>
      </c>
      <c r="C451" s="126" t="s">
        <v>1673</v>
      </c>
    </row>
    <row r="452" spans="1:3" ht="15" customHeight="1" x14ac:dyDescent="0.3">
      <c r="A452" s="124" t="s">
        <v>823</v>
      </c>
      <c r="B452" s="125">
        <f ca="1">(RAINrate.C*FRACrun.s3C/Ks3w.C+EROSION.s3C)*CORRrunoff.s3C * (SYSTEMAREA.C*AREAFRAC.s3C/VOLUME.s3C)</f>
        <v>5.6136050619645456E-11</v>
      </c>
      <c r="C452" s="126" t="s">
        <v>1673</v>
      </c>
    </row>
    <row r="453" spans="1:3" ht="15" customHeight="1" x14ac:dyDescent="0.3">
      <c r="A453" s="124" t="s">
        <v>244</v>
      </c>
      <c r="B453" s="125">
        <f ca="1">Tempfactor.wsdsR*kdeg.soil+FRACinf.s3R*RAINrate.R/Ks3w.R*CORRleach.s3R*SYSTEMAREA.R*AREAFRAC.s3R/VOLUME.s3R</f>
        <v>5.236198513928159E-13</v>
      </c>
      <c r="C453" s="126" t="s">
        <v>1673</v>
      </c>
    </row>
    <row r="454" spans="1:3" ht="15" customHeight="1" x14ac:dyDescent="0.3">
      <c r="A454" s="126" t="s">
        <v>231</v>
      </c>
      <c r="B454" s="125" t="e">
        <f>VOLATflow.s3R.aR/VOLUME.s3R</f>
        <v>#NAME?</v>
      </c>
      <c r="C454" s="126" t="s">
        <v>1673</v>
      </c>
    </row>
    <row r="455" spans="1:3" ht="15" customHeight="1" x14ac:dyDescent="0.3">
      <c r="A455" s="124" t="s">
        <v>238</v>
      </c>
      <c r="B455" s="125">
        <f ca="1">(RAINrate.R*FRACrun.s3R/Ks3w.R+EROSION.s3R)*CORRrunoff.s3R * (SYSTEMAREA.R*AREAFRAC.s3R/VOLUME.s3R)</f>
        <v>1.0184255004126342E-10</v>
      </c>
      <c r="C455" s="126" t="s">
        <v>1673</v>
      </c>
    </row>
    <row r="456" spans="1:3" ht="15" customHeight="1" x14ac:dyDescent="0.3">
      <c r="A456" s="124" t="s">
        <v>1361</v>
      </c>
      <c r="B456" s="125">
        <f ca="1">Tempfactor.wsdsA*kdeg.soil+FRACinf.sA*RAINrate.A/Kslw.A*CORRleach.sA*SYSTEMAREA.A*AREAFRAC.sA/VOLUME.sA</f>
        <v>1.6868982790108804E-13</v>
      </c>
      <c r="C456" s="126" t="s">
        <v>1673</v>
      </c>
    </row>
    <row r="457" spans="1:3" ht="15" customHeight="1" x14ac:dyDescent="0.3">
      <c r="A457" s="126" t="s">
        <v>842</v>
      </c>
      <c r="B457" s="125" t="e">
        <f>VOLATflow.sA.aA/VOLUME.sA</f>
        <v>#NAME?</v>
      </c>
      <c r="C457" s="126" t="s">
        <v>1673</v>
      </c>
    </row>
    <row r="458" spans="1:3" ht="15" customHeight="1" x14ac:dyDescent="0.3">
      <c r="A458" s="124" t="s">
        <v>1256</v>
      </c>
      <c r="B458" s="125">
        <f ca="1">(RAINrate.A*FRACrun.sA/Kslw.A+EROSION.sA)*CORRrunoff.sA * (SYSTEMAREA.A*AREAFRAC.sA/VOLUME.sA)</f>
        <v>4.9212864741653662E-11</v>
      </c>
      <c r="C458" s="126" t="s">
        <v>1673</v>
      </c>
    </row>
    <row r="459" spans="1:3" ht="15" customHeight="1" x14ac:dyDescent="0.3">
      <c r="A459" s="124" t="s">
        <v>827</v>
      </c>
      <c r="B459" s="125">
        <f ca="1">Tempfactor.wsdsC*kdeg.sed+NETsedrate.w1C*SYSTEMAREA.C*AREAFRAC.w1C/VOLUME.sd1C</f>
        <v>2.2455969240906403E-9</v>
      </c>
      <c r="C459" s="126" t="s">
        <v>1673</v>
      </c>
    </row>
    <row r="460" spans="1:3" ht="15" customHeight="1" x14ac:dyDescent="0.3">
      <c r="A460" s="124" t="s">
        <v>819</v>
      </c>
      <c r="B460" s="125" t="e">
        <f ca="1">(RESUSPflow.sd1C.w1C+DESORBflow.sd1C.w1C)/VOLUME.sd1C</f>
        <v>#NAME?</v>
      </c>
      <c r="C460" s="126" t="s">
        <v>1673</v>
      </c>
    </row>
    <row r="461" spans="1:3" ht="15" customHeight="1" x14ac:dyDescent="0.3">
      <c r="A461" s="124" t="s">
        <v>241</v>
      </c>
      <c r="B461" s="125">
        <f ca="1">Tempfactor.wsdsR*kdeg.sed+NETsedrate.w1R*(SYSTEMAREA.R*AREAFRAC.w1R/VOLUME.sd1R)</f>
        <v>1.225245782464726E-9</v>
      </c>
      <c r="C461" s="126" t="s">
        <v>1673</v>
      </c>
    </row>
    <row r="462" spans="1:3" ht="15" customHeight="1" x14ac:dyDescent="0.3">
      <c r="A462" s="124" t="s">
        <v>233</v>
      </c>
      <c r="B462" s="125" t="e">
        <f ca="1">(RESUSPflow.sd1R.w1R+DESORBflow.sd1R.w1R)/VOLUME.sd1R</f>
        <v>#NAME?</v>
      </c>
      <c r="C462" s="126" t="s">
        <v>1673</v>
      </c>
    </row>
    <row r="463" spans="1:3" ht="15" customHeight="1" x14ac:dyDescent="0.3">
      <c r="A463" s="124" t="s">
        <v>828</v>
      </c>
      <c r="B463" s="125">
        <f ca="1">Tempfactor.wsdsC*kdeg.sed+NETsedrate.w2C*SYSTEMAREA.C*AREAFRAC.w2C/VOLUME.sd2C</f>
        <v>3.3215521768219973E-21</v>
      </c>
      <c r="C463" s="126" t="s">
        <v>1673</v>
      </c>
    </row>
    <row r="464" spans="1:3" ht="15" customHeight="1" x14ac:dyDescent="0.3">
      <c r="A464" s="124" t="s">
        <v>820</v>
      </c>
      <c r="B464" s="125" t="e">
        <f ca="1">(RESUSPflow.sd2C.w2C+DESORBflow.sd2C.w2C)/VOLUME.sd2C</f>
        <v>#NAME?</v>
      </c>
      <c r="C464" s="126" t="s">
        <v>1673</v>
      </c>
    </row>
    <row r="465" spans="1:3" ht="15" customHeight="1" x14ac:dyDescent="0.3">
      <c r="A465" s="124" t="s">
        <v>250</v>
      </c>
      <c r="B465" s="125">
        <f ca="1">Tempfactor.wsdsR*kdeg.sed+NETsedrate.w2R*(SYSTEMAREA.R*AREAFRAC.w2R/VOLUME.sd2R)</f>
        <v>9.1429324159732889E-10</v>
      </c>
      <c r="C465" s="126" t="s">
        <v>1673</v>
      </c>
    </row>
    <row r="466" spans="1:3" ht="15" customHeight="1" x14ac:dyDescent="0.3">
      <c r="A466" s="124" t="s">
        <v>235</v>
      </c>
      <c r="B466" s="125" t="e">
        <f>(RESUSPflow.sd2R.w2R+DESORBflow.sd2R.w2R)/VOLUME.sd2R</f>
        <v>#NAME?</v>
      </c>
      <c r="C466" s="126" t="s">
        <v>1673</v>
      </c>
    </row>
    <row r="467" spans="1:3" ht="15" customHeight="1" x14ac:dyDescent="0.3">
      <c r="A467" s="124" t="s">
        <v>1257</v>
      </c>
      <c r="B467" s="125">
        <f>Tempfactor.wsdsA*kdeg.sed+NETsedrate.wA*SYSTEMAREA.A*AREAFRAC.wA/VOLUME.sdA</f>
        <v>2.1139861331348332E-12</v>
      </c>
      <c r="C467" s="126" t="s">
        <v>1673</v>
      </c>
    </row>
    <row r="468" spans="1:3" ht="15" customHeight="1" x14ac:dyDescent="0.3">
      <c r="A468" s="124" t="s">
        <v>1158</v>
      </c>
      <c r="B468" s="125" t="e">
        <f>(RESUSPflow.sdA.w3A+DESORBflow.sdA.w3A)/VOLUME.sdA</f>
        <v>#NAME?</v>
      </c>
      <c r="C468" s="126" t="s">
        <v>1673</v>
      </c>
    </row>
    <row r="469" spans="1:3" ht="15" customHeight="1" x14ac:dyDescent="0.3">
      <c r="A469" s="124" t="s">
        <v>1250</v>
      </c>
      <c r="B469" s="125">
        <f>Tempfactor.wsdsM*kdeg.sed+NETsedrate.wM*SYSTEMAREA.M*AREAFRAC.wM/VOLUME.sdM</f>
        <v>2.9839343187174201E-12</v>
      </c>
      <c r="C469" s="126" t="s">
        <v>1673</v>
      </c>
    </row>
    <row r="470" spans="1:3" ht="15" customHeight="1" x14ac:dyDescent="0.3">
      <c r="A470" s="124" t="s">
        <v>140</v>
      </c>
      <c r="B470" s="125" t="e">
        <f>(RESUSPflow.sdM.w3M+DESORBflow.sdM.w3M)/VOLUME.sdM</f>
        <v>#NAME?</v>
      </c>
      <c r="C470" s="126" t="s">
        <v>1673</v>
      </c>
    </row>
    <row r="471" spans="1:3" ht="15" customHeight="1" x14ac:dyDescent="0.3">
      <c r="A471" s="124" t="s">
        <v>1262</v>
      </c>
      <c r="B471" s="125">
        <f>Tempfactor.wsdsT*kdeg.sed+NETsedrate.wT*SYSTEMAREA.T*AREAFRAC.wT/VOLUME.sdT</f>
        <v>2.1139861422509831E-12</v>
      </c>
      <c r="C471" s="126" t="s">
        <v>1673</v>
      </c>
    </row>
    <row r="472" spans="1:3" ht="15" customHeight="1" x14ac:dyDescent="0.3">
      <c r="A472" s="124" t="s">
        <v>1129</v>
      </c>
      <c r="B472" s="125" t="e">
        <f>(RESUSPflow.sdT.w3T+DESORBflow.sdT.w3T)/VOLUME.sdT</f>
        <v>#NAME?</v>
      </c>
      <c r="C472" s="126" t="s">
        <v>1673</v>
      </c>
    </row>
    <row r="473" spans="1:3" ht="15" customHeight="1" x14ac:dyDescent="0.3">
      <c r="A473" s="124" t="s">
        <v>839</v>
      </c>
      <c r="B473" s="125">
        <f ca="1">Tempfactor.wsdsM*kdeg.soil+FRACinf.sM*RAINrate.M/Kslw.M*CORRleach.sM*SYSTEMAREA.M*AREAFRAC.sM/VOLUME.sM</f>
        <v>4.7233151970943483E-13</v>
      </c>
      <c r="C473" s="126" t="s">
        <v>1673</v>
      </c>
    </row>
    <row r="474" spans="1:3" ht="15" customHeight="1" x14ac:dyDescent="0.3">
      <c r="A474" s="126" t="s">
        <v>836</v>
      </c>
      <c r="B474" s="125" t="e">
        <f>VOLATflow.sM.aM/VOLUME.sM</f>
        <v>#NAME?</v>
      </c>
      <c r="C474" s="126" t="s">
        <v>1673</v>
      </c>
    </row>
    <row r="475" spans="1:3" ht="15" customHeight="1" x14ac:dyDescent="0.3">
      <c r="A475" s="124" t="s">
        <v>1249</v>
      </c>
      <c r="B475" s="125">
        <f ca="1">(RAINrate.M*FRACrun.sM/Kslw.M+EROSION.sM)*CORRrunoff.sM * (SYSTEMAREA.M*AREAFRAC.sM/VOLUME.sM)</f>
        <v>9.4277286986616567E-11</v>
      </c>
      <c r="C475" s="126" t="s">
        <v>1673</v>
      </c>
    </row>
    <row r="476" spans="1:3" ht="15" customHeight="1" x14ac:dyDescent="0.3">
      <c r="A476" s="124" t="s">
        <v>1365</v>
      </c>
      <c r="B476" s="125">
        <f ca="1">Tempfactor.wsdsT*kdeg.soil+FRACinf.sT*RAINrate.T/Kslw.T*CORRleach.sT*SYSTEMAREA.T*AREAFRAC.sT/VOLUME.sT</f>
        <v>8.7718711048946348E-13</v>
      </c>
      <c r="C476" s="126" t="s">
        <v>1673</v>
      </c>
    </row>
    <row r="477" spans="1:3" ht="15" customHeight="1" x14ac:dyDescent="0.3">
      <c r="A477" s="126" t="s">
        <v>1363</v>
      </c>
      <c r="B477" s="125" t="e">
        <f>VOLATflow.sT.aT/VOLUME.sT</f>
        <v>#NAME?</v>
      </c>
      <c r="C477" s="126" t="s">
        <v>1673</v>
      </c>
    </row>
    <row r="478" spans="1:3" ht="15" customHeight="1" x14ac:dyDescent="0.3">
      <c r="A478" s="124" t="s">
        <v>1261</v>
      </c>
      <c r="B478" s="125">
        <f ca="1">(RAINrate.T*FRACrun.sT/Kslw.T+EROSION.sT)*CORRrunoff.sT * (SYSTEMAREA.T*AREAFRAC.sT/VOLUME.sT)</f>
        <v>1.5436318331323376E-10</v>
      </c>
      <c r="C478" s="126" t="s">
        <v>1673</v>
      </c>
    </row>
    <row r="479" spans="1:3" ht="15" customHeight="1" x14ac:dyDescent="0.3">
      <c r="A479" s="124" t="s">
        <v>346</v>
      </c>
      <c r="B479" s="125">
        <f ca="1">kdeg.water*Tempfactor.wsdsC*(BACT.w0C/BACT.test)*FRw.w0C</f>
        <v>3.3106332194681661E-21</v>
      </c>
      <c r="C479" s="126" t="s">
        <v>1673</v>
      </c>
    </row>
    <row r="480" spans="1:3" ht="15" customHeight="1" x14ac:dyDescent="0.3">
      <c r="A480" s="126" t="s">
        <v>342</v>
      </c>
      <c r="B480" s="125" t="e">
        <f>VOLATflow.w0C.aC/VOLUME.w0C</f>
        <v>#NAME?</v>
      </c>
      <c r="C480" s="126" t="s">
        <v>1673</v>
      </c>
    </row>
    <row r="481" spans="1:3" ht="15" customHeight="1" x14ac:dyDescent="0.3">
      <c r="A481" s="126" t="s">
        <v>323</v>
      </c>
      <c r="B481" s="125">
        <f ca="1">WATERflow.w0C.w1C/VOLUME.w0C</f>
        <v>1.5179336290220084E-9</v>
      </c>
      <c r="C481" s="126" t="s">
        <v>1673</v>
      </c>
    </row>
    <row r="482" spans="1:3" ht="15" customHeight="1" x14ac:dyDescent="0.3">
      <c r="A482" s="126" t="s">
        <v>324</v>
      </c>
      <c r="B482" s="125">
        <f>WATERflow.w0C.w2C/VOLUME.w0C</f>
        <v>0</v>
      </c>
      <c r="C482" s="126" t="s">
        <v>1673</v>
      </c>
    </row>
    <row r="483" spans="1:3" ht="15" customHeight="1" x14ac:dyDescent="0.3">
      <c r="A483" s="124" t="s">
        <v>299</v>
      </c>
      <c r="B483" s="125">
        <f ca="1">kdeg.water*Tempfactor.wsdsR*(BACT.w0R/BACT.test)*FRw.w0R</f>
        <v>1.0789915064162529E-20</v>
      </c>
      <c r="C483" s="126" t="s">
        <v>1673</v>
      </c>
    </row>
    <row r="484" spans="1:3" ht="15" customHeight="1" x14ac:dyDescent="0.3">
      <c r="A484" s="126" t="s">
        <v>294</v>
      </c>
      <c r="B484" s="125" t="e">
        <f>VOLATflow.w0R.aR/VOLUME.w0R</f>
        <v>#NAME?</v>
      </c>
      <c r="C484" s="126" t="s">
        <v>1673</v>
      </c>
    </row>
    <row r="485" spans="1:3" ht="15" customHeight="1" x14ac:dyDescent="0.3">
      <c r="A485" s="126" t="s">
        <v>282</v>
      </c>
      <c r="B485" s="125">
        <f ca="1">WATERflow.w0R.w1R/VOLUME.w0R</f>
        <v>24188834616.785709</v>
      </c>
      <c r="C485" s="126" t="s">
        <v>1673</v>
      </c>
    </row>
    <row r="486" spans="1:3" ht="15" customHeight="1" x14ac:dyDescent="0.3">
      <c r="A486" s="126" t="s">
        <v>284</v>
      </c>
      <c r="B486" s="125">
        <f>WATERflow.w0R.w2R/VOLUME.w0R</f>
        <v>0</v>
      </c>
      <c r="C486" s="126" t="s">
        <v>1673</v>
      </c>
    </row>
    <row r="487" spans="1:3" ht="15" customHeight="1" x14ac:dyDescent="0.3">
      <c r="A487" s="124" t="s">
        <v>825</v>
      </c>
      <c r="B487" s="125">
        <f ca="1">kdeg.water*Tempfactor.wsdsC*(BACT.w1C/BACT.test)*FRw.w1C</f>
        <v>3.015809833792187E-21</v>
      </c>
      <c r="C487" s="126" t="s">
        <v>1673</v>
      </c>
    </row>
    <row r="488" spans="1:3" ht="15" customHeight="1" x14ac:dyDescent="0.3">
      <c r="A488" s="126" t="s">
        <v>812</v>
      </c>
      <c r="B488" s="125" t="e">
        <f ca="1">VOLATflow.w1C.aC/VOLUME.w1C</f>
        <v>#NAME?</v>
      </c>
      <c r="C488" s="126" t="s">
        <v>1673</v>
      </c>
    </row>
    <row r="489" spans="1:3" ht="15" customHeight="1" x14ac:dyDescent="0.3">
      <c r="A489" s="124" t="s">
        <v>817</v>
      </c>
      <c r="B489" s="125" t="e">
        <f ca="1">(SEDflow.w1C.sd1C+ADSORBflow.w1C.sd1C)/VOLUME.w1C</f>
        <v>#NAME?</v>
      </c>
      <c r="C489" s="126" t="s">
        <v>1673</v>
      </c>
    </row>
    <row r="490" spans="1:3" ht="15" customHeight="1" x14ac:dyDescent="0.3">
      <c r="A490" s="126" t="s">
        <v>325</v>
      </c>
      <c r="B490" s="125">
        <f ca="1">WATERflow.w1C.w0C/VOLUME.w1C</f>
        <v>0</v>
      </c>
      <c r="C490" s="126" t="s">
        <v>1673</v>
      </c>
    </row>
    <row r="491" spans="1:3" ht="15" customHeight="1" x14ac:dyDescent="0.3">
      <c r="A491" s="126" t="s">
        <v>253</v>
      </c>
      <c r="B491" s="125">
        <v>0</v>
      </c>
      <c r="C491" s="126" t="s">
        <v>1673</v>
      </c>
    </row>
    <row r="492" spans="1:3" ht="15" customHeight="1" x14ac:dyDescent="0.3">
      <c r="A492" s="126" t="s">
        <v>254</v>
      </c>
      <c r="B492" s="125">
        <f ca="1">WATERflow.w1C.w2C*(1-FRAC.w1C.w1R)/VOLUME.w1C</f>
        <v>4.4676605719226806E-8</v>
      </c>
      <c r="C492" s="126" t="s">
        <v>1673</v>
      </c>
    </row>
    <row r="493" spans="1:3" ht="15" customHeight="1" x14ac:dyDescent="0.3">
      <c r="A493" s="124" t="s">
        <v>240</v>
      </c>
      <c r="B493" s="125">
        <f ca="1">kdeg.water*Tempfactor.wsdsR*(BACT.w1R/BACT.test)*FRw.w1R</f>
        <v>1.0121933540621601E-20</v>
      </c>
      <c r="C493" s="126" t="s">
        <v>1673</v>
      </c>
    </row>
    <row r="494" spans="1:3" ht="15" customHeight="1" x14ac:dyDescent="0.3">
      <c r="A494" s="126" t="s">
        <v>227</v>
      </c>
      <c r="B494" s="125" t="e">
        <f ca="1">VOLATflow.w1R.aR/VOLUME.w1R</f>
        <v>#NAME?</v>
      </c>
      <c r="C494" s="126" t="s">
        <v>1673</v>
      </c>
    </row>
    <row r="495" spans="1:3" ht="15" customHeight="1" x14ac:dyDescent="0.3">
      <c r="A495" s="124" t="s">
        <v>232</v>
      </c>
      <c r="B495" s="125" t="e">
        <f ca="1">(SEDflow.w1R.sd1R+ADSORBflow.w1R.sd1R)/VOLUME.w1R</f>
        <v>#NAME?</v>
      </c>
      <c r="C495" s="126" t="s">
        <v>1673</v>
      </c>
    </row>
    <row r="496" spans="1:3" ht="15" customHeight="1" x14ac:dyDescent="0.3">
      <c r="A496" s="126" t="s">
        <v>283</v>
      </c>
      <c r="B496" s="125">
        <f ca="1">WATERflow.w1R.w0R/VOLUME.w1R</f>
        <v>0</v>
      </c>
      <c r="C496" s="126" t="s">
        <v>1673</v>
      </c>
    </row>
    <row r="497" spans="1:3" ht="15" customHeight="1" x14ac:dyDescent="0.3">
      <c r="A497" s="126" t="s">
        <v>220</v>
      </c>
      <c r="B497" s="125">
        <f ca="1">WATERflow.w1R.w2R/VOLUME.w1R</f>
        <v>4.5470893329868736E-8</v>
      </c>
      <c r="C497" s="126" t="s">
        <v>1673</v>
      </c>
    </row>
    <row r="498" spans="1:3" ht="15" customHeight="1" x14ac:dyDescent="0.3">
      <c r="A498" s="124" t="s">
        <v>1007</v>
      </c>
      <c r="B498" s="125">
        <f ca="1">kdeg.water*Tempfactor.wsdsA*(BACT.w2A/BACT.test)*FRw.w2A</f>
        <v>8.5566931226766806E-22</v>
      </c>
      <c r="C498" s="126" t="s">
        <v>1673</v>
      </c>
    </row>
    <row r="499" spans="1:3" ht="15" customHeight="1" x14ac:dyDescent="0.3">
      <c r="A499" s="126" t="s">
        <v>1255</v>
      </c>
      <c r="B499" s="125" t="e">
        <f>VOLATflow.w2A.aA/VOLUME.w2A</f>
        <v>#NAME?</v>
      </c>
      <c r="C499" s="126" t="s">
        <v>1673</v>
      </c>
    </row>
    <row r="500" spans="1:3" ht="15" customHeight="1" x14ac:dyDescent="0.3">
      <c r="A500" s="126" t="s">
        <v>1252</v>
      </c>
      <c r="B500" s="125">
        <f>WATERflow.w2A.w2M/VOLUME.w2A</f>
        <v>0</v>
      </c>
      <c r="C500" s="126" t="s">
        <v>1673</v>
      </c>
    </row>
    <row r="501" spans="1:3" ht="15" customHeight="1" x14ac:dyDescent="0.3">
      <c r="A501" s="126" t="s">
        <v>119</v>
      </c>
      <c r="B501" s="125">
        <f>(OceanCurrent+OceanMixing.A)/VOLUME.w2A</f>
        <v>2.6926123984947511E-7</v>
      </c>
      <c r="C501" s="126" t="s">
        <v>1673</v>
      </c>
    </row>
    <row r="502" spans="1:3" ht="15" customHeight="1" x14ac:dyDescent="0.3">
      <c r="A502" s="124" t="s">
        <v>826</v>
      </c>
      <c r="B502" s="125">
        <f ca="1">kdeg.water*Tempfactor.wsdsC*(BACT.w2C/BACT.test)*FRw.w2C</f>
        <v>3.198894674595621E-21</v>
      </c>
      <c r="C502" s="126" t="s">
        <v>1673</v>
      </c>
    </row>
    <row r="503" spans="1:3" ht="15" customHeight="1" x14ac:dyDescent="0.3">
      <c r="A503" s="126" t="s">
        <v>813</v>
      </c>
      <c r="B503" s="125" t="e">
        <f>VOLATflow.w2C.aC/VOLUME.w2C</f>
        <v>#NAME?</v>
      </c>
      <c r="C503" s="126" t="s">
        <v>1673</v>
      </c>
    </row>
    <row r="504" spans="1:3" ht="15" customHeight="1" x14ac:dyDescent="0.3">
      <c r="A504" s="124" t="s">
        <v>818</v>
      </c>
      <c r="B504" s="125" t="e">
        <f>(SEDflow.w2C.sd2C+ADSORBflow.w2C.sd2C)/VOLUME.w2C</f>
        <v>#NAME?</v>
      </c>
      <c r="C504" s="126" t="s">
        <v>1673</v>
      </c>
    </row>
    <row r="505" spans="1:3" ht="15" customHeight="1" x14ac:dyDescent="0.3">
      <c r="A505" s="126" t="s">
        <v>1251</v>
      </c>
      <c r="B505" s="125">
        <f ca="1">WATERflow.w2C.w2M/VOLUME.w2C</f>
        <v>3.1709729126457526E-8</v>
      </c>
      <c r="C505" s="126" t="s">
        <v>1673</v>
      </c>
    </row>
    <row r="506" spans="1:3" ht="15" customHeight="1" x14ac:dyDescent="0.3">
      <c r="A506" s="126" t="s">
        <v>255</v>
      </c>
      <c r="B506" s="125">
        <f ca="1">WATERflow.w2C.w2R/VOLUME.w2C</f>
        <v>5.6571576352706387E-14</v>
      </c>
      <c r="C506" s="126" t="s">
        <v>1673</v>
      </c>
    </row>
    <row r="507" spans="1:3" ht="15" customHeight="1" x14ac:dyDescent="0.3">
      <c r="A507" s="124" t="s">
        <v>1006</v>
      </c>
      <c r="B507" s="125">
        <f ca="1">kdeg.water*Tempfactor.wsdsM*(BACT.w2M/BACT.test)*FRw.w2M</f>
        <v>3.9316237256932579E-21</v>
      </c>
      <c r="C507" s="126" t="s">
        <v>1673</v>
      </c>
    </row>
    <row r="508" spans="1:3" ht="15" customHeight="1" x14ac:dyDescent="0.3">
      <c r="A508" s="126" t="s">
        <v>1248</v>
      </c>
      <c r="B508" s="125" t="e">
        <f>VOLATflow.w2M.aM/VOLUME.w2M</f>
        <v>#NAME?</v>
      </c>
      <c r="C508" s="126" t="s">
        <v>1673</v>
      </c>
    </row>
    <row r="509" spans="1:3" ht="15" customHeight="1" x14ac:dyDescent="0.3">
      <c r="A509" s="126" t="s">
        <v>1266</v>
      </c>
      <c r="B509" s="125">
        <f>WATERflow.w2M.w2A/VOLUME.w2M</f>
        <v>3.9198526030891834E-8</v>
      </c>
      <c r="C509" s="126" t="s">
        <v>1673</v>
      </c>
    </row>
    <row r="510" spans="1:3" ht="15" customHeight="1" x14ac:dyDescent="0.3">
      <c r="A510" s="126" t="s">
        <v>1247</v>
      </c>
      <c r="B510" s="125">
        <f ca="1">WATERflow.w2M.w2C/VOLUME.w2M</f>
        <v>7.0154068882950024E-9</v>
      </c>
      <c r="C510" s="126" t="s">
        <v>1673</v>
      </c>
    </row>
    <row r="511" spans="1:3" ht="15" customHeight="1" x14ac:dyDescent="0.3">
      <c r="A511" s="126" t="s">
        <v>1267</v>
      </c>
      <c r="B511" s="125">
        <f>WATERflow.w2M.w2T/VOLUME.w2M</f>
        <v>0</v>
      </c>
      <c r="C511" s="126" t="s">
        <v>1673</v>
      </c>
    </row>
    <row r="512" spans="1:3" ht="15" customHeight="1" x14ac:dyDescent="0.3">
      <c r="A512" s="126" t="s">
        <v>1109</v>
      </c>
      <c r="B512" s="125">
        <f>(OceanCurrent+OceanMixing.M)/VOLUME.w2M</f>
        <v>2.496362364686023E-7</v>
      </c>
      <c r="C512" s="126" t="s">
        <v>1673</v>
      </c>
    </row>
    <row r="513" spans="1:3" ht="15" customHeight="1" x14ac:dyDescent="0.3">
      <c r="A513" s="124" t="s">
        <v>247</v>
      </c>
      <c r="B513" s="125">
        <f ca="1">kdeg.water*Tempfactor.wsdsR*(BACT.w2R/BACT.test)*FRw.w2R</f>
        <v>1.0479944387129061E-20</v>
      </c>
      <c r="C513" s="126" t="s">
        <v>1673</v>
      </c>
    </row>
    <row r="514" spans="1:3" ht="15" customHeight="1" x14ac:dyDescent="0.3">
      <c r="A514" s="126" t="s">
        <v>228</v>
      </c>
      <c r="B514" s="125" t="e">
        <f>VOLATflow.w2R.aR/VOLUME.w2R</f>
        <v>#NAME?</v>
      </c>
      <c r="C514" s="126" t="s">
        <v>1673</v>
      </c>
    </row>
    <row r="515" spans="1:3" ht="15" customHeight="1" x14ac:dyDescent="0.3">
      <c r="A515" s="124" t="s">
        <v>234</v>
      </c>
      <c r="B515" s="125" t="e">
        <f>(SEDflow.w2R.sd2R+ADSORBflow.w2R.sd2R)/VOLUME.w2R</f>
        <v>#NAME?</v>
      </c>
      <c r="C515" s="126" t="s">
        <v>1673</v>
      </c>
    </row>
    <row r="516" spans="1:3" ht="15" customHeight="1" x14ac:dyDescent="0.3">
      <c r="A516" s="126" t="s">
        <v>221</v>
      </c>
      <c r="B516" s="134">
        <f ca="1">WATERflow.w2R.w2C/VOLUME.w2R</f>
        <v>532154361569285.5</v>
      </c>
      <c r="C516" s="126" t="s">
        <v>1673</v>
      </c>
    </row>
    <row r="517" spans="1:3" ht="15" customHeight="1" x14ac:dyDescent="0.3">
      <c r="A517" s="124" t="s">
        <v>1008</v>
      </c>
      <c r="B517" s="125">
        <f ca="1">kdeg.water*Tempfactor.wsdsT*(BACT.w2T/BACT.test)*FRw.w2T</f>
        <v>9.6807931705231605E-21</v>
      </c>
      <c r="C517" s="126" t="s">
        <v>1673</v>
      </c>
    </row>
    <row r="518" spans="1:3" ht="15" customHeight="1" x14ac:dyDescent="0.3">
      <c r="A518" s="126" t="s">
        <v>1260</v>
      </c>
      <c r="B518" s="125" t="e">
        <f>VOLATflow.w2T.aT/VOLUME.w2T</f>
        <v>#NAME?</v>
      </c>
      <c r="C518" s="126" t="s">
        <v>1673</v>
      </c>
    </row>
    <row r="519" spans="1:3" ht="15" customHeight="1" x14ac:dyDescent="0.3">
      <c r="A519" s="126" t="s">
        <v>1258</v>
      </c>
      <c r="B519" s="125">
        <f>WATERflow.w2T.w2M/VOLUME.w2T</f>
        <v>1.6806722689075633E-8</v>
      </c>
      <c r="C519" s="126" t="s">
        <v>1673</v>
      </c>
    </row>
    <row r="520" spans="1:3" ht="15" customHeight="1" x14ac:dyDescent="0.3">
      <c r="A520" s="126" t="s">
        <v>52</v>
      </c>
      <c r="B520" s="125">
        <f>(OceanCurrent+OceanMixing.T)/VOLUME.w2T</f>
        <v>2.2724443312678606E-7</v>
      </c>
      <c r="C520" s="126" t="s">
        <v>1673</v>
      </c>
    </row>
    <row r="521" spans="1:3" ht="15" customHeight="1" x14ac:dyDescent="0.3">
      <c r="A521" s="124" t="s">
        <v>1163</v>
      </c>
      <c r="B521" s="125">
        <f ca="1">kdeg.water*Tempfactor.wsdsA*(BACT.w3A/BACT.test)*FRw.w3A</f>
        <v>8.5566931226766806E-22</v>
      </c>
      <c r="C521" s="126" t="s">
        <v>1673</v>
      </c>
    </row>
    <row r="522" spans="1:3" ht="15" customHeight="1" x14ac:dyDescent="0.3">
      <c r="A522" s="124" t="s">
        <v>1157</v>
      </c>
      <c r="B522" s="125" t="e">
        <f>(SEDflow.w3A.sdA+ADSORBflow.w3A.sdA)/VOLUME.w3A</f>
        <v>#NAME?</v>
      </c>
      <c r="C522" s="126" t="s">
        <v>1673</v>
      </c>
    </row>
    <row r="523" spans="1:3" ht="15" customHeight="1" x14ac:dyDescent="0.3">
      <c r="A523" s="126" t="s">
        <v>120</v>
      </c>
      <c r="B523" s="125">
        <f>(OceanCurrent+OceanMixing.A)/VOLUME.w3A</f>
        <v>8.9753746616491718E-9</v>
      </c>
      <c r="C523" s="126" t="s">
        <v>1673</v>
      </c>
    </row>
    <row r="524" spans="1:3" ht="15" customHeight="1" x14ac:dyDescent="0.3">
      <c r="A524" s="126" t="s">
        <v>1108</v>
      </c>
      <c r="B524" s="125">
        <f>OceanCurrent/VOLUME.w3A</f>
        <v>1.9607843137254903E-9</v>
      </c>
      <c r="C524" s="126" t="s">
        <v>1673</v>
      </c>
    </row>
    <row r="525" spans="1:3" ht="15" customHeight="1" x14ac:dyDescent="0.3">
      <c r="A525" s="124" t="s">
        <v>1162</v>
      </c>
      <c r="B525" s="125">
        <f ca="1">kdeg.water*Tempfactor.wsdsM*(BACT.w3M/BACT.test)*FRw.w3M</f>
        <v>3.9316237256932579E-21</v>
      </c>
      <c r="C525" s="126" t="s">
        <v>1673</v>
      </c>
    </row>
    <row r="526" spans="1:3" ht="15" customHeight="1" x14ac:dyDescent="0.3">
      <c r="A526" s="124" t="s">
        <v>139</v>
      </c>
      <c r="B526" s="125" t="e">
        <f>(SEDflow.w3M.sdM+ADSORBflow.w3M.sdM)/VOLUME.w3M</f>
        <v>#NAME?</v>
      </c>
      <c r="C526" s="126" t="s">
        <v>1673</v>
      </c>
    </row>
    <row r="527" spans="1:3" ht="15" customHeight="1" x14ac:dyDescent="0.3">
      <c r="A527" s="126" t="s">
        <v>1110</v>
      </c>
      <c r="B527" s="125">
        <f>(OceanCurrent+OceanMixing.M)/VOLUME.w3M</f>
        <v>8.3212078822867434E-9</v>
      </c>
      <c r="C527" s="126" t="s">
        <v>1673</v>
      </c>
    </row>
    <row r="528" spans="1:3" ht="15" customHeight="1" x14ac:dyDescent="0.3">
      <c r="A528" s="126" t="s">
        <v>124</v>
      </c>
      <c r="B528" s="125">
        <v>0</v>
      </c>
      <c r="C528" s="126" t="s">
        <v>1673</v>
      </c>
    </row>
    <row r="529" spans="1:3" ht="15" customHeight="1" x14ac:dyDescent="0.3">
      <c r="A529" s="126" t="s">
        <v>125</v>
      </c>
      <c r="B529" s="125">
        <f>OceanCurrent/VOLUME.w3M</f>
        <v>1.3066175343630613E-9</v>
      </c>
      <c r="C529" s="126" t="s">
        <v>1673</v>
      </c>
    </row>
    <row r="530" spans="1:3" ht="15" customHeight="1" x14ac:dyDescent="0.3">
      <c r="A530" s="124" t="s">
        <v>1164</v>
      </c>
      <c r="B530" s="125">
        <f ca="1">kdeg.water*Tempfactor.wsdsT*(BACT.w3T/BACT.test)*FRw.w3T</f>
        <v>9.6807931705231605E-21</v>
      </c>
      <c r="C530" s="126" t="s">
        <v>1673</v>
      </c>
    </row>
    <row r="531" spans="1:3" ht="15" customHeight="1" x14ac:dyDescent="0.3">
      <c r="A531" s="124" t="s">
        <v>1128</v>
      </c>
      <c r="B531" s="125" t="e">
        <f>(SEDflow.w3T.sdT+ADSORBflow.w3T.sdT)/VOLUME.w3T</f>
        <v>#NAME?</v>
      </c>
      <c r="C531" s="126" t="s">
        <v>1673</v>
      </c>
    </row>
    <row r="532" spans="1:3" ht="15" customHeight="1" x14ac:dyDescent="0.3">
      <c r="A532" s="126" t="s">
        <v>53</v>
      </c>
      <c r="B532" s="125">
        <f>(OceanCurrent+OceanMixing.T)/VOLUME.w3T</f>
        <v>7.5748144375595357E-9</v>
      </c>
      <c r="C532" s="126" t="s">
        <v>1673</v>
      </c>
    </row>
    <row r="533" spans="1:3" ht="15" customHeight="1" x14ac:dyDescent="0.3">
      <c r="A533" s="126" t="s">
        <v>51</v>
      </c>
      <c r="B533" s="125">
        <v>0</v>
      </c>
      <c r="C533" s="126" t="s">
        <v>1673</v>
      </c>
    </row>
    <row r="534" spans="1:3" ht="15" customHeight="1" x14ac:dyDescent="0.3">
      <c r="A534" s="124" t="s">
        <v>932</v>
      </c>
      <c r="B534" s="130">
        <v>7.8999999999999999E-11</v>
      </c>
      <c r="C534" s="126" t="s">
        <v>1674</v>
      </c>
    </row>
    <row r="535" spans="1:3" ht="15" customHeight="1" x14ac:dyDescent="0.3">
      <c r="A535" s="123" t="s">
        <v>637</v>
      </c>
      <c r="B535" s="132">
        <f>0.54*(Kow/Kaw)*CORGaers*(RHOaers/1000)</f>
        <v>1.2400059112166343E+20</v>
      </c>
      <c r="C535" s="123" t="s">
        <v>1587</v>
      </c>
    </row>
    <row r="536" spans="1:3" ht="15" customHeight="1" x14ac:dyDescent="0.3">
      <c r="A536" s="123" t="s">
        <v>622</v>
      </c>
      <c r="B536" s="132">
        <f>0.54*(Kow/Kaw)*CORGaers*(RHOaers/1000)</f>
        <v>1.2400059112166343E+20</v>
      </c>
      <c r="C536" s="123" t="s">
        <v>1587</v>
      </c>
    </row>
    <row r="537" spans="1:3" ht="15" customHeight="1" x14ac:dyDescent="0.3">
      <c r="A537" s="123" t="s">
        <v>632</v>
      </c>
      <c r="B537" s="132">
        <f>0.54*(Kow/Kaw)*CORGaers*(RHOaers/1000)</f>
        <v>1.2400059112166343E+20</v>
      </c>
      <c r="C537" s="123" t="s">
        <v>1587</v>
      </c>
    </row>
    <row r="538" spans="1:3" ht="15" customHeight="1" x14ac:dyDescent="0.3">
      <c r="A538" s="123" t="s">
        <v>608</v>
      </c>
      <c r="B538" s="132">
        <f>0.54*(Kow/Kaw)*CORGaers*(RHOaers/1000)</f>
        <v>1.2400059112166343E+20</v>
      </c>
      <c r="C538" s="123" t="s">
        <v>1587</v>
      </c>
    </row>
    <row r="539" spans="1:3" ht="15" customHeight="1" x14ac:dyDescent="0.3">
      <c r="A539" s="123" t="s">
        <v>627</v>
      </c>
      <c r="B539" s="132">
        <f>0.54*(Kow/Kaw)*CORGaers*(RHOaers/1000)</f>
        <v>1.2400059112166343E+20</v>
      </c>
      <c r="C539" s="123" t="s">
        <v>1587</v>
      </c>
    </row>
    <row r="540" spans="1:3" ht="15" customHeight="1" x14ac:dyDescent="0.3">
      <c r="A540" s="123" t="s">
        <v>636</v>
      </c>
      <c r="B540" s="132">
        <f>1/(Kaw.A*FRorig.aerw)</f>
        <v>7.1365899405645935E+21</v>
      </c>
      <c r="C540" s="123" t="s">
        <v>1586</v>
      </c>
    </row>
    <row r="541" spans="1:3" ht="15" customHeight="1" x14ac:dyDescent="0.3">
      <c r="A541" s="123" t="s">
        <v>621</v>
      </c>
      <c r="B541" s="132">
        <f ca="1">1/(Kaw.C*FRorig.aerw)</f>
        <v>6.0842766045348849E+20</v>
      </c>
      <c r="C541" s="123" t="s">
        <v>1586</v>
      </c>
    </row>
    <row r="542" spans="1:3" ht="15" customHeight="1" x14ac:dyDescent="0.3">
      <c r="A542" s="123" t="s">
        <v>631</v>
      </c>
      <c r="B542" s="132">
        <f>1/(Kaw.M*FRorig.aerw)</f>
        <v>4.3104587030746366E+20</v>
      </c>
      <c r="C542" s="123" t="s">
        <v>1586</v>
      </c>
    </row>
    <row r="543" spans="1:3" ht="15" customHeight="1" x14ac:dyDescent="0.3">
      <c r="A543" s="123" t="s">
        <v>605</v>
      </c>
      <c r="B543" s="132">
        <f ca="1">1/(Kaw.R*FRorig.aerw)</f>
        <v>8.8476167621698945E+19</v>
      </c>
      <c r="C543" s="123" t="s">
        <v>1586</v>
      </c>
    </row>
    <row r="544" spans="1:3" ht="15" customHeight="1" x14ac:dyDescent="0.3">
      <c r="A544" s="123" t="s">
        <v>626</v>
      </c>
      <c r="B544" s="132">
        <f>1/(Kaw.T*FRorig.aerw)</f>
        <v>1E+20</v>
      </c>
      <c r="C544" s="123" t="s">
        <v>1586</v>
      </c>
    </row>
    <row r="545" spans="1:3" ht="15" customHeight="1" x14ac:dyDescent="0.3">
      <c r="A545" s="126" t="s">
        <v>1640</v>
      </c>
      <c r="B545" s="132">
        <f>Kaw*EXP((H0vap/8.314)*(1/298-1/TEMP.A))*EXP(-(H0sol/8.314)*(1/298-1/TEMP.A))*(298/TEMP.A)</f>
        <v>1.4012294503793327E-22</v>
      </c>
      <c r="C545" s="126" t="s">
        <v>28</v>
      </c>
    </row>
    <row r="546" spans="1:3" ht="15" customHeight="1" x14ac:dyDescent="0.3">
      <c r="A546" s="126" t="s">
        <v>1614</v>
      </c>
      <c r="B546" s="132">
        <f ca="1">Kaw*EXP((H0vap/8.314)*(1/298-1/TEMP.C))*EXP(-(H0sol/8.314)*(1/298-1/TEMP.C))*(298/TEMP.C)</f>
        <v>1.6435807656322775E-21</v>
      </c>
      <c r="C546" s="126" t="s">
        <v>28</v>
      </c>
    </row>
    <row r="547" spans="1:3" ht="15" customHeight="1" x14ac:dyDescent="0.3">
      <c r="A547" s="126" t="s">
        <v>1632</v>
      </c>
      <c r="B547" s="125">
        <f>Kaw*EXP((H0vap/8.314)*(1/298-1/TEMP.M))*EXP(-(H0sol/8.314)*(1/298-1/TEMP.M))*(298/TEMP.M)</f>
        <v>2.3199387092763543E-21</v>
      </c>
      <c r="C547" s="126" t="s">
        <v>28</v>
      </c>
    </row>
    <row r="548" spans="1:3" ht="15" customHeight="1" x14ac:dyDescent="0.3">
      <c r="A548" s="123" t="s">
        <v>1613</v>
      </c>
      <c r="B548" s="132">
        <f ca="1">Kaw*EXP((H0vap/8.314)*(1/298-1/TEMP.R))*EXP(-(H0sol/8.314)*(1/298-1/TEMP.R))*(298/TEMP.R)</f>
        <v>1.1302478699978729E-20</v>
      </c>
      <c r="C548" s="123" t="s">
        <v>1675</v>
      </c>
    </row>
    <row r="549" spans="1:3" ht="15" customHeight="1" x14ac:dyDescent="0.3">
      <c r="A549" s="126" t="s">
        <v>1644</v>
      </c>
      <c r="B549" s="132">
        <f>Kaw*EXP((H0vap/8.314)*(1/298-1/TEMP.T))*EXP(-(H0sol/8.314)*(1/298-1/TEMP.T))*(298/TEMP.T)</f>
        <v>9.9999999999999995E-21</v>
      </c>
      <c r="C549" s="126" t="s">
        <v>28</v>
      </c>
    </row>
    <row r="550" spans="1:3" ht="15" customHeight="1" x14ac:dyDescent="0.3">
      <c r="A550" s="124" t="s">
        <v>665</v>
      </c>
      <c r="B550" s="125">
        <f>FRgas.aA*kdeg.air*(C.OHrad.aA/C.OHrad)*Tempfactor.aA</f>
        <v>6.7781991232043885E-31</v>
      </c>
      <c r="C550" s="126" t="s">
        <v>1673</v>
      </c>
    </row>
    <row r="551" spans="1:3" ht="15" customHeight="1" x14ac:dyDescent="0.3">
      <c r="A551" s="124" t="s">
        <v>1196</v>
      </c>
      <c r="B551" s="125">
        <f ca="1">FRgas.aC*kdeg.air*(C.OHrad.aC/C.OHrad)*Tempfactor.aC</f>
        <v>5.9990923767918862E-31</v>
      </c>
      <c r="C551" s="126" t="s">
        <v>1673</v>
      </c>
    </row>
    <row r="552" spans="1:3" ht="15" customHeight="1" x14ac:dyDescent="0.3">
      <c r="A552" s="124" t="s">
        <v>184</v>
      </c>
      <c r="B552" s="125">
        <f>FRgas.aM*kdeg.air*(C.OHrad.aM/C.OHrad)*Tempfactor.aM</f>
        <v>8.1051249849633717E-31</v>
      </c>
      <c r="C552" s="126" t="s">
        <v>1673</v>
      </c>
    </row>
    <row r="553" spans="1:3" ht="15" customHeight="1" x14ac:dyDescent="0.3">
      <c r="A553" s="124" t="s">
        <v>455</v>
      </c>
      <c r="B553" s="125">
        <f ca="1">FRgas.aR*kdeg.air*(C.OHrad.aR/C.OHrad)*Tempfactor.aR</f>
        <v>2.375185702041891E-30</v>
      </c>
      <c r="C553" s="126" t="s">
        <v>1673</v>
      </c>
    </row>
    <row r="554" spans="1:3" ht="15" customHeight="1" x14ac:dyDescent="0.3">
      <c r="A554" s="124" t="s">
        <v>44</v>
      </c>
      <c r="B554" s="125">
        <f>FRgas.aT*kdeg.air*(C.OHrad.aT/C.OHrad)*Tempfactor.aT</f>
        <v>2.2321366976996159E-30</v>
      </c>
      <c r="C554" s="126" t="s">
        <v>1673</v>
      </c>
    </row>
    <row r="555" spans="1:3" ht="15" customHeight="1" x14ac:dyDescent="0.3">
      <c r="A555" s="124" t="s">
        <v>1288</v>
      </c>
      <c r="B555" s="132">
        <f ca="1">Tempfactor.wsdsC*kdeg.soil</f>
        <v>3.3215521768219973E-21</v>
      </c>
      <c r="C555" s="126" t="s">
        <v>1673</v>
      </c>
    </row>
    <row r="556" spans="1:3" ht="15" customHeight="1" x14ac:dyDescent="0.3">
      <c r="A556" s="124" t="s">
        <v>1330</v>
      </c>
      <c r="B556" s="125">
        <f ca="1">Tempfactor.wsdsR*kdeg.soil</f>
        <v>1.0825501797765103E-20</v>
      </c>
      <c r="C556" s="126" t="s">
        <v>1673</v>
      </c>
    </row>
    <row r="557" spans="1:3" ht="15" customHeight="1" x14ac:dyDescent="0.3">
      <c r="A557" s="124" t="s">
        <v>1289</v>
      </c>
      <c r="B557" s="132">
        <f ca="1">Tempfactor.wsdsC*kdeg.soil</f>
        <v>3.3215521768219973E-21</v>
      </c>
      <c r="C557" s="126" t="s">
        <v>1673</v>
      </c>
    </row>
    <row r="558" spans="1:3" ht="15" customHeight="1" x14ac:dyDescent="0.3">
      <c r="A558" s="124" t="s">
        <v>1331</v>
      </c>
      <c r="B558" s="125">
        <f ca="1">Tempfactor.wsdsR*kdeg.soil</f>
        <v>1.0825501797765103E-20</v>
      </c>
      <c r="C558" s="126" t="s">
        <v>1673</v>
      </c>
    </row>
    <row r="559" spans="1:3" ht="15" customHeight="1" x14ac:dyDescent="0.3">
      <c r="A559" s="124" t="s">
        <v>1195</v>
      </c>
      <c r="B559" s="132">
        <f ca="1">Tempfactor.wsdsC*kdeg.soil</f>
        <v>3.3215521768219973E-21</v>
      </c>
      <c r="C559" s="126" t="s">
        <v>1673</v>
      </c>
    </row>
    <row r="560" spans="1:3" ht="15" customHeight="1" x14ac:dyDescent="0.3">
      <c r="A560" s="124" t="s">
        <v>1332</v>
      </c>
      <c r="B560" s="125">
        <f ca="1">Tempfactor.wsdsR*kdeg.soil</f>
        <v>1.0825501797765103E-20</v>
      </c>
      <c r="C560" s="126" t="s">
        <v>1673</v>
      </c>
    </row>
    <row r="561" spans="1:3" ht="15" customHeight="1" x14ac:dyDescent="0.3">
      <c r="A561" s="124" t="s">
        <v>667</v>
      </c>
      <c r="B561" s="132">
        <f>Tempfactor.wsdsA*kdeg.soil</f>
        <v>8.8388347648318438E-22</v>
      </c>
      <c r="C561" s="126" t="s">
        <v>1673</v>
      </c>
    </row>
    <row r="562" spans="1:3" ht="15" customHeight="1" x14ac:dyDescent="0.3">
      <c r="A562" s="124" t="s">
        <v>975</v>
      </c>
      <c r="B562" s="132">
        <f ca="1">Tempfactor.wsdsC*kdeg.sed</f>
        <v>3.3215521768219973E-21</v>
      </c>
      <c r="C562" s="126" t="s">
        <v>1673</v>
      </c>
    </row>
    <row r="563" spans="1:3" ht="15" customHeight="1" x14ac:dyDescent="0.3">
      <c r="A563" s="124" t="s">
        <v>1328</v>
      </c>
      <c r="B563" s="125">
        <f ca="1">Tempfactor.wsdsR*kdeg.sed</f>
        <v>1.0825501797765103E-20</v>
      </c>
      <c r="C563" s="126" t="s">
        <v>1673</v>
      </c>
    </row>
    <row r="564" spans="1:3" ht="15" customHeight="1" x14ac:dyDescent="0.3">
      <c r="A564" s="124" t="s">
        <v>1287</v>
      </c>
      <c r="B564" s="132">
        <f ca="1">Tempfactor.wsdsC*kdeg.sed</f>
        <v>3.3215521768219973E-21</v>
      </c>
      <c r="C564" s="126" t="s">
        <v>1673</v>
      </c>
    </row>
    <row r="565" spans="1:3" ht="15" customHeight="1" x14ac:dyDescent="0.3">
      <c r="A565" s="124" t="s">
        <v>1329</v>
      </c>
      <c r="B565" s="125">
        <f ca="1">Tempfactor.wsdsR*kdeg.sed</f>
        <v>1.0825501797765103E-20</v>
      </c>
      <c r="C565" s="126" t="s">
        <v>1673</v>
      </c>
    </row>
    <row r="566" spans="1:3" ht="15" customHeight="1" x14ac:dyDescent="0.3">
      <c r="A566" s="124" t="s">
        <v>666</v>
      </c>
      <c r="B566" s="132">
        <f>Tempfactor.wsdsA*kdeg.sed</f>
        <v>8.8388347648318438E-22</v>
      </c>
      <c r="C566" s="126" t="s">
        <v>1673</v>
      </c>
    </row>
    <row r="567" spans="1:3" ht="15" customHeight="1" x14ac:dyDescent="0.3">
      <c r="A567" s="124" t="s">
        <v>185</v>
      </c>
      <c r="B567" s="125">
        <f>Tempfactor.wsdsM*kdeg.sed</f>
        <v>4.0612619817811774E-21</v>
      </c>
      <c r="C567" s="126" t="s">
        <v>1673</v>
      </c>
    </row>
    <row r="568" spans="1:3" ht="15" customHeight="1" x14ac:dyDescent="0.3">
      <c r="A568" s="124" t="s">
        <v>45</v>
      </c>
      <c r="B568" s="125">
        <f>Tempfactor.wsdsT*kdeg.sed</f>
        <v>9.9999999999999995E-21</v>
      </c>
      <c r="C568" s="126" t="s">
        <v>1673</v>
      </c>
    </row>
    <row r="569" spans="1:3" ht="15" customHeight="1" x14ac:dyDescent="0.3">
      <c r="A569" s="124" t="s">
        <v>186</v>
      </c>
      <c r="B569" s="125">
        <f>Tempfactor.wsdsM*kdeg.soil</f>
        <v>4.0612619817811774E-21</v>
      </c>
      <c r="C569" s="126" t="s">
        <v>1673</v>
      </c>
    </row>
    <row r="570" spans="1:3" ht="15" customHeight="1" x14ac:dyDescent="0.3">
      <c r="A570" s="124" t="s">
        <v>46</v>
      </c>
      <c r="B570" s="125">
        <f>Tempfactor.wsdsT*kdeg.soil</f>
        <v>9.9999999999999995E-21</v>
      </c>
      <c r="C570" s="126" t="s">
        <v>1673</v>
      </c>
    </row>
    <row r="571" spans="1:3" ht="15" customHeight="1" x14ac:dyDescent="0.3">
      <c r="A571" s="124" t="s">
        <v>347</v>
      </c>
      <c r="B571" s="125">
        <f ca="1">kdeg.water*Tempfactor.wsdsC*(BACT.w0C/BACT.test)*FRw.w0C</f>
        <v>3.3106332194681661E-21</v>
      </c>
      <c r="C571" s="126" t="s">
        <v>1673</v>
      </c>
    </row>
    <row r="572" spans="1:3" ht="15" customHeight="1" x14ac:dyDescent="0.3">
      <c r="A572" s="124" t="s">
        <v>300</v>
      </c>
      <c r="B572" s="125">
        <f ca="1">kdeg.water*Tempfactor.wsdsR*(BACT.w0R/BACT.test)*FRw.w0R</f>
        <v>1.0789915064162529E-20</v>
      </c>
      <c r="C572" s="126" t="s">
        <v>1673</v>
      </c>
    </row>
    <row r="573" spans="1:3" ht="15" customHeight="1" x14ac:dyDescent="0.3">
      <c r="A573" s="124" t="s">
        <v>973</v>
      </c>
      <c r="B573" s="125">
        <f ca="1">kdeg.water*Tempfactor.wsdsC*(BACT.w1C/BACT.test)*FRw.w1C</f>
        <v>3.015809833792187E-21</v>
      </c>
      <c r="C573" s="126" t="s">
        <v>1673</v>
      </c>
    </row>
    <row r="574" spans="1:3" ht="15" customHeight="1" x14ac:dyDescent="0.3">
      <c r="A574" s="124" t="s">
        <v>844</v>
      </c>
      <c r="B574" s="125">
        <f ca="1">kdeg.water*Tempfactor.wsdsR*(BACT.w1R/BACT.test)*FRw.w1R</f>
        <v>1.0121933540621601E-20</v>
      </c>
      <c r="C574" s="126" t="s">
        <v>1673</v>
      </c>
    </row>
    <row r="575" spans="1:3" ht="15" customHeight="1" x14ac:dyDescent="0.3">
      <c r="A575" s="124" t="s">
        <v>1151</v>
      </c>
      <c r="B575" s="132">
        <f ca="1">kdeg.water*Tempfactor.wsdsA*(BACT.w2A/BACT.test)*FRw.w2A</f>
        <v>8.5566931226766806E-22</v>
      </c>
      <c r="C575" s="126" t="s">
        <v>1673</v>
      </c>
    </row>
    <row r="576" spans="1:3" ht="15" customHeight="1" x14ac:dyDescent="0.3">
      <c r="A576" s="124" t="s">
        <v>974</v>
      </c>
      <c r="B576" s="125">
        <f ca="1">kdeg.water*Tempfactor.wsdsC*(BACT.w2C/BACT.test)*FRw.w2C</f>
        <v>3.198894674595621E-21</v>
      </c>
      <c r="C576" s="126" t="s">
        <v>1673</v>
      </c>
    </row>
    <row r="577" spans="1:3" ht="15" customHeight="1" x14ac:dyDescent="0.3">
      <c r="A577" s="124" t="s">
        <v>141</v>
      </c>
      <c r="B577" s="125">
        <f ca="1">kdeg.water*Tempfactor.wsdsM*(BACT.w2M/BACT.test)*FRw.w2M</f>
        <v>3.9316237256932579E-21</v>
      </c>
      <c r="C577" s="126" t="s">
        <v>1673</v>
      </c>
    </row>
    <row r="578" spans="1:3" ht="15" customHeight="1" x14ac:dyDescent="0.3">
      <c r="A578" s="124" t="s">
        <v>845</v>
      </c>
      <c r="B578" s="125">
        <f ca="1">kdeg.water*Tempfactor.wsdsR*(BACT.w2R/BACT.test)*FRw.w2R</f>
        <v>1.0479944387129061E-20</v>
      </c>
      <c r="C578" s="126" t="s">
        <v>1673</v>
      </c>
    </row>
    <row r="579" spans="1:3" ht="15" customHeight="1" x14ac:dyDescent="0.3">
      <c r="A579" s="124" t="s">
        <v>1130</v>
      </c>
      <c r="B579" s="125">
        <f ca="1">kdeg.water*Tempfactor.wsdsT*(BACT.w2T/BACT.test)*FRw.w2T</f>
        <v>9.6807931705231605E-21</v>
      </c>
      <c r="C579" s="126" t="s">
        <v>1673</v>
      </c>
    </row>
    <row r="580" spans="1:3" ht="15" customHeight="1" x14ac:dyDescent="0.3">
      <c r="A580" s="124" t="s">
        <v>1152</v>
      </c>
      <c r="B580" s="132">
        <f ca="1">kdeg.water*Tempfactor.wsdsA*(BACT.w3A/BACT.test)*FRw.w3A</f>
        <v>8.5566931226766806E-22</v>
      </c>
      <c r="C580" s="126" t="s">
        <v>1673</v>
      </c>
    </row>
    <row r="581" spans="1:3" ht="15" customHeight="1" x14ac:dyDescent="0.3">
      <c r="A581" s="124" t="s">
        <v>142</v>
      </c>
      <c r="B581" s="125">
        <f ca="1">kdeg.water*Tempfactor.wsdsM*(BACT.w3M/BACT.test)*FRw.w3M</f>
        <v>3.9316237256932579E-21</v>
      </c>
      <c r="C581" s="126" t="s">
        <v>1673</v>
      </c>
    </row>
    <row r="582" spans="1:3" ht="15" customHeight="1" x14ac:dyDescent="0.3">
      <c r="A582" s="124" t="s">
        <v>1132</v>
      </c>
      <c r="B582" s="125">
        <f ca="1">kdeg.water*Tempfactor.wsdsT*(BACT.w3T/BACT.test)*FRw.w3T</f>
        <v>9.6807931705231605E-21</v>
      </c>
      <c r="C582" s="126" t="s">
        <v>1673</v>
      </c>
    </row>
    <row r="583" spans="1:3" ht="15" customHeight="1" x14ac:dyDescent="0.3">
      <c r="A583" s="124" t="s">
        <v>752</v>
      </c>
      <c r="B583" s="133" t="s">
        <v>1681</v>
      </c>
      <c r="C583" s="126" t="s">
        <v>1673</v>
      </c>
    </row>
    <row r="584" spans="1:3" ht="15" customHeight="1" x14ac:dyDescent="0.3">
      <c r="A584" s="124" t="s">
        <v>958</v>
      </c>
      <c r="B584" s="133" t="s">
        <v>1682</v>
      </c>
      <c r="C584" s="126" t="s">
        <v>1673</v>
      </c>
    </row>
    <row r="585" spans="1:3" ht="15" customHeight="1" x14ac:dyDescent="0.3">
      <c r="A585" s="124" t="s">
        <v>744</v>
      </c>
      <c r="B585" s="133" t="s">
        <v>1683</v>
      </c>
      <c r="C585" s="126" t="s">
        <v>1673</v>
      </c>
    </row>
    <row r="586" spans="1:3" ht="15" customHeight="1" x14ac:dyDescent="0.3">
      <c r="A586" s="124" t="s">
        <v>887</v>
      </c>
      <c r="B586" s="133" t="s">
        <v>1684</v>
      </c>
      <c r="C586" s="126" t="s">
        <v>1673</v>
      </c>
    </row>
    <row r="587" spans="1:3" ht="15" customHeight="1" x14ac:dyDescent="0.3">
      <c r="A587" s="124" t="s">
        <v>422</v>
      </c>
      <c r="B587" s="133" t="s">
        <v>1685</v>
      </c>
      <c r="C587" s="126" t="s">
        <v>1673</v>
      </c>
    </row>
    <row r="588" spans="1:3" ht="15" customHeight="1" x14ac:dyDescent="0.3">
      <c r="A588" s="124" t="s">
        <v>751</v>
      </c>
      <c r="B588" s="125" t="e">
        <f>kdep.A-(GASABSflow.aA.w2A+GASABSflow.aA.sA)/VOLUME.aA-KDEG.aA</f>
        <v>#NAME?</v>
      </c>
      <c r="C588" s="126" t="s">
        <v>1673</v>
      </c>
    </row>
    <row r="589" spans="1:3" ht="15" customHeight="1" x14ac:dyDescent="0.3">
      <c r="A589" s="124" t="s">
        <v>957</v>
      </c>
      <c r="B589" s="125" t="e">
        <f ca="1">kdep.C-(GASABSflow.aC.w1C+GASABSflow.aC.w2C+GASABSflow.aC.s1C+GASABSflow.aC.s2C+GASABSflow.aC.s3C)/VOLUME.aC-KDEG.aC</f>
        <v>#NAME?</v>
      </c>
      <c r="C589" s="126" t="s">
        <v>1673</v>
      </c>
    </row>
    <row r="590" spans="1:3" ht="15" customHeight="1" x14ac:dyDescent="0.3">
      <c r="A590" s="124" t="s">
        <v>743</v>
      </c>
      <c r="B590" s="125" t="e">
        <f>kdep.M-(GASABSflow.aM.w2M+GASABSflow.aM.sM)/VOLUME.aM-KDEG.aM</f>
        <v>#NAME?</v>
      </c>
      <c r="C590" s="126" t="s">
        <v>1673</v>
      </c>
    </row>
    <row r="591" spans="1:3" ht="15" customHeight="1" x14ac:dyDescent="0.3">
      <c r="A591" s="124" t="s">
        <v>886</v>
      </c>
      <c r="B591" s="134" t="e">
        <f ca="1">kdep.R-(GASABSflow.aR.w1R+GASABSflow.aR.w2R+GASABSflow.aR.s1R+GASABSflow.aR.s2R+GASABSflow.aR.s3R)/VOLUME.aR-KDEG.aR</f>
        <v>#NAME?</v>
      </c>
      <c r="C591" s="126" t="s">
        <v>1673</v>
      </c>
    </row>
    <row r="592" spans="1:3" ht="15" customHeight="1" x14ac:dyDescent="0.3">
      <c r="A592" s="124" t="s">
        <v>427</v>
      </c>
      <c r="B592" s="125" t="e">
        <f>kdep.T-(GASABSflow.aT.w2T+GASABSflow.aT.sT)/VOLUME.aT-KDEG.aT</f>
        <v>#NAME?</v>
      </c>
      <c r="C592" s="126" t="s">
        <v>1673</v>
      </c>
    </row>
    <row r="593" spans="1:3" ht="15" customHeight="1" x14ac:dyDescent="0.3">
      <c r="A593" s="124" t="s">
        <v>753</v>
      </c>
      <c r="B593" s="125" t="e">
        <f>DRYDEPaerosol.A/HEIGHT.aA + (GASABSflow.aA.w2A+GASABSflow.aA.sA)/VOLUME.aA+KDEG.aA</f>
        <v>#NAME?</v>
      </c>
      <c r="C593" s="126" t="s">
        <v>1673</v>
      </c>
    </row>
    <row r="594" spans="1:3" ht="15" customHeight="1" x14ac:dyDescent="0.3">
      <c r="A594" s="124" t="s">
        <v>959</v>
      </c>
      <c r="B594" s="125" t="e">
        <f ca="1">DRYDEPaerosol.C/HEIGHT.aC + (GASABSflow.aC.w1C+GASABSflow.aC.w2C+GASABSflow.aC.s1C+GASABSflow.aC.s2C+GASABSflow.aC.s3C)/VOLUME.aC+KDEG.aC</f>
        <v>#NAME?</v>
      </c>
      <c r="C594" s="126" t="s">
        <v>1673</v>
      </c>
    </row>
    <row r="595" spans="1:3" ht="15" customHeight="1" x14ac:dyDescent="0.3">
      <c r="A595" s="124" t="s">
        <v>745</v>
      </c>
      <c r="B595" s="125" t="e">
        <f>DRYDEPaerosol.M/HEIGHT.aM + (GASABSflow.aM.w2M+GASABSflow.aM.sM)/VOLUME.aM+KDEG.aM</f>
        <v>#NAME?</v>
      </c>
      <c r="C595" s="126" t="s">
        <v>1673</v>
      </c>
    </row>
    <row r="596" spans="1:3" ht="15" customHeight="1" x14ac:dyDescent="0.3">
      <c r="A596" s="124" t="s">
        <v>888</v>
      </c>
      <c r="B596" s="125" t="e">
        <f ca="1">DRYDEPaerosol.R/HEIGHT.aR + (GASABSflow.aR.w1R+GASABSflow.aR.w2R+GASABSflow.aR.s1R+GASABSflow.aR.s2R+GASABSflow.aR.s3R)/VOLUME.aR+KDEG.aR</f>
        <v>#NAME?</v>
      </c>
      <c r="C596" s="126" t="s">
        <v>1673</v>
      </c>
    </row>
    <row r="597" spans="1:3" ht="15" customHeight="1" x14ac:dyDescent="0.3">
      <c r="A597" s="124" t="s">
        <v>423</v>
      </c>
      <c r="B597" s="125" t="e">
        <f>DRYDEPaerosol.T/HEIGHT.aT + (GASABSflow.aT.w2T+GASABSflow.aT.sT)/VOLUME.aT+KDEG.aT</f>
        <v>#NAME?</v>
      </c>
      <c r="C597" s="126" t="s">
        <v>1673</v>
      </c>
    </row>
    <row r="598" spans="1:3" ht="15" customHeight="1" x14ac:dyDescent="0.3">
      <c r="A598" s="127" t="s">
        <v>668</v>
      </c>
      <c r="B598" s="125">
        <f>LN(2)/(60*365*24*3600)</f>
        <v>3.663258818281463E-10</v>
      </c>
      <c r="C598" s="126" t="s">
        <v>1673</v>
      </c>
    </row>
    <row r="599" spans="1:3" ht="15" customHeight="1" x14ac:dyDescent="0.3">
      <c r="A599" s="127" t="s">
        <v>189</v>
      </c>
      <c r="B599" s="125">
        <f>LN(2)/(60*365*24*3600)</f>
        <v>3.663258818281463E-10</v>
      </c>
      <c r="C599" s="126" t="s">
        <v>1673</v>
      </c>
    </row>
    <row r="600" spans="1:3" ht="15" customHeight="1" x14ac:dyDescent="0.3">
      <c r="A600" s="127" t="s">
        <v>772</v>
      </c>
      <c r="B600" s="125">
        <f>LN(2)/(60*365*24*3600)</f>
        <v>3.663258818281463E-10</v>
      </c>
      <c r="C600" s="126" t="s">
        <v>1673</v>
      </c>
    </row>
    <row r="601" spans="1:3" ht="15" customHeight="1" x14ac:dyDescent="0.3">
      <c r="A601" s="127" t="s">
        <v>187</v>
      </c>
      <c r="B601" s="125">
        <f>LN(2)/(60*365*24*3600)</f>
        <v>3.663258818281463E-10</v>
      </c>
      <c r="C601" s="126" t="s">
        <v>1673</v>
      </c>
    </row>
    <row r="602" spans="1:3" ht="15" customHeight="1" x14ac:dyDescent="0.3">
      <c r="A602" s="127" t="s">
        <v>1385</v>
      </c>
      <c r="B602" s="125">
        <f>LN(2)/(60*365*24*3600)</f>
        <v>3.663258818281463E-10</v>
      </c>
      <c r="C602" s="126" t="s">
        <v>1673</v>
      </c>
    </row>
    <row r="603" spans="1:3" ht="15" customHeight="1" x14ac:dyDescent="0.3">
      <c r="A603" s="127" t="s">
        <v>339</v>
      </c>
      <c r="B603" s="125">
        <f>0.08*D</f>
        <v>0.91852289719750679</v>
      </c>
      <c r="C603" s="126" t="s">
        <v>1000</v>
      </c>
    </row>
    <row r="604" spans="1:3" ht="15" customHeight="1" x14ac:dyDescent="0.3">
      <c r="A604" s="127" t="s">
        <v>290</v>
      </c>
      <c r="B604" s="125">
        <f>0.08*D</f>
        <v>0.91852289719750679</v>
      </c>
      <c r="C604" s="126" t="s">
        <v>1000</v>
      </c>
    </row>
    <row r="605" spans="1:3" ht="15" customHeight="1" x14ac:dyDescent="0.3">
      <c r="A605" s="127" t="s">
        <v>547</v>
      </c>
      <c r="B605" s="125">
        <f>0.08*D</f>
        <v>0.91852289719750679</v>
      </c>
      <c r="C605" s="126" t="s">
        <v>1000</v>
      </c>
    </row>
    <row r="606" spans="1:3" ht="15" customHeight="1" x14ac:dyDescent="0.3">
      <c r="A606" s="127" t="s">
        <v>542</v>
      </c>
      <c r="B606" s="125">
        <f>0.08*D</f>
        <v>0.91852289719750679</v>
      </c>
      <c r="C606" s="126" t="s">
        <v>1000</v>
      </c>
    </row>
    <row r="607" spans="1:3" ht="15" customHeight="1" x14ac:dyDescent="0.3">
      <c r="A607" s="127" t="s">
        <v>1146</v>
      </c>
      <c r="B607" s="125">
        <v>220</v>
      </c>
      <c r="C607" s="126" t="s">
        <v>1000</v>
      </c>
    </row>
    <row r="608" spans="1:3" ht="15" customHeight="1" x14ac:dyDescent="0.3">
      <c r="A608" s="127" t="s">
        <v>549</v>
      </c>
      <c r="B608" s="125">
        <f>0.08*D</f>
        <v>0.91852289719750679</v>
      </c>
      <c r="C608" s="126" t="s">
        <v>1000</v>
      </c>
    </row>
    <row r="609" spans="1:3" ht="15" customHeight="1" x14ac:dyDescent="0.3">
      <c r="A609" s="127" t="s">
        <v>132</v>
      </c>
      <c r="B609" s="125">
        <v>220</v>
      </c>
      <c r="C609" s="126" t="s">
        <v>1000</v>
      </c>
    </row>
    <row r="610" spans="1:3" ht="15" customHeight="1" x14ac:dyDescent="0.3">
      <c r="A610" s="127" t="s">
        <v>545</v>
      </c>
      <c r="B610" s="125">
        <f>0.08*D</f>
        <v>0.91852289719750679</v>
      </c>
      <c r="C610" s="126" t="s">
        <v>1000</v>
      </c>
    </row>
    <row r="611" spans="1:3" ht="15" customHeight="1" x14ac:dyDescent="0.3">
      <c r="A611" s="127" t="s">
        <v>1121</v>
      </c>
      <c r="B611" s="125">
        <v>220</v>
      </c>
      <c r="C611" s="126" t="s">
        <v>1000</v>
      </c>
    </row>
    <row r="612" spans="1:3" ht="15" customHeight="1" x14ac:dyDescent="0.3">
      <c r="A612" s="127" t="s">
        <v>1147</v>
      </c>
      <c r="B612" s="125">
        <v>220</v>
      </c>
      <c r="C612" s="126" t="s">
        <v>1000</v>
      </c>
    </row>
    <row r="613" spans="1:3" ht="15" customHeight="1" x14ac:dyDescent="0.3">
      <c r="A613" s="127" t="s">
        <v>133</v>
      </c>
      <c r="B613" s="125">
        <v>220</v>
      </c>
      <c r="C613" s="126" t="s">
        <v>1000</v>
      </c>
    </row>
    <row r="614" spans="1:3" ht="15" customHeight="1" x14ac:dyDescent="0.3">
      <c r="A614" s="127" t="s">
        <v>1122</v>
      </c>
      <c r="B614" s="125">
        <v>220</v>
      </c>
      <c r="C614" s="126" t="s">
        <v>1000</v>
      </c>
    </row>
    <row r="615" spans="1:3" ht="15" customHeight="1" x14ac:dyDescent="0.3">
      <c r="A615" s="127" t="s">
        <v>117</v>
      </c>
      <c r="B615" s="125">
        <f ca="1">(FRorig.s1*Ksw+(1-FRorig.s1)*Ksw.alt)*(1000/RHOsolid/CORG)*CORG.s1C</f>
        <v>4011.9791346313996</v>
      </c>
      <c r="C615" s="126" t="s">
        <v>1000</v>
      </c>
    </row>
    <row r="616" spans="1:3" ht="15" customHeight="1" x14ac:dyDescent="0.3">
      <c r="A616" s="127" t="s">
        <v>118</v>
      </c>
      <c r="B616" s="125">
        <f ca="1">(FRorig.s1*Ksw+(1-FRorig.s1)*Ksw.alt)*(1000/RHOsolid/CORG)*CORG.s1R</f>
        <v>1723.8775137035775</v>
      </c>
      <c r="C616" s="126" t="s">
        <v>1676</v>
      </c>
    </row>
    <row r="617" spans="1:3" ht="15" customHeight="1" x14ac:dyDescent="0.3">
      <c r="A617" s="127" t="s">
        <v>159</v>
      </c>
      <c r="B617" s="125">
        <f ca="1">(FRorig.s2*Ksw+(1-FRorig.s2)*Ksw.alt)*(1000/RHOsolid/CORG)*CORG.s2C</f>
        <v>3952.0010924147232</v>
      </c>
      <c r="C617" s="126" t="s">
        <v>1000</v>
      </c>
    </row>
    <row r="618" spans="1:3" ht="15" customHeight="1" x14ac:dyDescent="0.3">
      <c r="A618" s="127" t="s">
        <v>160</v>
      </c>
      <c r="B618" s="125">
        <f ca="1">(FRorig.s2*Ksw+(1-FRorig.s2)*Ksw.alt)*(1000/RHOsolid/CORG)*CORG.s2R</f>
        <v>1599.0290097075867</v>
      </c>
      <c r="C618" s="126" t="s">
        <v>1676</v>
      </c>
    </row>
    <row r="619" spans="1:3" ht="15" customHeight="1" x14ac:dyDescent="0.3">
      <c r="A619" s="127" t="s">
        <v>161</v>
      </c>
      <c r="B619" s="125">
        <f ca="1">(FRorig.s2*Ksw+(1-FRorig.s2)*Ksw.alt)*(1000/RHOsolid/CORG)*CORG.s3C</f>
        <v>3375.8185814911017</v>
      </c>
      <c r="C619" s="126" t="s">
        <v>1000</v>
      </c>
    </row>
    <row r="620" spans="1:3" ht="15" customHeight="1" x14ac:dyDescent="0.3">
      <c r="A620" s="127" t="s">
        <v>162</v>
      </c>
      <c r="B620" s="125">
        <f ca="1">(FRorig.s3*Ksw+(1-FRorig.s3)*Ksw.alt)*(1000/RHOsolid/CORG)*CORG.s3R</f>
        <v>3455.5927184363982</v>
      </c>
      <c r="C620" s="126" t="s">
        <v>1676</v>
      </c>
    </row>
    <row r="621" spans="1:3" ht="15" customHeight="1" x14ac:dyDescent="0.3">
      <c r="A621" s="127" t="s">
        <v>163</v>
      </c>
      <c r="B621" s="125">
        <f ca="1">(FRorig.s1*Ksw+(1-FRorig.s1)*Ksw.alt)*(1000/RHOsolid/CORG)*CORG.sA</f>
        <v>1318.8916727136248</v>
      </c>
      <c r="C621" s="126" t="s">
        <v>1676</v>
      </c>
    </row>
    <row r="622" spans="1:3" ht="15" customHeight="1" x14ac:dyDescent="0.3">
      <c r="A622" s="127" t="s">
        <v>164</v>
      </c>
      <c r="B622" s="125">
        <f ca="1">(FRorig.sd1*Ksw+(1-FRorig.sd1)*Ksw.alt)*(1000/RHOsolid/CORG)*CORG.sd1C</f>
        <v>3907.9194930498693</v>
      </c>
      <c r="C622" s="126" t="s">
        <v>1000</v>
      </c>
    </row>
    <row r="623" spans="1:3" ht="15" customHeight="1" x14ac:dyDescent="0.3">
      <c r="A623" s="127" t="s">
        <v>165</v>
      </c>
      <c r="B623" s="125">
        <f ca="1">(FRorig.sd1*Ksw+(1-FRorig.sd1)*Ksw.alt)*(1000/RHOsolid/CORG)*CORG.sd1R</f>
        <v>7132.0668109683857</v>
      </c>
      <c r="C623" s="126" t="s">
        <v>1676</v>
      </c>
    </row>
    <row r="624" spans="1:3" ht="15" customHeight="1" x14ac:dyDescent="0.3">
      <c r="A624" s="127" t="s">
        <v>166</v>
      </c>
      <c r="B624" s="125">
        <f ca="1">(FRorig.sd2*Ksw+(1-FRorig.sd2)*Ksw.alt)*(1000/RHOsolid/CORG)*CORG.sd2C</f>
        <v>1676.9105771976958</v>
      </c>
      <c r="C624" s="126" t="s">
        <v>1000</v>
      </c>
    </row>
    <row r="625" spans="1:3" ht="15" customHeight="1" x14ac:dyDescent="0.3">
      <c r="A625" s="127" t="s">
        <v>167</v>
      </c>
      <c r="B625" s="125">
        <f ca="1">(FRorig.sd2*Ksw+(1-FRorig.sd2)*Ksw.alt)*(1000/RHOsolid/CORG)*CORG.sd2R</f>
        <v>3297.2291817840619</v>
      </c>
      <c r="C625" s="126" t="s">
        <v>1676</v>
      </c>
    </row>
    <row r="626" spans="1:3" ht="15" customHeight="1" x14ac:dyDescent="0.3">
      <c r="A626" s="127" t="s">
        <v>168</v>
      </c>
      <c r="B626" s="125">
        <f ca="1">(FRorig.sd2*Ksw+(1-FRorig.sd2)*Ksw.alt)*(1000/RHOsolid/CORG)*CORG.sdA</f>
        <v>3297.2291817840619</v>
      </c>
      <c r="C626" s="126" t="s">
        <v>1676</v>
      </c>
    </row>
    <row r="627" spans="1:3" ht="15" customHeight="1" x14ac:dyDescent="0.3">
      <c r="A627" s="127" t="s">
        <v>169</v>
      </c>
      <c r="B627" s="125">
        <f ca="1">(FRorig.sd2*Ksw+(1-FRorig.sd2)*Ksw.alt)*(1000/RHOsolid/CORG)*CORG.sdM</f>
        <v>3297.2291817840619</v>
      </c>
      <c r="C627" s="126" t="s">
        <v>1676</v>
      </c>
    </row>
    <row r="628" spans="1:3" ht="15" customHeight="1" x14ac:dyDescent="0.3">
      <c r="A628" s="127" t="s">
        <v>170</v>
      </c>
      <c r="B628" s="125">
        <f ca="1">(FRorig.sd2*Ksw+(1-FRorig.sd2)*Ksw.alt)*(1000/RHOsolid/CORG)*CORG.sdT</f>
        <v>3297.2291817840619</v>
      </c>
      <c r="C628" s="126" t="s">
        <v>1676</v>
      </c>
    </row>
    <row r="629" spans="1:3" ht="15" customHeight="1" x14ac:dyDescent="0.3">
      <c r="A629" s="127" t="s">
        <v>171</v>
      </c>
      <c r="B629" s="125">
        <f ca="1">(FRorig.s1*Ksw+(1-FRorig.s1)*Ksw.alt)*(1000/RHOsolid/CORG)*CORG.sM</f>
        <v>1318.8916727136248</v>
      </c>
      <c r="C629" s="126" t="s">
        <v>1676</v>
      </c>
    </row>
    <row r="630" spans="1:3" ht="15" customHeight="1" x14ac:dyDescent="0.3">
      <c r="A630" s="127" t="s">
        <v>172</v>
      </c>
      <c r="B630" s="125">
        <f ca="1">(FRorig.s1*Ksw+(1-FRorig.s1)*Ksw.alt)*(1000/RHOsolid/CORG)*CORG.sT</f>
        <v>1318.8916727136248</v>
      </c>
      <c r="C630" s="126" t="s">
        <v>1676</v>
      </c>
    </row>
    <row r="631" spans="1:3" ht="15" customHeight="1" x14ac:dyDescent="0.3">
      <c r="A631" s="127" t="s">
        <v>336</v>
      </c>
      <c r="B631" s="125">
        <f ca="1">(FRorig.w1*Ksw+(1-FRorig.w1)*Ksw.alt)*(1000/RHOsolid/CORG)*CORG.susp0C</f>
        <v>6594.4583635681238</v>
      </c>
      <c r="C631" s="126" t="s">
        <v>1676</v>
      </c>
    </row>
    <row r="632" spans="1:3" ht="15" customHeight="1" x14ac:dyDescent="0.3">
      <c r="A632" s="127" t="s">
        <v>287</v>
      </c>
      <c r="B632" s="125">
        <f ca="1">(FRorig.w1*Ksw+(1-FRorig.w1)*Ksw.alt)*(1000/RHOsolid/CORG)*CORG.susp0R</f>
        <v>6594.4583635681238</v>
      </c>
      <c r="C632" s="126" t="s">
        <v>1676</v>
      </c>
    </row>
    <row r="633" spans="1:3" ht="15" customHeight="1" x14ac:dyDescent="0.3">
      <c r="A633" s="127" t="s">
        <v>173</v>
      </c>
      <c r="B633" s="125">
        <f ca="1">(FRorig.w1*Ksw+(1-FRorig.w1)*Ksw.alt)*(1000/RHOsolid/CORG)*CORG.susp1C</f>
        <v>4297.3785552212494</v>
      </c>
      <c r="C633" s="126" t="s">
        <v>1000</v>
      </c>
    </row>
    <row r="634" spans="1:3" ht="15" customHeight="1" x14ac:dyDescent="0.3">
      <c r="A634" s="127" t="s">
        <v>174</v>
      </c>
      <c r="B634" s="125">
        <f ca="1">(FRorig.w1*Ksw+(1-FRorig.w1)*Ksw.alt)*(1000/RHOsolid/CORG)*CORG.susp1R</f>
        <v>4334.6124245569554</v>
      </c>
      <c r="C634" s="126" t="s">
        <v>1676</v>
      </c>
    </row>
    <row r="635" spans="1:3" ht="15" customHeight="1" x14ac:dyDescent="0.3">
      <c r="A635" s="127" t="s">
        <v>1142</v>
      </c>
      <c r="B635" s="125">
        <f ca="1">(FRorig.w2*Ksw+(1-FRorig.w2)*Ksw.alt)*(1000/RHOsolid/CORG)*CORG.susp2A</f>
        <v>6594.4583635681238</v>
      </c>
      <c r="C635" s="126" t="s">
        <v>1676</v>
      </c>
    </row>
    <row r="636" spans="1:3" ht="15" customHeight="1" x14ac:dyDescent="0.3">
      <c r="A636" s="127" t="s">
        <v>175</v>
      </c>
      <c r="B636" s="125">
        <f ca="1">(FRorig.w2*Ksw+(1-FRorig.w2)*Ksw.alt)*(1000/RHOsolid/CORG)*CORG.susp2C</f>
        <v>2397.7532655716532</v>
      </c>
      <c r="C636" s="126" t="s">
        <v>1000</v>
      </c>
    </row>
    <row r="637" spans="1:3" ht="15" customHeight="1" x14ac:dyDescent="0.3">
      <c r="A637" s="127" t="s">
        <v>128</v>
      </c>
      <c r="B637" s="125">
        <f ca="1">(FRorig.w2*Ksw+(1-FRorig.w2)*Ksw.alt)*(1000/RHOsolid/CORG)*CORG.susp2M</f>
        <v>6594.4583635681238</v>
      </c>
      <c r="C637" s="126" t="s">
        <v>1676</v>
      </c>
    </row>
    <row r="638" spans="1:3" ht="15" customHeight="1" x14ac:dyDescent="0.3">
      <c r="A638" s="127" t="s">
        <v>176</v>
      </c>
      <c r="B638" s="125">
        <f ca="1">(FRorig.w2*Ksw+(1-FRorig.w2)*Ksw.alt)*(1000/RHOsolid/CORG)*CORG.susp2R</f>
        <v>6594.4583635681238</v>
      </c>
      <c r="C638" s="126" t="s">
        <v>1676</v>
      </c>
    </row>
    <row r="639" spans="1:3" ht="15" customHeight="1" x14ac:dyDescent="0.3">
      <c r="A639" s="127" t="s">
        <v>1114</v>
      </c>
      <c r="B639" s="125">
        <f ca="1">(FRorig.w2*Ksw+(1-FRorig.w2)*Ksw.alt)*(1000/RHOsolid/CORG)*CORG.susp2T</f>
        <v>6594.4583635681238</v>
      </c>
      <c r="C639" s="126" t="s">
        <v>1676</v>
      </c>
    </row>
    <row r="640" spans="1:3" ht="15" customHeight="1" x14ac:dyDescent="0.3">
      <c r="A640" s="127" t="s">
        <v>1143</v>
      </c>
      <c r="B640" s="125">
        <f ca="1">(FRorig.w2*Ksw+(1-FRorig.w2)*Ksw.alt)*(1000/RHOsolid/CORG)*CORG.susp3A</f>
        <v>6594.4583635681238</v>
      </c>
      <c r="C640" s="126" t="s">
        <v>1676</v>
      </c>
    </row>
    <row r="641" spans="1:3" ht="15" customHeight="1" x14ac:dyDescent="0.3">
      <c r="A641" s="127" t="s">
        <v>129</v>
      </c>
      <c r="B641" s="125">
        <f ca="1">(FRorig.w2*Ksw+(1-FRorig.w2)*Ksw.alt)*(1000/RHOsolid/CORG)*CORG.susp3M</f>
        <v>6594.4583635681238</v>
      </c>
      <c r="C641" s="126" t="s">
        <v>1525</v>
      </c>
    </row>
    <row r="642" spans="1:3" ht="15" customHeight="1" x14ac:dyDescent="0.3">
      <c r="A642" s="127" t="s">
        <v>1116</v>
      </c>
      <c r="B642" s="125">
        <f ca="1">(FRorig.w2*Ksw+(1-FRorig.w2)*Ksw.alt)*(1000/RHOsolid/CORG)*CORG.susp3T</f>
        <v>6594.4583635681238</v>
      </c>
      <c r="C642" s="126" t="s">
        <v>1676</v>
      </c>
    </row>
    <row r="643" spans="1:3" ht="15" customHeight="1" x14ac:dyDescent="0.3">
      <c r="A643" s="127" t="s">
        <v>470</v>
      </c>
      <c r="B643" s="125">
        <f ca="1">FRACa.s1C*(Kaw.C*FRorig.s1w)+FRACw.s1C+FRACs.s1C*Kp.s1C*RHOsolid/1000</f>
        <v>5009.6420740159574</v>
      </c>
      <c r="C643" s="126" t="s">
        <v>28</v>
      </c>
    </row>
    <row r="644" spans="1:3" ht="15" customHeight="1" x14ac:dyDescent="0.3">
      <c r="A644" s="127" t="s">
        <v>1062</v>
      </c>
      <c r="B644" s="125">
        <f ca="1">FRACa.s1R*(Kaw.R*FRorig.s1w)+FRACw.s1R+FRACs.s1R*Kp.s1R*RHOsolid/1000</f>
        <v>1779.1339040114367</v>
      </c>
      <c r="C644" s="126" t="s">
        <v>28</v>
      </c>
    </row>
    <row r="645" spans="1:3" ht="15" customHeight="1" x14ac:dyDescent="0.3">
      <c r="A645" s="127" t="s">
        <v>472</v>
      </c>
      <c r="B645" s="125">
        <f ca="1">FRACa.s2C*(Kaw.C*FRorig.s2w)+FRACw.s2C+FRACs.s2C*Kp.s2C*RHOsolid/1000</f>
        <v>2903.5335250590128</v>
      </c>
      <c r="C645" s="126" t="s">
        <v>28</v>
      </c>
    </row>
    <row r="646" spans="1:3" ht="15" customHeight="1" x14ac:dyDescent="0.3">
      <c r="A646" s="127" t="s">
        <v>1064</v>
      </c>
      <c r="B646" s="125">
        <f ca="1">FRACa.s2R*(Kaw.R*FRorig.s2w)+FRACw.s2R+FRACs.s2R*Kp.s2R*RHOsolid/1000</f>
        <v>1402.8606642194129</v>
      </c>
      <c r="C646" s="126" t="s">
        <v>28</v>
      </c>
    </row>
    <row r="647" spans="1:3" ht="15" customHeight="1" x14ac:dyDescent="0.3">
      <c r="A647" s="127" t="s">
        <v>474</v>
      </c>
      <c r="B647" s="125">
        <f ca="1">FRACa.s3C*(Kaw.C*FRorig.s3w)+FRACw.s3C+FRACs.s3C*Kp.s3C*RHOsolid/1000</f>
        <v>2498.9289014616852</v>
      </c>
      <c r="C647" s="126" t="s">
        <v>28</v>
      </c>
    </row>
    <row r="648" spans="1:3" ht="15" customHeight="1" x14ac:dyDescent="0.3">
      <c r="A648" s="127" t="s">
        <v>1066</v>
      </c>
      <c r="B648" s="125">
        <f ca="1">FRACa.s3R*(Kaw.R*FRorig.s3w)+FRACw.s3R+FRACs.s3R*Kp.s3R*RHOsolid/1000</f>
        <v>6162.0232265279292</v>
      </c>
      <c r="C648" s="126" t="s">
        <v>28</v>
      </c>
    </row>
    <row r="649" spans="1:3" ht="15" customHeight="1" x14ac:dyDescent="0.3">
      <c r="A649" s="127" t="s">
        <v>406</v>
      </c>
      <c r="B649" s="125">
        <f ca="1">FRACw.sdA+FRACs.sdA*Kp.sdA*RHOsolid/1000</f>
        <v>1677.1966704086205</v>
      </c>
      <c r="C649" s="126" t="s">
        <v>28</v>
      </c>
    </row>
    <row r="650" spans="1:3" ht="15" customHeight="1" x14ac:dyDescent="0.3">
      <c r="A650" s="127" t="s">
        <v>433</v>
      </c>
      <c r="B650" s="125">
        <f ca="1">FRACw.sdM+FRACs.sdM*Kp.sdM*RHOsolid/1000</f>
        <v>1677.1966704086205</v>
      </c>
      <c r="C650" s="126" t="s">
        <v>28</v>
      </c>
    </row>
    <row r="651" spans="1:3" ht="15" customHeight="1" x14ac:dyDescent="0.3">
      <c r="A651" s="127" t="s">
        <v>105</v>
      </c>
      <c r="B651" s="125">
        <f ca="1">FRACw.sdT+FRACs.sdT*Kp.sdT*RHOsolid/1000</f>
        <v>1677.1966704086205</v>
      </c>
      <c r="C651" s="126" t="s">
        <v>28</v>
      </c>
    </row>
    <row r="652" spans="1:3" ht="15" customHeight="1" x14ac:dyDescent="0.3">
      <c r="A652" s="127" t="s">
        <v>1104</v>
      </c>
      <c r="B652" s="125">
        <f ca="1">FRACw.sdC+FRACs.sdC*Kp.sd1C*RHOsolid/1000</f>
        <v>1377.3346771969443</v>
      </c>
      <c r="C652" s="126" t="s">
        <v>28</v>
      </c>
    </row>
    <row r="653" spans="1:3" ht="15" customHeight="1" x14ac:dyDescent="0.3">
      <c r="A653" s="127" t="s">
        <v>457</v>
      </c>
      <c r="B653" s="134">
        <f ca="1">FRACw.sdR+FRACs.sdR*Kp.sd1R*RHOsolid/1000</f>
        <v>3513.2980603176538</v>
      </c>
      <c r="C653" s="126" t="s">
        <v>28</v>
      </c>
    </row>
    <row r="654" spans="1:3" ht="15" customHeight="1" x14ac:dyDescent="0.3">
      <c r="A654" s="127" t="s">
        <v>1294</v>
      </c>
      <c r="B654" s="125">
        <f ca="1">FRACw.sdC+FRACs.sdC*Kp.sd2C*RHOsolid/1000</f>
        <v>591.51397117620422</v>
      </c>
      <c r="C654" s="126" t="s">
        <v>28</v>
      </c>
    </row>
    <row r="655" spans="1:3" ht="15" customHeight="1" x14ac:dyDescent="0.3">
      <c r="A655" s="127" t="s">
        <v>1060</v>
      </c>
      <c r="B655" s="125">
        <f ca="1">FRACw.sdR+FRACs.sdR*Kp.sd2R*RHOsolid/1000</f>
        <v>1624.6680101622869</v>
      </c>
      <c r="C655" s="126" t="s">
        <v>28</v>
      </c>
    </row>
    <row r="656" spans="1:3" ht="15" customHeight="1" x14ac:dyDescent="0.3">
      <c r="A656" s="127" t="s">
        <v>1652</v>
      </c>
      <c r="B656" s="125">
        <f ca="1">FRACa.sA*(Kaw.A*FRorig.s1w)+FRACw.sA+FRACs.sA*Kp.sA*RHOsolid/1000</f>
        <v>2011.8760044903454</v>
      </c>
      <c r="C656" s="126" t="s">
        <v>28</v>
      </c>
    </row>
    <row r="657" spans="1:3" ht="15" customHeight="1" x14ac:dyDescent="0.3">
      <c r="A657" s="127" t="s">
        <v>1651</v>
      </c>
      <c r="B657" s="125">
        <f ca="1">FRACa.sM*(Kaw.M*FRorig.s1w)+FRACw.sM+FRACs.sM*Kp.sM*RHOsolid/1000</f>
        <v>2011.8760044903454</v>
      </c>
      <c r="C657" s="126" t="s">
        <v>28</v>
      </c>
    </row>
    <row r="658" spans="1:3" ht="15" customHeight="1" x14ac:dyDescent="0.3">
      <c r="A658" s="127" t="s">
        <v>1645</v>
      </c>
      <c r="B658" s="125">
        <f ca="1">FRACa.sT*(Kaw.T*FRorig.s1w)+FRACw.sT+FRACs.sT*Kp.sT*RHOsolid/1000</f>
        <v>2011.8760044903454</v>
      </c>
      <c r="C658" s="126" t="s">
        <v>28</v>
      </c>
    </row>
    <row r="659" spans="1:3" ht="15" customHeight="1" x14ac:dyDescent="0.3">
      <c r="A659" s="124" t="s">
        <v>754</v>
      </c>
      <c r="B659" s="125" t="e">
        <f>(AerosolWashout.A+GasWashout.A)/HEIGHT.aA + (GASABSflow.aA.w2A+GASABSflow.aA.sA)/VOLUME.aA+KDEG.aA</f>
        <v>#NAME?</v>
      </c>
      <c r="C659" s="126" t="s">
        <v>1673</v>
      </c>
    </row>
    <row r="660" spans="1:3" ht="15" customHeight="1" x14ac:dyDescent="0.3">
      <c r="A660" s="124" t="s">
        <v>960</v>
      </c>
      <c r="B660" s="125" t="e">
        <f ca="1">(AerosolWashout.C+GasWashout.C)/HEIGHT.aC + (GASABSflow.aC.w1C+GASABSflow.aC.w2C+GASABSflow.aC.s1C+GASABSflow.aC.s2C+GASABSflow.aC.s3C)/VOLUME.aC+KDEG.aC</f>
        <v>#NAME?</v>
      </c>
      <c r="C660" s="126" t="s">
        <v>1673</v>
      </c>
    </row>
    <row r="661" spans="1:3" ht="15" customHeight="1" x14ac:dyDescent="0.3">
      <c r="A661" s="124" t="s">
        <v>746</v>
      </c>
      <c r="B661" s="125" t="e">
        <f>(AerosolWashout.M+GasWashout.M)/HEIGHT.aM + (GASABSflow.aM.w2M+GASABSflow.aM.sM)/VOLUME.aM+KDEG.aM</f>
        <v>#NAME?</v>
      </c>
      <c r="C661" s="126" t="s">
        <v>1673</v>
      </c>
    </row>
    <row r="662" spans="1:3" ht="15" customHeight="1" x14ac:dyDescent="0.3">
      <c r="A662" s="124" t="s">
        <v>889</v>
      </c>
      <c r="B662" s="125" t="e">
        <f ca="1">(AerosolWashout.R+GasWashout.R)/HEIGHT.aR + (GASABSflow.aR.w1R+GASABSflow.aR.w2R+GASABSflow.aR.s1R+GASABSflow.aR.s2R+GASABSflow.aR.s3R)/VOLUME.aR+KDEG.aR</f>
        <v>#NAME?</v>
      </c>
      <c r="C662" s="126" t="s">
        <v>1673</v>
      </c>
    </row>
    <row r="663" spans="1:3" ht="15" customHeight="1" x14ac:dyDescent="0.3">
      <c r="A663" s="124" t="s">
        <v>424</v>
      </c>
      <c r="B663" s="125" t="e">
        <f>(AerosolWashout.T+GasWashout.T)/HEIGHT.aT + (GASABSflow.aT.w2T+GASABSflow.aT.sT)/VOLUME.aT+KDEG.aT</f>
        <v>#NAME?</v>
      </c>
      <c r="C663" s="126" t="s">
        <v>1673</v>
      </c>
    </row>
    <row r="664" spans="1:3" ht="15" customHeight="1" x14ac:dyDescent="0.3">
      <c r="A664" s="123" t="s">
        <v>1284</v>
      </c>
      <c r="B664" s="130">
        <v>2.7779999999999998E-8</v>
      </c>
      <c r="C664" s="128" t="s">
        <v>1665</v>
      </c>
    </row>
    <row r="665" spans="1:3" ht="15" customHeight="1" x14ac:dyDescent="0.3">
      <c r="A665" s="123" t="s">
        <v>660</v>
      </c>
      <c r="B665" s="130">
        <v>2.7779999999999998E-8</v>
      </c>
      <c r="C665" s="129" t="s">
        <v>1665</v>
      </c>
    </row>
    <row r="666" spans="1:3" ht="15" customHeight="1" x14ac:dyDescent="0.3">
      <c r="A666" s="123" t="s">
        <v>459</v>
      </c>
      <c r="B666" s="130">
        <v>2.7779999999999998E-8</v>
      </c>
      <c r="C666" s="128" t="s">
        <v>1665</v>
      </c>
    </row>
    <row r="667" spans="1:3" ht="15" customHeight="1" x14ac:dyDescent="0.3">
      <c r="A667" s="123" t="s">
        <v>937</v>
      </c>
      <c r="B667" s="125">
        <v>2.7780000000000001E-8</v>
      </c>
      <c r="C667" s="129" t="s">
        <v>1665</v>
      </c>
    </row>
    <row r="668" spans="1:3" ht="15" customHeight="1" x14ac:dyDescent="0.3">
      <c r="A668" s="123" t="s">
        <v>41</v>
      </c>
      <c r="B668" s="130">
        <v>2.7779999999999998E-8</v>
      </c>
      <c r="C668" s="128" t="s">
        <v>1665</v>
      </c>
    </row>
    <row r="669" spans="1:3" ht="15" customHeight="1" x14ac:dyDescent="0.3">
      <c r="A669" s="123" t="s">
        <v>1283</v>
      </c>
      <c r="B669" s="130">
        <v>2.7779999999999999E-6</v>
      </c>
      <c r="C669" s="128" t="s">
        <v>1665</v>
      </c>
    </row>
    <row r="670" spans="1:3" ht="15" customHeight="1" x14ac:dyDescent="0.3">
      <c r="A670" s="123" t="s">
        <v>659</v>
      </c>
      <c r="B670" s="130">
        <v>2.7779999999999999E-6</v>
      </c>
      <c r="C670" s="129" t="s">
        <v>1665</v>
      </c>
    </row>
    <row r="671" spans="1:3" ht="15" customHeight="1" x14ac:dyDescent="0.3">
      <c r="A671" s="123" t="s">
        <v>458</v>
      </c>
      <c r="B671" s="130">
        <v>2.7779999999999999E-6</v>
      </c>
      <c r="C671" s="128" t="s">
        <v>1665</v>
      </c>
    </row>
    <row r="672" spans="1:3" ht="15" customHeight="1" x14ac:dyDescent="0.3">
      <c r="A672" s="123" t="s">
        <v>936</v>
      </c>
      <c r="B672" s="125">
        <v>2.7779999999999999E-6</v>
      </c>
      <c r="C672" s="129" t="s">
        <v>1665</v>
      </c>
    </row>
    <row r="673" spans="1:3" ht="15" customHeight="1" x14ac:dyDescent="0.3">
      <c r="A673" s="123" t="s">
        <v>1166</v>
      </c>
      <c r="B673" s="130">
        <v>2.7779999999999999E-6</v>
      </c>
      <c r="C673" s="128" t="s">
        <v>1665</v>
      </c>
    </row>
    <row r="674" spans="1:3" ht="15" customHeight="1" x14ac:dyDescent="0.3">
      <c r="A674" s="124" t="s">
        <v>415</v>
      </c>
      <c r="B674" s="125">
        <f ca="1">FRACinf.s1C*RAINrate.C/Ks1w.C*SYSTEMAREA.C*AREAFRAC.s1C*CORRleach.s1C</f>
        <v>1.0865488174732449E-2</v>
      </c>
      <c r="C674" s="126" t="s">
        <v>1664</v>
      </c>
    </row>
    <row r="675" spans="1:3" ht="15" customHeight="1" x14ac:dyDescent="0.3">
      <c r="A675" s="124" t="s">
        <v>1216</v>
      </c>
      <c r="B675" s="125">
        <f ca="1">FRACinf.s1R*RAINrate.R/Ks1w.R*SYSTEMAREA.R*AREAFRAC.s1R*CORRleach.s1R</f>
        <v>1.2503760986230702E-25</v>
      </c>
      <c r="C675" s="126" t="s">
        <v>1664</v>
      </c>
    </row>
    <row r="676" spans="1:3" ht="15" customHeight="1" x14ac:dyDescent="0.3">
      <c r="A676" s="124" t="s">
        <v>416</v>
      </c>
      <c r="B676" s="125">
        <f ca="1">FRACinf.s2C*RAINrate.C/Ks2w.C*SYSTEMAREA.C*AREAFRAC.s2C*CORRleach.s2C</f>
        <v>0.10042150944307854</v>
      </c>
      <c r="C676" s="126" t="s">
        <v>1664</v>
      </c>
    </row>
    <row r="677" spans="1:3" ht="15" customHeight="1" x14ac:dyDescent="0.3">
      <c r="A677" s="124" t="s">
        <v>1217</v>
      </c>
      <c r="B677" s="125">
        <f ca="1">FRACinf.s2R*RAINrate.R/Ks2w.R*SYSTEMAREA.R*AREAFRAC.s2R*CORRleach.s2R</f>
        <v>4.6772012845159869E-6</v>
      </c>
      <c r="C677" s="126" t="s">
        <v>1664</v>
      </c>
    </row>
    <row r="678" spans="1:3" ht="15" customHeight="1" x14ac:dyDescent="0.3">
      <c r="A678" s="124" t="s">
        <v>417</v>
      </c>
      <c r="B678" s="125">
        <f ca="1">FRACinf.s3C*RAINrate.C/Ks3w.C*SYSTEMAREA.C*AREAFRAC.s3C*CORRleach.s3C</f>
        <v>1.4054513173076318E-2</v>
      </c>
      <c r="C678" s="126" t="s">
        <v>1664</v>
      </c>
    </row>
    <row r="679" spans="1:3" ht="15" customHeight="1" x14ac:dyDescent="0.3">
      <c r="A679" s="124" t="s">
        <v>1218</v>
      </c>
      <c r="B679" s="125">
        <f ca="1">FRACinf.s3R*RAINrate.R/Ks3w.R*SYSTEMAREA.R*AREAFRAC.s3R*CORRleach.s3R</f>
        <v>3.3406945828194638E-6</v>
      </c>
      <c r="C679" s="126" t="s">
        <v>1664</v>
      </c>
    </row>
    <row r="680" spans="1:3" ht="15" customHeight="1" x14ac:dyDescent="0.3">
      <c r="A680" s="124" t="s">
        <v>854</v>
      </c>
      <c r="B680" s="125">
        <f ca="1">FRACinf.sA*RAINrate.A/Kslw.A*SYSTEMAREA.A*AREAFRAC.sA*CORRleach.sA</f>
        <v>0.14338635296462388</v>
      </c>
      <c r="C680" s="126" t="s">
        <v>1664</v>
      </c>
    </row>
    <row r="681" spans="1:3" ht="15" customHeight="1" x14ac:dyDescent="0.3">
      <c r="A681" s="124" t="s">
        <v>778</v>
      </c>
      <c r="B681" s="134">
        <f ca="1">FRACinf.sM*RAINrate.M/Kslw.M*SYSTEMAREA.M*AREAFRAC.sM*CORRleach.sM</f>
        <v>0.90372948323860691</v>
      </c>
      <c r="C681" s="126" t="s">
        <v>1664</v>
      </c>
    </row>
    <row r="682" spans="1:3" ht="15" customHeight="1" x14ac:dyDescent="0.3">
      <c r="A682" s="124" t="s">
        <v>1387</v>
      </c>
      <c r="B682" s="125">
        <f ca="1">FRACinf.sT*RAINrate.T/Kslw.T*SYSTEMAREA.T*AREAFRAC.sT*CORRleach.sT</f>
        <v>1.6776203296860994</v>
      </c>
      <c r="C682" s="126" t="s">
        <v>1664</v>
      </c>
    </row>
    <row r="683" spans="1:3" ht="15" customHeight="1" x14ac:dyDescent="0.3">
      <c r="A683" s="123" t="s">
        <v>1619</v>
      </c>
      <c r="B683" s="125">
        <f>0.43/(24*3600)/0.00475</f>
        <v>1.0477582846003899E-3</v>
      </c>
      <c r="C683" s="128" t="s">
        <v>1665</v>
      </c>
    </row>
    <row r="684" spans="1:3" ht="15" customHeight="1" x14ac:dyDescent="0.3">
      <c r="A684" s="123" t="s">
        <v>1627</v>
      </c>
      <c r="B684" s="125">
        <f>0.43/(24*3600)/0.00475</f>
        <v>1.0477582846003899E-3</v>
      </c>
      <c r="C684" s="129" t="s">
        <v>1665</v>
      </c>
    </row>
    <row r="685" spans="1:3" ht="15" customHeight="1" x14ac:dyDescent="0.3">
      <c r="A685" s="123" t="s">
        <v>1635</v>
      </c>
      <c r="B685" s="125">
        <f>0.43/(24*3600)/0.00475</f>
        <v>1.0477582846003899E-3</v>
      </c>
      <c r="C685" s="128" t="s">
        <v>1665</v>
      </c>
    </row>
    <row r="686" spans="1:3" ht="15" customHeight="1" x14ac:dyDescent="0.3">
      <c r="A686" s="123" t="s">
        <v>1623</v>
      </c>
      <c r="B686" s="125">
        <f>0.43/(24*3600)/0.00475</f>
        <v>1.0477582846003899E-3</v>
      </c>
      <c r="C686" s="129" t="s">
        <v>1665</v>
      </c>
    </row>
    <row r="687" spans="1:3" ht="15" customHeight="1" x14ac:dyDescent="0.3">
      <c r="A687" s="123" t="s">
        <v>1648</v>
      </c>
      <c r="B687" s="125">
        <f>0.43/(24*3600)/0.00475</f>
        <v>1.0477582846003899E-3</v>
      </c>
      <c r="C687" s="128" t="s">
        <v>1665</v>
      </c>
    </row>
    <row r="688" spans="1:3" ht="15" customHeight="1" x14ac:dyDescent="0.3">
      <c r="A688" s="123" t="s">
        <v>1620</v>
      </c>
      <c r="B688" s="125">
        <f>0.1*KDEG.sA</f>
        <v>8.8388347648318441E-23</v>
      </c>
      <c r="C688" s="129" t="s">
        <v>1665</v>
      </c>
    </row>
    <row r="689" spans="1:3" ht="15" customHeight="1" x14ac:dyDescent="0.3">
      <c r="A689" s="123" t="s">
        <v>1628</v>
      </c>
      <c r="B689" s="132">
        <f ca="1">0.1*KDEG.s1C</f>
        <v>3.3215521768219974E-22</v>
      </c>
      <c r="C689" s="129" t="s">
        <v>1665</v>
      </c>
    </row>
    <row r="690" spans="1:3" ht="15" customHeight="1" x14ac:dyDescent="0.3">
      <c r="A690" s="123" t="s">
        <v>1636</v>
      </c>
      <c r="B690" s="125">
        <f>0.1*KDEG.sM</f>
        <v>4.0612619817811774E-22</v>
      </c>
      <c r="C690" s="129" t="s">
        <v>1665</v>
      </c>
    </row>
    <row r="691" spans="1:3" ht="15" customHeight="1" x14ac:dyDescent="0.3">
      <c r="A691" s="123" t="s">
        <v>1624</v>
      </c>
      <c r="B691" s="125">
        <f ca="1">0.1*KDEG.s1R</f>
        <v>1.0825501797765104E-21</v>
      </c>
      <c r="C691" s="129" t="s">
        <v>1665</v>
      </c>
    </row>
    <row r="692" spans="1:3" ht="15" customHeight="1" x14ac:dyDescent="0.3">
      <c r="A692" s="123" t="s">
        <v>1649</v>
      </c>
      <c r="B692" s="125">
        <f>0.1*KDEG.sT</f>
        <v>9.9999999999999991E-22</v>
      </c>
      <c r="C692" s="129" t="s">
        <v>1665</v>
      </c>
    </row>
    <row r="693" spans="1:3" ht="15" customHeight="1" x14ac:dyDescent="0.3">
      <c r="A693" s="123" t="s">
        <v>1617</v>
      </c>
      <c r="B693" s="125">
        <f>0.01*(0.3+0.2*WINDspeed.A)*((0.018/Molweight)^(0.67*0.5))</f>
        <v>5.5816864840963773E-3</v>
      </c>
      <c r="C693" s="128" t="s">
        <v>1665</v>
      </c>
    </row>
    <row r="694" spans="1:3" ht="15" customHeight="1" x14ac:dyDescent="0.3">
      <c r="A694" s="123" t="s">
        <v>1625</v>
      </c>
      <c r="B694" s="125">
        <f ca="1">0.01*(0.3+0.2*WINDspeed.C)*((0.018/Molweight)^(0.67*0.5))</f>
        <v>1.0067718810485723E-2</v>
      </c>
      <c r="C694" s="129" t="s">
        <v>1665</v>
      </c>
    </row>
    <row r="695" spans="1:3" ht="15" customHeight="1" x14ac:dyDescent="0.3">
      <c r="A695" s="123" t="s">
        <v>1633</v>
      </c>
      <c r="B695" s="125">
        <f>0.01*(0.3+0.2*WINDspeed.M)*((0.018/Molweight)^(0.67*0.5))</f>
        <v>5.5816864840963773E-3</v>
      </c>
      <c r="C695" s="128" t="s">
        <v>1665</v>
      </c>
    </row>
    <row r="696" spans="1:3" ht="15" customHeight="1" x14ac:dyDescent="0.3">
      <c r="A696" s="123" t="s">
        <v>1621</v>
      </c>
      <c r="B696" s="125">
        <f ca="1">0.01*(0.3+0.2*WINDspeed.R)*((0.018/Molweight)^(0.67*0.5))</f>
        <v>3.5337579436703149E-3</v>
      </c>
      <c r="C696" s="129" t="s">
        <v>1665</v>
      </c>
    </row>
    <row r="697" spans="1:3" ht="15" customHeight="1" x14ac:dyDescent="0.3">
      <c r="A697" s="123" t="s">
        <v>1646</v>
      </c>
      <c r="B697" s="125">
        <f>0.01*(0.3+0.2*WINDspeed.T)*((0.018/Molweight)^(0.67*0.5))</f>
        <v>5.5816864840963773E-3</v>
      </c>
      <c r="C697" s="128" t="s">
        <v>1665</v>
      </c>
    </row>
    <row r="698" spans="1:3" ht="15" customHeight="1" x14ac:dyDescent="0.3">
      <c r="A698" s="123" t="s">
        <v>1618</v>
      </c>
      <c r="B698" s="125">
        <f>0.01*(0.0004+0.00004*WINDspeed.A^2)*((0.032/Molweight)^(0.5*0.5))</f>
        <v>6.1439733890516994E-6</v>
      </c>
      <c r="C698" s="128" t="s">
        <v>1665</v>
      </c>
    </row>
    <row r="699" spans="1:3" ht="15" customHeight="1" x14ac:dyDescent="0.3">
      <c r="A699" s="123" t="s">
        <v>1626</v>
      </c>
      <c r="B699" s="125">
        <f ca="1">0.01*(0.0004+0.00004*WINDspeed.C^2)*((0.032/Molweight)^(0.5*0.5))</f>
        <v>1.739080346526147E-5</v>
      </c>
      <c r="C699" s="129" t="s">
        <v>1665</v>
      </c>
    </row>
    <row r="700" spans="1:3" ht="15" customHeight="1" x14ac:dyDescent="0.3">
      <c r="A700" s="123" t="s">
        <v>1634</v>
      </c>
      <c r="B700" s="125">
        <f>0.01*(0.0004+0.00004*WINDspeed.M^2)*((0.032/Molweight)^(0.5*0.5))</f>
        <v>6.1439733890516994E-6</v>
      </c>
      <c r="C700" s="128" t="s">
        <v>1665</v>
      </c>
    </row>
    <row r="701" spans="1:3" ht="15" customHeight="1" x14ac:dyDescent="0.3">
      <c r="A701" s="123" t="s">
        <v>1622</v>
      </c>
      <c r="B701" s="125">
        <f ca="1">0.01*(0.0004+0.00004*WINDspeed.R^2)*((0.032/Molweight)^(0.5*0.5))</f>
        <v>3.8220847460245637E-6</v>
      </c>
      <c r="C701" s="129" t="s">
        <v>1665</v>
      </c>
    </row>
    <row r="702" spans="1:3" ht="15" customHeight="1" x14ac:dyDescent="0.3">
      <c r="A702" s="123" t="s">
        <v>1647</v>
      </c>
      <c r="B702" s="125">
        <f>0.01*(0.0004+0.00004*WINDspeed.T^2)*((0.032/Molweight)^(0.5*0.5))</f>
        <v>6.1439733890516994E-6</v>
      </c>
      <c r="C702" s="128" t="s">
        <v>1665</v>
      </c>
    </row>
    <row r="703" spans="1:3" ht="15" customHeight="1" x14ac:dyDescent="0.3">
      <c r="A703" s="127" t="s">
        <v>494</v>
      </c>
      <c r="B703" s="125">
        <v>8.6226851854606775E-11</v>
      </c>
      <c r="C703" s="129" t="s">
        <v>1665</v>
      </c>
    </row>
    <row r="704" spans="1:3" ht="15" customHeight="1" x14ac:dyDescent="0.3">
      <c r="A704" s="127" t="s">
        <v>1076</v>
      </c>
      <c r="B704" s="125">
        <v>8.6861047691527155E-11</v>
      </c>
      <c r="C704" s="129" t="s">
        <v>1665</v>
      </c>
    </row>
    <row r="705" spans="1:3" ht="15" customHeight="1" x14ac:dyDescent="0.3">
      <c r="A705" s="127" t="s">
        <v>654</v>
      </c>
      <c r="B705" s="125">
        <v>0</v>
      </c>
      <c r="C705" s="129" t="s">
        <v>1665</v>
      </c>
    </row>
    <row r="706" spans="1:3" ht="15" customHeight="1" x14ac:dyDescent="0.3">
      <c r="A706" s="127" t="s">
        <v>1077</v>
      </c>
      <c r="B706" s="125">
        <v>2.7428797247595103E-11</v>
      </c>
      <c r="C706" s="129" t="s">
        <v>1665</v>
      </c>
    </row>
    <row r="707" spans="1:3" ht="15" customHeight="1" x14ac:dyDescent="0.3">
      <c r="A707" s="127" t="s">
        <v>1282</v>
      </c>
      <c r="B707" s="125">
        <v>6.3419583967528499E-14</v>
      </c>
      <c r="C707" s="128" t="s">
        <v>1665</v>
      </c>
    </row>
    <row r="708" spans="1:3" ht="15" customHeight="1" x14ac:dyDescent="0.3">
      <c r="A708" s="127" t="s">
        <v>194</v>
      </c>
      <c r="B708" s="125">
        <v>8.9518029439684741E-14</v>
      </c>
      <c r="C708" s="128" t="s">
        <v>1665</v>
      </c>
    </row>
    <row r="709" spans="1:3" ht="15" customHeight="1" x14ac:dyDescent="0.3">
      <c r="A709" s="127" t="s">
        <v>775</v>
      </c>
      <c r="B709" s="125">
        <v>6.3419583967529484E-14</v>
      </c>
      <c r="C709" s="128" t="s">
        <v>1665</v>
      </c>
    </row>
    <row r="710" spans="1:3" ht="15" customHeight="1" x14ac:dyDescent="0.3">
      <c r="A710" s="124" t="s">
        <v>1272</v>
      </c>
      <c r="B710" s="125">
        <v>150000000</v>
      </c>
      <c r="C710" s="123" t="s">
        <v>1664</v>
      </c>
    </row>
    <row r="711" spans="1:3" ht="15" customHeight="1" x14ac:dyDescent="0.3">
      <c r="A711" s="124" t="s">
        <v>1276</v>
      </c>
      <c r="B711" s="125">
        <f>VOLUME.w2A/TAU.surfA</f>
        <v>536616161.61616164</v>
      </c>
      <c r="C711" s="123" t="s">
        <v>1664</v>
      </c>
    </row>
    <row r="712" spans="1:3" ht="15" customHeight="1" x14ac:dyDescent="0.3">
      <c r="A712" s="124" t="s">
        <v>1275</v>
      </c>
      <c r="B712" s="125">
        <f>VOLUME.w2M/TAU.surfM</f>
        <v>805276620.37037039</v>
      </c>
      <c r="C712" s="123" t="s">
        <v>1664</v>
      </c>
    </row>
    <row r="713" spans="1:3" ht="15" customHeight="1" x14ac:dyDescent="0.3">
      <c r="A713" s="124" t="s">
        <v>1278</v>
      </c>
      <c r="B713" s="125">
        <f>VOLUME.w2T/TAU.surfT</f>
        <v>1878156565.6565654</v>
      </c>
      <c r="C713" s="123" t="s">
        <v>1664</v>
      </c>
    </row>
    <row r="714" spans="1:3" ht="15" customHeight="1" x14ac:dyDescent="0.3">
      <c r="A714" s="126" t="s">
        <v>638</v>
      </c>
      <c r="B714" s="125">
        <v>3</v>
      </c>
      <c r="C714" s="126" t="s">
        <v>28</v>
      </c>
    </row>
    <row r="715" spans="1:3" ht="15" customHeight="1" x14ac:dyDescent="0.3">
      <c r="A715" s="126" t="s">
        <v>211</v>
      </c>
      <c r="B715" s="125">
        <v>5</v>
      </c>
      <c r="C715" s="126" t="s">
        <v>28</v>
      </c>
    </row>
    <row r="716" spans="1:3" ht="15" customHeight="1" x14ac:dyDescent="0.3">
      <c r="A716" s="126" t="s">
        <v>212</v>
      </c>
      <c r="B716" s="125">
        <v>7</v>
      </c>
      <c r="C716" s="126" t="s">
        <v>28</v>
      </c>
    </row>
    <row r="717" spans="1:3" ht="15" customHeight="1" x14ac:dyDescent="0.3">
      <c r="A717" s="126" t="s">
        <v>213</v>
      </c>
      <c r="B717" s="125">
        <v>7</v>
      </c>
      <c r="C717" s="126" t="s">
        <v>28</v>
      </c>
    </row>
    <row r="718" spans="1:3" ht="15" customHeight="1" x14ac:dyDescent="0.3">
      <c r="A718" s="126" t="s">
        <v>210</v>
      </c>
      <c r="B718" s="125">
        <v>7</v>
      </c>
      <c r="C718" s="126" t="s">
        <v>28</v>
      </c>
    </row>
    <row r="719" spans="1:3" ht="15" customHeight="1" x14ac:dyDescent="0.3">
      <c r="A719" s="126" t="s">
        <v>214</v>
      </c>
      <c r="B719" s="125">
        <v>8</v>
      </c>
      <c r="C719" s="126" t="s">
        <v>28</v>
      </c>
    </row>
    <row r="720" spans="1:3" ht="15" customHeight="1" x14ac:dyDescent="0.3">
      <c r="A720" s="126" t="s">
        <v>1334</v>
      </c>
      <c r="B720" s="130">
        <v>7</v>
      </c>
      <c r="C720" s="126"/>
    </row>
    <row r="721" spans="1:3" ht="15" customHeight="1" x14ac:dyDescent="0.3">
      <c r="A721" s="123" t="s">
        <v>1343</v>
      </c>
      <c r="B721" s="132">
        <f>IF(Tm&gt;298,EXP(-6.79*(1-Tm/298))*Pvap25*EXP((H0vap/8.314)*(1/298-1/TEMP.A)),Pvap25*EXP((H0vap/8.314)*(1/298-1/TEMP.A)))</f>
        <v>2.4139008983683013E-5</v>
      </c>
      <c r="C721" s="123" t="s">
        <v>478</v>
      </c>
    </row>
    <row r="722" spans="1:3" ht="15" customHeight="1" x14ac:dyDescent="0.3">
      <c r="A722" s="126" t="s">
        <v>1341</v>
      </c>
      <c r="B722" s="132">
        <f ca="1">IF(Tm&gt;298,EXP(-6.79*(1-Tm/298))*Pvap25*EXP((H0vap/8.314)*(1/298-1/TEMP.C)),Pvap25*EXP((H0vap/8.314)*(1/298-1/TEMP.C)))</f>
        <v>4.1392351999376486E-4</v>
      </c>
      <c r="C722" s="126" t="s">
        <v>478</v>
      </c>
    </row>
    <row r="723" spans="1:3" ht="15" customHeight="1" x14ac:dyDescent="0.3">
      <c r="A723" s="126" t="s">
        <v>1342</v>
      </c>
      <c r="B723" s="125">
        <f>IF(Tm&gt;298,EXP(-6.79*(1-Tm/298))*Pvap25*EXP((H0vap/8.314)*(1/298-1/TEMP.M)),Pvap25*EXP((H0vap/8.314)*(1/298-1/TEMP.M)))</f>
        <v>6.164458579471535E-4</v>
      </c>
      <c r="C723" s="126" t="s">
        <v>478</v>
      </c>
    </row>
    <row r="724" spans="1:3" ht="15" customHeight="1" x14ac:dyDescent="0.3">
      <c r="A724" s="123" t="s">
        <v>1358</v>
      </c>
      <c r="B724" s="132">
        <f ca="1">IF(Tm&gt;298,EXP(-6.79*(1-Tm/298))*Pvap25*EXP((H0vap/8.314)*(1/298-1/TEMP.R)),Pvap25*EXP((H0vap/8.314)*(1/298-1/TEMP.R)))</f>
        <v>3.8484918439327317E-3</v>
      </c>
      <c r="C724" s="123" t="s">
        <v>478</v>
      </c>
    </row>
    <row r="725" spans="1:3" ht="15" customHeight="1" x14ac:dyDescent="0.3">
      <c r="A725" s="126" t="s">
        <v>1344</v>
      </c>
      <c r="B725" s="132">
        <f>IF(Tm&gt;298,EXP(-6.79*(1-Tm/298))*Pvap25*EXP((H0vap/8.314)*(1/298-1/TEMP.T)),Pvap25*EXP((H0vap/8.314)*(1/298-1/TEMP.T)))</f>
        <v>3.3400028448655516E-3</v>
      </c>
      <c r="C725" s="126" t="s">
        <v>478</v>
      </c>
    </row>
    <row r="726" spans="1:3" ht="15" customHeight="1" x14ac:dyDescent="0.3">
      <c r="A726" s="126" t="s">
        <v>259</v>
      </c>
      <c r="B726" s="130">
        <v>2</v>
      </c>
      <c r="C726" s="126" t="s">
        <v>28</v>
      </c>
    </row>
    <row r="727" spans="1:3" ht="15" customHeight="1" x14ac:dyDescent="0.3">
      <c r="A727" s="127" t="s">
        <v>486</v>
      </c>
      <c r="B727" s="125">
        <f>250/1000/(3600*24*365)</f>
        <v>7.9274479959411465E-9</v>
      </c>
      <c r="C727" s="129" t="s">
        <v>1665</v>
      </c>
    </row>
    <row r="728" spans="1:3" ht="15" customHeight="1" x14ac:dyDescent="0.3">
      <c r="A728" s="123" t="s">
        <v>1056</v>
      </c>
      <c r="B728" s="130">
        <f>700/1000/(3600*24*365)</f>
        <v>2.219685438863521E-8</v>
      </c>
      <c r="C728" s="129" t="s">
        <v>1665</v>
      </c>
    </row>
    <row r="729" spans="1:3" ht="15" customHeight="1" x14ac:dyDescent="0.3">
      <c r="A729" s="127" t="s">
        <v>922</v>
      </c>
      <c r="B729" s="125">
        <f>700/1000/(3600*24*365)</f>
        <v>2.219685438863521E-8</v>
      </c>
      <c r="C729" s="129" t="s">
        <v>1665</v>
      </c>
    </row>
    <row r="730" spans="1:3" ht="15" customHeight="1" x14ac:dyDescent="0.3">
      <c r="A730" s="123" t="s">
        <v>114</v>
      </c>
      <c r="B730" s="130">
        <f>700/1000/(3600*24*365)</f>
        <v>2.219685438863521E-8</v>
      </c>
      <c r="C730" s="129" t="s">
        <v>1665</v>
      </c>
    </row>
    <row r="731" spans="1:3" ht="15" customHeight="1" x14ac:dyDescent="0.3">
      <c r="A731" s="127" t="s">
        <v>916</v>
      </c>
      <c r="B731" s="130">
        <f>1300/1000/(3600*24*365)</f>
        <v>4.1222729578893962E-8</v>
      </c>
      <c r="C731" s="129" t="s">
        <v>1665</v>
      </c>
    </row>
    <row r="732" spans="1:3" ht="15" customHeight="1" x14ac:dyDescent="0.3">
      <c r="A732" s="124" t="s">
        <v>1052</v>
      </c>
      <c r="B732" s="125">
        <f ca="1">RESUSPrate.sd1C*SYSTEMAREA.C*AREAFRAC.w1C</f>
        <v>120.43137949225331</v>
      </c>
      <c r="C732" s="126" t="s">
        <v>1664</v>
      </c>
    </row>
    <row r="733" spans="1:3" ht="15" customHeight="1" x14ac:dyDescent="0.3">
      <c r="A733" s="124" t="s">
        <v>496</v>
      </c>
      <c r="B733" s="125">
        <f ca="1">RESUSPrate.sd1R*SYSTEMAREA.R*AREAFRAC.w1R</f>
        <v>3.4490574523386872E-2</v>
      </c>
      <c r="C733" s="126" t="s">
        <v>1664</v>
      </c>
    </row>
    <row r="734" spans="1:3" ht="15" customHeight="1" x14ac:dyDescent="0.3">
      <c r="A734" s="124" t="s">
        <v>1054</v>
      </c>
      <c r="B734" s="125">
        <f ca="1">RESUSPrate.sd2C*SYSTEMAREA.C*AREAFRAC.w2C</f>
        <v>3215.7976493891429</v>
      </c>
      <c r="C734" s="126" t="s">
        <v>1664</v>
      </c>
    </row>
    <row r="735" spans="1:3" ht="15" customHeight="1" x14ac:dyDescent="0.3">
      <c r="A735" s="124" t="s">
        <v>498</v>
      </c>
      <c r="B735" s="125">
        <f ca="1">RESUSPrate.sd2R*SYSTEMAREA.R*AREAFRAC.w2R</f>
        <v>2.0333556988819765E-24</v>
      </c>
      <c r="C735" s="126" t="s">
        <v>1664</v>
      </c>
    </row>
    <row r="736" spans="1:3" ht="15" customHeight="1" x14ac:dyDescent="0.3">
      <c r="A736" s="124" t="s">
        <v>153</v>
      </c>
      <c r="B736" s="125">
        <f ca="1">RESUSPrate.sdA*SYSTEMAREA.A*AREAFRAC.wA</f>
        <v>7254.5753108707786</v>
      </c>
      <c r="C736" s="123" t="s">
        <v>1664</v>
      </c>
    </row>
    <row r="737" spans="1:3" ht="15" customHeight="1" x14ac:dyDescent="0.3">
      <c r="A737" s="124" t="s">
        <v>145</v>
      </c>
      <c r="B737" s="125">
        <f ca="1">RESUSPrate.sdM*SYSTEMAREA.M*AREAFRAC.wM</f>
        <v>10885.62810153586</v>
      </c>
      <c r="C737" s="123" t="s">
        <v>1664</v>
      </c>
    </row>
    <row r="738" spans="1:3" ht="15" customHeight="1" x14ac:dyDescent="0.3">
      <c r="A738" s="124" t="s">
        <v>148</v>
      </c>
      <c r="B738" s="125">
        <f ca="1">RESUSPrate.sdT*SYSTEMAREA.T*AREAFRAC.wT</f>
        <v>25391.013588047728</v>
      </c>
      <c r="C738" s="123" t="s">
        <v>1664</v>
      </c>
    </row>
    <row r="739" spans="1:3" ht="15" customHeight="1" x14ac:dyDescent="0.3">
      <c r="A739" s="127" t="s">
        <v>488</v>
      </c>
      <c r="B739" s="125">
        <f ca="1">GROSSSEDrate.w1C-NETsedrate.w1C</f>
        <v>1.0345048646082964E-9</v>
      </c>
      <c r="C739" s="129" t="s">
        <v>1665</v>
      </c>
    </row>
    <row r="740" spans="1:3" ht="15" customHeight="1" x14ac:dyDescent="0.3">
      <c r="A740" s="127" t="s">
        <v>409</v>
      </c>
      <c r="B740" s="125">
        <f ca="1">GROSSSEDrate.w1R-NETsedrate.w1R</f>
        <v>6.5323057809444824E-10</v>
      </c>
      <c r="C740" s="129" t="s">
        <v>1665</v>
      </c>
    </row>
    <row r="741" spans="1:3" ht="15" customHeight="1" x14ac:dyDescent="0.3">
      <c r="A741" s="127" t="s">
        <v>490</v>
      </c>
      <c r="B741" s="125">
        <f ca="1">GROSSSEDrate.w2C-NETsedrate.w2C</f>
        <v>7.5969077727662131E-10</v>
      </c>
      <c r="C741" s="129" t="s">
        <v>1665</v>
      </c>
    </row>
    <row r="742" spans="1:3" ht="15" customHeight="1" x14ac:dyDescent="0.3">
      <c r="A742" s="127" t="s">
        <v>411</v>
      </c>
      <c r="B742" s="125">
        <f ca="1">GROSSSEDrate.w2R-NETsedrate.w2R</f>
        <v>2.0333556988819766E-10</v>
      </c>
      <c r="C742" s="129" t="s">
        <v>1665</v>
      </c>
    </row>
    <row r="743" spans="1:3" ht="15" customHeight="1" x14ac:dyDescent="0.3">
      <c r="A743" s="127" t="s">
        <v>1279</v>
      </c>
      <c r="B743" s="125">
        <f ca="1">GROSSSEDrate.w3A-NETsedrate.wA</f>
        <v>2.844931494459129E-10</v>
      </c>
      <c r="C743" s="128" t="s">
        <v>1665</v>
      </c>
    </row>
    <row r="744" spans="1:3" ht="15" customHeight="1" x14ac:dyDescent="0.3">
      <c r="A744" s="127" t="s">
        <v>1327</v>
      </c>
      <c r="B744" s="125">
        <f ca="1">GROSSSEDrate.w3M-NETsedrate.wM</f>
        <v>2.8446705100044072E-10</v>
      </c>
      <c r="C744" s="128" t="s">
        <v>1665</v>
      </c>
    </row>
    <row r="745" spans="1:3" ht="15" customHeight="1" x14ac:dyDescent="0.3">
      <c r="A745" s="127" t="s">
        <v>779</v>
      </c>
      <c r="B745" s="125">
        <f ca="1">GROSSSEDrate.w3T-NETsedrate.wT</f>
        <v>2.844931494459129E-10</v>
      </c>
      <c r="C745" s="128" t="s">
        <v>1665</v>
      </c>
    </row>
    <row r="746" spans="1:3" ht="15" customHeight="1" x14ac:dyDescent="0.3">
      <c r="A746" s="123" t="s">
        <v>1561</v>
      </c>
      <c r="B746" s="125">
        <v>2000</v>
      </c>
      <c r="C746" s="126" t="s">
        <v>1677</v>
      </c>
    </row>
    <row r="747" spans="1:3" ht="15" customHeight="1" x14ac:dyDescent="0.3">
      <c r="A747" s="127" t="s">
        <v>946</v>
      </c>
      <c r="B747" s="130">
        <v>2500</v>
      </c>
      <c r="C747" s="126" t="s">
        <v>1677</v>
      </c>
    </row>
    <row r="748" spans="1:3" ht="15" customHeight="1" x14ac:dyDescent="0.3">
      <c r="A748" s="124" t="s">
        <v>560</v>
      </c>
      <c r="B748" s="125">
        <f ca="1">(RAINrate.C*FRACrun.s1C/Ks1w.C+EROSION.s1C)*SYSTEMAREA.C*AREAFRAC.s1C*CORRrunoff.s1C</f>
        <v>2.5917302617627076</v>
      </c>
      <c r="C748" s="126" t="s">
        <v>1664</v>
      </c>
    </row>
    <row r="749" spans="1:3" ht="15" customHeight="1" x14ac:dyDescent="0.3">
      <c r="A749" s="124" t="s">
        <v>938</v>
      </c>
      <c r="B749" s="125">
        <f ca="1">(RAINrate.R*FRACrun.s1R/Ks1w.R+EROSION.s1R)*SYSTEMAREA.R*AREAFRAC.s1R*CORRrunoff.s1R</f>
        <v>2.2705022035653319E-23</v>
      </c>
      <c r="C749" s="126" t="s">
        <v>1664</v>
      </c>
    </row>
    <row r="750" spans="1:3" ht="15" customHeight="1" x14ac:dyDescent="0.3">
      <c r="A750" s="124" t="s">
        <v>561</v>
      </c>
      <c r="B750" s="125">
        <f ca="1">(RAINrate.C*FRACrun.s2C/Ks2w.C+EROSION.s2C)*SYSTEMAREA.C*AREAFRAC.s2C*CORRrunoff.s2C</f>
        <v>10.341613857514924</v>
      </c>
      <c r="C750" s="126" t="s">
        <v>1664</v>
      </c>
    </row>
    <row r="751" spans="1:3" ht="15" customHeight="1" x14ac:dyDescent="0.3">
      <c r="A751" s="124" t="s">
        <v>939</v>
      </c>
      <c r="B751" s="125">
        <f ca="1">(RAINrate.R*FRACrun.s2R/Ks2w.R+EROSION.s2R)*SYSTEMAREA.R*AREAFRAC.s2R*CORRrunoff.s2R</f>
        <v>8.5685321160884501E-4</v>
      </c>
      <c r="C751" s="126" t="s">
        <v>1664</v>
      </c>
    </row>
    <row r="752" spans="1:3" ht="15" customHeight="1" x14ac:dyDescent="0.3">
      <c r="A752" s="124" t="s">
        <v>1089</v>
      </c>
      <c r="B752" s="125">
        <f ca="1">(RAINrate.C*FRACrun.s3C/Ks3w.C+EROSION.s3C)*SYSTEMAREA.C*AREAFRAC.s3C*CORRrunoff.s3C</f>
        <v>1.1881910848293362</v>
      </c>
      <c r="C752" s="126" t="s">
        <v>1664</v>
      </c>
    </row>
    <row r="753" spans="1:3" ht="15" customHeight="1" x14ac:dyDescent="0.3">
      <c r="A753" s="124" t="s">
        <v>1088</v>
      </c>
      <c r="B753" s="125">
        <f ca="1">(RAINrate.R*FRACrun.s3R/Ks3w.R+EROSION.s3R)*SYSTEMAREA.R*AREAFRAC.s3R*CORRrunoff.s3R</f>
        <v>6.4975546926326064E-4</v>
      </c>
      <c r="C753" s="126" t="s">
        <v>1664</v>
      </c>
    </row>
    <row r="754" spans="1:3" ht="15" customHeight="1" x14ac:dyDescent="0.3">
      <c r="A754" s="124" t="s">
        <v>882</v>
      </c>
      <c r="B754" s="125">
        <f ca="1">(RAINrate.A*FRACrun.sA/Kslw.A+EROSION.sA)*SYSTEMAREA.A*AREAFRAC.sA*CORRrunoff.sA</f>
        <v>41.830935030405612</v>
      </c>
      <c r="C754" s="123" t="s">
        <v>1664</v>
      </c>
    </row>
    <row r="755" spans="1:3" ht="15" customHeight="1" x14ac:dyDescent="0.3">
      <c r="A755" s="124" t="s">
        <v>881</v>
      </c>
      <c r="B755" s="125">
        <f ca="1">(RAINrate.M*FRACrun.sM/Kslw.M+EROSION.sM)*SYSTEMAREA.M*AREAFRAC.sM*CORRrunoff.sM</f>
        <v>180.38424502043372</v>
      </c>
      <c r="C755" s="123" t="s">
        <v>1664</v>
      </c>
    </row>
    <row r="756" spans="1:3" ht="15" customHeight="1" x14ac:dyDescent="0.3">
      <c r="A756" s="124" t="s">
        <v>883</v>
      </c>
      <c r="B756" s="125">
        <f ca="1">(RAINrate.T*FRACrun.sT/Kslw.T+EROSION.sT)*SYSTEMAREA.T*AREAFRAC.sT*CORRrunoff.sT</f>
        <v>295.21958808655961</v>
      </c>
      <c r="C756" s="123" t="s">
        <v>1664</v>
      </c>
    </row>
    <row r="757" spans="1:3" ht="15" customHeight="1" x14ac:dyDescent="0.3">
      <c r="A757" s="124" t="s">
        <v>13</v>
      </c>
      <c r="B757" s="125">
        <f ca="1">(GROSSSEDrate.w1C*FRACs.sdC*RHOsolid/SUSP.w1C)*((Kp.susp1C*SUSP.w1C/1000)*FRw.w1C)*(SYSTEMAREA.C*AREAFRAC.w1C)</f>
        <v>179307.07865593172</v>
      </c>
      <c r="C757" s="126" t="s">
        <v>1664</v>
      </c>
    </row>
    <row r="758" spans="1:3" ht="15" customHeight="1" x14ac:dyDescent="0.3">
      <c r="A758" s="124" t="s">
        <v>856</v>
      </c>
      <c r="B758" s="125">
        <f ca="1">(GROSSSEDrate.w1R*FRACs.sdR*RHOsolid/SUSP.w1R)*((Kp.susp1R*SUSP.w1R/1000)*FRw.w1R)*(SYSTEMAREA.R*AREAFRAC.w1R)</f>
        <v>77.998283343511616</v>
      </c>
      <c r="C758" s="126" t="s">
        <v>1664</v>
      </c>
    </row>
    <row r="759" spans="1:3" ht="15" customHeight="1" x14ac:dyDescent="0.3">
      <c r="A759" s="124" t="s">
        <v>1053</v>
      </c>
      <c r="B759" s="125">
        <f ca="1">(GROSSSEDrate.w2C*FRACs.sdC*RHOsolid/SUSP.w2C)*((Kp.susp2C*SUSP.w2C/1000)*FRw.w2C)*(SYSTEMAREA.C*AREAFRAC.w2C)</f>
        <v>2615617.4660024806</v>
      </c>
      <c r="C759" s="126" t="s">
        <v>1664</v>
      </c>
    </row>
    <row r="760" spans="1:3" ht="15" customHeight="1" x14ac:dyDescent="0.3">
      <c r="A760" s="124" t="s">
        <v>497</v>
      </c>
      <c r="B760" s="125">
        <f ca="1">(GROSSSEDrate.w2R*FRACs.sdR*RHOsolid/SUSP.w2R)*((Kp.susp2R*SUSP.w2R/1000)*FRw.w2R)*(SYSTEMAREA.R*AREAFRAC.w2R)</f>
        <v>7.2553561619387107E-21</v>
      </c>
      <c r="C760" s="126" t="s">
        <v>1664</v>
      </c>
    </row>
    <row r="761" spans="1:3" ht="15" customHeight="1" x14ac:dyDescent="0.3">
      <c r="A761" s="124" t="s">
        <v>152</v>
      </c>
      <c r="B761" s="125">
        <f ca="1">(GROSSSEDrate.w3A*FRACs.sdA*RHOsolid/SUSP.w3A)*((Kp.susp3A*SUSP.w3A/1000)*FRw.w3A)*(SYSTEMAREA.A*AREAFRAC.wA)</f>
        <v>23551931.148407198</v>
      </c>
      <c r="C761" s="123" t="s">
        <v>1664</v>
      </c>
    </row>
    <row r="762" spans="1:3" ht="15" customHeight="1" x14ac:dyDescent="0.3">
      <c r="A762" s="124" t="s">
        <v>144</v>
      </c>
      <c r="B762" s="125">
        <f ca="1">(GROSSSEDrate.w3M*FRACs.sdM*RHOsolid/SUSP.w3M)*((Kp.susp3M*SUSP.w3M/1000)*FRw.w3M)*(SYSTEMAREA.M*AREAFRAC.wM)</f>
        <v>35343362.490731589</v>
      </c>
      <c r="C762" s="123" t="s">
        <v>1664</v>
      </c>
    </row>
    <row r="763" spans="1:3" ht="15" customHeight="1" x14ac:dyDescent="0.3">
      <c r="A763" s="124" t="s">
        <v>147</v>
      </c>
      <c r="B763" s="125">
        <f ca="1">(GROSSSEDrate.w3T*FRACs.sdT*RHOsolid/SUSP.w3T)*((Kp.susp3T*SUSP.w3T/1000)*FRw.w3T)*(SYSTEMAREA.T*AREAFRAC.wT)</f>
        <v>82431759.019425198</v>
      </c>
      <c r="C763" s="123" t="s">
        <v>1664</v>
      </c>
    </row>
    <row r="764" spans="1:3" ht="15" customHeight="1" x14ac:dyDescent="0.3">
      <c r="A764" s="127" t="s">
        <v>1280</v>
      </c>
      <c r="B764" s="125">
        <f>2.5/(24*3600)</f>
        <v>2.8935185185185186E-5</v>
      </c>
      <c r="C764" s="128" t="s">
        <v>1665</v>
      </c>
    </row>
    <row r="765" spans="1:3" ht="15" customHeight="1" x14ac:dyDescent="0.3">
      <c r="A765" s="127" t="s">
        <v>491</v>
      </c>
      <c r="B765" s="125">
        <f>2.5/(24*3600)</f>
        <v>2.8935185185185186E-5</v>
      </c>
      <c r="C765" s="129" t="s">
        <v>1665</v>
      </c>
    </row>
    <row r="766" spans="1:3" ht="15" customHeight="1" x14ac:dyDescent="0.3">
      <c r="A766" s="127" t="s">
        <v>192</v>
      </c>
      <c r="B766" s="125">
        <f>2.5/(24*3600)</f>
        <v>2.8935185185185186E-5</v>
      </c>
      <c r="C766" s="128" t="s">
        <v>1665</v>
      </c>
    </row>
    <row r="767" spans="1:3" ht="15" customHeight="1" x14ac:dyDescent="0.3">
      <c r="A767" s="127" t="s">
        <v>412</v>
      </c>
      <c r="B767" s="125">
        <f>2.5/(24*3600)</f>
        <v>2.8935185185185186E-5</v>
      </c>
      <c r="C767" s="129" t="s">
        <v>1665</v>
      </c>
    </row>
    <row r="768" spans="1:3" ht="15" customHeight="1" x14ac:dyDescent="0.3">
      <c r="A768" s="127" t="s">
        <v>773</v>
      </c>
      <c r="B768" s="130">
        <f>2.5/(24*3600)</f>
        <v>2.8935185185185186E-5</v>
      </c>
      <c r="C768" s="128" t="s">
        <v>1665</v>
      </c>
    </row>
    <row r="769" spans="1:3" ht="15" customHeight="1" x14ac:dyDescent="0.3">
      <c r="A769" s="127" t="s">
        <v>338</v>
      </c>
      <c r="B769" s="125">
        <v>5.0000000000000001E-4</v>
      </c>
      <c r="C769" s="126" t="s">
        <v>1709</v>
      </c>
    </row>
    <row r="770" spans="1:3" ht="15" customHeight="1" x14ac:dyDescent="0.3">
      <c r="A770" s="127" t="s">
        <v>289</v>
      </c>
      <c r="B770" s="125">
        <v>5.0000000000000001E-4</v>
      </c>
      <c r="C770" s="126" t="s">
        <v>1709</v>
      </c>
    </row>
    <row r="771" spans="1:3" ht="15" customHeight="1" x14ac:dyDescent="0.3">
      <c r="A771" s="127" t="s">
        <v>1102</v>
      </c>
      <c r="B771" s="125">
        <v>1.4999999999999999E-2</v>
      </c>
      <c r="C771" s="126" t="s">
        <v>1709</v>
      </c>
    </row>
    <row r="772" spans="1:3" ht="15" customHeight="1" x14ac:dyDescent="0.3">
      <c r="A772" s="127" t="s">
        <v>205</v>
      </c>
      <c r="B772" s="125">
        <v>1.4999999999999999E-2</v>
      </c>
      <c r="C772" s="126" t="s">
        <v>1709</v>
      </c>
    </row>
    <row r="773" spans="1:3" ht="15" customHeight="1" x14ac:dyDescent="0.3">
      <c r="A773" s="127" t="s">
        <v>1144</v>
      </c>
      <c r="B773" s="125">
        <v>5.0000000000000001E-3</v>
      </c>
      <c r="C773" s="126" t="s">
        <v>1709</v>
      </c>
    </row>
    <row r="774" spans="1:3" ht="15" customHeight="1" x14ac:dyDescent="0.3">
      <c r="A774" s="127" t="s">
        <v>1103</v>
      </c>
      <c r="B774" s="125">
        <v>5.0000000000000001E-3</v>
      </c>
      <c r="C774" s="126" t="s">
        <v>1709</v>
      </c>
    </row>
    <row r="775" spans="1:3" ht="15" customHeight="1" x14ac:dyDescent="0.3">
      <c r="A775" s="127" t="s">
        <v>130</v>
      </c>
      <c r="B775" s="125">
        <v>5.0000000000000001E-3</v>
      </c>
      <c r="C775" s="126" t="s">
        <v>1709</v>
      </c>
    </row>
    <row r="776" spans="1:3" ht="15" customHeight="1" x14ac:dyDescent="0.3">
      <c r="A776" s="127" t="s">
        <v>206</v>
      </c>
      <c r="B776" s="125">
        <v>5.0000000000000001E-3</v>
      </c>
      <c r="C776" s="126" t="s">
        <v>1709</v>
      </c>
    </row>
    <row r="777" spans="1:3" ht="15" customHeight="1" x14ac:dyDescent="0.3">
      <c r="A777" s="127" t="s">
        <v>1118</v>
      </c>
      <c r="B777" s="125">
        <v>5.0000000000000001E-3</v>
      </c>
      <c r="C777" s="126" t="s">
        <v>1709</v>
      </c>
    </row>
    <row r="778" spans="1:3" ht="15" customHeight="1" x14ac:dyDescent="0.3">
      <c r="A778" s="127" t="s">
        <v>1145</v>
      </c>
      <c r="B778" s="125">
        <v>5.0000000000000001E-3</v>
      </c>
      <c r="C778" s="126" t="s">
        <v>1709</v>
      </c>
    </row>
    <row r="779" spans="1:3" ht="15" customHeight="1" x14ac:dyDescent="0.3">
      <c r="A779" s="127" t="s">
        <v>131</v>
      </c>
      <c r="B779" s="125">
        <v>5.0000000000000001E-3</v>
      </c>
      <c r="C779" s="126" t="s">
        <v>1709</v>
      </c>
    </row>
    <row r="780" spans="1:3" ht="15" customHeight="1" x14ac:dyDescent="0.3">
      <c r="A780" s="127" t="s">
        <v>1120</v>
      </c>
      <c r="B780" s="125">
        <v>5.0000000000000001E-3</v>
      </c>
      <c r="C780" s="126" t="s">
        <v>1709</v>
      </c>
    </row>
    <row r="781" spans="1:3" ht="15" customHeight="1" x14ac:dyDescent="0.3">
      <c r="A781" s="124" t="s">
        <v>268</v>
      </c>
      <c r="B781" s="125">
        <v>42500000000000</v>
      </c>
      <c r="C781" s="123" t="s">
        <v>1710</v>
      </c>
    </row>
    <row r="782" spans="1:3" ht="15" customHeight="1" x14ac:dyDescent="0.3">
      <c r="A782" s="124" t="s">
        <v>1392</v>
      </c>
      <c r="B782" s="125">
        <f>(AREAland.C+AREAsea.C-SYSTEMAREA.R)</f>
        <v>8466290000000</v>
      </c>
      <c r="C782" s="123" t="s">
        <v>1710</v>
      </c>
    </row>
    <row r="783" spans="1:3" ht="15" customHeight="1" x14ac:dyDescent="0.3">
      <c r="A783" s="124" t="s">
        <v>1179</v>
      </c>
      <c r="B783" s="125">
        <f>85000000000000-(SYSTEMAREA.C+SYSTEMAREA.R)</f>
        <v>76533490000000</v>
      </c>
      <c r="C783" s="123" t="s">
        <v>1710</v>
      </c>
    </row>
    <row r="784" spans="1:3" ht="15" customHeight="1" x14ac:dyDescent="0.3">
      <c r="A784" s="124" t="s">
        <v>661</v>
      </c>
      <c r="B784" s="125">
        <f>(AREAland.R+AREAsea.R)</f>
        <v>220000000</v>
      </c>
      <c r="C784" s="123" t="s">
        <v>1710</v>
      </c>
    </row>
    <row r="785" spans="1:3" ht="15" customHeight="1" x14ac:dyDescent="0.3">
      <c r="A785" s="124" t="s">
        <v>1404</v>
      </c>
      <c r="B785" s="130">
        <v>127500000000000</v>
      </c>
      <c r="C785" s="123" t="s">
        <v>1710</v>
      </c>
    </row>
    <row r="786" spans="1:3" ht="15" customHeight="1" x14ac:dyDescent="0.3">
      <c r="A786" s="124" t="s">
        <v>401</v>
      </c>
      <c r="B786" s="125">
        <f>(SQRT(SYSTEMAREA.A*PI()/4)/WINDspeed.A)</f>
        <v>1925830.9013223229</v>
      </c>
      <c r="C786" s="123" t="s">
        <v>738</v>
      </c>
    </row>
    <row r="787" spans="1:3" ht="15" customHeight="1" x14ac:dyDescent="0.3">
      <c r="A787" s="124" t="s">
        <v>781</v>
      </c>
      <c r="B787" s="125">
        <f ca="1">(SQRT(SYSTEMAREA.C*PI()/4)/WINDspeed.C)</f>
        <v>389719.12016977806</v>
      </c>
      <c r="C787" s="123" t="s">
        <v>738</v>
      </c>
    </row>
    <row r="788" spans="1:3" ht="15" customHeight="1" x14ac:dyDescent="0.3">
      <c r="A788" s="124" t="s">
        <v>100</v>
      </c>
      <c r="B788" s="125">
        <f ca="1">(SQRT(SYSTEMAREA.R*PI()/4)/WINDspeed.R)</f>
        <v>9744.5647393577747</v>
      </c>
      <c r="C788" s="123" t="s">
        <v>738</v>
      </c>
    </row>
    <row r="789" spans="1:3" ht="15" customHeight="1" x14ac:dyDescent="0.3">
      <c r="A789" s="124" t="s">
        <v>1198</v>
      </c>
      <c r="B789" s="125">
        <f>(SQRT(SYSTEMAREA.T*PI()/4)/WINDspeed.T)</f>
        <v>3335636.9678764283</v>
      </c>
      <c r="C789" s="123" t="s">
        <v>738</v>
      </c>
    </row>
    <row r="790" spans="1:3" ht="15" customHeight="1" x14ac:dyDescent="0.3">
      <c r="A790" s="124" t="s">
        <v>801</v>
      </c>
      <c r="B790" s="125">
        <f>55*(3600*24)</f>
        <v>4752000</v>
      </c>
      <c r="C790" s="123" t="s">
        <v>738</v>
      </c>
    </row>
    <row r="791" spans="1:3" ht="15" customHeight="1" x14ac:dyDescent="0.3">
      <c r="A791" s="124" t="s">
        <v>803</v>
      </c>
      <c r="B791" s="125">
        <f>55*(3600*24)</f>
        <v>4752000</v>
      </c>
      <c r="C791" s="123" t="s">
        <v>738</v>
      </c>
    </row>
    <row r="792" spans="1:3" ht="15" customHeight="1" x14ac:dyDescent="0.3">
      <c r="A792" s="124" t="s">
        <v>802</v>
      </c>
      <c r="B792" s="125">
        <f>55*(3600*24)</f>
        <v>4752000</v>
      </c>
      <c r="C792" s="123" t="s">
        <v>738</v>
      </c>
    </row>
    <row r="793" spans="1:3" ht="15" customHeight="1" x14ac:dyDescent="0.3">
      <c r="A793" s="124" t="s">
        <v>6</v>
      </c>
      <c r="B793" s="125">
        <f>365*(3600*24)</f>
        <v>31536000</v>
      </c>
      <c r="C793" s="123" t="s">
        <v>738</v>
      </c>
    </row>
    <row r="794" spans="1:3" ht="15" customHeight="1" x14ac:dyDescent="0.3">
      <c r="A794" s="123" t="s">
        <v>755</v>
      </c>
      <c r="B794" s="125">
        <f>(80/24)*(1-RAINrate.A/(0.0013/3600))*(3600*24)</f>
        <v>281677.55532139097</v>
      </c>
      <c r="C794" s="123" t="s">
        <v>738</v>
      </c>
    </row>
    <row r="795" spans="1:3" ht="15" customHeight="1" x14ac:dyDescent="0.3">
      <c r="A795" s="123" t="s">
        <v>961</v>
      </c>
      <c r="B795" s="125">
        <f ca="1">(80/24)*(1-RAINrate.C/(0.0013/3600))*(3600*24)</f>
        <v>268951.9039197989</v>
      </c>
      <c r="C795" s="123" t="s">
        <v>738</v>
      </c>
    </row>
    <row r="796" spans="1:3" ht="15" customHeight="1" x14ac:dyDescent="0.3">
      <c r="A796" s="123" t="s">
        <v>749</v>
      </c>
      <c r="B796" s="125">
        <f>(80/24)*(1-RAINrate.M/(0.0013/3600))*(3600*24)</f>
        <v>270297.15489989461</v>
      </c>
      <c r="C796" s="123" t="s">
        <v>738</v>
      </c>
    </row>
    <row r="797" spans="1:3" ht="15" customHeight="1" x14ac:dyDescent="0.3">
      <c r="A797" s="123" t="s">
        <v>891</v>
      </c>
      <c r="B797" s="125">
        <f ca="1">(80/24)*(1-RAINrate.R/(0.0013/3600))*(3600*24)</f>
        <v>249795.40244072178</v>
      </c>
      <c r="C797" s="123" t="s">
        <v>738</v>
      </c>
    </row>
    <row r="798" spans="1:3" ht="15" customHeight="1" x14ac:dyDescent="0.3">
      <c r="A798" s="123" t="s">
        <v>425</v>
      </c>
      <c r="B798" s="125">
        <f>(80/24)*(1-RAINrate.T/(0.0013/3600))*(3600*24)</f>
        <v>255123.28767123289</v>
      </c>
      <c r="C798" s="123" t="s">
        <v>738</v>
      </c>
    </row>
    <row r="799" spans="1:3" ht="15" customHeight="1" x14ac:dyDescent="0.3">
      <c r="A799" s="123" t="s">
        <v>403</v>
      </c>
      <c r="B799" s="125">
        <f>-10+273</f>
        <v>263</v>
      </c>
      <c r="C799" s="123" t="s">
        <v>1711</v>
      </c>
    </row>
    <row r="800" spans="1:3" ht="15" customHeight="1" x14ac:dyDescent="0.3">
      <c r="A800" s="123" t="s">
        <v>1101</v>
      </c>
      <c r="B800" s="130">
        <f>12+273</f>
        <v>285</v>
      </c>
      <c r="C800" s="123" t="s">
        <v>1711</v>
      </c>
    </row>
    <row r="801" spans="1:3" ht="15" customHeight="1" x14ac:dyDescent="0.3">
      <c r="A801" s="126" t="s">
        <v>787</v>
      </c>
      <c r="B801" s="125">
        <f>12+273</f>
        <v>285</v>
      </c>
      <c r="C801" s="123" t="s">
        <v>1711</v>
      </c>
    </row>
    <row r="802" spans="1:3" ht="15" customHeight="1" x14ac:dyDescent="0.3">
      <c r="A802" s="123" t="s">
        <v>102</v>
      </c>
      <c r="B802" s="130">
        <f>12+273</f>
        <v>285</v>
      </c>
      <c r="C802" s="123" t="s">
        <v>1711</v>
      </c>
    </row>
    <row r="803" spans="1:3" ht="15" customHeight="1" x14ac:dyDescent="0.3">
      <c r="A803" s="126" t="s">
        <v>1013</v>
      </c>
      <c r="B803" s="132">
        <f>25+273</f>
        <v>298</v>
      </c>
      <c r="C803" s="123" t="s">
        <v>1711</v>
      </c>
    </row>
    <row r="804" spans="1:3" ht="15" customHeight="1" x14ac:dyDescent="0.3">
      <c r="A804" s="124" t="s">
        <v>800</v>
      </c>
      <c r="B804" s="125">
        <f>EXP((Ea.OHrad/8.314)*(TEMP.A-298)/298^2)</f>
        <v>0.75244236176784551</v>
      </c>
      <c r="C804" s="126" t="s">
        <v>28</v>
      </c>
    </row>
    <row r="805" spans="1:3" ht="15" customHeight="1" x14ac:dyDescent="0.3">
      <c r="A805" s="124" t="s">
        <v>181</v>
      </c>
      <c r="B805" s="125">
        <f ca="1">EXP((Ea.OHrad/8.314)*(TEMP.C-298)/298^2)</f>
        <v>0.87878182824871043</v>
      </c>
      <c r="C805" s="126" t="s">
        <v>28</v>
      </c>
    </row>
    <row r="806" spans="1:3" ht="15" customHeight="1" x14ac:dyDescent="0.3">
      <c r="A806" s="124" t="s">
        <v>965</v>
      </c>
      <c r="B806" s="125">
        <f>EXP((Ea.OHrad/8.314)*(TEMP.M-298)/298^2)</f>
        <v>0.89974332049812744</v>
      </c>
      <c r="C806" s="126" t="s">
        <v>28</v>
      </c>
    </row>
    <row r="807" spans="1:3" ht="15" customHeight="1" x14ac:dyDescent="0.3">
      <c r="A807" s="124" t="s">
        <v>260</v>
      </c>
      <c r="B807" s="125">
        <f ca="1">EXP((Ea.OHrad/8.314)*(TEMP.R-298)/298^2)</f>
        <v>1.0093429569009236</v>
      </c>
      <c r="C807" s="126" t="s">
        <v>28</v>
      </c>
    </row>
    <row r="808" spans="1:3" ht="15" customHeight="1" x14ac:dyDescent="0.3">
      <c r="A808" s="124" t="s">
        <v>1398</v>
      </c>
      <c r="B808" s="125">
        <f>EXP((Ea.OHrad/8.314)*(TEMP.T-298)/298^2)</f>
        <v>1</v>
      </c>
      <c r="C808" s="126" t="s">
        <v>28</v>
      </c>
    </row>
    <row r="809" spans="1:3" ht="15" customHeight="1" x14ac:dyDescent="0.3">
      <c r="A809" s="124" t="s">
        <v>534</v>
      </c>
      <c r="B809" s="132">
        <f>Q.10^((TEMP.A-298)/10)</f>
        <v>8.8388347648318447E-2</v>
      </c>
      <c r="C809" s="126" t="s">
        <v>28</v>
      </c>
    </row>
    <row r="810" spans="1:3" ht="15" customHeight="1" x14ac:dyDescent="0.3">
      <c r="A810" s="124" t="s">
        <v>532</v>
      </c>
      <c r="B810" s="125">
        <f ca="1">Q.10^((TEMP.C-298)/10)</f>
        <v>0.33215521768219974</v>
      </c>
      <c r="C810" s="126" t="s">
        <v>28</v>
      </c>
    </row>
    <row r="811" spans="1:3" ht="15" customHeight="1" x14ac:dyDescent="0.3">
      <c r="A811" s="124" t="s">
        <v>533</v>
      </c>
      <c r="B811" s="125">
        <f>Q.10^((TEMP.M-298)/10)</f>
        <v>0.40612619817811774</v>
      </c>
      <c r="C811" s="126" t="s">
        <v>28</v>
      </c>
    </row>
    <row r="812" spans="1:3" ht="15" customHeight="1" x14ac:dyDescent="0.3">
      <c r="A812" s="124" t="s">
        <v>788</v>
      </c>
      <c r="B812" s="125">
        <f ca="1">Q.10^((TEMP.R-298)/10)</f>
        <v>1.0825501797765105</v>
      </c>
      <c r="C812" s="126" t="s">
        <v>28</v>
      </c>
    </row>
    <row r="813" spans="1:3" ht="15" customHeight="1" x14ac:dyDescent="0.3">
      <c r="A813" s="124" t="s">
        <v>977</v>
      </c>
      <c r="B813" s="125">
        <f>Q.10^((TEMP.T-298)/10)</f>
        <v>1</v>
      </c>
      <c r="C813" s="126" t="s">
        <v>28</v>
      </c>
    </row>
    <row r="814" spans="1:3" ht="15" customHeight="1" x14ac:dyDescent="0.3">
      <c r="A814" s="123" t="s">
        <v>756</v>
      </c>
      <c r="B814" s="125">
        <f>(80/24)*(RAINrate.A/(0.0013/3600))*(3600*24)</f>
        <v>6322.444678609063</v>
      </c>
      <c r="C814" s="123" t="s">
        <v>738</v>
      </c>
    </row>
    <row r="815" spans="1:3" ht="15" customHeight="1" x14ac:dyDescent="0.3">
      <c r="A815" s="123" t="s">
        <v>962</v>
      </c>
      <c r="B815" s="125">
        <f ca="1">(80/24)*(RAINrate.C/(0.0013/3600))*(3600*24)</f>
        <v>19048.096080201096</v>
      </c>
      <c r="C815" s="123" t="s">
        <v>738</v>
      </c>
    </row>
    <row r="816" spans="1:3" ht="15" customHeight="1" x14ac:dyDescent="0.3">
      <c r="A816" s="123" t="s">
        <v>750</v>
      </c>
      <c r="B816" s="125">
        <f>(80/24)*(RAINrate.M/(0.0013/3600))*(3600*24)</f>
        <v>17702.845100105376</v>
      </c>
      <c r="C816" s="123" t="s">
        <v>738</v>
      </c>
    </row>
    <row r="817" spans="1:3" ht="15" customHeight="1" x14ac:dyDescent="0.3">
      <c r="A817" s="123" t="s">
        <v>893</v>
      </c>
      <c r="B817" s="125">
        <f ca="1">(80/24)*(RAINrate.R/(0.0013/3600))*(3600*24)</f>
        <v>38204.597559278191</v>
      </c>
      <c r="C817" s="123" t="s">
        <v>738</v>
      </c>
    </row>
    <row r="818" spans="1:3" ht="15" customHeight="1" x14ac:dyDescent="0.3">
      <c r="A818" s="123" t="s">
        <v>426</v>
      </c>
      <c r="B818" s="125">
        <f>(80/24)*(RAINrate.T/(0.0013/3600))*(3600*24)</f>
        <v>32876.712328767127</v>
      </c>
      <c r="C818" s="123" t="s">
        <v>738</v>
      </c>
    </row>
    <row r="819" spans="1:3" ht="15" customHeight="1" x14ac:dyDescent="0.3">
      <c r="A819" s="124" t="s">
        <v>1380</v>
      </c>
      <c r="B819" s="125">
        <f ca="1">(MTCas.air.aC*MTCas.soil.sC)/(MTCas.air.aC+MTCas.soil.sC/((Kaw.C*FRorig.s1w)/Ks1w.C))*SYSTEMAREA.C*AREAFRAC.s1C*CORRvolat.s1C</f>
        <v>4.9927785965470778E-16</v>
      </c>
      <c r="C819" s="126" t="s">
        <v>1664</v>
      </c>
    </row>
    <row r="820" spans="1:3" ht="15" customHeight="1" x14ac:dyDescent="0.3">
      <c r="A820" s="124" t="s">
        <v>733</v>
      </c>
      <c r="B820" s="125">
        <f ca="1">(MTCas.air.aR*MTCas.soil.sR)/(MTCas.air.aR+MTCas.soil.sR/((Kaw.R*FRorig.s1w)/Ks1w.R))*SYSTEMAREA.R*AREAFRAC.s1R*CORRvolat.s1R</f>
        <v>1.8608239306980906E-38</v>
      </c>
      <c r="C820" s="126" t="s">
        <v>1664</v>
      </c>
    </row>
    <row r="821" spans="1:3" ht="15" customHeight="1" x14ac:dyDescent="0.3">
      <c r="A821" s="124" t="s">
        <v>1234</v>
      </c>
      <c r="B821" s="125">
        <f ca="1">(MTCas.air.aC*MTCas.soil.sC)/(MTCas.air.aC+MTCas.soil.sC/((Kaw.C*FRorig.s2w)/Ks2w.C))*SYSTEMAREA.C*AREAFRAC.s2C*CORRvolat.s2C</f>
        <v>3.4844358365482707E-15</v>
      </c>
      <c r="C821" s="126" t="s">
        <v>1664</v>
      </c>
    </row>
    <row r="822" spans="1:3" ht="15" customHeight="1" x14ac:dyDescent="0.3">
      <c r="A822" s="124" t="s">
        <v>735</v>
      </c>
      <c r="B822" s="125">
        <f ca="1">(MTCas.air.aR*MTCas.soil.sR)/(MTCas.air.aR+MTCas.soil.sR/((Kaw.R*FRorig.s2w)/Ks2w.R))*SYSTEMAREA.R*AREAFRAC.s2R*CORRvolat.s2R</f>
        <v>7.7320440618113276E-19</v>
      </c>
      <c r="C822" s="126" t="s">
        <v>1664</v>
      </c>
    </row>
    <row r="823" spans="1:3" ht="15" customHeight="1" x14ac:dyDescent="0.3">
      <c r="A823" s="124" t="s">
        <v>464</v>
      </c>
      <c r="B823" s="125">
        <f ca="1">(MTCas.air.aC*MTCas.soil.sC)/(MTCas.air.aC+MTCas.soil.sC/((Kaw.C*FRorig.s3w)/Ks3w.C))*SYSTEMAREA.C*AREAFRAC.s3C*CORRvolat.s3C</f>
        <v>3.7070708799001648E-16</v>
      </c>
      <c r="C823" s="126" t="s">
        <v>1664</v>
      </c>
    </row>
    <row r="824" spans="1:3" ht="15" customHeight="1" x14ac:dyDescent="0.3">
      <c r="A824" s="124" t="s">
        <v>1165</v>
      </c>
      <c r="B824" s="125">
        <f ca="1">(MTCas.air.aR*MTCas.soil.sR)/(MTCas.air.aR+MTCas.soil.sR/((Kaw.R*FRorig.s3w)/Ks3w.R))*SYSTEMAREA.R*AREAFRAC.s3R*CORRvolat.s3R</f>
        <v>3.1161652509978396E-19</v>
      </c>
      <c r="C824" s="126" t="s">
        <v>1664</v>
      </c>
    </row>
    <row r="825" spans="1:3" ht="15" customHeight="1" x14ac:dyDescent="0.3">
      <c r="A825" s="124" t="s">
        <v>1227</v>
      </c>
      <c r="B825" s="125">
        <f ca="1">((MTCas.air.aA*MTCas.soil.sA)/(MTCas.air.aA+MTCas.soil.sA/((Kaw.A*FRorig.s1w)/Kslw.A))*(SYSTEMAREA.A*AREAFRAC.sA*CORRvolat.sA))</f>
        <v>1.5764377247947035E-15</v>
      </c>
      <c r="C825" s="123" t="s">
        <v>1664</v>
      </c>
    </row>
    <row r="826" spans="1:3" ht="15" customHeight="1" x14ac:dyDescent="0.3">
      <c r="A826" s="124" t="s">
        <v>1326</v>
      </c>
      <c r="B826" s="125">
        <f ca="1">((MTCas.air.aM*MTCas.soil.sM/(MTCas.air.aM+MTCas.soil.sM/((Kaw.M*FRorig.s1w)/Kslw.M))*(SYSTEMAREA.M*AREAFRAC.sM*CORRvolat.sM)))</f>
        <v>5.8751064719076565E-14</v>
      </c>
      <c r="C826" s="123" t="s">
        <v>1664</v>
      </c>
    </row>
    <row r="827" spans="1:3" ht="15" customHeight="1" x14ac:dyDescent="0.3">
      <c r="A827" s="124" t="s">
        <v>1375</v>
      </c>
      <c r="B827" s="125">
        <f ca="1">((MTCas.air.aT*MTCas.soil.sT/(MTCas.air.aT+MTCas.soil.sT/((Kaw.T*FRorig.s1w)/Kslw.T))*(SYSTEMAREA.T*AREAFRAC.sT*CORRvolat.sT)))</f>
        <v>2.5313265690381309E-13</v>
      </c>
      <c r="C827" s="123" t="s">
        <v>1664</v>
      </c>
    </row>
    <row r="828" spans="1:3" ht="15" customHeight="1" x14ac:dyDescent="0.3">
      <c r="A828" s="124" t="s">
        <v>345</v>
      </c>
      <c r="B828" s="125">
        <f ca="1">(MTCaw.air.aC*MTCaw.water.wC/(FRorig.w1*MTCaw.air.aC*Kaw.C+MTCaw.water.wC))*Kaw.C*(FRw.w0C*FRorig.w1)*(SYSTEMAREA.C*AREAFRAC.w0C)</f>
        <v>1.7454465562085507E-13</v>
      </c>
      <c r="C828" s="126" t="s">
        <v>1664</v>
      </c>
    </row>
    <row r="829" spans="1:3" ht="15" customHeight="1" x14ac:dyDescent="0.3">
      <c r="A829" s="124" t="s">
        <v>297</v>
      </c>
      <c r="B829" s="125">
        <f ca="1">(MTCaw.air.aR*MTCaw.water.wR/(MTCaw.air.aR*(Kaw.R*FRorig.w1)+MTCaw.water.wR))*(Kaw.R*FRorig.w1)*FRw.w0R*(SYSTEMAREA.R*AREAFRAC.w0R)</f>
        <v>8.757964196116058E-35</v>
      </c>
      <c r="C829" s="126" t="s">
        <v>1664</v>
      </c>
    </row>
    <row r="830" spans="1:3" ht="15" customHeight="1" x14ac:dyDescent="0.3">
      <c r="A830" s="124" t="s">
        <v>1376</v>
      </c>
      <c r="B830" s="125">
        <f ca="1">(MTCaw.air.aC*MTCaw.water.wC/(FRorig.w1*MTCaw.air.aC*Kaw.C+MTCaw.water.wC))*Kaw.C*(FRw.w1C*FRorig.w1)*(SYSTEMAREA.C*AREAFRAC.w1C)</f>
        <v>1.7490093264876628E-12</v>
      </c>
      <c r="C830" s="126" t="s">
        <v>1664</v>
      </c>
    </row>
    <row r="831" spans="1:3" ht="15" customHeight="1" x14ac:dyDescent="0.3">
      <c r="A831" s="124" t="s">
        <v>765</v>
      </c>
      <c r="B831" s="125">
        <f ca="1">(MTCaw.air.aR*MTCaw.water.wR/(MTCaw.air.aR*(Kaw.R*FRorig.w1)+MTCaw.water.wR))*(Kaw.R*FRorig.w1)*FRw.w1R*(SYSTEMAREA.R*AREAFRAC.w1R)</f>
        <v>1.9717863805322341E-15</v>
      </c>
      <c r="C831" s="126" t="s">
        <v>1664</v>
      </c>
    </row>
    <row r="832" spans="1:3" ht="15" customHeight="1" x14ac:dyDescent="0.3">
      <c r="A832" s="124" t="s">
        <v>1156</v>
      </c>
      <c r="B832" s="125">
        <f ca="1">(MTCaw.air.aA*MTCaw.water.wA/(FRorig.w1*MTCaw.air.aA*Kaw.A+MTCaw.water.wA))*Kaw.A*(FRw.w2A*FRorig.w1)*(SYSTEMAREA.A*AREAFRAC.wA)</f>
        <v>1.9307489957446722E-11</v>
      </c>
      <c r="C832" s="123" t="s">
        <v>1664</v>
      </c>
    </row>
    <row r="833" spans="1:3" ht="15" customHeight="1" x14ac:dyDescent="0.3">
      <c r="A833" s="124" t="s">
        <v>1378</v>
      </c>
      <c r="B833" s="125">
        <f ca="1">(MTCaw.air.aC*MTCaw.water.wC/(FRorig.w2*MTCaw.air.aC*Kaw.C+MTCaw.water.wC))*Kaw.C*(FRw.w2C*FRorig.w2)*(SYSTEMAREA.C*AREAFRAC.w2C)</f>
        <v>6.7457904900121732E-11</v>
      </c>
      <c r="C833" s="126" t="s">
        <v>1664</v>
      </c>
    </row>
    <row r="834" spans="1:3" ht="15" customHeight="1" x14ac:dyDescent="0.3">
      <c r="A834" s="124" t="s">
        <v>138</v>
      </c>
      <c r="B834" s="125">
        <f ca="1">(MTCaw.air.aM*MTCaw.water.wM/(FRorig.w1*MTCaw.air.aM*Kaw.M+MTCaw.water.wM))*Kaw.M*(FRw.w2M*FRorig.w1)*(SYSTEMAREA.M*AREAFRAC.wM)</f>
        <v>4.7970518689111494E-10</v>
      </c>
      <c r="C834" s="123" t="s">
        <v>1664</v>
      </c>
    </row>
    <row r="835" spans="1:3" ht="15" customHeight="1" x14ac:dyDescent="0.3">
      <c r="A835" s="124" t="s">
        <v>731</v>
      </c>
      <c r="B835" s="125">
        <f ca="1">(MTCaw.air.aR*MTCaw.water.wR/(MTCaw.air.aR*(Kaw.R*FRorig.w2)+MTCaw.water.wR))*(Kaw.R*FRorig.w2)*FRw.w2R*(SYSTEMAREA.R*AREAFRAC.w2R)</f>
        <v>3.8665304665587251E-37</v>
      </c>
      <c r="C835" s="126" t="s">
        <v>1664</v>
      </c>
    </row>
    <row r="836" spans="1:3" ht="15" customHeight="1" x14ac:dyDescent="0.3">
      <c r="A836" s="124" t="s">
        <v>1127</v>
      </c>
      <c r="B836" s="125">
        <f ca="1">(MTCaw.air.aT*MTCaw.water.wT/(FRorig.w1*MTCaw.air.aT*Kaw.T+MTCaw.water.wT))*Kaw.T*(FRw.w2T*FRorig.w1)*(SYSTEMAREA.T*AREAFRAC.wT)</f>
        <v>4.8226373512753171E-9</v>
      </c>
      <c r="C836" s="123" t="s">
        <v>1664</v>
      </c>
    </row>
    <row r="837" spans="1:3" ht="15" customHeight="1" x14ac:dyDescent="0.3">
      <c r="A837" s="124" t="s">
        <v>265</v>
      </c>
      <c r="B837" s="125">
        <f>SYSTEMAREA.A*HEIGHT.aA</f>
        <v>4.25E+16</v>
      </c>
      <c r="C837" s="123" t="s">
        <v>1680</v>
      </c>
    </row>
    <row r="838" spans="1:3" ht="15" customHeight="1" x14ac:dyDescent="0.3">
      <c r="A838" s="124" t="s">
        <v>1432</v>
      </c>
      <c r="B838" s="125">
        <f ca="1">SYSTEMAREA.C*HEIGHT.aC</f>
        <v>2132506253807144</v>
      </c>
      <c r="C838" s="123" t="s">
        <v>1680</v>
      </c>
    </row>
    <row r="839" spans="1:3" ht="15" customHeight="1" x14ac:dyDescent="0.3">
      <c r="A839" s="124" t="s">
        <v>24</v>
      </c>
      <c r="B839" s="125">
        <f>SYSTEMAREA.M*HEIGHT.aM</f>
        <v>7.653349E+16</v>
      </c>
      <c r="C839" s="123" t="s">
        <v>1680</v>
      </c>
    </row>
    <row r="840" spans="1:3" ht="15" customHeight="1" x14ac:dyDescent="0.3">
      <c r="A840" s="124" t="s">
        <v>521</v>
      </c>
      <c r="B840" s="125">
        <f ca="1">SYSTEMAREA.R*HEIGHT.aR</f>
        <v>119593324254.29425</v>
      </c>
      <c r="C840" s="126" t="s">
        <v>1680</v>
      </c>
    </row>
    <row r="841" spans="1:3" ht="15" customHeight="1" x14ac:dyDescent="0.3">
      <c r="A841" s="124" t="s">
        <v>1401</v>
      </c>
      <c r="B841" s="125">
        <f>SYSTEMAREA.T*HEIGHT.aT</f>
        <v>1.275E+17</v>
      </c>
      <c r="C841" s="126" t="s">
        <v>1680</v>
      </c>
    </row>
    <row r="842" spans="1:3" ht="15" customHeight="1" x14ac:dyDescent="0.3">
      <c r="A842" s="124" t="s">
        <v>1437</v>
      </c>
      <c r="B842" s="125">
        <f>SYSTEMAREA.C*AREAFRAC.s1C*DEPTH.s1C</f>
        <v>57148942500</v>
      </c>
      <c r="C842" s="123" t="s">
        <v>1680</v>
      </c>
    </row>
    <row r="843" spans="1:3" ht="15" customHeight="1" x14ac:dyDescent="0.3">
      <c r="A843" s="124" t="s">
        <v>1239</v>
      </c>
      <c r="B843" s="125">
        <f>SYSTEMAREA.R*AREAFRAC.s1R*DEPTH.s1R</f>
        <v>1.1E-13</v>
      </c>
      <c r="C843" s="126" t="s">
        <v>1680</v>
      </c>
    </row>
    <row r="844" spans="1:3" ht="15" customHeight="1" x14ac:dyDescent="0.3">
      <c r="A844" s="124" t="s">
        <v>1438</v>
      </c>
      <c r="B844" s="125">
        <f>SYSTEMAREA.C*AREAFRAC.s2C*DEPTH.s2C</f>
        <v>507990600000</v>
      </c>
      <c r="C844" s="123" t="s">
        <v>1680</v>
      </c>
    </row>
    <row r="845" spans="1:3" ht="15" customHeight="1" x14ac:dyDescent="0.3">
      <c r="A845" s="124" t="s">
        <v>1240</v>
      </c>
      <c r="B845" s="125">
        <f>SYSTEMAREA.R*AREAFRAC.s2R*DEPTH.s2R</f>
        <v>7920000</v>
      </c>
      <c r="C845" s="126" t="s">
        <v>1680</v>
      </c>
    </row>
    <row r="846" spans="1:3" ht="15" customHeight="1" x14ac:dyDescent="0.3">
      <c r="A846" s="124" t="s">
        <v>1439</v>
      </c>
      <c r="B846" s="125">
        <f>SYSTEMAREA.C*AREAFRAC.s3C*DEPTH.s3C</f>
        <v>21166275000</v>
      </c>
      <c r="C846" s="123" t="s">
        <v>1680</v>
      </c>
    </row>
    <row r="847" spans="1:3" ht="15" customHeight="1" x14ac:dyDescent="0.3">
      <c r="A847" s="124" t="s">
        <v>1241</v>
      </c>
      <c r="B847" s="125">
        <f>SYSTEMAREA.R*AREAFRAC.s3R*DEPTH.s3R</f>
        <v>6380000</v>
      </c>
      <c r="C847" s="126" t="s">
        <v>1680</v>
      </c>
    </row>
    <row r="848" spans="1:3" ht="15" customHeight="1" x14ac:dyDescent="0.3">
      <c r="A848" s="124" t="s">
        <v>267</v>
      </c>
      <c r="B848" s="125">
        <f>SYSTEMAREA.A*DEPTH.sA*AREAFRAC.sA</f>
        <v>850000000000</v>
      </c>
      <c r="C848" s="123" t="s">
        <v>1680</v>
      </c>
    </row>
    <row r="849" spans="1:3" ht="15" customHeight="1" x14ac:dyDescent="0.3">
      <c r="A849" s="124" t="s">
        <v>1435</v>
      </c>
      <c r="B849" s="125">
        <f ca="1">SYSTEMAREA.C*AREAFRAC.w1C*DEPTH.sd1C</f>
        <v>4470106284.6100712</v>
      </c>
      <c r="C849" s="123" t="s">
        <v>1680</v>
      </c>
    </row>
    <row r="850" spans="1:3" ht="15" customHeight="1" x14ac:dyDescent="0.3">
      <c r="A850" s="124" t="s">
        <v>1237</v>
      </c>
      <c r="B850" s="125">
        <f ca="1">SYSTEMAREA.R*AREAFRAC.w1R*DEPTH.sd1R</f>
        <v>3743137.4045845298</v>
      </c>
      <c r="C850" s="126" t="s">
        <v>1680</v>
      </c>
    </row>
    <row r="851" spans="1:3" ht="15" customHeight="1" x14ac:dyDescent="0.3">
      <c r="A851" s="124" t="s">
        <v>1436</v>
      </c>
      <c r="B851" s="125">
        <f ca="1">SYSTEMAREA.C*AREAFRAC.w2C*DEPTH.sd2C</f>
        <v>202417612343.00949</v>
      </c>
      <c r="C851" s="123" t="s">
        <v>1680</v>
      </c>
    </row>
    <row r="852" spans="1:3" ht="15" customHeight="1" x14ac:dyDescent="0.3">
      <c r="A852" s="124" t="s">
        <v>1238</v>
      </c>
      <c r="B852" s="125">
        <f>SYSTEMAREA.R*AREAFRAC.w2R*DEPTH.sd2R</f>
        <v>2.9999999999999999E-16</v>
      </c>
      <c r="C852" s="126" t="s">
        <v>1680</v>
      </c>
    </row>
    <row r="853" spans="1:3" ht="15" customHeight="1" x14ac:dyDescent="0.3">
      <c r="A853" s="124" t="s">
        <v>266</v>
      </c>
      <c r="B853" s="125">
        <f>SYSTEMAREA.A*DEPTH.sdA*AREAFRAC.wA</f>
        <v>765000000000</v>
      </c>
      <c r="C853" s="123" t="s">
        <v>1680</v>
      </c>
    </row>
    <row r="854" spans="1:3" ht="15" customHeight="1" x14ac:dyDescent="0.3">
      <c r="A854" s="124" t="s">
        <v>25</v>
      </c>
      <c r="B854" s="125">
        <f>SYSTEMAREA.M*DEPTH.sdM*AREAFRAC.wM</f>
        <v>1148002350000</v>
      </c>
      <c r="C854" s="123" t="s">
        <v>1680</v>
      </c>
    </row>
    <row r="855" spans="1:3" ht="15" customHeight="1" x14ac:dyDescent="0.3">
      <c r="A855" s="124" t="s">
        <v>1402</v>
      </c>
      <c r="B855" s="125">
        <f>SYSTEMAREA.T*DEPTH.sdT*AREAFRAC.wT</f>
        <v>2677500000000</v>
      </c>
      <c r="C855" s="126" t="s">
        <v>1680</v>
      </c>
    </row>
    <row r="856" spans="1:3" ht="15" customHeight="1" x14ac:dyDescent="0.3">
      <c r="A856" s="124" t="s">
        <v>1178</v>
      </c>
      <c r="B856" s="125">
        <f>SYSTEMAREA.M*DEPTH.sM*AREAFRAC.sM</f>
        <v>1913337250000</v>
      </c>
      <c r="C856" s="123" t="s">
        <v>1680</v>
      </c>
    </row>
    <row r="857" spans="1:3" ht="15" customHeight="1" x14ac:dyDescent="0.3">
      <c r="A857" s="124" t="s">
        <v>1403</v>
      </c>
      <c r="B857" s="125">
        <f>SYSTEMAREA.T*DEPTH.sT*AREAFRAC.sT</f>
        <v>1912500000000.0002</v>
      </c>
      <c r="C857" s="126" t="s">
        <v>1680</v>
      </c>
    </row>
    <row r="858" spans="1:3" ht="15" customHeight="1" x14ac:dyDescent="0.3">
      <c r="A858" s="124" t="s">
        <v>320</v>
      </c>
      <c r="B858" s="125">
        <f>SYSTEMAREA.C*AREAFRAC.w0C*DEPTH.w0C</f>
        <v>1058313750000</v>
      </c>
      <c r="C858" s="126" t="s">
        <v>1680</v>
      </c>
    </row>
    <row r="859" spans="1:3" ht="15" customHeight="1" x14ac:dyDescent="0.3">
      <c r="A859" s="124" t="s">
        <v>277</v>
      </c>
      <c r="B859" s="125">
        <f>SYSTEMAREA.R*AREAFRAC.w0R*DEPTH.w0R</f>
        <v>2.1999999999999999E-10</v>
      </c>
      <c r="C859" s="126" t="s">
        <v>1680</v>
      </c>
    </row>
    <row r="860" spans="1:3" ht="15" customHeight="1" x14ac:dyDescent="0.3">
      <c r="A860" s="124" t="s">
        <v>1433</v>
      </c>
      <c r="B860" s="125">
        <f ca="1">SYSTEMAREA.C*AREAFRAC.w1C*DEPTH.w1C</f>
        <v>359572981277.32349</v>
      </c>
      <c r="C860" s="123" t="s">
        <v>1680</v>
      </c>
    </row>
    <row r="861" spans="1:3" ht="15" customHeight="1" x14ac:dyDescent="0.3">
      <c r="A861" s="124" t="s">
        <v>522</v>
      </c>
      <c r="B861" s="125">
        <f ca="1">SYSTEMAREA.R*AREAFRAC.w1R*DEPTH.w1R</f>
        <v>117031868.65249604</v>
      </c>
      <c r="C861" s="126" t="s">
        <v>1680</v>
      </c>
    </row>
    <row r="862" spans="1:3" ht="15" customHeight="1" x14ac:dyDescent="0.3">
      <c r="A862" s="124" t="s">
        <v>904</v>
      </c>
      <c r="B862" s="125">
        <f>SYSTEMAREA.A*DEPTH.w2A*AREAFRAC.wA</f>
        <v>2550000000000000</v>
      </c>
      <c r="C862" s="123" t="s">
        <v>1680</v>
      </c>
    </row>
    <row r="863" spans="1:3" ht="15" customHeight="1" x14ac:dyDescent="0.3">
      <c r="A863" s="124" t="s">
        <v>1434</v>
      </c>
      <c r="B863" s="125">
        <f>SYSTEMAREA.C*AREAFRAC.w2C*DEPTH.w2C</f>
        <v>846607000000000.13</v>
      </c>
      <c r="C863" s="123" t="s">
        <v>1680</v>
      </c>
    </row>
    <row r="864" spans="1:3" ht="15" customHeight="1" x14ac:dyDescent="0.3">
      <c r="A864" s="124" t="s">
        <v>897</v>
      </c>
      <c r="B864" s="125">
        <f>SYSTEMAREA.M*DEPTH.w2M*AREAFRAC.wM</f>
        <v>3826674500000000</v>
      </c>
      <c r="C864" s="123" t="s">
        <v>1680</v>
      </c>
    </row>
    <row r="865" spans="1:3" ht="15" customHeight="1" x14ac:dyDescent="0.3">
      <c r="A865" s="124" t="s">
        <v>1236</v>
      </c>
      <c r="B865" s="125">
        <f>SYSTEMAREA.R*AREAFRAC.w2R*DEPTH.w2R</f>
        <v>1E-13</v>
      </c>
      <c r="C865" s="126" t="s">
        <v>1680</v>
      </c>
    </row>
    <row r="866" spans="1:3" ht="15" customHeight="1" x14ac:dyDescent="0.3">
      <c r="A866" s="124" t="s">
        <v>905</v>
      </c>
      <c r="B866" s="125">
        <f>SYSTEMAREA.T*DEPTH.w2T*AREAFRAC.wT</f>
        <v>8924999999999999</v>
      </c>
      <c r="C866" s="123" t="s">
        <v>1680</v>
      </c>
    </row>
    <row r="867" spans="1:3" ht="15" customHeight="1" x14ac:dyDescent="0.3">
      <c r="A867" s="124" t="s">
        <v>903</v>
      </c>
      <c r="B867" s="125">
        <f>SYSTEMAREA.A*DEPTH.w3A*AREAFRAC.wA</f>
        <v>7.65E+16</v>
      </c>
      <c r="C867" s="123" t="s">
        <v>1680</v>
      </c>
    </row>
    <row r="868" spans="1:3" ht="15" customHeight="1" x14ac:dyDescent="0.3">
      <c r="A868" s="124" t="s">
        <v>899</v>
      </c>
      <c r="B868" s="125">
        <f>SYSTEMAREA.M*DEPTH.w3M*AREAFRAC.wM</f>
        <v>1.14800235E+17</v>
      </c>
      <c r="C868" s="123" t="s">
        <v>1680</v>
      </c>
    </row>
    <row r="869" spans="1:3" ht="15" customHeight="1" x14ac:dyDescent="0.3">
      <c r="A869" s="124" t="s">
        <v>906</v>
      </c>
      <c r="B869" s="125">
        <f>SYSTEMAREA.T*DEPTH.w3T*AREAFRAC.wT</f>
        <v>2.6774999999999997E+17</v>
      </c>
      <c r="C869" s="123" t="s">
        <v>1680</v>
      </c>
    </row>
    <row r="870" spans="1:3" ht="15" customHeight="1" x14ac:dyDescent="0.3">
      <c r="A870" s="127" t="s">
        <v>326</v>
      </c>
      <c r="B870" s="125">
        <f ca="1">0.1*WATERflow.w1C.w2C</f>
        <v>1606.4500311813906</v>
      </c>
      <c r="C870" s="126" t="s">
        <v>1664</v>
      </c>
    </row>
    <row r="871" spans="1:3" ht="15" customHeight="1" x14ac:dyDescent="0.3">
      <c r="A871" s="127" t="s">
        <v>327</v>
      </c>
      <c r="B871" s="125">
        <v>0</v>
      </c>
      <c r="C871" s="126" t="s">
        <v>1664</v>
      </c>
    </row>
    <row r="872" spans="1:3" ht="15" customHeight="1" x14ac:dyDescent="0.3">
      <c r="A872" s="127" t="s">
        <v>310</v>
      </c>
      <c r="B872" s="125">
        <f ca="1">0.1*WATERflow.w2R.w2C</f>
        <v>5.3215436156928559</v>
      </c>
      <c r="C872" s="126" t="s">
        <v>1664</v>
      </c>
    </row>
    <row r="873" spans="1:3" ht="15" customHeight="1" x14ac:dyDescent="0.3">
      <c r="A873" s="127" t="s">
        <v>309</v>
      </c>
      <c r="B873" s="125">
        <v>0</v>
      </c>
      <c r="C873" s="126" t="s">
        <v>1664</v>
      </c>
    </row>
    <row r="874" spans="1:3" ht="15" customHeight="1" x14ac:dyDescent="0.3">
      <c r="A874" s="127" t="s">
        <v>328</v>
      </c>
      <c r="B874" s="125">
        <v>0</v>
      </c>
      <c r="C874" s="126" t="s">
        <v>1664</v>
      </c>
    </row>
    <row r="875" spans="1:3" ht="15" customHeight="1" x14ac:dyDescent="0.3">
      <c r="A875" s="127" t="s">
        <v>1</v>
      </c>
      <c r="B875" s="125">
        <f ca="1">((AREAFRAC.w1C+AREAFRAC.s1C*FRACrun.s1C+AREAFRAC.s2C*FRACrun.s2C+AREAFRAC.s3C*FRACrun.s3C)*RAINrate.C*SYSTEMAREA.C+WATERflow.w0C.w1C)*FRAC.w1C.w1R</f>
        <v>0</v>
      </c>
      <c r="C875" s="123" t="s">
        <v>1664</v>
      </c>
    </row>
    <row r="876" spans="1:3" ht="15" customHeight="1" x14ac:dyDescent="0.3">
      <c r="A876" s="127" t="s">
        <v>783</v>
      </c>
      <c r="B876" s="125">
        <f ca="1">((AREAFRAC.w1C+AREAFRAC.s1C*FRACrun.s1C+AREAFRAC.s2C*FRACrun.s2C+AREAFRAC.s3C*FRACrun.s3C)*RAINrate.C*SYSTEMAREA.C)*(1-FRAC.w1C.w1R)</f>
        <v>16064.500311813905</v>
      </c>
      <c r="C876" s="123" t="s">
        <v>1664</v>
      </c>
    </row>
    <row r="877" spans="1:3" ht="15" customHeight="1" x14ac:dyDescent="0.3">
      <c r="A877" s="127" t="s">
        <v>316</v>
      </c>
      <c r="B877" s="125">
        <v>0</v>
      </c>
      <c r="C877" s="126" t="s">
        <v>1664</v>
      </c>
    </row>
    <row r="878" spans="1:3" ht="15" customHeight="1" x14ac:dyDescent="0.3">
      <c r="A878" s="127" t="s">
        <v>110</v>
      </c>
      <c r="B878" s="125" t="e">
        <f ca="1">((AREAFRAC.w1R+AREAFRAC.s1R*FRACrun.s1R+AREAFRACs2R*FRACrun.s2R+AREAFRAC.s3R*FRACrun.s3R)*RAINrate.R*SYSTEMAREA.R+WATERflow.w1C.w1R)*(1-FRAC.w1R.w1C)</f>
        <v>#NAME?</v>
      </c>
      <c r="C878" s="126" t="s">
        <v>1664</v>
      </c>
    </row>
    <row r="879" spans="1:3" ht="15" customHeight="1" x14ac:dyDescent="0.3">
      <c r="A879" s="127" t="s">
        <v>1277</v>
      </c>
      <c r="B879" s="125">
        <f>0</f>
        <v>0</v>
      </c>
      <c r="C879" s="123" t="s">
        <v>1664</v>
      </c>
    </row>
    <row r="880" spans="1:3" ht="15" customHeight="1" x14ac:dyDescent="0.3">
      <c r="A880" s="127" t="s">
        <v>143</v>
      </c>
      <c r="B880" s="125">
        <f ca="1">(VOLUME.w2C/TAU.w2C)-WATERflow.w2R.w2C</f>
        <v>26845678.646562833</v>
      </c>
      <c r="C880" s="123" t="s">
        <v>1664</v>
      </c>
    </row>
    <row r="881" spans="1:3" ht="15" customHeight="1" x14ac:dyDescent="0.3">
      <c r="A881" s="127" t="s">
        <v>2</v>
      </c>
      <c r="B881" s="125">
        <f ca="1">(10-1)*WATERflow.w1R.w2R</f>
        <v>47.893892541235701</v>
      </c>
      <c r="C881" s="123" t="s">
        <v>1664</v>
      </c>
    </row>
    <row r="882" spans="1:3" ht="15" customHeight="1" x14ac:dyDescent="0.3">
      <c r="A882" s="127" t="s">
        <v>1273</v>
      </c>
      <c r="B882" s="125">
        <f>OceanCurrent</f>
        <v>150000000</v>
      </c>
      <c r="C882" s="123" t="s">
        <v>1664</v>
      </c>
    </row>
    <row r="883" spans="1:3" ht="15" customHeight="1" x14ac:dyDescent="0.3">
      <c r="A883" s="127" t="s">
        <v>896</v>
      </c>
      <c r="B883" s="125">
        <f ca="1">WATERflow.w2C.w2M</f>
        <v>26845678.646562833</v>
      </c>
      <c r="C883" s="123" t="s">
        <v>1664</v>
      </c>
    </row>
    <row r="884" spans="1:3" ht="15" customHeight="1" x14ac:dyDescent="0.3">
      <c r="A884" s="127" t="s">
        <v>1274</v>
      </c>
      <c r="B884" s="125">
        <f>0</f>
        <v>0</v>
      </c>
      <c r="C884" s="123" t="s">
        <v>1664</v>
      </c>
    </row>
    <row r="885" spans="1:3" ht="15" customHeight="1" x14ac:dyDescent="0.3">
      <c r="A885" s="127" t="s">
        <v>111</v>
      </c>
      <c r="B885" s="125">
        <f ca="1">WATERflow.w1R.w2R+WATERflow.w2C.w2R</f>
        <v>53.215436156928554</v>
      </c>
      <c r="C885" s="126" t="s">
        <v>1664</v>
      </c>
    </row>
    <row r="886" spans="1:3" ht="15" customHeight="1" x14ac:dyDescent="0.3">
      <c r="A886" s="127" t="s">
        <v>54</v>
      </c>
      <c r="B886" s="125">
        <f>OceanCurrent</f>
        <v>150000000</v>
      </c>
      <c r="C886" s="123" t="s">
        <v>1664</v>
      </c>
    </row>
    <row r="887" spans="1:3" ht="15" customHeight="1" x14ac:dyDescent="0.3">
      <c r="A887" s="124" t="s">
        <v>402</v>
      </c>
      <c r="B887" s="125">
        <v>3</v>
      </c>
      <c r="C887" s="128" t="s">
        <v>1665</v>
      </c>
    </row>
    <row r="888" spans="1:3" ht="15" customHeight="1" x14ac:dyDescent="0.3">
      <c r="A888" s="123" t="s">
        <v>782</v>
      </c>
      <c r="B888" s="130">
        <v>3</v>
      </c>
      <c r="C888" s="123" t="s">
        <v>1517</v>
      </c>
    </row>
    <row r="889" spans="1:3" ht="15" customHeight="1" x14ac:dyDescent="0.3">
      <c r="A889" s="124" t="s">
        <v>559</v>
      </c>
      <c r="B889" s="125">
        <v>3</v>
      </c>
      <c r="C889" s="128" t="s">
        <v>1665</v>
      </c>
    </row>
    <row r="890" spans="1:3" ht="15" customHeight="1" x14ac:dyDescent="0.3">
      <c r="A890" s="123" t="s">
        <v>101</v>
      </c>
      <c r="B890" s="130">
        <v>3</v>
      </c>
      <c r="C890" s="123" t="s">
        <v>1517</v>
      </c>
    </row>
    <row r="891" spans="1:3" ht="15" customHeight="1" x14ac:dyDescent="0.3">
      <c r="A891" s="124" t="s">
        <v>1012</v>
      </c>
      <c r="B891" s="130">
        <v>3</v>
      </c>
      <c r="C891" s="128" t="s">
        <v>1665</v>
      </c>
    </row>
  </sheetData>
  <pageMargins left="0.7" right="0.7" top="0.75" bottom="0.75" header="0.3" footer="0.3"/>
  <pageSetup paperSize="9" scale="7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pageSetUpPr fitToPage="1"/>
  </sheetPr>
  <dimension ref="A1:CN7708"/>
  <sheetViews>
    <sheetView topLeftCell="AQ1" zoomScale="85" zoomScaleNormal="85" workbookViewId="0">
      <selection activeCell="CL45" sqref="CL45"/>
    </sheetView>
  </sheetViews>
  <sheetFormatPr defaultColWidth="9.09765625" defaultRowHeight="12.75" customHeight="1" x14ac:dyDescent="0.3"/>
  <cols>
    <col min="1" max="1" width="2.59765625" style="299" customWidth="1"/>
    <col min="2" max="2" width="25.59765625" style="299" customWidth="1"/>
    <col min="3" max="3" width="7.59765625" style="299" customWidth="1"/>
    <col min="4" max="15" width="7.59765625" style="645" customWidth="1"/>
    <col min="16" max="27" width="9.09765625" style="645" customWidth="1"/>
    <col min="28" max="30" width="3.59765625" style="299" customWidth="1"/>
    <col min="31" max="31" width="21" style="299" customWidth="1"/>
    <col min="32" max="45" width="9.09765625" style="299" customWidth="1"/>
    <col min="46" max="46" width="3.09765625" style="299" customWidth="1"/>
    <col min="47" max="47" width="3.59765625" style="299" customWidth="1"/>
    <col min="48" max="48" width="4" style="299" hidden="1" customWidth="1"/>
    <col min="49" max="49" width="25.8984375" style="299" hidden="1" customWidth="1"/>
    <col min="50" max="65" width="0" style="299" hidden="1" customWidth="1"/>
    <col min="66" max="66" width="3.59765625" style="299" hidden="1" customWidth="1"/>
    <col min="67" max="67" width="0" style="299" hidden="1" customWidth="1"/>
    <col min="68" max="68" width="3.09765625" style="299" customWidth="1"/>
    <col min="69" max="84" width="10.59765625" style="299" customWidth="1"/>
    <col min="85" max="85" width="9.09765625" style="299" customWidth="1"/>
    <col min="86" max="86" width="11.59765625" style="299" customWidth="1"/>
    <col min="87" max="87" width="4.09765625" style="299" customWidth="1"/>
    <col min="88" max="88" width="3.59765625" style="299" customWidth="1"/>
    <col min="89" max="89" width="4.296875" style="663" customWidth="1"/>
    <col min="90" max="16384" width="9.09765625" style="299"/>
  </cols>
  <sheetData>
    <row r="1" spans="1:92" ht="12.75" customHeight="1" x14ac:dyDescent="0.35">
      <c r="A1" s="70"/>
      <c r="B1" s="511" t="s">
        <v>357</v>
      </c>
      <c r="C1" s="512"/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513"/>
      <c r="P1" s="513"/>
      <c r="Q1" s="513"/>
      <c r="R1" s="513"/>
      <c r="S1" s="513"/>
      <c r="T1" s="513"/>
      <c r="U1" s="513"/>
      <c r="V1" s="513"/>
      <c r="W1" s="513"/>
      <c r="X1" s="513"/>
      <c r="Y1" s="513"/>
      <c r="Z1" s="513"/>
      <c r="AA1" s="513"/>
      <c r="AB1" s="70"/>
      <c r="AC1" s="500"/>
      <c r="AD1" s="70"/>
      <c r="AE1" s="512" t="s">
        <v>1650</v>
      </c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514"/>
      <c r="AV1" s="515"/>
      <c r="AW1" s="512" t="s">
        <v>1577</v>
      </c>
      <c r="AX1" s="515"/>
      <c r="AY1" s="515"/>
      <c r="AZ1" s="515"/>
      <c r="BA1" s="515"/>
      <c r="BB1" s="515"/>
      <c r="BC1" s="515"/>
      <c r="BD1" s="515"/>
      <c r="BE1" s="515"/>
      <c r="BF1" s="515"/>
      <c r="BG1" s="515"/>
      <c r="BH1" s="515"/>
      <c r="BI1" s="515"/>
      <c r="BJ1" s="515"/>
      <c r="BK1" s="515"/>
      <c r="BL1" s="515"/>
      <c r="BM1" s="515"/>
      <c r="BN1" s="515"/>
      <c r="BO1" s="516"/>
      <c r="BP1" s="515"/>
      <c r="BQ1" s="512" t="s">
        <v>1757</v>
      </c>
      <c r="BR1" s="515"/>
      <c r="BS1" s="515"/>
      <c r="BT1" s="515"/>
      <c r="BU1" s="515"/>
      <c r="BV1" s="517" t="s">
        <v>1245</v>
      </c>
      <c r="BW1" s="513" t="str">
        <f>CONCATENATE(version!$B$2,", ",version!$B$3)</f>
        <v>SimpleBoxTreat, vs 4DIRECT</v>
      </c>
      <c r="BX1" s="515"/>
      <c r="BY1" s="515"/>
      <c r="BZ1" s="515"/>
      <c r="CA1" s="515"/>
      <c r="CB1" s="515"/>
      <c r="CC1" s="515"/>
      <c r="CD1" s="515"/>
      <c r="CE1" s="515"/>
      <c r="CF1" s="515"/>
      <c r="CG1" s="515"/>
      <c r="CH1" s="515"/>
      <c r="CI1" s="515"/>
      <c r="CJ1" s="500"/>
      <c r="CK1" s="503"/>
    </row>
    <row r="2" spans="1:92" ht="12.75" customHeight="1" x14ac:dyDescent="0.3">
      <c r="A2" s="70"/>
      <c r="B2" s="70"/>
      <c r="C2" s="70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70"/>
      <c r="AC2" s="50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514"/>
      <c r="AV2" s="515"/>
      <c r="AW2" s="515"/>
      <c r="AX2" s="515"/>
      <c r="AY2" s="515"/>
      <c r="AZ2" s="515"/>
      <c r="BA2" s="515"/>
      <c r="BB2" s="515"/>
      <c r="BC2" s="515"/>
      <c r="BD2" s="515"/>
      <c r="BE2" s="515"/>
      <c r="BF2" s="515"/>
      <c r="BG2" s="515"/>
      <c r="BH2" s="515"/>
      <c r="BI2" s="515"/>
      <c r="BJ2" s="515"/>
      <c r="BK2" s="515"/>
      <c r="BL2" s="515"/>
      <c r="BM2" s="515"/>
      <c r="BN2" s="515"/>
      <c r="BO2" s="516"/>
      <c r="BP2" s="515"/>
      <c r="BQ2" s="518" t="s">
        <v>1372</v>
      </c>
      <c r="BR2" s="515"/>
      <c r="BS2" s="515"/>
      <c r="BT2" s="515"/>
      <c r="BU2" s="515"/>
      <c r="BV2" s="517" t="s">
        <v>1355</v>
      </c>
      <c r="BW2" s="515" t="str">
        <f>ChemName</f>
        <v>As(III)</v>
      </c>
      <c r="BX2" s="515"/>
      <c r="BY2" s="517" t="s">
        <v>804</v>
      </c>
      <c r="BZ2" s="513" t="str">
        <f>ScenarioName</f>
        <v>default scenario</v>
      </c>
      <c r="CA2" s="515"/>
      <c r="CB2" s="517" t="s">
        <v>1207</v>
      </c>
      <c r="CC2" s="513" t="str">
        <f>CaseName</f>
        <v>defaults only</v>
      </c>
      <c r="CD2" s="515"/>
      <c r="CE2" s="515"/>
      <c r="CF2" s="515"/>
      <c r="CG2" s="515"/>
      <c r="CH2" s="515"/>
      <c r="CI2" s="515"/>
      <c r="CJ2" s="500"/>
      <c r="CK2" s="503"/>
    </row>
    <row r="3" spans="1:92" ht="12.75" customHeight="1" x14ac:dyDescent="0.3">
      <c r="A3" s="70"/>
      <c r="B3" s="519" t="s">
        <v>1245</v>
      </c>
      <c r="C3" s="513" t="str">
        <f>CONCATENATE(version!$B$2,", ",version!$B$3)</f>
        <v>SimpleBoxTreat, vs 4DIRECT</v>
      </c>
      <c r="D3" s="513"/>
      <c r="E3" s="513"/>
      <c r="F3" s="513"/>
      <c r="G3" s="513"/>
      <c r="H3" s="513"/>
      <c r="I3" s="519"/>
      <c r="J3" s="519"/>
      <c r="K3" s="519"/>
      <c r="L3" s="519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  <c r="Z3" s="513"/>
      <c r="AA3" s="513"/>
      <c r="AB3" s="70"/>
      <c r="AC3" s="500"/>
      <c r="AD3" s="70"/>
      <c r="AE3" s="519" t="s">
        <v>1245</v>
      </c>
      <c r="AF3" s="513" t="str">
        <f>CONCATENATE(version!$B$2,", ",version!$B$3)</f>
        <v>SimpleBoxTreat, vs 4DIRECT</v>
      </c>
      <c r="AG3" s="513"/>
      <c r="AH3" s="513"/>
      <c r="AI3" s="513"/>
      <c r="AJ3" s="519"/>
      <c r="AK3" s="519"/>
      <c r="AL3" s="519"/>
      <c r="AM3" s="519"/>
      <c r="AN3" s="513"/>
      <c r="AO3" s="520"/>
      <c r="AP3" s="521"/>
      <c r="AQ3" s="70"/>
      <c r="AR3" s="70"/>
      <c r="AS3" s="70"/>
      <c r="AT3" s="70"/>
      <c r="AU3" s="514"/>
      <c r="AV3" s="515"/>
      <c r="AW3" s="519" t="s">
        <v>1245</v>
      </c>
      <c r="AX3" s="522" t="s">
        <v>1576</v>
      </c>
      <c r="AY3" s="522"/>
      <c r="AZ3" s="522"/>
      <c r="BA3" s="522"/>
      <c r="BB3" s="519"/>
      <c r="BC3" s="519"/>
      <c r="BD3" s="519"/>
      <c r="BE3" s="519"/>
      <c r="BF3" s="522"/>
      <c r="BG3" s="523"/>
      <c r="BH3" s="524"/>
      <c r="BI3" s="515"/>
      <c r="BJ3" s="515"/>
      <c r="BK3" s="515"/>
      <c r="BL3" s="515"/>
      <c r="BM3" s="515"/>
      <c r="BN3" s="515"/>
      <c r="BO3" s="516"/>
      <c r="BP3" s="515"/>
      <c r="BQ3" s="515"/>
      <c r="BR3" s="515"/>
      <c r="BS3" s="515"/>
      <c r="BT3" s="515"/>
      <c r="BU3" s="515"/>
      <c r="BV3" s="515"/>
      <c r="BW3" s="515"/>
      <c r="BX3" s="515"/>
      <c r="BY3" s="515"/>
      <c r="BZ3" s="515"/>
      <c r="CA3" s="515"/>
      <c r="CB3" s="515"/>
      <c r="CC3" s="515"/>
      <c r="CD3" s="515"/>
      <c r="CE3" s="515"/>
      <c r="CF3" s="515"/>
      <c r="CG3" s="515"/>
      <c r="CH3" s="515"/>
      <c r="CI3" s="515"/>
      <c r="CJ3" s="500"/>
      <c r="CK3" s="525"/>
    </row>
    <row r="4" spans="1:92" ht="12.75" customHeight="1" x14ac:dyDescent="0.3">
      <c r="A4" s="70"/>
      <c r="B4" s="519" t="s">
        <v>1355</v>
      </c>
      <c r="C4" s="513" t="str">
        <f>ChemName</f>
        <v>As(III)</v>
      </c>
      <c r="D4" s="513"/>
      <c r="E4" s="513"/>
      <c r="F4" s="513"/>
      <c r="G4" s="513"/>
      <c r="H4" s="513"/>
      <c r="I4" s="519"/>
      <c r="J4" s="519"/>
      <c r="K4" s="519"/>
      <c r="L4" s="519"/>
      <c r="M4" s="513"/>
      <c r="N4" s="513"/>
      <c r="O4" s="513"/>
      <c r="P4" s="513"/>
      <c r="Q4" s="513"/>
      <c r="R4" s="513"/>
      <c r="S4" s="513"/>
      <c r="T4" s="513"/>
      <c r="U4" s="513"/>
      <c r="V4" s="513"/>
      <c r="W4" s="513"/>
      <c r="X4" s="513"/>
      <c r="Y4" s="513"/>
      <c r="Z4" s="513"/>
      <c r="AA4" s="513"/>
      <c r="AB4" s="70"/>
      <c r="AC4" s="500"/>
      <c r="AD4" s="70"/>
      <c r="AE4" s="519" t="s">
        <v>1355</v>
      </c>
      <c r="AF4" s="513" t="str">
        <f>ChemName</f>
        <v>As(III)</v>
      </c>
      <c r="AG4" s="513"/>
      <c r="AH4" s="513"/>
      <c r="AI4" s="513"/>
      <c r="AJ4" s="519"/>
      <c r="AK4" s="519"/>
      <c r="AL4" s="519"/>
      <c r="AM4" s="519"/>
      <c r="AN4" s="513"/>
      <c r="AO4" s="520"/>
      <c r="AP4" s="521"/>
      <c r="AQ4" s="70"/>
      <c r="AR4" s="70"/>
      <c r="AS4" s="70"/>
      <c r="AT4" s="70"/>
      <c r="AU4" s="514"/>
      <c r="AV4" s="515"/>
      <c r="AW4" s="519" t="s">
        <v>1355</v>
      </c>
      <c r="AX4" s="522" t="s">
        <v>1575</v>
      </c>
      <c r="AY4" s="522"/>
      <c r="AZ4" s="522"/>
      <c r="BA4" s="522"/>
      <c r="BB4" s="519"/>
      <c r="BC4" s="519"/>
      <c r="BD4" s="519"/>
      <c r="BE4" s="519"/>
      <c r="BF4" s="522"/>
      <c r="BG4" s="523"/>
      <c r="BH4" s="524"/>
      <c r="BI4" s="515"/>
      <c r="BJ4" s="515"/>
      <c r="BK4" s="515"/>
      <c r="BL4" s="515"/>
      <c r="BM4" s="515"/>
      <c r="BN4" s="515"/>
      <c r="BO4" s="516"/>
      <c r="BP4" s="515"/>
      <c r="BQ4" s="515"/>
      <c r="BR4" s="515"/>
      <c r="BS4" s="515"/>
      <c r="BT4" s="515"/>
      <c r="BU4" s="515"/>
      <c r="BV4" s="515"/>
      <c r="BW4" s="515"/>
      <c r="BX4" s="515"/>
      <c r="BY4" s="515"/>
      <c r="BZ4" s="515"/>
      <c r="CA4" s="515"/>
      <c r="CB4" s="515"/>
      <c r="CC4" s="515"/>
      <c r="CD4" s="515"/>
      <c r="CE4" s="515"/>
      <c r="CF4" s="515"/>
      <c r="CG4" s="515"/>
      <c r="CH4" s="515"/>
      <c r="CI4" s="515"/>
      <c r="CJ4" s="500"/>
      <c r="CK4" s="503"/>
    </row>
    <row r="5" spans="1:92" ht="12.75" customHeight="1" x14ac:dyDescent="0.35">
      <c r="A5" s="70"/>
      <c r="B5" s="519" t="s">
        <v>804</v>
      </c>
      <c r="C5" s="513" t="str">
        <f>ScenarioName</f>
        <v>default scenario</v>
      </c>
      <c r="D5" s="513"/>
      <c r="E5" s="513"/>
      <c r="F5" s="513"/>
      <c r="G5" s="513"/>
      <c r="H5" s="513"/>
      <c r="I5" s="519"/>
      <c r="J5" s="519"/>
      <c r="K5" s="519"/>
      <c r="L5" s="519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70"/>
      <c r="AC5" s="500"/>
      <c r="AD5" s="70"/>
      <c r="AE5" s="519" t="s">
        <v>804</v>
      </c>
      <c r="AF5" s="513" t="str">
        <f>ScenarioName</f>
        <v>default scenario</v>
      </c>
      <c r="AG5" s="513"/>
      <c r="AH5" s="513"/>
      <c r="AI5" s="513"/>
      <c r="AJ5" s="519"/>
      <c r="AK5" s="519"/>
      <c r="AL5" s="519"/>
      <c r="AM5" s="519"/>
      <c r="AN5" s="513"/>
      <c r="AO5" s="520"/>
      <c r="AP5" s="521"/>
      <c r="AQ5" s="70"/>
      <c r="AR5" s="70"/>
      <c r="AS5" s="70"/>
      <c r="AT5" s="70"/>
      <c r="AU5" s="514"/>
      <c r="AV5" s="515"/>
      <c r="AW5" s="519" t="s">
        <v>804</v>
      </c>
      <c r="AX5" s="522" t="s">
        <v>1202</v>
      </c>
      <c r="AY5" s="522"/>
      <c r="AZ5" s="522"/>
      <c r="BA5" s="522"/>
      <c r="BB5" s="519"/>
      <c r="BC5" s="519"/>
      <c r="BD5" s="519"/>
      <c r="BE5" s="519"/>
      <c r="BF5" s="522"/>
      <c r="BG5" s="523"/>
      <c r="BH5" s="524"/>
      <c r="BI5" s="515"/>
      <c r="BJ5" s="515"/>
      <c r="BK5" s="515"/>
      <c r="BL5" s="515"/>
      <c r="BM5" s="515"/>
      <c r="BN5" s="515"/>
      <c r="BO5" s="516"/>
      <c r="BP5" s="515"/>
      <c r="BQ5" s="515"/>
      <c r="BR5" s="515"/>
      <c r="BS5" s="515"/>
      <c r="BT5" s="515"/>
      <c r="BU5" s="526"/>
      <c r="BV5" s="515"/>
      <c r="BW5" s="515"/>
      <c r="BX5" s="515"/>
      <c r="BY5" s="515"/>
      <c r="BZ5" s="515"/>
      <c r="CA5" s="515"/>
      <c r="CB5" s="515"/>
      <c r="CC5" s="515"/>
      <c r="CD5" s="515"/>
      <c r="CE5" s="515"/>
      <c r="CF5" s="515"/>
      <c r="CG5" s="515"/>
      <c r="CH5" s="515"/>
      <c r="CI5" s="515"/>
      <c r="CJ5" s="500"/>
      <c r="CK5" s="503"/>
    </row>
    <row r="6" spans="1:92" ht="12.75" customHeight="1" x14ac:dyDescent="0.35">
      <c r="A6" s="70"/>
      <c r="B6" s="519" t="s">
        <v>1207</v>
      </c>
      <c r="C6" s="513" t="str">
        <f>CaseName</f>
        <v>defaults only</v>
      </c>
      <c r="D6" s="513"/>
      <c r="E6" s="513"/>
      <c r="F6" s="513"/>
      <c r="G6" s="513"/>
      <c r="H6" s="513"/>
      <c r="I6" s="519"/>
      <c r="J6" s="519"/>
      <c r="K6" s="519"/>
      <c r="L6" s="519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13"/>
      <c r="X6" s="513"/>
      <c r="Y6" s="513"/>
      <c r="Z6" s="513"/>
      <c r="AA6" s="513"/>
      <c r="AB6" s="70"/>
      <c r="AC6" s="500"/>
      <c r="AD6" s="70"/>
      <c r="AE6" s="519" t="s">
        <v>1207</v>
      </c>
      <c r="AF6" s="513" t="str">
        <f>CaseName</f>
        <v>defaults only</v>
      </c>
      <c r="AG6" s="513"/>
      <c r="AH6" s="513"/>
      <c r="AI6" s="513"/>
      <c r="AJ6" s="519"/>
      <c r="AK6" s="519"/>
      <c r="AL6" s="519"/>
      <c r="AM6" s="519"/>
      <c r="AN6" s="513"/>
      <c r="AO6" s="520"/>
      <c r="AP6" s="521"/>
      <c r="AQ6" s="70"/>
      <c r="AR6" s="70"/>
      <c r="AS6" s="70"/>
      <c r="AT6" s="70"/>
      <c r="AU6" s="514"/>
      <c r="AV6" s="515"/>
      <c r="AW6" s="519" t="s">
        <v>1207</v>
      </c>
      <c r="AX6" s="522" t="s">
        <v>1209</v>
      </c>
      <c r="AY6" s="522"/>
      <c r="AZ6" s="522"/>
      <c r="BA6" s="522"/>
      <c r="BB6" s="519"/>
      <c r="BC6" s="519"/>
      <c r="BD6" s="519"/>
      <c r="BE6" s="519"/>
      <c r="BF6" s="522"/>
      <c r="BG6" s="523"/>
      <c r="BH6" s="524"/>
      <c r="BI6" s="515"/>
      <c r="BJ6" s="515"/>
      <c r="BK6" s="515"/>
      <c r="BL6" s="515"/>
      <c r="BM6" s="515"/>
      <c r="BN6" s="515"/>
      <c r="BO6" s="516"/>
      <c r="BP6" s="515"/>
      <c r="BQ6" s="515"/>
      <c r="BR6" s="515"/>
      <c r="BS6" s="515"/>
      <c r="BT6" s="515"/>
      <c r="BU6" s="526"/>
      <c r="BV6" s="515"/>
      <c r="BW6" s="515"/>
      <c r="BX6" s="515"/>
      <c r="BY6" s="515"/>
      <c r="BZ6" s="515"/>
      <c r="CA6" s="515"/>
      <c r="CB6" s="515"/>
      <c r="CC6" s="515"/>
      <c r="CD6" s="515"/>
      <c r="CE6" s="515"/>
      <c r="CF6" s="515"/>
      <c r="CG6" s="515"/>
      <c r="CH6" s="515"/>
      <c r="CI6" s="515"/>
      <c r="CJ6" s="500"/>
      <c r="CK6" s="503"/>
    </row>
    <row r="7" spans="1:92" ht="12.75" customHeight="1" thickBot="1" x14ac:dyDescent="0.35">
      <c r="A7" s="70"/>
      <c r="B7" s="70"/>
      <c r="C7" s="70"/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3"/>
      <c r="P7" s="513"/>
      <c r="Q7" s="513"/>
      <c r="R7" s="513"/>
      <c r="S7" s="513"/>
      <c r="T7" s="513"/>
      <c r="U7" s="513"/>
      <c r="V7" s="513"/>
      <c r="W7" s="513"/>
      <c r="X7" s="513"/>
      <c r="Y7" s="513"/>
      <c r="Z7" s="513"/>
      <c r="AA7" s="513"/>
      <c r="AB7" s="70"/>
      <c r="AC7" s="50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514"/>
      <c r="AV7" s="515"/>
      <c r="AW7" s="515"/>
      <c r="AX7" s="515"/>
      <c r="AY7" s="515"/>
      <c r="AZ7" s="515"/>
      <c r="BA7" s="515"/>
      <c r="BB7" s="515"/>
      <c r="BC7" s="515"/>
      <c r="BD7" s="515"/>
      <c r="BE7" s="515"/>
      <c r="BF7" s="515"/>
      <c r="BG7" s="515"/>
      <c r="BH7" s="515"/>
      <c r="BI7" s="515"/>
      <c r="BJ7" s="515"/>
      <c r="BK7" s="515"/>
      <c r="BL7" s="515"/>
      <c r="BM7" s="515"/>
      <c r="BN7" s="515"/>
      <c r="BO7" s="516"/>
      <c r="BP7" s="515"/>
      <c r="BQ7" s="515"/>
      <c r="BR7" s="515"/>
      <c r="BS7" s="515"/>
      <c r="BT7" s="515"/>
      <c r="BU7" s="515"/>
      <c r="BV7" s="527">
        <f ca="1">AK11</f>
        <v>2.5240932049095825E-33</v>
      </c>
      <c r="BW7" s="515"/>
      <c r="BX7" s="528">
        <f ca="1">AJ11</f>
        <v>3.8929194812432683E-13</v>
      </c>
      <c r="BY7" s="515"/>
      <c r="BZ7" s="515"/>
      <c r="CA7" s="515"/>
      <c r="CB7" s="515"/>
      <c r="CC7" s="515"/>
      <c r="CD7" s="515"/>
      <c r="CE7" s="515"/>
      <c r="CF7" s="515"/>
      <c r="CG7" s="515"/>
      <c r="CH7" s="515"/>
      <c r="CI7" s="515"/>
      <c r="CJ7" s="500"/>
      <c r="CK7" s="503"/>
    </row>
    <row r="8" spans="1:92" ht="12.75" customHeight="1" x14ac:dyDescent="0.35">
      <c r="A8" s="70"/>
      <c r="B8" s="529"/>
      <c r="C8" s="530" t="s">
        <v>1765</v>
      </c>
      <c r="D8" s="531"/>
      <c r="E8" s="530"/>
      <c r="F8" s="531"/>
      <c r="G8" s="531"/>
      <c r="H8" s="531"/>
      <c r="I8" s="531"/>
      <c r="J8" s="531"/>
      <c r="K8" s="531"/>
      <c r="L8" s="531"/>
      <c r="M8" s="531"/>
      <c r="N8" s="532"/>
      <c r="O8" s="530" t="s">
        <v>768</v>
      </c>
      <c r="P8" s="530"/>
      <c r="Q8" s="531"/>
      <c r="R8" s="531"/>
      <c r="S8" s="531"/>
      <c r="T8" s="531"/>
      <c r="U8" s="532"/>
      <c r="V8" s="530" t="s">
        <v>1232</v>
      </c>
      <c r="W8" s="530"/>
      <c r="X8" s="531"/>
      <c r="Y8" s="531"/>
      <c r="Z8" s="531"/>
      <c r="AA8" s="532"/>
      <c r="AB8" s="70"/>
      <c r="AC8" s="500"/>
      <c r="AD8" s="70"/>
      <c r="AE8" s="533"/>
      <c r="AF8" s="534"/>
      <c r="AG8" s="535" t="s">
        <v>502</v>
      </c>
      <c r="AH8" s="536" t="s">
        <v>995</v>
      </c>
      <c r="AI8" s="536" t="s">
        <v>996</v>
      </c>
      <c r="AJ8" s="536" t="s">
        <v>1230</v>
      </c>
      <c r="AK8" s="537" t="s">
        <v>1750</v>
      </c>
      <c r="AL8" s="536" t="s">
        <v>352</v>
      </c>
      <c r="AM8" s="536" t="s">
        <v>353</v>
      </c>
      <c r="AN8" s="536" t="s">
        <v>355</v>
      </c>
      <c r="AO8" s="536" t="s">
        <v>356</v>
      </c>
      <c r="AP8" s="536" t="s">
        <v>354</v>
      </c>
      <c r="AQ8" s="536" t="s">
        <v>362</v>
      </c>
      <c r="AR8" s="537" t="s">
        <v>363</v>
      </c>
      <c r="AS8" s="535" t="s">
        <v>365</v>
      </c>
      <c r="AT8" s="70"/>
      <c r="AU8" s="514"/>
      <c r="AV8" s="515"/>
      <c r="AW8" s="538"/>
      <c r="AX8" s="539" t="s">
        <v>1307</v>
      </c>
      <c r="AY8" s="539" t="s">
        <v>1308</v>
      </c>
      <c r="AZ8" s="539" t="s">
        <v>1309</v>
      </c>
      <c r="BA8" s="539" t="s">
        <v>1310</v>
      </c>
      <c r="BB8" s="539" t="s">
        <v>1311</v>
      </c>
      <c r="BC8" s="539" t="s">
        <v>1312</v>
      </c>
      <c r="BD8" s="539" t="s">
        <v>1313</v>
      </c>
      <c r="BE8" s="540" t="s">
        <v>1314</v>
      </c>
      <c r="BF8" s="541" t="s">
        <v>511</v>
      </c>
      <c r="BG8" s="539" t="s">
        <v>1315</v>
      </c>
      <c r="BH8" s="539" t="s">
        <v>1316</v>
      </c>
      <c r="BI8" s="539" t="s">
        <v>1317</v>
      </c>
      <c r="BJ8" s="539" t="s">
        <v>1318</v>
      </c>
      <c r="BK8" s="539" t="s">
        <v>1319</v>
      </c>
      <c r="BL8" s="539" t="s">
        <v>1320</v>
      </c>
      <c r="BM8" s="540" t="s">
        <v>510</v>
      </c>
      <c r="BN8" s="515"/>
      <c r="BO8" s="516"/>
      <c r="BP8" s="515"/>
      <c r="BQ8" s="542">
        <f ca="1">AH11</f>
        <v>5.3294225386431632E-10</v>
      </c>
      <c r="BR8" s="543"/>
      <c r="BS8" s="515"/>
      <c r="BT8" s="515"/>
      <c r="BU8" s="515"/>
      <c r="BV8" s="515"/>
      <c r="BW8" s="515"/>
      <c r="BX8" s="515"/>
      <c r="BY8" s="515"/>
      <c r="BZ8" s="515"/>
      <c r="CA8" s="515"/>
      <c r="CB8" s="515"/>
      <c r="CC8" s="515"/>
      <c r="CD8" s="515"/>
      <c r="CE8" s="515"/>
      <c r="CF8" s="515"/>
      <c r="CG8" s="515"/>
      <c r="CH8" s="515"/>
      <c r="CI8" s="515"/>
      <c r="CJ8" s="500"/>
      <c r="CK8" s="503"/>
      <c r="CN8" s="667"/>
    </row>
    <row r="9" spans="1:92" ht="12.75" customHeight="1" thickBot="1" x14ac:dyDescent="0.35">
      <c r="A9" s="70"/>
      <c r="B9" s="545"/>
      <c r="C9" s="546" t="s">
        <v>2453</v>
      </c>
      <c r="D9" s="547"/>
      <c r="E9" s="548" t="s">
        <v>1764</v>
      </c>
      <c r="F9" s="547"/>
      <c r="G9" s="548" t="s">
        <v>1766</v>
      </c>
      <c r="H9" s="547"/>
      <c r="I9" s="548" t="s">
        <v>1767</v>
      </c>
      <c r="J9" s="547"/>
      <c r="K9" s="548" t="s">
        <v>1768</v>
      </c>
      <c r="L9" s="547"/>
      <c r="M9" s="548" t="s">
        <v>1769</v>
      </c>
      <c r="N9" s="549"/>
      <c r="O9" s="546" t="s">
        <v>2454</v>
      </c>
      <c r="P9" s="548" t="s">
        <v>1780</v>
      </c>
      <c r="Q9" s="548" t="s">
        <v>1781</v>
      </c>
      <c r="R9" s="548" t="s">
        <v>1782</v>
      </c>
      <c r="S9" s="548" t="s">
        <v>1783</v>
      </c>
      <c r="T9" s="548" t="s">
        <v>1784</v>
      </c>
      <c r="U9" s="550"/>
      <c r="V9" s="546" t="s">
        <v>2454</v>
      </c>
      <c r="W9" s="548" t="s">
        <v>1780</v>
      </c>
      <c r="X9" s="519" t="s">
        <v>1781</v>
      </c>
      <c r="Y9" s="519" t="s">
        <v>1782</v>
      </c>
      <c r="Z9" s="519" t="s">
        <v>1783</v>
      </c>
      <c r="AA9" s="550" t="s">
        <v>1784</v>
      </c>
      <c r="AB9" s="70"/>
      <c r="AC9" s="500"/>
      <c r="AD9" s="70"/>
      <c r="AE9" s="551"/>
      <c r="AF9" s="552"/>
      <c r="AG9" s="553"/>
      <c r="AH9" s="554"/>
      <c r="AI9" s="554"/>
      <c r="AJ9" s="554"/>
      <c r="AK9" s="555" t="s">
        <v>1749</v>
      </c>
      <c r="AL9" s="554" t="s">
        <v>361</v>
      </c>
      <c r="AM9" s="554" t="s">
        <v>361</v>
      </c>
      <c r="AN9" s="554" t="s">
        <v>361</v>
      </c>
      <c r="AO9" s="554" t="s">
        <v>361</v>
      </c>
      <c r="AP9" s="554" t="s">
        <v>361</v>
      </c>
      <c r="AQ9" s="554" t="s">
        <v>361</v>
      </c>
      <c r="AR9" s="555" t="s">
        <v>361</v>
      </c>
      <c r="AS9" s="553" t="s">
        <v>364</v>
      </c>
      <c r="AT9" s="70"/>
      <c r="AU9" s="514"/>
      <c r="AV9" s="515"/>
      <c r="AW9" s="556"/>
      <c r="AX9" s="557"/>
      <c r="AY9" s="557"/>
      <c r="AZ9" s="557"/>
      <c r="BA9" s="557"/>
      <c r="BB9" s="557"/>
      <c r="BC9" s="557"/>
      <c r="BD9" s="557"/>
      <c r="BE9" s="558"/>
      <c r="BF9" s="559"/>
      <c r="BG9" s="557"/>
      <c r="BH9" s="557"/>
      <c r="BI9" s="557"/>
      <c r="BJ9" s="557"/>
      <c r="BK9" s="557"/>
      <c r="BL9" s="557"/>
      <c r="BM9" s="558"/>
      <c r="BN9" s="515"/>
      <c r="BO9" s="516"/>
      <c r="BP9" s="515"/>
      <c r="BQ9" s="560"/>
      <c r="BR9" s="543"/>
      <c r="BS9" s="561">
        <f ca="1">AI11</f>
        <v>3.0451359858916313E-7</v>
      </c>
      <c r="BT9" s="515"/>
      <c r="BU9" s="515"/>
      <c r="BV9" s="515"/>
      <c r="BW9" s="519" t="s">
        <v>442</v>
      </c>
      <c r="BX9" s="515"/>
      <c r="BY9" s="515"/>
      <c r="BZ9" s="515"/>
      <c r="CA9" s="70"/>
      <c r="CB9" s="515"/>
      <c r="CC9" s="515"/>
      <c r="CD9" s="515"/>
      <c r="CE9" s="515"/>
      <c r="CF9" s="515"/>
      <c r="CG9" s="515"/>
      <c r="CH9" s="515"/>
      <c r="CI9" s="515"/>
      <c r="CJ9" s="500"/>
      <c r="CK9" s="503"/>
    </row>
    <row r="10" spans="1:92" ht="12.75" customHeight="1" x14ac:dyDescent="0.3">
      <c r="A10" s="70"/>
      <c r="B10" s="563" t="s">
        <v>442</v>
      </c>
      <c r="C10" s="564">
        <f ca="1">C.aL*VOLUME.aL*Molweight</f>
        <v>1.9210211963784611E-7</v>
      </c>
      <c r="D10" s="565">
        <f ca="1">C10/$C$50</f>
        <v>1.8150976528913001E-11</v>
      </c>
      <c r="E10" s="566">
        <f ca="1">C.aR*VOLUME.aR*Molweight</f>
        <v>1.0626929939581899E-3</v>
      </c>
      <c r="F10" s="567">
        <f ca="1">E10/$E$50</f>
        <v>1.1752018281876757E-7</v>
      </c>
      <c r="G10" s="566">
        <f ca="1">C.aC*VOLUME.aC*Molweight</f>
        <v>2.1119651738079552E-2</v>
      </c>
      <c r="H10" s="567">
        <f ca="1">G10/$G$50</f>
        <v>2.8784863442970865E-7</v>
      </c>
      <c r="I10" s="566">
        <f ca="1">C.aM*VOLUME.aM*Molweight</f>
        <v>6.1429255263080202E-3</v>
      </c>
      <c r="J10" s="567">
        <f ca="1">I10/$I$50</f>
        <v>1.322801551131597E-9</v>
      </c>
      <c r="K10" s="566">
        <f ca="1">C.aA*VOLUME.aA*Molweight</f>
        <v>2.0649649033109923E-4</v>
      </c>
      <c r="L10" s="567">
        <f ca="1">K10/$K$50</f>
        <v>6.6280317687313481E-11</v>
      </c>
      <c r="M10" s="566">
        <f ca="1">C.aT*VOLUME.aT*Molweight</f>
        <v>3.6470501524425377E-4</v>
      </c>
      <c r="N10" s="568">
        <f ca="1">M10/$M$50</f>
        <v>3.1427046257249089E-11</v>
      </c>
      <c r="O10" s="569">
        <f ca="1">C.aL*(Molweight*1000)</f>
        <v>1.8702783112784336E-14</v>
      </c>
      <c r="P10" s="513">
        <f ca="1">C.aR*(Molweight*1000)</f>
        <v>8.8858889121483004E-12</v>
      </c>
      <c r="Q10" s="513">
        <f ca="1">C.aC*(Molweight*1000)</f>
        <v>9.9036763434455724E-15</v>
      </c>
      <c r="R10" s="513">
        <f ca="1">C.aM*(Molweight*1000)</f>
        <v>8.0264542049604949E-17</v>
      </c>
      <c r="S10" s="513">
        <f ca="1">C.aA*(Molweight*1000)</f>
        <v>4.8587409489670406E-18</v>
      </c>
      <c r="T10" s="567">
        <f ca="1">C.aT*(Molweight*1000)</f>
        <v>2.8604314921117941E-18</v>
      </c>
      <c r="U10" s="568" t="s">
        <v>1520</v>
      </c>
      <c r="V10" s="567"/>
      <c r="W10" s="567">
        <f ca="1">F.aR</f>
        <v>2.9497461636133389E-10</v>
      </c>
      <c r="X10" s="567">
        <f ca="1">F.aC</f>
        <v>3.1002835519480517E-13</v>
      </c>
      <c r="Y10" s="567">
        <f ca="1">F.aM</f>
        <v>2.5384672743390218E-15</v>
      </c>
      <c r="Z10" s="567">
        <f ca="1">F.aA</f>
        <v>1.4180203708508962E-16</v>
      </c>
      <c r="AA10" s="568">
        <f ca="1">F.aT</f>
        <v>9.459121231760136E-17</v>
      </c>
      <c r="AB10" s="70"/>
      <c r="AC10" s="500"/>
      <c r="AD10" s="70"/>
      <c r="AE10" s="570" t="s">
        <v>360</v>
      </c>
      <c r="AF10" s="571"/>
      <c r="AG10" s="572"/>
      <c r="AH10" s="573"/>
      <c r="AI10" s="573"/>
      <c r="AJ10" s="573"/>
      <c r="AK10" s="574"/>
      <c r="AL10" s="513"/>
      <c r="AM10" s="513"/>
      <c r="AN10" s="513"/>
      <c r="AO10" s="513"/>
      <c r="AP10" s="513"/>
      <c r="AQ10" s="513"/>
      <c r="AR10" s="575"/>
      <c r="AS10" s="576"/>
      <c r="AT10" s="70"/>
      <c r="AU10" s="514"/>
      <c r="AV10" s="515"/>
      <c r="AW10" s="538" t="s">
        <v>502</v>
      </c>
      <c r="BN10" s="515"/>
      <c r="BO10" s="516"/>
      <c r="BP10" s="515"/>
      <c r="BQ10" s="577">
        <f>AG11</f>
        <v>3.1709791983764589E-7</v>
      </c>
      <c r="BR10" s="515"/>
      <c r="BS10" s="515"/>
      <c r="BT10" s="515"/>
      <c r="BU10" s="515"/>
      <c r="BV10" s="515"/>
      <c r="BW10" s="578">
        <f ca="1">IF(ISERROR(F10),0,F10)</f>
        <v>1.1752018281876757E-7</v>
      </c>
      <c r="BX10" s="515"/>
      <c r="BY10" s="515"/>
      <c r="BZ10" s="515"/>
      <c r="CA10" s="70"/>
      <c r="CB10" s="515"/>
      <c r="CC10" s="515"/>
      <c r="CD10" s="515"/>
      <c r="CE10" s="515"/>
      <c r="CF10" s="515"/>
      <c r="CG10" s="515"/>
      <c r="CH10" s="515"/>
      <c r="CI10" s="515"/>
      <c r="CJ10" s="500"/>
      <c r="CK10" s="503"/>
    </row>
    <row r="11" spans="1:92" ht="12.75" customHeight="1" thickBot="1" x14ac:dyDescent="0.35">
      <c r="A11" s="70"/>
      <c r="B11" s="579" t="s">
        <v>708</v>
      </c>
      <c r="C11" s="580">
        <f ca="1">FRgas.aL*C10</f>
        <v>1.8556004816805366E-17</v>
      </c>
      <c r="D11" s="569">
        <f ca="1">C11/$C$50</f>
        <v>1.7532841830958943E-21</v>
      </c>
      <c r="E11" s="581">
        <f ca="1">FRgas.aR*E10</f>
        <v>2.5007290016264966E-13</v>
      </c>
      <c r="F11" s="513">
        <f ca="1">E11/$E$50</f>
        <v>2.7654847742687057E-17</v>
      </c>
      <c r="G11" s="581">
        <f ca="1">FRgas.aC*G10</f>
        <v>1.4417542292027757E-12</v>
      </c>
      <c r="H11" s="513">
        <f ca="1">G11/$G$50</f>
        <v>1.965027601809373E-17</v>
      </c>
      <c r="I11" s="581">
        <f ca="1">FRgas.aM*I10</f>
        <v>5.5337092290369524E-13</v>
      </c>
      <c r="J11" s="513">
        <f ca="1">I11/$I$50</f>
        <v>1.1916145035996768E-19</v>
      </c>
      <c r="K11" s="581">
        <f ca="1">FRgas.aA*K10</f>
        <v>1.8601748131491941E-14</v>
      </c>
      <c r="L11" s="513">
        <f ca="1">K11/$K$50</f>
        <v>5.9707057186191383E-21</v>
      </c>
      <c r="M11" s="581">
        <f ca="1">FRgas.aT*M10</f>
        <v>8.1407144836179673E-14</v>
      </c>
      <c r="N11" s="575">
        <f ca="1">M11/$M$50</f>
        <v>7.0149463251109057E-21</v>
      </c>
      <c r="O11" s="569">
        <f ca="1">FRgas.aL*O10</f>
        <v>1.8065856544568806E-24</v>
      </c>
      <c r="P11" s="513">
        <f ca="1">FRgas.aR*P10</f>
        <v>2.0910272519134379E-21</v>
      </c>
      <c r="Q11" s="513">
        <f ca="1">FRgas.aC*Q10</f>
        <v>6.7608440848828696E-25</v>
      </c>
      <c r="R11" s="513">
        <f ca="1">FRgas.aM*R10</f>
        <v>7.2304415087263787E-27</v>
      </c>
      <c r="S11" s="513">
        <f ca="1">FRgas.aA*S10</f>
        <v>4.3768819132922208E-28</v>
      </c>
      <c r="T11" s="513">
        <f ca="1">FRgas.aT*T10</f>
        <v>6.384874104798405E-28</v>
      </c>
      <c r="U11" s="575" t="s">
        <v>1520</v>
      </c>
      <c r="V11" s="513"/>
      <c r="W11" s="513">
        <f ca="1">W10*FRgas.aR</f>
        <v>6.9413422509818408E-20</v>
      </c>
      <c r="X11" s="513">
        <f ca="1">X10*FRgas.aC</f>
        <v>2.1164396923693583E-23</v>
      </c>
      <c r="Y11" s="513">
        <f ca="1">Y10*FRgas.aM</f>
        <v>2.2867182295242052E-25</v>
      </c>
      <c r="Z11" s="513">
        <f ca="1">Z10*FRgas.aA</f>
        <v>1.2773901261759402E-26</v>
      </c>
      <c r="AA11" s="575">
        <f ca="1">AA10*FRgas.aT</f>
        <v>2.1114051629401393E-26</v>
      </c>
      <c r="AB11" s="70"/>
      <c r="AC11" s="500"/>
      <c r="AD11" s="70"/>
      <c r="AE11" s="582" t="s">
        <v>366</v>
      </c>
      <c r="AF11" s="575" t="s">
        <v>1307</v>
      </c>
      <c r="AG11" s="576">
        <f>E.aR*Molweight</f>
        <v>3.1709791983764589E-7</v>
      </c>
      <c r="AH11" s="583">
        <f ca="1">(k.aL.aR*M.aL+k.aC.aR*M.aC)*Molweight</f>
        <v>5.3294225386431632E-10</v>
      </c>
      <c r="AI11" s="583">
        <f ca="1">(AIRflow.aL.aR/VOLUME.aR+k.aR.aC)*M.aR*Molweight</f>
        <v>3.0451359858916313E-7</v>
      </c>
      <c r="AJ11" s="513">
        <f ca="1">kesc.aR*VOLUME.aR*C.aR*Molweight</f>
        <v>3.8929194812432683E-13</v>
      </c>
      <c r="AK11" s="575">
        <f ca="1">KDEG.aR*VOLUME.aR*C.aR*Molweight</f>
        <v>2.5240932049095825E-33</v>
      </c>
      <c r="AL11" s="513">
        <f ca="1">SUM(AL12:AL14,AN17:AN19)</f>
        <v>1.3116874210399922E-8</v>
      </c>
      <c r="AM11" s="513">
        <f ca="1">SUM(AM12:AM14,AO17:AO19)</f>
        <v>1.1456252201381689E-21</v>
      </c>
      <c r="AN11" s="513"/>
      <c r="AO11" s="513"/>
      <c r="AP11" s="513"/>
      <c r="AQ11" s="513"/>
      <c r="AR11" s="575"/>
      <c r="AS11" s="572">
        <f ca="1">SUM(AG11,AH11,AM11,AO11)-SUM(AI11,AJ11,AK11,AL11,AN11)</f>
        <v>0</v>
      </c>
      <c r="AT11" s="70"/>
      <c r="AU11" s="514"/>
      <c r="AV11" s="515"/>
      <c r="AW11" s="584"/>
      <c r="AX11" s="585"/>
      <c r="AY11" s="585"/>
      <c r="AZ11" s="585"/>
      <c r="BA11" s="585"/>
      <c r="BB11" s="585"/>
      <c r="BC11" s="585"/>
      <c r="BD11" s="585"/>
      <c r="BE11" s="586"/>
      <c r="BF11" s="587"/>
      <c r="BG11" s="585"/>
      <c r="BH11" s="585"/>
      <c r="BI11" s="585"/>
      <c r="BJ11" s="585"/>
      <c r="BK11" s="585"/>
      <c r="BL11" s="585"/>
      <c r="BM11" s="586"/>
      <c r="BN11" s="515"/>
      <c r="BO11" s="516"/>
      <c r="BP11" s="515"/>
      <c r="BQ11" s="560"/>
      <c r="BR11" s="515"/>
      <c r="BS11" s="515"/>
      <c r="BT11" s="515"/>
      <c r="BU11" s="515"/>
      <c r="BV11" s="515"/>
      <c r="BW11" s="515"/>
      <c r="BX11" s="515"/>
      <c r="BY11" s="515"/>
      <c r="BZ11" s="515"/>
      <c r="CA11" s="70" t="s">
        <v>1656</v>
      </c>
      <c r="CB11" s="515"/>
      <c r="CC11" s="515"/>
      <c r="CD11" s="515"/>
      <c r="CE11" s="515"/>
      <c r="CF11" s="515"/>
      <c r="CG11" s="515"/>
      <c r="CH11" s="515"/>
      <c r="CI11" s="515"/>
      <c r="CJ11" s="500"/>
      <c r="CK11" s="503"/>
    </row>
    <row r="12" spans="1:92" ht="12.75" customHeight="1" x14ac:dyDescent="0.3">
      <c r="A12" s="70"/>
      <c r="B12" s="579" t="s">
        <v>1582</v>
      </c>
      <c r="C12" s="580">
        <f ca="1">(1-FRgas.aL)*C10</f>
        <v>1.921021196192901E-7</v>
      </c>
      <c r="D12" s="569">
        <f ca="1">C12/$C$50</f>
        <v>1.8150976527159718E-11</v>
      </c>
      <c r="E12" s="581">
        <f ca="1">(1-FRgas.aR)*E10</f>
        <v>1.0626929937081169E-3</v>
      </c>
      <c r="F12" s="513">
        <f ca="1">E12/$E$50</f>
        <v>1.1752018279111271E-7</v>
      </c>
      <c r="G12" s="581">
        <f ca="1">(1-FRgas.aC)*G10</f>
        <v>2.1119651736637796E-2</v>
      </c>
      <c r="H12" s="513">
        <f ca="1">G12/$G$50</f>
        <v>2.8784863441005839E-7</v>
      </c>
      <c r="I12" s="581">
        <f ca="1">(1-FRgas.aM)*I10</f>
        <v>6.1429255257546495E-3</v>
      </c>
      <c r="J12" s="513">
        <f ca="1">I12/$I$50</f>
        <v>1.3228015510124357E-9</v>
      </c>
      <c r="K12" s="581">
        <f ca="1">(1-FRgas.aA)*K10</f>
        <v>2.0649649031249749E-4</v>
      </c>
      <c r="L12" s="513">
        <f ca="1">K12/$K$50</f>
        <v>6.6280317681342775E-11</v>
      </c>
      <c r="M12" s="581">
        <f ca="1">(1-FRgas.aT)*M10</f>
        <v>3.6470501516284662E-4</v>
      </c>
      <c r="N12" s="575">
        <f ca="1">M12/$M$50</f>
        <v>3.1427046250234138E-11</v>
      </c>
      <c r="O12" s="569">
        <f ca="1">(1-FRgas.aL)*O10</f>
        <v>1.870278311097775E-14</v>
      </c>
      <c r="P12" s="513">
        <f ca="1">(1-FRgas.aR)*P10</f>
        <v>8.8858889100572734E-12</v>
      </c>
      <c r="Q12" s="513">
        <f ca="1">(1-FRgas.aC)*Q10</f>
        <v>9.903676342769487E-15</v>
      </c>
      <c r="R12" s="513">
        <f ca="1">(1-FRgas.aM)*R10</f>
        <v>8.0264542042374509E-17</v>
      </c>
      <c r="S12" s="513">
        <f ca="1">(1-FRgas.aA)*S10</f>
        <v>4.8587409485293522E-18</v>
      </c>
      <c r="T12" s="513">
        <f ca="1">(1-FRgas.aT)*T10</f>
        <v>2.8604314914733067E-18</v>
      </c>
      <c r="U12" s="575" t="s">
        <v>1520</v>
      </c>
      <c r="V12" s="513"/>
      <c r="W12" s="513">
        <f ca="1">W10*(1-FRgas.aR)</f>
        <v>2.9497461629192046E-10</v>
      </c>
      <c r="X12" s="513">
        <f ca="1">X10*(1-FRgas.aC)</f>
        <v>3.1002835517364077E-13</v>
      </c>
      <c r="Y12" s="513">
        <f ca="1">Y10*(1-FRgas.aM)</f>
        <v>2.53846727411035E-15</v>
      </c>
      <c r="Z12" s="513">
        <f ca="1">Z10*(1-FRgas.aA)</f>
        <v>1.4180203707231572E-16</v>
      </c>
      <c r="AA12" s="575">
        <f ca="1">AA10*(1-FRgas.aT)</f>
        <v>9.4591212296487313E-17</v>
      </c>
      <c r="AB12" s="70"/>
      <c r="AC12" s="500"/>
      <c r="AD12" s="70"/>
      <c r="AE12" s="582" t="s">
        <v>367</v>
      </c>
      <c r="AF12" s="575" t="s">
        <v>270</v>
      </c>
      <c r="AG12" s="576"/>
      <c r="AH12" s="513">
        <f ca="1">k.w1R.w0R*M.w1R*Molweight</f>
        <v>0</v>
      </c>
      <c r="AI12" s="513">
        <f ca="1">(k.w0R.w1R+k.w0R.w2R)*M.w0R*Molweight</f>
        <v>6.3091277723712933E-29</v>
      </c>
      <c r="AJ12" s="573"/>
      <c r="AK12" s="575">
        <f ca="1">KDEG.w0R*VOLUME.w0R*C.w0R*Molweight</f>
        <v>6.8074952792835215E-29</v>
      </c>
      <c r="AL12" s="513">
        <f ca="1">k.aR.w0R*M.aR*Molweight</f>
        <v>1.311687421126908E-28</v>
      </c>
      <c r="AM12" s="513">
        <f ca="1">k.w0R.aR*M.w0R*Molweight</f>
        <v>2.5115961426886028E-33</v>
      </c>
      <c r="AN12" s="513"/>
      <c r="AO12" s="513"/>
      <c r="AP12" s="513"/>
      <c r="AQ12" s="513"/>
      <c r="AR12" s="575"/>
      <c r="AS12" s="572">
        <f ca="1">SUM(AG12,AH12,AL12,AP12,AR12)-SUM(AJ12,AI12,AK12,AM12,AQ12)</f>
        <v>0</v>
      </c>
      <c r="AT12" s="70"/>
      <c r="AU12" s="514"/>
      <c r="AV12" s="515"/>
      <c r="AW12" s="538" t="s">
        <v>995</v>
      </c>
      <c r="BN12" s="515"/>
      <c r="BO12" s="516"/>
      <c r="BP12" s="515"/>
      <c r="BQ12" s="560"/>
      <c r="BR12" s="515"/>
      <c r="BS12" s="515"/>
      <c r="BT12" s="515"/>
      <c r="BU12" s="515"/>
      <c r="BV12" s="515"/>
      <c r="BW12" s="515"/>
      <c r="BX12" s="515"/>
      <c r="BY12" s="515"/>
      <c r="BZ12" s="515"/>
      <c r="CA12" s="70" t="s">
        <v>1657</v>
      </c>
      <c r="CB12" s="515"/>
      <c r="CC12" s="515"/>
      <c r="CD12" s="515"/>
      <c r="CE12" s="515"/>
      <c r="CF12" s="515"/>
      <c r="CG12" s="560"/>
      <c r="CH12" s="515"/>
      <c r="CI12" s="515"/>
      <c r="CJ12" s="500"/>
      <c r="CK12" s="503"/>
    </row>
    <row r="13" spans="1:92" ht="12.75" customHeight="1" x14ac:dyDescent="0.3">
      <c r="A13" s="70"/>
      <c r="B13" s="579"/>
      <c r="C13" s="580"/>
      <c r="D13" s="569"/>
      <c r="E13" s="581"/>
      <c r="F13" s="513"/>
      <c r="G13" s="581"/>
      <c r="H13" s="513"/>
      <c r="I13" s="581"/>
      <c r="J13" s="513"/>
      <c r="K13" s="581"/>
      <c r="L13" s="513"/>
      <c r="M13" s="581"/>
      <c r="N13" s="575"/>
      <c r="O13" s="569"/>
      <c r="P13" s="513"/>
      <c r="Q13" s="513"/>
      <c r="R13" s="513"/>
      <c r="S13" s="513"/>
      <c r="T13" s="513"/>
      <c r="U13" s="575"/>
      <c r="V13" s="513"/>
      <c r="W13" s="513"/>
      <c r="X13" s="513"/>
      <c r="Y13" s="513"/>
      <c r="Z13" s="513"/>
      <c r="AA13" s="575"/>
      <c r="AB13" s="70"/>
      <c r="AC13" s="500"/>
      <c r="AD13" s="70"/>
      <c r="AE13" s="582" t="s">
        <v>1653</v>
      </c>
      <c r="AF13" s="575" t="s">
        <v>1308</v>
      </c>
      <c r="AG13" s="576">
        <f>E.w1R*Molweight</f>
        <v>3.1709791983764589E-7</v>
      </c>
      <c r="AH13" s="583">
        <f ca="1">(WATERflow.w0R.w1R*C.w0R+WATERflow.wL.w1R*C.wL+WATERflow.w1C.w1R*C.w1C)*Molweight</f>
        <v>152.61044845759966</v>
      </c>
      <c r="AI13" s="583">
        <f ca="1">(WATERflow.w1R.w0R+WATERflow.w1R.wL+WATERflow.w1R.w2R)*C.w1R*Molweight</f>
        <v>5.3979270179134339E-7</v>
      </c>
      <c r="AJ13" s="573"/>
      <c r="AK13" s="575">
        <f ca="1">KDEG.w1R*VOLUME.w1R*C.w1R*Molweight</f>
        <v>1.2015919312620035E-19</v>
      </c>
      <c r="AL13" s="513">
        <f ca="1">k.aR.w1R*M.aR*Molweight</f>
        <v>3.1480498107045787E-9</v>
      </c>
      <c r="AM13" s="513">
        <f ca="1">k.w1R.aR*M.w1R*Molweight</f>
        <v>2.0000886482714492E-22</v>
      </c>
      <c r="AN13" s="513"/>
      <c r="AO13" s="513"/>
      <c r="AP13" s="513">
        <f ca="1">(k.s1R.w1R*M.s1R+k.s2R.w1R*M.s2R+k.s3R.w1R*M.s3R)*Molweight</f>
        <v>9.5614426149158593E-7</v>
      </c>
      <c r="AQ13" s="513">
        <f ca="1">k.w1R.sd1R*M.w1R*Molweight</f>
        <v>7.9897636639041138E-6</v>
      </c>
      <c r="AR13" s="575">
        <f ca="1">k.sd1R.w1R*M.sd1R*Molweight</f>
        <v>7.0576253700562823E-6</v>
      </c>
      <c r="AS13" s="572">
        <f ca="1">SUM(AG13,AH13,AL13,AP13,AR13)-SUM(AJ13,AI13,AK13,AM13,AQ13)</f>
        <v>152.61044826205887</v>
      </c>
      <c r="AT13" s="70"/>
      <c r="AU13" s="514"/>
      <c r="AV13" s="515"/>
      <c r="AW13" s="589" t="s">
        <v>996</v>
      </c>
      <c r="BN13" s="515"/>
      <c r="BO13" s="516"/>
      <c r="BP13" s="70"/>
      <c r="BQ13" s="560"/>
      <c r="BR13" s="515"/>
      <c r="BS13" s="515"/>
      <c r="BT13" s="515"/>
      <c r="BU13" s="515"/>
      <c r="BV13" s="515"/>
      <c r="BW13" s="515"/>
      <c r="BX13" s="515"/>
      <c r="BY13" s="515"/>
      <c r="BZ13" s="515"/>
      <c r="CA13" s="515"/>
      <c r="CB13" s="515"/>
      <c r="CC13" s="515"/>
      <c r="CD13" s="515"/>
      <c r="CE13" s="515"/>
      <c r="CF13" s="515"/>
      <c r="CG13" s="515"/>
      <c r="CH13" s="515"/>
      <c r="CI13" s="515"/>
      <c r="CJ13" s="500"/>
      <c r="CK13" s="503"/>
    </row>
    <row r="14" spans="1:92" ht="12.75" customHeight="1" x14ac:dyDescent="0.3">
      <c r="A14" s="70"/>
      <c r="B14" s="590" t="s">
        <v>351</v>
      </c>
      <c r="C14" s="580"/>
      <c r="D14" s="569"/>
      <c r="E14" s="581">
        <f ca="1">C.w0R*VOLUME.w0R*Molweight</f>
        <v>6.3091277723712939E-9</v>
      </c>
      <c r="F14" s="513">
        <f ca="1">E14/$E$50</f>
        <v>6.9770841950728956E-13</v>
      </c>
      <c r="G14" s="581">
        <f ca="1">C.w0C*VOLUME.w0C*Molweight</f>
        <v>0.30666775586065143</v>
      </c>
      <c r="H14" s="513">
        <f ca="1">G14/$G$50</f>
        <v>4.1797040899566796E-6</v>
      </c>
      <c r="I14" s="581"/>
      <c r="J14" s="513"/>
      <c r="K14" s="581"/>
      <c r="L14" s="513"/>
      <c r="M14" s="581"/>
      <c r="N14" s="575"/>
      <c r="O14" s="569"/>
      <c r="P14" s="513">
        <f ca="1">C.w0R*Molweight</f>
        <v>28.677853510778611</v>
      </c>
      <c r="Q14" s="513">
        <f ca="1">C.w0C*Molweight</f>
        <v>2.8977017057621283E-13</v>
      </c>
      <c r="R14" s="513"/>
      <c r="S14" s="513"/>
      <c r="T14" s="513"/>
      <c r="U14" s="575" t="s">
        <v>1516</v>
      </c>
      <c r="V14" s="513"/>
      <c r="W14" s="513">
        <f ca="1">F.w0R</f>
        <v>1.0759797666064516E-14</v>
      </c>
      <c r="X14" s="513">
        <f ca="1">F.w0C</f>
        <v>1.4909040822410429E-29</v>
      </c>
      <c r="Y14" s="513"/>
      <c r="Z14" s="513"/>
      <c r="AA14" s="575"/>
      <c r="AB14" s="70"/>
      <c r="AC14" s="500"/>
      <c r="AD14" s="70"/>
      <c r="AE14" s="582" t="s">
        <v>371</v>
      </c>
      <c r="AF14" s="575" t="s">
        <v>1309</v>
      </c>
      <c r="AG14" s="576">
        <f>E.w2R*Molweight</f>
        <v>0</v>
      </c>
      <c r="AH14" s="513">
        <f ca="1">(k.w1R.w2R*M.w1R+k.w2C.w2R*M.w2C)*Molweight</f>
        <v>5.4161421753938014E-7</v>
      </c>
      <c r="AI14" s="513">
        <f ca="1">k.w2R.w2C*M.w2R*Molweight</f>
        <v>6.4081968657182398E-19</v>
      </c>
      <c r="AJ14" s="573"/>
      <c r="AK14" s="575">
        <f ca="1">KDEG.w2R*VOLUME.w2R*C.w2R*Molweight</f>
        <v>6.7157546774501907E-19</v>
      </c>
      <c r="AL14" s="513">
        <f ca="1">k.aR.w2R*M.aR*Molweight</f>
        <v>5.9622155505768546E-31</v>
      </c>
      <c r="AM14" s="513">
        <f ca="1">k.w2R.aR*M.w2R*Molweight</f>
        <v>2.4777488417005706E-22</v>
      </c>
      <c r="AN14" s="513"/>
      <c r="AO14" s="513"/>
      <c r="AP14" s="513"/>
      <c r="AQ14" s="513">
        <f ca="1">k.w2R.sd2R*M.w2R*Molweight</f>
        <v>4.7459776820383046E-6</v>
      </c>
      <c r="AR14" s="575">
        <f ca="1">k.sd2R.w2R*M.sd2R*Molweight</f>
        <v>4.2043634645002386E-6</v>
      </c>
      <c r="AS14" s="572">
        <f ca="1">SUM(AG14,AH14,AL14,AP14,AR14)-SUM(AJ14,AI14,AK14,AM14,AQ14)</f>
        <v>0</v>
      </c>
      <c r="AT14" s="70"/>
      <c r="AU14" s="514"/>
      <c r="AV14" s="515"/>
      <c r="AW14" s="589" t="s">
        <v>1565</v>
      </c>
      <c r="BN14" s="515"/>
      <c r="BO14" s="516"/>
      <c r="BP14" s="70"/>
      <c r="BQ14" s="560"/>
      <c r="BR14" s="515"/>
      <c r="BS14" s="515"/>
      <c r="BT14" s="515"/>
      <c r="BU14" s="515"/>
      <c r="BV14" s="515"/>
      <c r="BW14" s="515"/>
      <c r="BX14" s="515"/>
      <c r="BY14" s="515"/>
      <c r="BZ14" s="515"/>
      <c r="CA14" s="515"/>
      <c r="CB14" s="515"/>
      <c r="CC14" s="515"/>
      <c r="CD14" s="515"/>
      <c r="CE14" s="515"/>
      <c r="CF14" s="515"/>
      <c r="CG14" s="515"/>
      <c r="CH14" s="515"/>
      <c r="CI14" s="515"/>
      <c r="CJ14" s="500"/>
      <c r="CK14" s="503"/>
    </row>
    <row r="15" spans="1:92" ht="12.75" customHeight="1" thickBot="1" x14ac:dyDescent="0.35">
      <c r="A15" s="70"/>
      <c r="B15" s="579" t="s">
        <v>709</v>
      </c>
      <c r="C15" s="580"/>
      <c r="D15" s="569"/>
      <c r="E15" s="581">
        <f ca="1">FRw.w0R*E14</f>
        <v>6.2883877407779E-9</v>
      </c>
      <c r="F15" s="513">
        <f ca="1">E15/$E$50</f>
        <v>6.9541483865338344E-13</v>
      </c>
      <c r="G15" s="581">
        <f ca="1">FRw.w0C*G14</f>
        <v>0.30565964520341005</v>
      </c>
      <c r="H15" s="513">
        <f ca="1">G15/$G$50</f>
        <v>4.165964124940223E-6</v>
      </c>
      <c r="I15" s="581"/>
      <c r="J15" s="513"/>
      <c r="K15" s="581"/>
      <c r="L15" s="513"/>
      <c r="M15" s="581"/>
      <c r="N15" s="575"/>
      <c r="O15" s="569"/>
      <c r="P15" s="513">
        <f ca="1">P14*FRw.w0R</f>
        <v>28.583580639899552</v>
      </c>
      <c r="Q15" s="513">
        <f ca="1">Q14*FRw.w0C</f>
        <v>2.8881760744713947E-13</v>
      </c>
      <c r="R15" s="513"/>
      <c r="S15" s="513"/>
      <c r="T15" s="513"/>
      <c r="U15" s="575" t="s">
        <v>1516</v>
      </c>
      <c r="V15" s="513"/>
      <c r="W15" s="513">
        <f ca="1">W14*FRw.w0R</f>
        <v>1.0724426922027608E-14</v>
      </c>
      <c r="X15" s="513">
        <f ca="1">X14*FRw.w0C</f>
        <v>1.4860030247757292E-29</v>
      </c>
      <c r="Y15" s="513"/>
      <c r="Z15" s="513"/>
      <c r="AA15" s="575"/>
      <c r="AB15" s="70"/>
      <c r="AC15" s="500"/>
      <c r="AD15" s="70"/>
      <c r="AE15" s="582" t="s">
        <v>372</v>
      </c>
      <c r="AF15" s="575" t="s">
        <v>1310</v>
      </c>
      <c r="AG15" s="576"/>
      <c r="AH15" s="573"/>
      <c r="AI15" s="573"/>
      <c r="AJ15" s="513">
        <f ca="1">NETsedrate.w1R*SYSTEMAREA.R*AREAFRAC.w1R*C.sd1R*Molweight</f>
        <v>9.3213829383959445E-7</v>
      </c>
      <c r="AK15" s="575">
        <f ca="1">KDEG.sd1R*VOLUME.sd1R*C.sd1R*Molweight</f>
        <v>8.2357882150929932E-18</v>
      </c>
      <c r="AL15" s="513"/>
      <c r="AM15" s="513"/>
      <c r="AN15" s="513"/>
      <c r="AO15" s="513"/>
      <c r="AP15" s="513"/>
      <c r="AQ15" s="513">
        <f ca="1">k.w1R.sd1R*M.w1R*Molweight</f>
        <v>7.9897636639041138E-6</v>
      </c>
      <c r="AR15" s="575">
        <f ca="1">k.sd1R.w1R*M.sd1R*Molweight</f>
        <v>7.0576253700562823E-6</v>
      </c>
      <c r="AS15" s="572">
        <f ca="1">SUM(AG15,AH15,AQ15)-SUM(AI15,AJ15,AK15,AR15)</f>
        <v>0</v>
      </c>
      <c r="AT15" s="70"/>
      <c r="AU15" s="514"/>
      <c r="AV15" s="515"/>
      <c r="AW15" s="556"/>
      <c r="AX15" s="557"/>
      <c r="AY15" s="557"/>
      <c r="AZ15" s="557"/>
      <c r="BA15" s="557"/>
      <c r="BB15" s="557"/>
      <c r="BC15" s="557"/>
      <c r="BD15" s="557"/>
      <c r="BE15" s="558"/>
      <c r="BF15" s="559"/>
      <c r="BG15" s="557"/>
      <c r="BH15" s="557"/>
      <c r="BI15" s="557"/>
      <c r="BJ15" s="557"/>
      <c r="BK15" s="557"/>
      <c r="BL15" s="557"/>
      <c r="BM15" s="558"/>
      <c r="BN15" s="515"/>
      <c r="BO15" s="516"/>
      <c r="BP15" s="70"/>
      <c r="BQ15" s="560"/>
      <c r="BR15" s="515"/>
      <c r="BS15" s="515"/>
      <c r="BT15" s="515"/>
      <c r="BU15" s="515"/>
      <c r="BV15" s="515"/>
      <c r="BW15" s="515"/>
      <c r="BX15" s="515"/>
      <c r="BY15" s="515"/>
      <c r="BZ15" s="515"/>
      <c r="CA15" s="515"/>
      <c r="CB15" s="515"/>
      <c r="CC15" s="515"/>
      <c r="CD15" s="515"/>
      <c r="CE15" s="515"/>
      <c r="CF15" s="515"/>
      <c r="CG15" s="515"/>
      <c r="CH15" s="515"/>
      <c r="CI15" s="515"/>
      <c r="CJ15" s="500"/>
      <c r="CK15" s="481"/>
    </row>
    <row r="16" spans="1:92" ht="12.75" customHeight="1" x14ac:dyDescent="0.3">
      <c r="A16" s="70"/>
      <c r="B16" s="579" t="s">
        <v>483</v>
      </c>
      <c r="C16" s="580"/>
      <c r="D16" s="569"/>
      <c r="E16" s="581">
        <f ca="1">(1-FRw.w0R)*E14</f>
        <v>2.0740031593393489E-11</v>
      </c>
      <c r="F16" s="513">
        <f ca="1">E16/$E$50</f>
        <v>2.2935808539060652E-15</v>
      </c>
      <c r="G16" s="581">
        <f ca="1">(1-FRw.w0C)*G14</f>
        <v>1.0081106572413677E-3</v>
      </c>
      <c r="H16" s="513">
        <f ca="1">G16/$G$50</f>
        <v>1.3739965016456784E-8</v>
      </c>
      <c r="I16" s="581"/>
      <c r="J16" s="513"/>
      <c r="K16" s="581"/>
      <c r="L16" s="513"/>
      <c r="M16" s="581"/>
      <c r="N16" s="575"/>
      <c r="O16" s="569"/>
      <c r="P16" s="513">
        <f ca="1">P15*Kp.susp1R</f>
        <v>123898.74378003424</v>
      </c>
      <c r="Q16" s="513">
        <f ca="1">Q15*Kp.susp1C</f>
        <v>1.2411585926136461E-9</v>
      </c>
      <c r="R16" s="513"/>
      <c r="S16" s="513"/>
      <c r="T16" s="513"/>
      <c r="U16" s="575" t="s">
        <v>1521</v>
      </c>
      <c r="V16" s="513"/>
      <c r="W16" s="513">
        <f ca="1">W14*(1-FRw.w0R)</f>
        <v>3.5370744036909109E-17</v>
      </c>
      <c r="X16" s="513">
        <f ca="1">X14*(1-FRw.w0C)</f>
        <v>4.9010574653137362E-32</v>
      </c>
      <c r="Y16" s="513"/>
      <c r="Z16" s="513"/>
      <c r="AA16" s="575"/>
      <c r="AB16" s="70"/>
      <c r="AC16" s="500"/>
      <c r="AD16" s="70"/>
      <c r="AE16" s="582" t="s">
        <v>373</v>
      </c>
      <c r="AF16" s="575" t="s">
        <v>1311</v>
      </c>
      <c r="AG16" s="576"/>
      <c r="AH16" s="573"/>
      <c r="AI16" s="573"/>
      <c r="AJ16" s="513">
        <f ca="1">NETsedrate.w2R*SYSTEMAREA.R*AREAFRAC.w2R*C.sd2R*Molweight</f>
        <v>5.4161421753165393E-7</v>
      </c>
      <c r="AK16" s="575">
        <f ca="1">KDEG.sd2R*VOLUME.sd2R*C.sd2R*Molweight</f>
        <v>6.4128721715256433E-18</v>
      </c>
      <c r="AL16" s="513"/>
      <c r="AM16" s="513"/>
      <c r="AN16" s="513"/>
      <c r="AO16" s="513"/>
      <c r="AP16" s="513"/>
      <c r="AQ16" s="513">
        <f ca="1">k.w2R.sd2R*M.w2R*Molweight</f>
        <v>4.7459776820383046E-6</v>
      </c>
      <c r="AR16" s="575">
        <f ca="1">k.sd2R.w2R*M.sd2R*Molweight</f>
        <v>4.2043634645002386E-6</v>
      </c>
      <c r="AS16" s="572">
        <f ca="1">SUM(AG16,AH16,AQ16)-SUM(AI16,AJ16,AK16,AR16)</f>
        <v>0</v>
      </c>
      <c r="AT16" s="70"/>
      <c r="AU16" s="514"/>
      <c r="AV16" s="515"/>
      <c r="AW16" s="538" t="s">
        <v>1566</v>
      </c>
      <c r="BN16" s="515"/>
      <c r="BO16" s="516"/>
      <c r="BP16" s="70"/>
      <c r="BQ16" s="560"/>
      <c r="BR16" s="515"/>
      <c r="BS16" s="515"/>
      <c r="BT16" s="515"/>
      <c r="BU16" s="515"/>
      <c r="BV16" s="515"/>
      <c r="BW16" s="515"/>
      <c r="BX16" s="515"/>
      <c r="BY16" s="515"/>
      <c r="BZ16" s="515"/>
      <c r="CA16" s="515"/>
      <c r="CB16" s="515"/>
      <c r="CC16" s="515"/>
      <c r="CD16" s="515"/>
      <c r="CE16" s="515"/>
      <c r="CF16" s="515"/>
      <c r="CG16" s="515"/>
      <c r="CH16" s="515"/>
      <c r="CI16" s="515"/>
      <c r="CJ16" s="500"/>
      <c r="CK16" s="481"/>
    </row>
    <row r="17" spans="1:89" ht="12.75" customHeight="1" x14ac:dyDescent="0.3">
      <c r="A17" s="70"/>
      <c r="B17" s="579"/>
      <c r="C17" s="580"/>
      <c r="D17" s="569"/>
      <c r="E17" s="581"/>
      <c r="F17" s="513"/>
      <c r="G17" s="581"/>
      <c r="H17" s="513"/>
      <c r="I17" s="581"/>
      <c r="J17" s="513"/>
      <c r="K17" s="581"/>
      <c r="L17" s="513"/>
      <c r="M17" s="581"/>
      <c r="N17" s="575"/>
      <c r="O17" s="569"/>
      <c r="P17" s="513"/>
      <c r="Q17" s="513"/>
      <c r="R17" s="513"/>
      <c r="S17" s="513"/>
      <c r="T17" s="513"/>
      <c r="U17" s="575"/>
      <c r="V17" s="513"/>
      <c r="W17" s="513"/>
      <c r="X17" s="513"/>
      <c r="Y17" s="513"/>
      <c r="Z17" s="513"/>
      <c r="AA17" s="575"/>
      <c r="AB17" s="70"/>
      <c r="AC17" s="500"/>
      <c r="AD17" s="70"/>
      <c r="AE17" s="582" t="s">
        <v>374</v>
      </c>
      <c r="AF17" s="575" t="s">
        <v>1312</v>
      </c>
      <c r="AG17" s="576">
        <f>E.s1R*Molweight</f>
        <v>3.1709791983764589E-7</v>
      </c>
      <c r="AH17" s="573"/>
      <c r="AI17" s="573"/>
      <c r="AJ17" s="513">
        <f ca="1">(FRACinf.s1R*RAINrate.R/Ks1w.R*SYSTEMAREA.R*AREAFRAC.s1R*CORRleach.s1R)*C.s1R*Molweight</f>
        <v>1.7367088217191146E-9</v>
      </c>
      <c r="AK17" s="575">
        <f ca="1">KDEG.s1R*VOLUME.s1R*C.s1R*Molweight</f>
        <v>1.6539678694802505E-17</v>
      </c>
      <c r="AL17" s="513"/>
      <c r="AM17" s="513"/>
      <c r="AN17" s="513">
        <f ca="1">k.aR.s1R*M.aR*Molweight</f>
        <v>1.311687421012545E-28</v>
      </c>
      <c r="AO17" s="513">
        <f ca="1">k.s1R.aR*M.s1R*Molweight</f>
        <v>2.5845898203494226E-22</v>
      </c>
      <c r="AP17" s="513">
        <f ca="1">k.s1R.w1R*M.s1R*Molweight</f>
        <v>3.1536121099938679E-7</v>
      </c>
      <c r="AQ17" s="513"/>
      <c r="AR17" s="575"/>
      <c r="AS17" s="572">
        <f ca="1">SUM(AG17,AH17,AN17)-SUM(AI17,AJ17,AK17,AO17,AP17,AS16)</f>
        <v>0</v>
      </c>
      <c r="AT17" s="70"/>
      <c r="AU17" s="514"/>
      <c r="AV17" s="515"/>
      <c r="AW17" s="589" t="s">
        <v>1567</v>
      </c>
      <c r="BN17" s="515"/>
      <c r="BO17" s="516"/>
      <c r="BP17" s="70"/>
      <c r="BQ17" s="560"/>
      <c r="BR17" s="515"/>
      <c r="BS17" s="515"/>
      <c r="BT17" s="515"/>
      <c r="BU17" s="515"/>
      <c r="BV17" s="515"/>
      <c r="BW17" s="515"/>
      <c r="BX17" s="515"/>
      <c r="BY17" s="515"/>
      <c r="BZ17" s="515"/>
      <c r="CA17" s="515"/>
      <c r="CB17" s="515"/>
      <c r="CC17" s="515"/>
      <c r="CD17" s="515"/>
      <c r="CE17" s="515"/>
      <c r="CF17" s="515"/>
      <c r="CG17" s="515"/>
      <c r="CH17" s="515"/>
      <c r="CI17" s="515"/>
      <c r="CJ17" s="500"/>
      <c r="CK17" s="481"/>
    </row>
    <row r="18" spans="1:89" ht="12.75" customHeight="1" x14ac:dyDescent="0.3">
      <c r="A18" s="70"/>
      <c r="B18" s="590" t="s">
        <v>443</v>
      </c>
      <c r="C18" s="580">
        <f ca="1">C.wL*VOLUME.wL*Molweight</f>
        <v>10.001653342298995</v>
      </c>
      <c r="D18" s="569">
        <f ca="1">C18/$C$50</f>
        <v>9.4501703265239829E-4</v>
      </c>
      <c r="E18" s="581">
        <f ca="1">C.w1R*VOLUME.w1R*Molweight</f>
        <v>11.871169934476889</v>
      </c>
      <c r="F18" s="513">
        <f ca="1">E18/$E$50</f>
        <v>1.3127987752851124E-3</v>
      </c>
      <c r="G18" s="581">
        <f ca="1">C.w1C*VOLUME.w1C*Molweight</f>
        <v>17.430804460593098</v>
      </c>
      <c r="H18" s="513">
        <f ca="1">G18/$G$50</f>
        <v>2.3757178021768091E-4</v>
      </c>
      <c r="I18" s="581"/>
      <c r="J18" s="513"/>
      <c r="K18" s="581"/>
      <c r="L18" s="513"/>
      <c r="M18" s="581"/>
      <c r="N18" s="575"/>
      <c r="O18" s="569">
        <f ca="1">C.wL*Molweight</f>
        <v>3.1262268651390652E-6</v>
      </c>
      <c r="P18" s="513">
        <f ca="1">C.w1R*Molweight</f>
        <v>1.0143536176223998E-7</v>
      </c>
      <c r="Q18" s="513">
        <f ca="1">C.w1C*Molweight</f>
        <v>4.8476402199834507E-11</v>
      </c>
      <c r="R18" s="513"/>
      <c r="S18" s="513"/>
      <c r="T18" s="513"/>
      <c r="U18" s="575" t="s">
        <v>1516</v>
      </c>
      <c r="V18" s="513"/>
      <c r="W18" s="513">
        <f ca="1">F.w1R</f>
        <v>3.8058077405812338E-23</v>
      </c>
      <c r="X18" s="513">
        <f ca="1">F.w1C</f>
        <v>2.4941720463626243E-27</v>
      </c>
      <c r="Y18" s="513"/>
      <c r="Z18" s="513"/>
      <c r="AA18" s="575"/>
      <c r="AB18" s="70"/>
      <c r="AC18" s="500"/>
      <c r="AD18" s="70"/>
      <c r="AE18" s="582" t="s">
        <v>375</v>
      </c>
      <c r="AF18" s="575" t="s">
        <v>1313</v>
      </c>
      <c r="AG18" s="576">
        <f>E.s2R*Molweight</f>
        <v>3.1709791983764589E-7</v>
      </c>
      <c r="AH18" s="573"/>
      <c r="AI18" s="573"/>
      <c r="AJ18" s="513">
        <f ca="1">(FRACinf.s2R*RAINrate.R/Ks2w.R*SYSTEMAREA.R*AREAFRAC.s2R*CORRleach.s2R)*C.s2R*Molweight</f>
        <v>1.7206902778538987E-9</v>
      </c>
      <c r="AK18" s="575">
        <f ca="1">KDEG.s2R*VOLUME.s2R*C.s2R*Molweight</f>
        <v>3.1542046138387847E-17</v>
      </c>
      <c r="AL18" s="513"/>
      <c r="AM18" s="513"/>
      <c r="AN18" s="513">
        <f ca="1">k.aR.s2R*M.aR*Molweight</f>
        <v>2.3610373578225812E-9</v>
      </c>
      <c r="AO18" s="513">
        <f ca="1">k.s2R.aR*M.s2R*Molweight</f>
        <v>2.8445329238109776E-22</v>
      </c>
      <c r="AP18" s="513">
        <f ca="1">k.s2R.w1R*M.s2R*Molweight</f>
        <v>3.1773826688607216E-7</v>
      </c>
      <c r="AQ18" s="513"/>
      <c r="AR18" s="575"/>
      <c r="AS18" s="572">
        <f ca="1">SUM(AG18,AH18,AN18)-SUM(AI18,AJ18,AK18,AO18,AP18,AS17)</f>
        <v>0</v>
      </c>
      <c r="AT18" s="70"/>
      <c r="AU18" s="514"/>
      <c r="AV18" s="515"/>
      <c r="AW18" s="589" t="s">
        <v>1230</v>
      </c>
      <c r="BN18" s="515"/>
      <c r="BO18" s="516"/>
      <c r="BP18" s="515"/>
      <c r="BQ18" s="560"/>
      <c r="BR18" s="515"/>
      <c r="BS18" s="515"/>
      <c r="BT18" s="515"/>
      <c r="BU18" s="515"/>
      <c r="BV18" s="515"/>
      <c r="BW18" s="515"/>
      <c r="BX18" s="515"/>
      <c r="BY18" s="515"/>
      <c r="BZ18" s="515"/>
      <c r="CA18" s="515"/>
      <c r="CB18" s="515"/>
      <c r="CC18" s="515"/>
      <c r="CD18" s="515"/>
      <c r="CE18" s="515"/>
      <c r="CF18" s="515"/>
      <c r="CG18" s="515"/>
      <c r="CH18" s="515"/>
      <c r="CI18" s="515"/>
      <c r="CJ18" s="500"/>
      <c r="CK18" s="503"/>
    </row>
    <row r="19" spans="1:89" ht="12.75" customHeight="1" x14ac:dyDescent="0.3">
      <c r="A19" s="70"/>
      <c r="B19" s="579" t="s">
        <v>709</v>
      </c>
      <c r="C19" s="580">
        <f ca="1">FRw.wL*C18</f>
        <v>8.4682975268826954</v>
      </c>
      <c r="D19" s="569">
        <f ca="1">C19/$C$50</f>
        <v>8.0013625013650169E-4</v>
      </c>
      <c r="E19" s="581">
        <f ca="1">FRw.w1R*E18</f>
        <v>11.099641879973353</v>
      </c>
      <c r="F19" s="513">
        <f ca="1">E19/$E$50</f>
        <v>1.2274776914626374E-3</v>
      </c>
      <c r="G19" s="581">
        <f ca="1">FRw.w1C*G18</f>
        <v>15.826333203490879</v>
      </c>
      <c r="H19" s="513">
        <f ca="1">G19/$G$50</f>
        <v>2.1570376524914487E-4</v>
      </c>
      <c r="I19" s="581"/>
      <c r="J19" s="513"/>
      <c r="K19" s="581"/>
      <c r="L19" s="513"/>
      <c r="M19" s="581"/>
      <c r="N19" s="575"/>
      <c r="O19" s="569">
        <f ca="1">O18*FRw.wL</f>
        <v>2.6469442925569421E-6</v>
      </c>
      <c r="P19" s="513">
        <f ca="1">P18*FRw.w1R</f>
        <v>9.4842900551572297E-8</v>
      </c>
      <c r="Q19" s="513">
        <f ca="1">Q18*FRw.w1C</f>
        <v>4.4014244750176856E-11</v>
      </c>
      <c r="R19" s="513"/>
      <c r="S19" s="513"/>
      <c r="T19" s="513"/>
      <c r="U19" s="575" t="s">
        <v>1516</v>
      </c>
      <c r="V19" s="513"/>
      <c r="W19" s="513">
        <f ca="1">W18*FRw.w1R</f>
        <v>3.5584616526967183E-23</v>
      </c>
      <c r="X19" s="513">
        <f ca="1">X18*FRw.w1C</f>
        <v>2.2645884165477278E-27</v>
      </c>
      <c r="Y19" s="513"/>
      <c r="Z19" s="513"/>
      <c r="AA19" s="575"/>
      <c r="AB19" s="70"/>
      <c r="AC19" s="500"/>
      <c r="AD19" s="70"/>
      <c r="AE19" s="582" t="s">
        <v>376</v>
      </c>
      <c r="AF19" s="575" t="s">
        <v>1314</v>
      </c>
      <c r="AG19" s="576">
        <f>E.s3R*Molweight</f>
        <v>3.1709791983764589E-7</v>
      </c>
      <c r="AH19" s="573"/>
      <c r="AI19" s="573"/>
      <c r="AJ19" s="513">
        <f ca="1">(FRACinf.s3R*RAINrate.R/Ks3w.R*SYSTEMAREA.R*AREAFRAC.s3R*CORRleach.s3R)*C.s3R*Molweight</f>
        <v>1.6609232390529041E-9</v>
      </c>
      <c r="AK19" s="575">
        <f ca="1">KDEG.s3R*VOLUME.s3R*C.s3R*Molweight</f>
        <v>3.433851454298662E-17</v>
      </c>
      <c r="AL19" s="513"/>
      <c r="AM19" s="513"/>
      <c r="AN19" s="513">
        <f ca="1">k.aR.s3R*M.aR*Molweight</f>
        <v>7.607787041872762E-9</v>
      </c>
      <c r="AO19" s="513">
        <f ca="1">k.s3R.aR*M.s3R*Molweight</f>
        <v>1.5492919672241527E-22</v>
      </c>
      <c r="AP19" s="513">
        <f ca="1">k.s3R.w1R*M.s3R*Molweight</f>
        <v>3.2304478360612704E-7</v>
      </c>
      <c r="AQ19" s="513"/>
      <c r="AR19" s="575"/>
      <c r="AS19" s="572">
        <f ca="1">SUM(AG19,AH19,AN19)-SUM(AI19,AJ19,AK19,AO19,AP19,AS18)</f>
        <v>0</v>
      </c>
      <c r="AT19" s="70"/>
      <c r="AU19" s="514"/>
      <c r="AV19" s="515"/>
      <c r="AW19" s="589" t="s">
        <v>1231</v>
      </c>
      <c r="BN19" s="515"/>
      <c r="BO19" s="516"/>
      <c r="BP19" s="515"/>
      <c r="BQ19" s="560"/>
      <c r="BR19" s="515"/>
      <c r="BS19" s="515"/>
      <c r="BT19" s="515"/>
      <c r="BU19" s="515"/>
      <c r="BV19" s="515"/>
      <c r="BW19" s="515"/>
      <c r="BX19" s="515"/>
      <c r="BY19" s="515"/>
      <c r="BZ19" s="515"/>
      <c r="CA19" s="515"/>
      <c r="CB19" s="591">
        <f ca="1">IF(AO17&lt;0,"",AO17)</f>
        <v>2.5845898203494226E-22</v>
      </c>
      <c r="CC19" s="515"/>
      <c r="CD19" s="591">
        <f ca="1">IF(AO19&lt;0,"",AO19)</f>
        <v>1.5492919672241527E-22</v>
      </c>
      <c r="CE19" s="515"/>
      <c r="CF19" s="591">
        <f ca="1">IF(AO18&lt;0,"",AO18)</f>
        <v>2.8445329238109776E-22</v>
      </c>
      <c r="CG19" s="515"/>
      <c r="CH19" s="515"/>
      <c r="CI19" s="515"/>
      <c r="CJ19" s="500"/>
      <c r="CK19" s="503"/>
    </row>
    <row r="20" spans="1:89" ht="12.75" customHeight="1" thickBot="1" x14ac:dyDescent="0.35">
      <c r="A20" s="70"/>
      <c r="B20" s="579" t="s">
        <v>483</v>
      </c>
      <c r="C20" s="580">
        <f ca="1">(1-FRw.wL)*C18</f>
        <v>1.5333558154162994</v>
      </c>
      <c r="D20" s="569">
        <f ca="1">C20/$C$50</f>
        <v>1.4488078251589646E-4</v>
      </c>
      <c r="E20" s="581">
        <f ca="1">(1-FRw.w1R)*E18</f>
        <v>0.77152805450353601</v>
      </c>
      <c r="F20" s="513">
        <f ca="1">E20/$E$50</f>
        <v>8.5321083822474981E-5</v>
      </c>
      <c r="G20" s="581">
        <f ca="1">(1-FRw.w1C)*G18</f>
        <v>1.6044712571022191</v>
      </c>
      <c r="H20" s="513">
        <f ca="1">G20/$G$50</f>
        <v>2.1868014968536035E-5</v>
      </c>
      <c r="I20" s="581"/>
      <c r="J20" s="513"/>
      <c r="K20" s="581"/>
      <c r="L20" s="513"/>
      <c r="M20" s="581"/>
      <c r="N20" s="575"/>
      <c r="O20" s="569">
        <f ca="1">O19*Kp.suspL</f>
        <v>1.9284766207579334E-2</v>
      </c>
      <c r="P20" s="513">
        <f ca="1">P19*Kp.susp1R</f>
        <v>4.1110721511186497E-4</v>
      </c>
      <c r="Q20" s="513">
        <f ca="1">Q19*Kp.susp1C</f>
        <v>1.8914587151366947E-7</v>
      </c>
      <c r="R20" s="513"/>
      <c r="S20" s="513"/>
      <c r="T20" s="513"/>
      <c r="U20" s="575" t="s">
        <v>1521</v>
      </c>
      <c r="V20" s="513"/>
      <c r="W20" s="513">
        <f ca="1">W18*(1-FRw.w1R)</f>
        <v>2.4734608788451537E-24</v>
      </c>
      <c r="X20" s="513">
        <f ca="1">X18*(1-FRw.w1C)</f>
        <v>2.2958362981489658E-28</v>
      </c>
      <c r="Y20" s="513"/>
      <c r="Z20" s="513"/>
      <c r="AA20" s="575"/>
      <c r="AB20" s="70"/>
      <c r="AC20" s="500"/>
      <c r="AD20" s="70"/>
      <c r="AE20" s="570" t="s">
        <v>1785</v>
      </c>
      <c r="AF20" s="571"/>
      <c r="AG20" s="572"/>
      <c r="AH20" s="573"/>
      <c r="AI20" s="573"/>
      <c r="AJ20" s="573"/>
      <c r="AK20" s="574"/>
      <c r="AL20" s="513"/>
      <c r="AM20" s="513"/>
      <c r="AN20" s="513"/>
      <c r="AO20" s="513"/>
      <c r="AP20" s="513"/>
      <c r="AQ20" s="513"/>
      <c r="AR20" s="575"/>
      <c r="AS20" s="576"/>
      <c r="AT20" s="70"/>
      <c r="AU20" s="514"/>
      <c r="AV20" s="515"/>
      <c r="AW20" s="584"/>
      <c r="AX20" s="585"/>
      <c r="AY20" s="585"/>
      <c r="AZ20" s="585"/>
      <c r="BA20" s="585"/>
      <c r="BB20" s="585"/>
      <c r="BC20" s="585"/>
      <c r="BD20" s="585"/>
      <c r="BE20" s="586"/>
      <c r="BF20" s="587"/>
      <c r="BG20" s="585"/>
      <c r="BH20" s="585"/>
      <c r="BI20" s="585"/>
      <c r="BJ20" s="585"/>
      <c r="BK20" s="585"/>
      <c r="BL20" s="585"/>
      <c r="BM20" s="586"/>
      <c r="BN20" s="515"/>
      <c r="BO20" s="516"/>
      <c r="BP20" s="515"/>
      <c r="BQ20" s="560"/>
      <c r="BR20" s="515"/>
      <c r="BS20" s="592">
        <f ca="1">IF(AM14&lt;0,"",AM14)</f>
        <v>2.4777488417005706E-22</v>
      </c>
      <c r="BT20" s="515"/>
      <c r="BU20" s="515"/>
      <c r="BV20" s="592">
        <f ca="1">IF(AM13&lt;0,"",AM13)</f>
        <v>2.0000886482714492E-22</v>
      </c>
      <c r="BW20" s="515"/>
      <c r="BX20" s="515"/>
      <c r="BY20" s="591">
        <f ca="1">IF(AM12&lt;0,"",AM12)</f>
        <v>2.5115961426886028E-33</v>
      </c>
      <c r="BZ20" s="517"/>
      <c r="CA20" s="515"/>
      <c r="CB20" s="593"/>
      <c r="CC20" s="515"/>
      <c r="CD20" s="593" t="str">
        <f ca="1">IF(AN18&lt;=0,ABS(AN18),"")</f>
        <v/>
      </c>
      <c r="CE20" s="515"/>
      <c r="CF20" s="594"/>
      <c r="CG20" s="515"/>
      <c r="CH20" s="515"/>
      <c r="CI20" s="515"/>
      <c r="CJ20" s="500"/>
      <c r="CK20" s="503"/>
    </row>
    <row r="21" spans="1:89" ht="12.75" customHeight="1" x14ac:dyDescent="0.3">
      <c r="A21" s="70"/>
      <c r="B21" s="579"/>
      <c r="C21" s="580"/>
      <c r="D21" s="569"/>
      <c r="E21" s="581"/>
      <c r="F21" s="513"/>
      <c r="G21" s="581"/>
      <c r="H21" s="513"/>
      <c r="I21" s="581"/>
      <c r="J21" s="513"/>
      <c r="K21" s="581"/>
      <c r="L21" s="513"/>
      <c r="M21" s="581"/>
      <c r="N21" s="575"/>
      <c r="O21" s="569"/>
      <c r="P21" s="513"/>
      <c r="Q21" s="513"/>
      <c r="R21" s="513"/>
      <c r="S21" s="513"/>
      <c r="T21" s="513"/>
      <c r="U21" s="575"/>
      <c r="V21" s="513"/>
      <c r="W21" s="513"/>
      <c r="X21" s="513"/>
      <c r="Y21" s="513"/>
      <c r="Z21" s="513"/>
      <c r="AA21" s="575"/>
      <c r="AB21" s="70"/>
      <c r="AC21" s="500"/>
      <c r="AD21" s="70"/>
      <c r="AE21" s="582" t="s">
        <v>366</v>
      </c>
      <c r="AF21" s="575" t="s">
        <v>511</v>
      </c>
      <c r="AG21" s="576">
        <f>E.aC*Molweight</f>
        <v>3.1709791983764589E-7</v>
      </c>
      <c r="AH21" s="513">
        <f ca="1">(k.aR.aC*M.aR+k.aM.aC*M.aM)*Molweight</f>
        <v>1.094931622124112E-7</v>
      </c>
      <c r="AI21" s="513">
        <f ca="1">(k.aC.aM+k.aC.aR)*M.aC*Molweight</f>
        <v>5.419198249467192E-8</v>
      </c>
      <c r="AJ21" s="513">
        <f ca="1">kesc.aC*VOLUME.aC*C.aC*Molweight</f>
        <v>7.7366750468553344E-12</v>
      </c>
      <c r="AK21" s="575">
        <f ca="1">KDEG.aC*VOLUME.aC*C.aC*Molweight</f>
        <v>1.2669874174241255E-32</v>
      </c>
      <c r="AL21" s="513">
        <f ca="1">SUM(AL22:AL24,AN27:AN29)</f>
        <v>3.7239136288034101E-7</v>
      </c>
      <c r="AM21" s="595">
        <f ca="1">SUM(AM22:AM24,AO27:AO29)</f>
        <v>2.8554652997678047E-21</v>
      </c>
      <c r="AN21" s="513"/>
      <c r="AO21" s="513"/>
      <c r="AP21" s="513"/>
      <c r="AQ21" s="513"/>
      <c r="AR21" s="575"/>
      <c r="AS21" s="572">
        <f ca="1">SUM(AG21,AH21,AM21,AO21)-SUM(AI21,AJ21,AK21,AL21,AN21)</f>
        <v>0</v>
      </c>
      <c r="AT21" s="70"/>
      <c r="AU21" s="514"/>
      <c r="AV21" s="515"/>
      <c r="AW21" s="538" t="s">
        <v>1568</v>
      </c>
      <c r="BN21" s="515"/>
      <c r="BO21" s="516"/>
      <c r="BP21" s="515"/>
      <c r="BQ21" s="560"/>
      <c r="BR21" s="515"/>
      <c r="BS21" s="515"/>
      <c r="BT21" s="515"/>
      <c r="BU21" s="515"/>
      <c r="BV21" s="596"/>
      <c r="BW21" s="515"/>
      <c r="BX21" s="594"/>
      <c r="BY21" s="597"/>
      <c r="BZ21" s="517"/>
      <c r="CA21" s="515"/>
      <c r="CB21" s="591">
        <f ca="1">IF(AN17&lt;0,"",AN17)</f>
        <v>1.311687421012545E-28</v>
      </c>
      <c r="CC21" s="515"/>
      <c r="CD21" s="591">
        <f ca="1">IF(AN19&lt;0,"",AN19)</f>
        <v>7.607787041872762E-9</v>
      </c>
      <c r="CE21" s="515"/>
      <c r="CF21" s="591">
        <f ca="1">IF(AN18&lt;0,"",AN18)</f>
        <v>2.3610373578225812E-9</v>
      </c>
      <c r="CG21" s="560"/>
      <c r="CH21" s="515"/>
      <c r="CI21" s="515"/>
      <c r="CJ21" s="500"/>
      <c r="CK21" s="503"/>
    </row>
    <row r="22" spans="1:89" ht="12.75" customHeight="1" x14ac:dyDescent="0.35">
      <c r="A22" s="70"/>
      <c r="B22" s="590" t="s">
        <v>444</v>
      </c>
      <c r="C22" s="580"/>
      <c r="D22" s="569"/>
      <c r="E22" s="581">
        <f ca="1">C.sd1R*VOLUME.sd1R*Molweight</f>
        <v>760.77657820843478</v>
      </c>
      <c r="F22" s="513">
        <f ca="1">E22/$E$50</f>
        <v>8.4132108768573716E-2</v>
      </c>
      <c r="G22" s="581">
        <f ca="1">C.sd1C*VOLUME.sd1C*Molweight</f>
        <v>296.69648396539139</v>
      </c>
      <c r="H22" s="513">
        <f ca="1">G22/$G$50</f>
        <v>4.0438014228969376E-3</v>
      </c>
      <c r="I22" s="581"/>
      <c r="J22" s="513"/>
      <c r="K22" s="581"/>
      <c r="L22" s="513"/>
      <c r="M22" s="581"/>
      <c r="N22" s="575"/>
      <c r="O22" s="569"/>
      <c r="P22" s="513">
        <f ca="1">C.sd1R*(Molweight*1000)/(FRACw.sdR*1000+FRACs.sdR*RHOsolid)</f>
        <v>1.5649206241057935E-4</v>
      </c>
      <c r="Q22" s="513">
        <f ca="1">C.sd1C*(Molweight*1000)/(FRACw.sdC*1000+FRACs.sdC*RHOsolid)</f>
        <v>5.4688198834406661E-8</v>
      </c>
      <c r="R22" s="513"/>
      <c r="S22" s="513"/>
      <c r="T22" s="513"/>
      <c r="U22" s="575" t="s">
        <v>1522</v>
      </c>
      <c r="V22" s="513"/>
      <c r="W22" s="513">
        <f ca="1">F.sd1R</f>
        <v>2.1705201937959135E-23</v>
      </c>
      <c r="X22" s="513">
        <f ca="1">F.sd1C</f>
        <v>2.4794256852617823E-27</v>
      </c>
      <c r="Y22" s="513"/>
      <c r="Z22" s="513"/>
      <c r="AA22" s="575"/>
      <c r="AB22" s="70"/>
      <c r="AC22" s="500"/>
      <c r="AD22" s="70"/>
      <c r="AE22" s="582" t="s">
        <v>367</v>
      </c>
      <c r="AF22" s="575" t="s">
        <v>271</v>
      </c>
      <c r="AG22" s="576"/>
      <c r="AH22" s="513">
        <f ca="1">k.w1C.w0C*M.w1C*Molweight</f>
        <v>0</v>
      </c>
      <c r="AI22" s="513">
        <f ca="1">(k.w0C.w1C+k.w0C.w2C)*M.w0C*Molweight</f>
        <v>4.6550129955759397E-10</v>
      </c>
      <c r="AJ22" s="573"/>
      <c r="AK22" s="575">
        <f ca="1">KDEG.w0C*VOLUME.w0C*C.w0C*Molweight</f>
        <v>1.0152644598920259E-21</v>
      </c>
      <c r="AL22" s="513">
        <f ca="1">k.aC.w0C*M.aC*Molweight</f>
        <v>4.6550129955860913E-10</v>
      </c>
      <c r="AM22" s="513">
        <f ca="1">k.w0C.aC*M.w0C*Molweight</f>
        <v>5.0577834632421504E-26</v>
      </c>
      <c r="AN22" s="513"/>
      <c r="AO22" s="513"/>
      <c r="AP22" s="513"/>
      <c r="AQ22" s="513"/>
      <c r="AR22" s="575"/>
      <c r="AS22" s="572">
        <f ca="1">SUM(AG22,AH22,AL22,AP22,AR22)-SUM(AJ22,AI22,AK22,AM22,AQ22)</f>
        <v>0</v>
      </c>
      <c r="AT22" s="70"/>
      <c r="AU22" s="514"/>
      <c r="AV22" s="515"/>
      <c r="AW22" s="589" t="s">
        <v>1569</v>
      </c>
      <c r="BN22" s="515"/>
      <c r="BO22" s="516"/>
      <c r="BP22" s="515"/>
      <c r="BQ22" s="560"/>
      <c r="BR22" s="515"/>
      <c r="BS22" s="592">
        <f ca="1">IF(AL14&lt;0,"",AL14)</f>
        <v>5.9622155505768546E-31</v>
      </c>
      <c r="BT22" s="515"/>
      <c r="BU22" s="515"/>
      <c r="BV22" s="592">
        <f ca="1">IF(AL13&lt;0,"",AL13)</f>
        <v>3.1480498107045787E-9</v>
      </c>
      <c r="BW22" s="598">
        <f ca="1">AP13</f>
        <v>9.5614426149158593E-7</v>
      </c>
      <c r="BX22" s="594"/>
      <c r="BY22" s="591">
        <f ca="1">IF(AL12&lt;0,"",AL12)</f>
        <v>1.311687421126908E-28</v>
      </c>
      <c r="BZ22" s="515"/>
      <c r="CA22" s="515"/>
      <c r="CB22" s="515"/>
      <c r="CC22" s="515"/>
      <c r="CD22" s="515"/>
      <c r="CE22" s="515"/>
      <c r="CF22" s="515"/>
      <c r="CG22" s="599"/>
      <c r="CH22" s="515"/>
      <c r="CI22" s="515"/>
      <c r="CJ22" s="500"/>
      <c r="CK22" s="481"/>
    </row>
    <row r="23" spans="1:89" ht="12.75" customHeight="1" thickBot="1" x14ac:dyDescent="0.35">
      <c r="A23" s="70"/>
      <c r="B23" s="579" t="s">
        <v>711</v>
      </c>
      <c r="C23" s="580"/>
      <c r="D23" s="569"/>
      <c r="E23" s="581">
        <f ca="1">E22*FRACw.sdR</f>
        <v>613.38950666430196</v>
      </c>
      <c r="F23" s="513">
        <f ca="1">E23/$E$50</f>
        <v>6.783299351001322E-2</v>
      </c>
      <c r="G23" s="581">
        <f ca="1">G22*FRACw.sdC</f>
        <v>255.58748487315088</v>
      </c>
      <c r="H23" s="513">
        <f ca="1">G23/$G$50</f>
        <v>3.4835095488534888E-3</v>
      </c>
      <c r="I23" s="581"/>
      <c r="J23" s="513"/>
      <c r="K23" s="581"/>
      <c r="L23" s="513"/>
      <c r="M23" s="581"/>
      <c r="N23" s="575"/>
      <c r="O23" s="569"/>
      <c r="P23" s="513">
        <f ca="1">P24/Kp.sd1R</f>
        <v>5.7850400250726028E-8</v>
      </c>
      <c r="Q23" s="513">
        <f ca="1">Q24/Kp.sd1C</f>
        <v>4.8189793851083703E-11</v>
      </c>
      <c r="R23" s="513"/>
      <c r="S23" s="513"/>
      <c r="T23" s="513"/>
      <c r="U23" s="575" t="s">
        <v>1516</v>
      </c>
      <c r="V23" s="513"/>
      <c r="W23" s="513">
        <f ca="1">W22*FRACw.sdR</f>
        <v>1.750020109731369E-23</v>
      </c>
      <c r="X23" s="513">
        <f ca="1">X22*FRACw.sdC</f>
        <v>2.1358870396990199E-27</v>
      </c>
      <c r="Y23" s="513"/>
      <c r="Z23" s="513"/>
      <c r="AA23" s="575"/>
      <c r="AB23" s="70"/>
      <c r="AC23" s="500"/>
      <c r="AD23" s="70"/>
      <c r="AE23" s="582" t="s">
        <v>1653</v>
      </c>
      <c r="AF23" s="575" t="s">
        <v>1315</v>
      </c>
      <c r="AG23" s="576">
        <f>E.w1C*Molweight</f>
        <v>3.1709791983764589E-7</v>
      </c>
      <c r="AH23" s="513">
        <f ca="1">k.w0C.w1C*M.w0C*Molweight</f>
        <v>4.6550129955759397E-10</v>
      </c>
      <c r="AI23" s="513">
        <f ca="1">(k.w1C.w0C+k.w1C.w1R+k.w1C.w2C)*M.w1C*Molweight</f>
        <v>7.7874917825485765E-7</v>
      </c>
      <c r="AJ23" s="573"/>
      <c r="AK23" s="575">
        <f ca="1">KDEG.w1C*VOLUME.w1C*C.w1C*Molweight</f>
        <v>5.2567991503165376E-20</v>
      </c>
      <c r="AL23" s="513">
        <f ca="1">k.aC.w1C*M.aC*Molweight</f>
        <v>5.1205142951447011E-9</v>
      </c>
      <c r="AM23" s="513">
        <f ca="1">k.w1C.aC*M.w1C*Molweight</f>
        <v>8.4785679562077615E-23</v>
      </c>
      <c r="AN23" s="513"/>
      <c r="AO23" s="513"/>
      <c r="AP23" s="513">
        <f ca="1">(k.s1C.w1C*M.s1C+k.s2C.w1C*M.s2C+k.s3C.w1C*M.s3C)*Molweight</f>
        <v>1.1223259546037517E-6</v>
      </c>
      <c r="AQ23" s="513">
        <f ca="1">k.w1C.sd1C*M.w1C*Molweight</f>
        <v>9.034240016183686E-6</v>
      </c>
      <c r="AR23" s="575">
        <f ca="1">k.sd1C.w1C*M.sd1C*Molweight</f>
        <v>8.3679793044024953E-6</v>
      </c>
      <c r="AS23" s="572">
        <f ca="1">SUM(AG23,AH23,AL23,AP23,AR23)-SUM(AJ23,AI23,AK23,AM23,AQ23)</f>
        <v>0</v>
      </c>
      <c r="AT23" s="70"/>
      <c r="AU23" s="514"/>
      <c r="AV23" s="515"/>
      <c r="AW23" s="556"/>
      <c r="AX23" s="557"/>
      <c r="AY23" s="557"/>
      <c r="AZ23" s="557"/>
      <c r="BA23" s="557"/>
      <c r="BB23" s="557"/>
      <c r="BC23" s="557"/>
      <c r="BD23" s="557"/>
      <c r="BE23" s="558"/>
      <c r="BF23" s="557"/>
      <c r="BG23" s="557"/>
      <c r="BH23" s="557"/>
      <c r="BI23" s="557"/>
      <c r="BJ23" s="557"/>
      <c r="BK23" s="557"/>
      <c r="BL23" s="557"/>
      <c r="BM23" s="558"/>
      <c r="BN23" s="515"/>
      <c r="BO23" s="516"/>
      <c r="BP23" s="515"/>
      <c r="BQ23" s="542">
        <f ca="1">AI12</f>
        <v>6.3091277723712933E-29</v>
      </c>
      <c r="BR23" s="515"/>
      <c r="BS23" s="515"/>
      <c r="BT23" s="515"/>
      <c r="BU23" s="515"/>
      <c r="BV23" s="596"/>
      <c r="BW23" s="515"/>
      <c r="BX23" s="515"/>
      <c r="BY23" s="515"/>
      <c r="BZ23" s="522"/>
      <c r="CA23" s="594"/>
      <c r="CB23" s="515"/>
      <c r="CC23" s="594"/>
      <c r="CD23" s="594"/>
      <c r="CE23" s="515"/>
      <c r="CF23" s="594"/>
      <c r="CG23" s="515"/>
      <c r="CH23" s="515"/>
      <c r="CI23" s="515"/>
      <c r="CJ23" s="500"/>
      <c r="CK23" s="481"/>
    </row>
    <row r="24" spans="1:89" ht="12.75" customHeight="1" x14ac:dyDescent="0.3">
      <c r="A24" s="70"/>
      <c r="B24" s="579" t="s">
        <v>712</v>
      </c>
      <c r="C24" s="580"/>
      <c r="D24" s="569"/>
      <c r="E24" s="581">
        <f ca="1">E22*FRACs.sdR</f>
        <v>147.38707154413279</v>
      </c>
      <c r="F24" s="513">
        <f ca="1">E24/$E$50</f>
        <v>1.6299115258560488E-2</v>
      </c>
      <c r="G24" s="581">
        <f ca="1">G22*FRACs.sdC</f>
        <v>41.108999092240502</v>
      </c>
      <c r="H24" s="513">
        <f ca="1">G24/$G$50</f>
        <v>5.6029187404344827E-4</v>
      </c>
      <c r="I24" s="581"/>
      <c r="J24" s="513"/>
      <c r="K24" s="581"/>
      <c r="L24" s="513"/>
      <c r="M24" s="581"/>
      <c r="N24" s="575"/>
      <c r="O24" s="569"/>
      <c r="P24" s="513">
        <f ca="1">C.sd1R*FRACs.sdR/(FRACw.sdR/(Kp.sd1R*RHOsolid/1000)+FRACs.sdR)*(Molweight*1000)/(FRACs.sdR*RHOsolid)</f>
        <v>4.1259291962944029E-4</v>
      </c>
      <c r="Q24" s="513">
        <f ca="1">C.sd1C*FRACs.sdC/(FRACw.sdC/(Kp.sd1C*RHOsolid/1000)+FRACs.sdC)*(Molweight*1000)/(FRACs.sdC*RHOsolid)</f>
        <v>1.8832183475670474E-7</v>
      </c>
      <c r="R24" s="513"/>
      <c r="S24" s="513"/>
      <c r="T24" s="513"/>
      <c r="U24" s="575" t="s">
        <v>1521</v>
      </c>
      <c r="V24" s="513"/>
      <c r="W24" s="513">
        <f ca="1">W22*(1-FRACw.sdR)</f>
        <v>4.2050008406454435E-24</v>
      </c>
      <c r="X24" s="513">
        <f ca="1">X22*(1-FRACw.sdC)</f>
        <v>3.4353864556276235E-28</v>
      </c>
      <c r="Y24" s="513"/>
      <c r="Z24" s="513"/>
      <c r="AA24" s="575"/>
      <c r="AB24" s="70"/>
      <c r="AC24" s="500"/>
      <c r="AD24" s="70"/>
      <c r="AE24" s="582" t="s">
        <v>371</v>
      </c>
      <c r="AF24" s="575" t="s">
        <v>1316</v>
      </c>
      <c r="AG24" s="576">
        <f>E.w2C*Molweight</f>
        <v>3.1709791983764589E-7</v>
      </c>
      <c r="AH24" s="513">
        <f ca="1">(k.w2M.w2C*M.w2M+k.w2R.w2C*M.w2R+k.w1C.w2C*M.w1C)*Molweight</f>
        <v>1.0205019180873965E-3</v>
      </c>
      <c r="AI24" s="513">
        <f ca="1">(k.w2C.w2M+k.w2C.w2R)*M.w2C*Molweight</f>
        <v>1.0210052068501932E-3</v>
      </c>
      <c r="AJ24" s="573"/>
      <c r="AK24" s="575">
        <f ca="1">KDEG.w2C*VOLUME.w2C*C.w2C*Molweight</f>
        <v>1.0299937533573408E-16</v>
      </c>
      <c r="AL24" s="513">
        <f ca="1">k.aC.w2C*M.aC*Molweight</f>
        <v>1.8619084308193841E-7</v>
      </c>
      <c r="AM24" s="513">
        <f ca="1">k.w2C.aC*M.w2C*Molweight</f>
        <v>2.5655804860575459E-21</v>
      </c>
      <c r="AN24" s="513"/>
      <c r="AO24" s="513"/>
      <c r="AP24" s="513"/>
      <c r="AQ24" s="513">
        <f ca="1">k.w2C.sd2C*M.w2C*Molweight</f>
        <v>1.0982913604474442E-4</v>
      </c>
      <c r="AR24" s="575">
        <f ca="1">k.sd2C.w2C*M.sd2C*Molweight</f>
        <v>1.0982913604472443E-4</v>
      </c>
      <c r="AS24" s="572">
        <f ca="1">SUM(AG24,AH24,AL24,AP24,AR24)-SUM(AJ24,AI24,AK24,AM24,AQ24)</f>
        <v>0</v>
      </c>
      <c r="AT24" s="70"/>
      <c r="AU24" s="514"/>
      <c r="AV24" s="515"/>
      <c r="AW24" s="538" t="s">
        <v>1570</v>
      </c>
      <c r="BN24" s="515"/>
      <c r="BO24" s="516"/>
      <c r="BP24" s="515"/>
      <c r="BQ24" s="542">
        <f ca="1">AI13</f>
        <v>5.3979270179134339E-7</v>
      </c>
      <c r="BR24" s="515"/>
      <c r="BS24" s="515"/>
      <c r="BT24" s="594"/>
      <c r="BU24" s="515"/>
      <c r="BV24" s="600">
        <f ca="1">AH13</f>
        <v>152.61044845759966</v>
      </c>
      <c r="BW24" s="515"/>
      <c r="BX24" s="601"/>
      <c r="BY24" s="594"/>
      <c r="BZ24" s="522"/>
      <c r="CA24" s="594"/>
      <c r="CB24" s="515"/>
      <c r="CC24" s="594"/>
      <c r="CD24" s="594"/>
      <c r="CE24" s="515"/>
      <c r="CF24" s="594"/>
      <c r="CG24" s="515"/>
      <c r="CH24" s="515"/>
      <c r="CI24" s="515"/>
      <c r="CJ24" s="500"/>
      <c r="CK24" s="481"/>
    </row>
    <row r="25" spans="1:89" ht="12.75" customHeight="1" thickBot="1" x14ac:dyDescent="0.35">
      <c r="A25" s="70"/>
      <c r="B25" s="579"/>
      <c r="C25" s="580"/>
      <c r="D25" s="569"/>
      <c r="E25" s="581"/>
      <c r="F25" s="513"/>
      <c r="G25" s="581"/>
      <c r="H25" s="513"/>
      <c r="I25" s="581"/>
      <c r="J25" s="513"/>
      <c r="K25" s="581"/>
      <c r="L25" s="513"/>
      <c r="M25" s="581"/>
      <c r="N25" s="575"/>
      <c r="O25" s="569"/>
      <c r="P25" s="513"/>
      <c r="Q25" s="513"/>
      <c r="R25" s="513"/>
      <c r="S25" s="513"/>
      <c r="T25" s="513"/>
      <c r="U25" s="575"/>
      <c r="V25" s="513"/>
      <c r="W25" s="513"/>
      <c r="X25" s="513"/>
      <c r="Y25" s="513"/>
      <c r="Z25" s="513"/>
      <c r="AA25" s="575"/>
      <c r="AB25" s="70"/>
      <c r="AC25" s="500"/>
      <c r="AD25" s="70"/>
      <c r="AE25" s="582" t="s">
        <v>372</v>
      </c>
      <c r="AF25" s="575" t="s">
        <v>1317</v>
      </c>
      <c r="AG25" s="576"/>
      <c r="AH25" s="573"/>
      <c r="AI25" s="573"/>
      <c r="AJ25" s="513">
        <f ca="1">(NETsedrate.w1C*SYSTEMAREA.C*AREAFRAC.w1C)*C.sd1C*Molweight</f>
        <v>6.6626071178020541E-7</v>
      </c>
      <c r="AK25" s="575">
        <f ca="1">KDEG.sd1C*VOLUME.sd1C*C.sd1C*Molweight</f>
        <v>9.8549285217067864E-19</v>
      </c>
      <c r="AL25" s="513"/>
      <c r="AM25" s="513"/>
      <c r="AN25" s="513"/>
      <c r="AO25" s="513"/>
      <c r="AP25" s="513"/>
      <c r="AQ25" s="513">
        <f ca="1">k.w1C.sd1C*M.w1C*Molweight</f>
        <v>9.034240016183686E-6</v>
      </c>
      <c r="AR25" s="575">
        <f ca="1">k.sd1C.w1C*M.sd1C*Molweight</f>
        <v>8.3679793044024953E-6</v>
      </c>
      <c r="AS25" s="572">
        <f ca="1">SUM(AG25,AH25,AQ25)-SUM(AI25,AJ25,AK25,AR25)</f>
        <v>0</v>
      </c>
      <c r="AT25" s="70"/>
      <c r="AU25" s="514"/>
      <c r="AV25" s="515"/>
      <c r="AW25" s="556"/>
      <c r="AX25" s="557"/>
      <c r="AY25" s="557"/>
      <c r="AZ25" s="557"/>
      <c r="BA25" s="557"/>
      <c r="BB25" s="557"/>
      <c r="BC25" s="557"/>
      <c r="BD25" s="557"/>
      <c r="BE25" s="558"/>
      <c r="BF25" s="557"/>
      <c r="BG25" s="557"/>
      <c r="BH25" s="557"/>
      <c r="BI25" s="557"/>
      <c r="BJ25" s="557"/>
      <c r="BK25" s="557"/>
      <c r="BL25" s="557"/>
      <c r="BM25" s="558"/>
      <c r="BN25" s="515"/>
      <c r="BO25" s="516"/>
      <c r="BP25" s="515"/>
      <c r="BQ25" s="542">
        <f ca="1">AI14</f>
        <v>6.4081968657182398E-19</v>
      </c>
      <c r="BR25" s="515"/>
      <c r="BS25" s="561">
        <f ca="1">AH14</f>
        <v>5.4161421753938014E-7</v>
      </c>
      <c r="BT25" s="594"/>
      <c r="BU25" s="515"/>
      <c r="BV25" s="515"/>
      <c r="BW25" s="515"/>
      <c r="BX25" s="594"/>
      <c r="BY25" s="594"/>
      <c r="BZ25" s="602" t="s">
        <v>1751</v>
      </c>
      <c r="CA25" s="594"/>
      <c r="CB25" s="515"/>
      <c r="CC25" s="594"/>
      <c r="CD25" s="594"/>
      <c r="CE25" s="515"/>
      <c r="CF25" s="594"/>
      <c r="CG25" s="515"/>
      <c r="CH25" s="515"/>
      <c r="CI25" s="515"/>
      <c r="CJ25" s="500"/>
      <c r="CK25" s="481"/>
    </row>
    <row r="26" spans="1:89" ht="12.75" customHeight="1" x14ac:dyDescent="0.35">
      <c r="A26" s="70"/>
      <c r="B26" s="590" t="s">
        <v>1490</v>
      </c>
      <c r="C26" s="580"/>
      <c r="D26" s="569"/>
      <c r="E26" s="581">
        <f ca="1">C.w2R*VOLUME.w2R*Molweight</f>
        <v>64.081968657182401</v>
      </c>
      <c r="F26" s="513">
        <f ca="1">E26/$E$50</f>
        <v>7.0866418756825858E-3</v>
      </c>
      <c r="G26" s="581">
        <f ca="1">C.w2C*VOLUME.w2C*Molweight</f>
        <v>32198.426585818881</v>
      </c>
      <c r="H26" s="513">
        <f ca="1">G26/$G$50</f>
        <v>0.43884592598665512</v>
      </c>
      <c r="I26" s="581">
        <f ca="1">C.w2M*VOLUME.w2M*Molweight</f>
        <v>145354.81478779495</v>
      </c>
      <c r="J26" s="513">
        <f ca="1">I26/$I$50</f>
        <v>3.130032647185637E-2</v>
      </c>
      <c r="K26" s="581">
        <f ca="1">C.w2A*VOLUME.w2A*Molweight</f>
        <v>118018.01405091955</v>
      </c>
      <c r="L26" s="513">
        <f ca="1">K26/$K$50</f>
        <v>3.7880893043646599E-2</v>
      </c>
      <c r="M26" s="581">
        <f ca="1">C.w2T*VOLUME.w2T*Molweight</f>
        <v>338964.75588100904</v>
      </c>
      <c r="N26" s="575">
        <f ca="1">M26/$M$50</f>
        <v>2.9208978811314706E-2</v>
      </c>
      <c r="O26" s="569"/>
      <c r="P26" s="513">
        <f ca="1">C.w2R*Molweight</f>
        <v>640819686571824</v>
      </c>
      <c r="Q26" s="513">
        <f ca="1">C.w2C*Molweight</f>
        <v>3.8032317930065392E-11</v>
      </c>
      <c r="R26" s="513">
        <f ca="1">C.w2M*Molweight</f>
        <v>3.7984629941165614E-11</v>
      </c>
      <c r="S26" s="513">
        <f ca="1">C.w2A*Molweight</f>
        <v>4.628157413761551E-11</v>
      </c>
      <c r="T26" s="513">
        <f ca="1">C.w2T*Molweight</f>
        <v>3.797924435641558E-11</v>
      </c>
      <c r="U26" s="575" t="s">
        <v>1516</v>
      </c>
      <c r="V26" s="513"/>
      <c r="W26" s="513">
        <f ca="1">F.w2R</f>
        <v>0.24043257510023114</v>
      </c>
      <c r="X26" s="513">
        <f ca="1">F.w2C</f>
        <v>1.9568107354276586E-27</v>
      </c>
      <c r="Y26" s="513">
        <f ca="1">F.w2M</f>
        <v>2.7869697047548433E-27</v>
      </c>
      <c r="Z26" s="513">
        <f ca="1">F.w2A</f>
        <v>1.8926752525124902E-28</v>
      </c>
      <c r="AA26" s="575">
        <f ca="1">F.w2T</f>
        <v>1.2559303645225576E-26</v>
      </c>
      <c r="AB26" s="70"/>
      <c r="AC26" s="500"/>
      <c r="AD26" s="70"/>
      <c r="AE26" s="582" t="s">
        <v>373</v>
      </c>
      <c r="AF26" s="575" t="s">
        <v>1318</v>
      </c>
      <c r="AG26" s="576"/>
      <c r="AH26" s="573"/>
      <c r="AI26" s="573"/>
      <c r="AJ26" s="513">
        <f ca="1">(NETsedrate.w2C*SYSTEMAREA.C*AREAFRAC.w2C)*C.sd2C*Molweight</f>
        <v>0</v>
      </c>
      <c r="AK26" s="575">
        <f ca="1">KDEG.sd2C*VOLUME.sd2C*C.sd2C*Molweight</f>
        <v>1.9992257302452099E-17</v>
      </c>
      <c r="AL26" s="513"/>
      <c r="AM26" s="513"/>
      <c r="AN26" s="513"/>
      <c r="AO26" s="513"/>
      <c r="AP26" s="513"/>
      <c r="AQ26" s="513">
        <f ca="1">k.w2C.sd2C*M.w2C*Molweight</f>
        <v>1.0982913604474442E-4</v>
      </c>
      <c r="AR26" s="575">
        <f ca="1">k.sd2C.w2C*M.sd2C*Molweight</f>
        <v>1.0982913604472443E-4</v>
      </c>
      <c r="AS26" s="572">
        <f ca="1">SUM(AG26,AH26,AQ26)-SUM(AI26,AJ26,AK26,AR26)</f>
        <v>0</v>
      </c>
      <c r="AT26" s="70"/>
      <c r="AU26" s="514"/>
      <c r="AV26" s="515"/>
      <c r="AW26" s="538" t="s">
        <v>1571</v>
      </c>
      <c r="BN26" s="515"/>
      <c r="BO26" s="516"/>
      <c r="BP26" s="515"/>
      <c r="BQ26" s="560"/>
      <c r="BR26" s="543"/>
      <c r="BS26" s="603"/>
      <c r="BT26" s="543"/>
      <c r="BU26" s="515"/>
      <c r="BV26" s="515"/>
      <c r="BW26" s="515"/>
      <c r="BX26" s="515"/>
      <c r="BY26" s="604">
        <f ca="1">AK12</f>
        <v>6.8074952792835215E-29</v>
      </c>
      <c r="BZ26" s="605">
        <f ca="1">IF(ISERROR(F14),0,F14)</f>
        <v>6.9770841950728956E-13</v>
      </c>
      <c r="CA26" s="593"/>
      <c r="CB26" s="528">
        <f ca="1">AK17</f>
        <v>1.6539678694802505E-17</v>
      </c>
      <c r="CC26" s="515"/>
      <c r="CD26" s="528">
        <f ca="1">AK18</f>
        <v>3.1542046138387847E-17</v>
      </c>
      <c r="CE26" s="515"/>
      <c r="CF26" s="528">
        <f ca="1">AK19</f>
        <v>3.433851454298662E-17</v>
      </c>
      <c r="CG26" s="515"/>
      <c r="CH26" s="515"/>
      <c r="CI26" s="515"/>
      <c r="CJ26" s="500"/>
      <c r="CK26" s="481"/>
    </row>
    <row r="27" spans="1:89" ht="12.75" customHeight="1" x14ac:dyDescent="0.3">
      <c r="A27" s="70"/>
      <c r="B27" s="579" t="s">
        <v>709</v>
      </c>
      <c r="C27" s="580"/>
      <c r="D27" s="569"/>
      <c r="E27" s="581">
        <f ca="1">FRw.w2R*E26</f>
        <v>62.036428453013066</v>
      </c>
      <c r="F27" s="513">
        <f ca="1">E27/$E$50</f>
        <v>6.8604314272051421E-3</v>
      </c>
      <c r="G27" s="581">
        <f ca="1">FRw.w2C*G26</f>
        <v>31009.410616659974</v>
      </c>
      <c r="H27" s="513">
        <f ca="1">G27/$G$50</f>
        <v>0.4226403262314089</v>
      </c>
      <c r="I27" s="581">
        <f ca="1">FRw.w2M*I26</f>
        <v>140714.98983003444</v>
      </c>
      <c r="J27" s="513">
        <f ca="1">I27/$I$50</f>
        <v>3.0301198674389247E-2</v>
      </c>
      <c r="K27" s="581">
        <f ca="1">FRw.w2A*K26</f>
        <v>114250.79844228484</v>
      </c>
      <c r="L27" s="513">
        <f ca="1">K27/$K$50</f>
        <v>3.6671709067025229E-2</v>
      </c>
      <c r="M27" s="581">
        <f ca="1">FRw.w2T*M26</f>
        <v>328144.76937809226</v>
      </c>
      <c r="N27" s="575">
        <f ca="1">M27/$M$50</f>
        <v>2.8276608259453113E-2</v>
      </c>
      <c r="O27" s="569"/>
      <c r="P27" s="513">
        <f ca="1">P26*FRw.w2R</f>
        <v>620364284530130.63</v>
      </c>
      <c r="Q27" s="513">
        <f ca="1">Q26*FRw.w2C</f>
        <v>3.6627869385275531E-11</v>
      </c>
      <c r="R27" s="513">
        <f ca="1">R26*FRw.w2M</f>
        <v>3.6772134611928562E-11</v>
      </c>
      <c r="S27" s="513">
        <f ca="1">S26*FRw.w2A</f>
        <v>4.4804234683248961E-11</v>
      </c>
      <c r="T27" s="513">
        <f ca="1">T26*FRw.w2T</f>
        <v>3.6766920938721826E-11</v>
      </c>
      <c r="U27" s="575" t="s">
        <v>1516</v>
      </c>
      <c r="V27" s="513"/>
      <c r="W27" s="513">
        <f ca="1">W26*FRw.w2R</f>
        <v>0.23275780310016145</v>
      </c>
      <c r="X27" s="513">
        <f ca="1">X26*FRw.w2C</f>
        <v>1.8845500860805937E-27</v>
      </c>
      <c r="Y27" s="513">
        <f ca="1">Y26*FRw.w2M</f>
        <v>2.6980077284245636E-27</v>
      </c>
      <c r="Z27" s="513">
        <f ca="1">Z26*FRw.w2A</f>
        <v>1.8322597658541115E-28</v>
      </c>
      <c r="AA27" s="575">
        <f ca="1">AA26*FRw.w2T</f>
        <v>1.2158402095522639E-26</v>
      </c>
      <c r="AB27" s="70"/>
      <c r="AC27" s="500"/>
      <c r="AD27" s="70"/>
      <c r="AE27" s="582" t="s">
        <v>374</v>
      </c>
      <c r="AF27" s="575" t="s">
        <v>1319</v>
      </c>
      <c r="AG27" s="576">
        <f>E.s1C*Molweight</f>
        <v>3.1709791983764589E-7</v>
      </c>
      <c r="AH27" s="573"/>
      <c r="AI27" s="573"/>
      <c r="AJ27" s="513">
        <f ca="1">(FRACinf.s1C*RAINrate.C/Ks1w.C*SYSTEMAREA.C*AREAFRAC.s1C*CORRleach.s1C)*C.s1C*Molweight</f>
        <v>1.5337290762310494E-9</v>
      </c>
      <c r="AK27" s="575">
        <f ca="1">KDEG.s1C*VOLUME.s1C*C.s1C*Molweight</f>
        <v>2.679468679705385E-17</v>
      </c>
      <c r="AL27" s="513"/>
      <c r="AM27" s="513"/>
      <c r="AN27" s="513">
        <f ca="1">k.aC.s1C*M.aC*Molweight</f>
        <v>5.0274140345359614E-8</v>
      </c>
      <c r="AO27" s="513">
        <f ca="1">k.s1C.aC*M.s1C*Molweight</f>
        <v>7.0476076008401384E-23</v>
      </c>
      <c r="AP27" s="513">
        <f ca="1">k.s1C.w1C*M.s1C*Molweight</f>
        <v>3.6583833107997974E-7</v>
      </c>
      <c r="AQ27" s="513"/>
      <c r="AR27" s="575"/>
      <c r="AS27" s="572">
        <f ca="1">SUM(AG27,AH27,AN27)-SUM(AI27,AJ27,AK27,AO27,AP27,AS26)</f>
        <v>0</v>
      </c>
      <c r="AT27" s="70"/>
      <c r="AU27" s="514"/>
      <c r="AV27" s="515"/>
      <c r="AW27" s="589" t="s">
        <v>1572</v>
      </c>
      <c r="BN27" s="515"/>
      <c r="BO27" s="516"/>
      <c r="BP27" s="515"/>
      <c r="BQ27" s="577">
        <f>AG12</f>
        <v>0</v>
      </c>
      <c r="BR27" s="543"/>
      <c r="BS27" s="543"/>
      <c r="BT27" s="543"/>
      <c r="BU27" s="543"/>
      <c r="BV27" s="515"/>
      <c r="BW27" s="515"/>
      <c r="BX27" s="594"/>
      <c r="BY27" s="603"/>
      <c r="BZ27" s="515"/>
      <c r="CA27" s="593"/>
      <c r="CB27" s="593"/>
      <c r="CC27" s="515"/>
      <c r="CD27" s="593"/>
      <c r="CE27" s="515"/>
      <c r="CF27" s="593"/>
      <c r="CG27" s="593"/>
      <c r="CH27" s="515"/>
      <c r="CI27" s="515"/>
      <c r="CJ27" s="500"/>
      <c r="CK27" s="481"/>
    </row>
    <row r="28" spans="1:89" ht="12.75" customHeight="1" thickBot="1" x14ac:dyDescent="0.35">
      <c r="A28" s="70"/>
      <c r="B28" s="579" t="s">
        <v>483</v>
      </c>
      <c r="C28" s="580"/>
      <c r="D28" s="569"/>
      <c r="E28" s="581">
        <f ca="1">(1-FRw.w2R)*E26</f>
        <v>2.0455402041693369</v>
      </c>
      <c r="F28" s="513">
        <f ca="1">E28/$E$50</f>
        <v>2.2621044847744381E-4</v>
      </c>
      <c r="G28" s="581">
        <f ca="1">(1-FRw.w2C)*G26</f>
        <v>1189.0159691589079</v>
      </c>
      <c r="H28" s="513">
        <f ca="1">G28/$G$50</f>
        <v>1.6205599755246259E-2</v>
      </c>
      <c r="I28" s="581">
        <f ca="1">(1-FRw.w2M)*I26</f>
        <v>4639.8249577605193</v>
      </c>
      <c r="J28" s="513">
        <f ca="1">I28/$I$50</f>
        <v>9.9912779746712493E-4</v>
      </c>
      <c r="K28" s="581">
        <f ca="1">(1-FRw.w2A)*K26</f>
        <v>3767.2156086347077</v>
      </c>
      <c r="L28" s="513">
        <f ca="1">K28/$K$50</f>
        <v>1.2091839766213679E-3</v>
      </c>
      <c r="M28" s="581">
        <f ca="1">(1-FRw.w2T)*M26</f>
        <v>10819.986502916765</v>
      </c>
      <c r="N28" s="575">
        <f ca="1">M28/$M$50</f>
        <v>9.3237055186159404E-4</v>
      </c>
      <c r="O28" s="569"/>
      <c r="P28" s="513">
        <f ca="1">P27*Kp.susp2R</f>
        <v>4.0909664445786752E+18</v>
      </c>
      <c r="Q28" s="513">
        <f ca="1">Q27*Kp.susp2C</f>
        <v>8.7824593429476383E-8</v>
      </c>
      <c r="R28" s="513">
        <f ca="1">R27*Kp.susp2M</f>
        <v>2.4249231063788517E-7</v>
      </c>
      <c r="S28" s="513">
        <f ca="1">S27*Kp.susp2A</f>
        <v>2.954596601302201E-7</v>
      </c>
      <c r="T28" s="513">
        <f ca="1">T27*Kp.susp2T</f>
        <v>2.424579292870021E-7</v>
      </c>
      <c r="U28" s="575" t="s">
        <v>1521</v>
      </c>
      <c r="V28" s="513"/>
      <c r="W28" s="513">
        <f ca="1">W26*(1-FRw.w2R)</f>
        <v>7.6747720000696793E-3</v>
      </c>
      <c r="X28" s="513">
        <f ca="1">X26*(1-FRw.w2C)</f>
        <v>7.2260649347064975E-29</v>
      </c>
      <c r="Y28" s="513">
        <f ca="1">Y26*(1-FRw.w2M)</f>
        <v>8.8961976330279589E-29</v>
      </c>
      <c r="Z28" s="513">
        <f ca="1">Z26*(1-FRw.w2A)</f>
        <v>6.0415486658378783E-30</v>
      </c>
      <c r="AA28" s="575">
        <f ca="1">AA26*(1-FRw.w2T)</f>
        <v>4.009015497029364E-28</v>
      </c>
      <c r="AB28" s="70"/>
      <c r="AC28" s="500"/>
      <c r="AD28" s="70"/>
      <c r="AE28" s="582" t="s">
        <v>375</v>
      </c>
      <c r="AF28" s="575" t="s">
        <v>1320</v>
      </c>
      <c r="AG28" s="576">
        <f>E.s2C*Molweight</f>
        <v>3.1709791983764589E-7</v>
      </c>
      <c r="AH28" s="573"/>
      <c r="AI28" s="573"/>
      <c r="AJ28" s="513">
        <f ca="1">(FRACinf.s2C*RAINrate.C/Ks2w.C*SYSTEMAREA.C*AREAFRAC.s2C*CORRleach.s2C)*C.s2C*Molweight</f>
        <v>4.1239636321248671E-9</v>
      </c>
      <c r="AK28" s="575">
        <f ca="1">KDEG.s2C*VOLUME.s2C*C.s2C*Molweight</f>
        <v>6.9292277625657034E-17</v>
      </c>
      <c r="AL28" s="513"/>
      <c r="AM28" s="513"/>
      <c r="AN28" s="513">
        <f ca="1">k.aC.s2C*M.aC*Molweight</f>
        <v>1.117203118785769E-7</v>
      </c>
      <c r="AO28" s="513">
        <f ca="1">k.s2C.aC*M.s2C*Molweight</f>
        <v>8.2935606809810937E-23</v>
      </c>
      <c r="AP28" s="513">
        <f ca="1">k.s2C.w1C*M.s2C*Molweight</f>
        <v>4.2469426801480539E-7</v>
      </c>
      <c r="AQ28" s="513"/>
      <c r="AR28" s="575"/>
      <c r="AS28" s="572">
        <f ca="1">SUM(AG28,AH28,AN28)-SUM(AI28,AJ28,AK28,AO28,AP28,AS27)</f>
        <v>0</v>
      </c>
      <c r="AT28" s="70"/>
      <c r="AU28" s="514"/>
      <c r="AV28" s="515"/>
      <c r="AW28" s="584"/>
      <c r="AX28" s="585"/>
      <c r="AY28" s="585"/>
      <c r="AZ28" s="585"/>
      <c r="BA28" s="585"/>
      <c r="BB28" s="585"/>
      <c r="BC28" s="585"/>
      <c r="BD28" s="585"/>
      <c r="BE28" s="586"/>
      <c r="BF28" s="585"/>
      <c r="BG28" s="585"/>
      <c r="BH28" s="585"/>
      <c r="BI28" s="585"/>
      <c r="BJ28" s="585"/>
      <c r="BK28" s="585"/>
      <c r="BL28" s="585"/>
      <c r="BM28" s="586"/>
      <c r="BN28" s="515"/>
      <c r="BO28" s="516"/>
      <c r="BP28" s="515"/>
      <c r="BQ28" s="577">
        <f>AG13</f>
        <v>3.1709791983764589E-7</v>
      </c>
      <c r="BR28" s="543"/>
      <c r="BS28" s="603"/>
      <c r="BT28" s="515"/>
      <c r="BU28" s="543"/>
      <c r="BV28" s="515"/>
      <c r="BW28" s="602" t="s">
        <v>443</v>
      </c>
      <c r="BX28" s="594"/>
      <c r="BY28" s="603"/>
      <c r="BZ28" s="515"/>
      <c r="CA28" s="593"/>
      <c r="CB28" s="593"/>
      <c r="CC28" s="515"/>
      <c r="CD28" s="593"/>
      <c r="CE28" s="515"/>
      <c r="CF28" s="593"/>
      <c r="CG28" s="593"/>
      <c r="CH28" s="515"/>
      <c r="CI28" s="515"/>
      <c r="CJ28" s="500"/>
      <c r="CK28" s="481"/>
    </row>
    <row r="29" spans="1:89" ht="12.75" customHeight="1" x14ac:dyDescent="0.3">
      <c r="A29" s="70"/>
      <c r="B29" s="579"/>
      <c r="C29" s="580"/>
      <c r="D29" s="569"/>
      <c r="E29" s="581"/>
      <c r="F29" s="513"/>
      <c r="G29" s="581"/>
      <c r="H29" s="513"/>
      <c r="I29" s="581"/>
      <c r="J29" s="513"/>
      <c r="K29" s="581"/>
      <c r="L29" s="513"/>
      <c r="M29" s="581"/>
      <c r="N29" s="575"/>
      <c r="O29" s="569"/>
      <c r="P29" s="513"/>
      <c r="Q29" s="513"/>
      <c r="R29" s="513"/>
      <c r="S29" s="513"/>
      <c r="T29" s="513"/>
      <c r="U29" s="575"/>
      <c r="V29" s="513"/>
      <c r="W29" s="513"/>
      <c r="X29" s="513"/>
      <c r="Y29" s="513"/>
      <c r="Z29" s="513"/>
      <c r="AA29" s="575"/>
      <c r="AB29" s="70"/>
      <c r="AC29" s="500"/>
      <c r="AD29" s="70"/>
      <c r="AE29" s="582" t="s">
        <v>376</v>
      </c>
      <c r="AF29" s="575" t="s">
        <v>510</v>
      </c>
      <c r="AG29" s="576">
        <f>E.s3C*Molweight</f>
        <v>3.1709791983764589E-7</v>
      </c>
      <c r="AH29" s="573"/>
      <c r="AI29" s="573"/>
      <c r="AJ29" s="513">
        <f ca="1">(FRACinf.s3C*RAINrate.C/Ks3w.C*SYSTEMAREA.C*AREAFRAC.s3C*CORRleach.s3C)*C.s3C*Molweight</f>
        <v>3.9246162888099392E-9</v>
      </c>
      <c r="AK29" s="575">
        <f ca="1">KDEG.s3C*VOLUME.s3C*C.s3C*Molweight</f>
        <v>1.963210682050014E-17</v>
      </c>
      <c r="AL29" s="513"/>
      <c r="AM29" s="513"/>
      <c r="AN29" s="513">
        <f ca="1">k.aC.s3C*M.aC*Molweight</f>
        <v>1.8620051979762819E-8</v>
      </c>
      <c r="AO29" s="513">
        <f ca="1">k.s3C.aC*M.s3C*Molweight</f>
        <v>5.1636873495336138E-23</v>
      </c>
      <c r="AP29" s="513">
        <f ca="1">k.s3C.w1C*M.s3C*Molweight</f>
        <v>3.3179335550896656E-7</v>
      </c>
      <c r="AQ29" s="513"/>
      <c r="AR29" s="575"/>
      <c r="AS29" s="572">
        <f ca="1">SUM(AG29,AH29,AN29)-SUM(AI29,AJ29,AK29,AO29,AP29,AS28)</f>
        <v>0</v>
      </c>
      <c r="AT29" s="70"/>
      <c r="AU29" s="514"/>
      <c r="AV29" s="515"/>
      <c r="AW29" s="538" t="s">
        <v>1573</v>
      </c>
      <c r="BN29" s="515"/>
      <c r="BO29" s="516"/>
      <c r="BP29" s="515"/>
      <c r="BQ29" s="577">
        <f>AG14</f>
        <v>0</v>
      </c>
      <c r="BR29" s="543"/>
      <c r="BS29" s="515"/>
      <c r="BT29" s="543"/>
      <c r="BU29" s="543"/>
      <c r="BV29" s="515"/>
      <c r="BW29" s="606">
        <f ca="1">IF(ISERROR(F18),0,F18)</f>
        <v>1.3127987752851124E-3</v>
      </c>
      <c r="BX29" s="594"/>
      <c r="BY29" s="603"/>
      <c r="BZ29" s="515"/>
      <c r="CA29" s="593"/>
      <c r="CB29" s="602" t="s">
        <v>1747</v>
      </c>
      <c r="CC29" s="515"/>
      <c r="CD29" s="602" t="s">
        <v>1748</v>
      </c>
      <c r="CE29" s="515"/>
      <c r="CF29" s="602" t="s">
        <v>448</v>
      </c>
      <c r="CG29" s="515"/>
      <c r="CH29" s="515"/>
      <c r="CI29" s="515"/>
      <c r="CJ29" s="500"/>
      <c r="CK29" s="481"/>
    </row>
    <row r="30" spans="1:89" ht="12.75" customHeight="1" x14ac:dyDescent="0.35">
      <c r="A30" s="70"/>
      <c r="B30" s="590" t="s">
        <v>805</v>
      </c>
      <c r="C30" s="580"/>
      <c r="D30" s="569"/>
      <c r="E30" s="581"/>
      <c r="F30" s="513"/>
      <c r="G30" s="581"/>
      <c r="H30" s="513"/>
      <c r="I30" s="581">
        <f ca="1">C.w3M*VOLUME.w3M*Molweight</f>
        <v>4360581.8008310962</v>
      </c>
      <c r="J30" s="513">
        <f ca="1">I30/$I$50</f>
        <v>0.93899630481803065</v>
      </c>
      <c r="K30" s="581">
        <f ca="1">C.w3A*VOLUME.w3A*Molweight</f>
        <v>2905726.1248881216</v>
      </c>
      <c r="L30" s="513">
        <f ca="1">K30/$K$50</f>
        <v>0.93266694441685527</v>
      </c>
      <c r="M30" s="581">
        <f ca="1">C.w3T*VOLUME.w3T*Molweight</f>
        <v>10921024.954737185</v>
      </c>
      <c r="N30" s="575">
        <f ca="1">M30/$M$50</f>
        <v>0.94107715025315863</v>
      </c>
      <c r="O30" s="569"/>
      <c r="P30" s="513"/>
      <c r="Q30" s="513"/>
      <c r="R30" s="513">
        <f ca="1">C.w3M*Molweight</f>
        <v>3.7984084273269086E-11</v>
      </c>
      <c r="S30" s="513">
        <f ca="1">C.w3A*Molweight</f>
        <v>3.7983348037753222E-11</v>
      </c>
      <c r="T30" s="513">
        <f ca="1">C.w3T*Molweight</f>
        <v>4.078814175438724E-11</v>
      </c>
      <c r="U30" s="575" t="s">
        <v>1516</v>
      </c>
      <c r="V30" s="513"/>
      <c r="W30" s="513"/>
      <c r="X30" s="513"/>
      <c r="Y30" s="513">
        <f ca="1">F.w3M</f>
        <v>2.7869296685639202E-27</v>
      </c>
      <c r="Z30" s="513">
        <f ca="1">F.w3A</f>
        <v>1.5533210392728504E-28</v>
      </c>
      <c r="AA30" s="575">
        <f ca="1">F.w3T</f>
        <v>1.3488174030279743E-26</v>
      </c>
      <c r="AB30" s="70"/>
      <c r="AC30" s="500"/>
      <c r="AD30" s="70"/>
      <c r="AE30" s="570" t="s">
        <v>368</v>
      </c>
      <c r="AF30" s="571"/>
      <c r="AG30" s="572"/>
      <c r="AH30" s="573"/>
      <c r="AI30" s="573"/>
      <c r="AJ30" s="573"/>
      <c r="AK30" s="574"/>
      <c r="AL30" s="513"/>
      <c r="AM30" s="513"/>
      <c r="AN30" s="513"/>
      <c r="AO30" s="513"/>
      <c r="AP30" s="513"/>
      <c r="AQ30" s="513"/>
      <c r="AR30" s="575"/>
      <c r="AS30" s="576"/>
      <c r="AT30" s="70"/>
      <c r="AU30" s="514"/>
      <c r="AV30" s="515"/>
      <c r="AW30" s="589" t="s">
        <v>1574</v>
      </c>
      <c r="BN30" s="515"/>
      <c r="BO30" s="516"/>
      <c r="BP30" s="515"/>
      <c r="BQ30" s="515"/>
      <c r="BR30" s="526"/>
      <c r="BS30" s="515"/>
      <c r="BT30" s="543"/>
      <c r="BU30" s="515"/>
      <c r="BV30" s="607">
        <f ca="1">AK13</f>
        <v>1.2015919312620035E-19</v>
      </c>
      <c r="BW30" s="515"/>
      <c r="BX30" s="515"/>
      <c r="BY30" s="594"/>
      <c r="BZ30" s="515"/>
      <c r="CA30" s="593"/>
      <c r="CB30" s="606">
        <f ca="1">IF(ISERROR(F38),0,F38)</f>
        <v>0.16895991137779315</v>
      </c>
      <c r="CC30" s="515"/>
      <c r="CD30" s="606">
        <f ca="1">IF(ISERROR(F42),0,F42)</f>
        <v>0.32221552900486439</v>
      </c>
      <c r="CE30" s="515"/>
      <c r="CF30" s="602">
        <f ca="1">IF(ISERROR(F46),0,F46)</f>
        <v>0.35078265310264295</v>
      </c>
      <c r="CG30" s="515"/>
      <c r="CH30" s="515"/>
      <c r="CI30" s="515"/>
      <c r="CJ30" s="500"/>
      <c r="CK30" s="481"/>
    </row>
    <row r="31" spans="1:89" ht="12.75" customHeight="1" thickBot="1" x14ac:dyDescent="0.35">
      <c r="A31" s="70"/>
      <c r="B31" s="579" t="s">
        <v>709</v>
      </c>
      <c r="C31" s="580"/>
      <c r="D31" s="569"/>
      <c r="E31" s="581"/>
      <c r="F31" s="513"/>
      <c r="G31" s="581"/>
      <c r="H31" s="513"/>
      <c r="I31" s="581">
        <f ca="1">FRw.w3M*I30</f>
        <v>4221389.0516993264</v>
      </c>
      <c r="J31" s="513">
        <f ca="1">I31/$I$50</f>
        <v>0.90902290148288756</v>
      </c>
      <c r="K31" s="581">
        <f ca="1">FRw.w3A*K30</f>
        <v>2812973.3625227655</v>
      </c>
      <c r="L31" s="513">
        <f ca="1">K31/$K$50</f>
        <v>0.90289557858833969</v>
      </c>
      <c r="M31" s="581">
        <f ca="1">FRw.w3T*M30</f>
        <v>10572418.379693275</v>
      </c>
      <c r="N31" s="575">
        <f ca="1">M31/$M$50</f>
        <v>0.91103732491061773</v>
      </c>
      <c r="O31" s="569"/>
      <c r="P31" s="513"/>
      <c r="Q31" s="513"/>
      <c r="R31" s="513">
        <f ca="1">R30*FRw.w3M</f>
        <v>3.6771606362123958E-11</v>
      </c>
      <c r="S31" s="513">
        <f ca="1">S30*FRw.w3A</f>
        <v>3.6770893627748573E-11</v>
      </c>
      <c r="T31" s="513">
        <f ca="1">T30*FRw.w3T</f>
        <v>3.9486156413420258E-11</v>
      </c>
      <c r="U31" s="575" t="s">
        <v>1516</v>
      </c>
      <c r="V31" s="513"/>
      <c r="W31" s="513"/>
      <c r="X31" s="513"/>
      <c r="Y31" s="513">
        <f ca="1">Y30*FRw.w3M</f>
        <v>2.6979689702161973E-27</v>
      </c>
      <c r="Z31" s="513">
        <f ca="1">Z30*FRw.w3A</f>
        <v>1.5037379708622548E-28</v>
      </c>
      <c r="AA31" s="575">
        <f ca="1">AA30*FRw.w3T</f>
        <v>1.3057622303516001E-26</v>
      </c>
      <c r="AB31" s="70"/>
      <c r="AC31" s="500"/>
      <c r="AD31" s="70"/>
      <c r="AE31" s="582" t="s">
        <v>366</v>
      </c>
      <c r="AF31" s="575" t="s">
        <v>512</v>
      </c>
      <c r="AG31" s="576">
        <f>E.aM*Molweight</f>
        <v>0</v>
      </c>
      <c r="AH31" s="513">
        <f ca="1">(k.aC.aM*M.aC+k.aA.aM*M.aA+k.aT.aM*M.aT)*Molweight</f>
        <v>5.4286996987270409E-8</v>
      </c>
      <c r="AI31" s="513">
        <f ca="1">(k.aM.aA+k.aM.aC+k.aM.aT)*M.aM*Molweight</f>
        <v>5.2775231395060943E-9</v>
      </c>
      <c r="AJ31" s="513">
        <f ca="1">kesc.aM*VOLUME.aM*C.aM*Molweight</f>
        <v>2.2503126104294153E-12</v>
      </c>
      <c r="AK31" s="575">
        <f ca="1">KDEG.aM*VOLUME.aM*C.aM*Molweight</f>
        <v>4.9789179164048412E-33</v>
      </c>
      <c r="AL31" s="513">
        <f ca="1">SUM(AL32,AN35)</f>
        <v>4.9007223535172143E-8</v>
      </c>
      <c r="AM31" s="513">
        <f ca="1">SUM(AM32,AO35)</f>
        <v>1.822936503511823E-20</v>
      </c>
      <c r="AN31" s="513"/>
      <c r="AO31" s="513"/>
      <c r="AP31" s="513"/>
      <c r="AQ31" s="513"/>
      <c r="AR31" s="575"/>
      <c r="AS31" s="572">
        <f ca="1">SUM(AG31,AH31,AM31,AO31)-SUM(AI31,AJ31,AK31,AL31,AN31)</f>
        <v>0</v>
      </c>
      <c r="AT31" s="70"/>
      <c r="AU31" s="514"/>
      <c r="AV31" s="515"/>
      <c r="AW31" s="608" t="s">
        <v>770</v>
      </c>
      <c r="BN31" s="515"/>
      <c r="BO31" s="516"/>
      <c r="BP31" s="515"/>
      <c r="BQ31" s="515"/>
      <c r="BR31" s="515"/>
      <c r="BS31" s="515"/>
      <c r="BT31" s="543"/>
      <c r="BU31" s="515"/>
      <c r="BV31" s="515"/>
      <c r="BW31" s="598">
        <f ca="1">IF(AR15&lt;0,"",AR15)</f>
        <v>7.0576253700562823E-6</v>
      </c>
      <c r="BX31" s="515"/>
      <c r="BY31" s="515"/>
      <c r="BZ31" s="515"/>
      <c r="CA31" s="515"/>
      <c r="CB31" s="515"/>
      <c r="CC31" s="515"/>
      <c r="CD31" s="515"/>
      <c r="CE31" s="515"/>
      <c r="CF31" s="515"/>
      <c r="CG31" s="515"/>
      <c r="CH31" s="515"/>
      <c r="CI31" s="515"/>
      <c r="CJ31" s="500"/>
      <c r="CK31" s="481"/>
    </row>
    <row r="32" spans="1:89" ht="12.75" customHeight="1" thickBot="1" x14ac:dyDescent="0.4">
      <c r="A32" s="70"/>
      <c r="B32" s="579" t="s">
        <v>483</v>
      </c>
      <c r="C32" s="580"/>
      <c r="D32" s="569"/>
      <c r="E32" s="581"/>
      <c r="F32" s="513"/>
      <c r="G32" s="581"/>
      <c r="H32" s="513"/>
      <c r="I32" s="581">
        <f ca="1">(1-FRw.w3M)*I30</f>
        <v>139192.74913176996</v>
      </c>
      <c r="J32" s="513">
        <f ca="1">I32/$I$50</f>
        <v>2.997340333514311E-2</v>
      </c>
      <c r="K32" s="581">
        <f ca="1">(1-FRw.w3A)*K30</f>
        <v>92752.762365355913</v>
      </c>
      <c r="L32" s="513">
        <f ca="1">K32/$K$50</f>
        <v>2.977136582851557E-2</v>
      </c>
      <c r="M32" s="581">
        <f ca="1">(1-FRw.w3T)*M30</f>
        <v>348606.57504390966</v>
      </c>
      <c r="N32" s="575">
        <f ca="1">M32/$M$50</f>
        <v>3.0039825342540967E-2</v>
      </c>
      <c r="O32" s="569"/>
      <c r="P32" s="513"/>
      <c r="Q32" s="513"/>
      <c r="R32" s="513">
        <f ca="1">R31*Kp.susp3M</f>
        <v>2.4248882711654319E-7</v>
      </c>
      <c r="S32" s="513">
        <f ca="1">S31*Kp.susp3A</f>
        <v>2.4248412701938041E-7</v>
      </c>
      <c r="T32" s="513">
        <f ca="1">T31*Kp.susp3T</f>
        <v>2.6038981440563834E-7</v>
      </c>
      <c r="U32" s="575" t="s">
        <v>1521</v>
      </c>
      <c r="V32" s="513"/>
      <c r="W32" s="513"/>
      <c r="X32" s="513"/>
      <c r="Y32" s="513">
        <f ca="1">Y30*(1-FRw.w3M)</f>
        <v>8.8960698347722694E-29</v>
      </c>
      <c r="Z32" s="513">
        <f ca="1">Z30*(1-FRw.w3A)</f>
        <v>4.9583068410595519E-30</v>
      </c>
      <c r="AA32" s="575">
        <f ca="1">AA30*(1-FRw.w3T)</f>
        <v>4.3055172676374352E-28</v>
      </c>
      <c r="AB32" s="70"/>
      <c r="AC32" s="500"/>
      <c r="AD32" s="70"/>
      <c r="AE32" s="582" t="s">
        <v>377</v>
      </c>
      <c r="AF32" s="575" t="s">
        <v>1505</v>
      </c>
      <c r="AG32" s="576">
        <f>E.w2M*Molweight</f>
        <v>0</v>
      </c>
      <c r="AH32" s="513">
        <f ca="1">(k.w2C.w2M*M.w2C+k.w2A.w2M*M.w2A+k.w2T.w2M*M.w2T+k.w3M.w2M*M.w3M)*Molweight</f>
        <v>4.3003197691228616E-2</v>
      </c>
      <c r="AI32" s="513">
        <f ca="1">(k.w2M.w2C+k.w2M.w2A+k.w2M.w2T+k.w2M.w3M)*M.w2M*Molweight</f>
        <v>4.3003246576299857E-2</v>
      </c>
      <c r="AJ32" s="573"/>
      <c r="AK32" s="575">
        <f ca="1">KDEG.w2M*VOLUME.w2M*C.w2M*Molweight</f>
        <v>5.714804384634439E-16</v>
      </c>
      <c r="AL32" s="513">
        <f ca="1">k.aM.w2M*M.aM*Molweight</f>
        <v>2.4503611768213306E-8</v>
      </c>
      <c r="AM32" s="513">
        <f ca="1">k.w2M.aM*M.w2M*Molweight</f>
        <v>1.8221424004916688E-20</v>
      </c>
      <c r="AN32" s="513"/>
      <c r="AO32" s="513"/>
      <c r="AP32" s="513">
        <f ca="1">k.sM.w2M*M.sM*Molweight</f>
        <v>2.4381460054195096E-8</v>
      </c>
      <c r="AQ32" s="513"/>
      <c r="AR32" s="575"/>
      <c r="AS32" s="572">
        <f ca="1">SUM(AG32,AH32,AL32,AP32)-SUM(AI32,AJ32,AK32,AM32)</f>
        <v>0</v>
      </c>
      <c r="AT32" s="70"/>
      <c r="AU32" s="514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515"/>
      <c r="BK32" s="515"/>
      <c r="BL32" s="515"/>
      <c r="BM32" s="515"/>
      <c r="BN32" s="515"/>
      <c r="BO32" s="516"/>
      <c r="BP32" s="515"/>
      <c r="BQ32" s="515"/>
      <c r="BR32" s="515"/>
      <c r="BS32" s="607">
        <f ca="1">AK14</f>
        <v>6.7157546774501907E-19</v>
      </c>
      <c r="BT32" s="543"/>
      <c r="BU32" s="515"/>
      <c r="BV32" s="515"/>
      <c r="BW32" s="609"/>
      <c r="BX32" s="515"/>
      <c r="BY32" s="515"/>
      <c r="BZ32" s="515"/>
      <c r="CA32" s="593"/>
      <c r="CB32" s="515"/>
      <c r="CC32" s="515"/>
      <c r="CD32" s="515"/>
      <c r="CE32" s="515"/>
      <c r="CF32" s="515"/>
      <c r="CG32" s="515"/>
      <c r="CH32" s="515"/>
      <c r="CI32" s="515"/>
      <c r="CJ32" s="500"/>
      <c r="CK32" s="481"/>
    </row>
    <row r="33" spans="1:89" ht="12.75" customHeight="1" x14ac:dyDescent="0.3">
      <c r="A33" s="70"/>
      <c r="B33" s="579"/>
      <c r="C33" s="580"/>
      <c r="D33" s="569"/>
      <c r="E33" s="581"/>
      <c r="F33" s="513"/>
      <c r="G33" s="581"/>
      <c r="H33" s="513"/>
      <c r="I33" s="581"/>
      <c r="J33" s="513"/>
      <c r="K33" s="581"/>
      <c r="L33" s="513"/>
      <c r="M33" s="581"/>
      <c r="N33" s="575"/>
      <c r="O33" s="569"/>
      <c r="P33" s="513"/>
      <c r="Q33" s="513"/>
      <c r="R33" s="513"/>
      <c r="S33" s="513"/>
      <c r="T33" s="513"/>
      <c r="U33" s="575"/>
      <c r="V33" s="513"/>
      <c r="W33" s="513"/>
      <c r="X33" s="513"/>
      <c r="Y33" s="513"/>
      <c r="Z33" s="513"/>
      <c r="AA33" s="575"/>
      <c r="AB33" s="70"/>
      <c r="AC33" s="500"/>
      <c r="AD33" s="70"/>
      <c r="AE33" s="582" t="s">
        <v>378</v>
      </c>
      <c r="AF33" s="575" t="s">
        <v>1506</v>
      </c>
      <c r="AG33" s="576"/>
      <c r="AH33" s="513">
        <f ca="1">(k.w2M.w3M*M.w2M+k.w3A.w3M*M.w3A+k.w3T.w3M*M.w3T)*Molweight</f>
        <v>4.1983331121878853E-2</v>
      </c>
      <c r="AI33" s="513">
        <f ca="1">(k.w3M.w2M+k.w3M.w3A+k.w3M.w3T)*M.w3M*Molweight</f>
        <v>4.1982920293422196E-2</v>
      </c>
      <c r="AJ33" s="573"/>
      <c r="AK33" s="575">
        <f ca="1">KDEG.w3M*VOLUME.w3M*C.w3M*Molweight</f>
        <v>1.714416686597377E-14</v>
      </c>
      <c r="AL33" s="513"/>
      <c r="AM33" s="513"/>
      <c r="AN33" s="513"/>
      <c r="AO33" s="513"/>
      <c r="AP33" s="513"/>
      <c r="AQ33" s="513">
        <f ca="1">k.w3M.sdM*M.w3M*Molweight</f>
        <v>1.3811882916444243E-3</v>
      </c>
      <c r="AR33" s="575">
        <f ca="1">k.sdM.w3M*M.sdM*Molweight</f>
        <v>1.3807774632049053E-3</v>
      </c>
      <c r="AS33" s="572">
        <f ca="1">SUM(AG33,AH33,AL33,AP33,AR33)-SUM(AI33,AJ33,AK33,AM33,AQ33)</f>
        <v>0</v>
      </c>
      <c r="AT33" s="70"/>
      <c r="AU33" s="514"/>
      <c r="AV33" s="515"/>
      <c r="AW33" s="538"/>
      <c r="AX33" s="539" t="s">
        <v>512</v>
      </c>
      <c r="AY33" s="539" t="s">
        <v>1505</v>
      </c>
      <c r="AZ33" s="539" t="s">
        <v>1506</v>
      </c>
      <c r="BA33" s="539" t="s">
        <v>513</v>
      </c>
      <c r="BB33" s="540" t="s">
        <v>518</v>
      </c>
      <c r="BC33" s="541" t="s">
        <v>514</v>
      </c>
      <c r="BD33" s="539" t="s">
        <v>1507</v>
      </c>
      <c r="BE33" s="539" t="s">
        <v>1508</v>
      </c>
      <c r="BF33" s="539" t="s">
        <v>515</v>
      </c>
      <c r="BG33" s="540" t="s">
        <v>519</v>
      </c>
      <c r="BH33" s="541" t="s">
        <v>516</v>
      </c>
      <c r="BI33" s="539" t="s">
        <v>1509</v>
      </c>
      <c r="BJ33" s="539" t="s">
        <v>1510</v>
      </c>
      <c r="BK33" s="539" t="s">
        <v>517</v>
      </c>
      <c r="BL33" s="540" t="s">
        <v>520</v>
      </c>
      <c r="BM33" s="610" t="s">
        <v>1564</v>
      </c>
      <c r="BN33" s="515"/>
      <c r="BO33" s="516"/>
      <c r="BP33" s="515"/>
      <c r="BQ33" s="515"/>
      <c r="BR33" s="515"/>
      <c r="BS33" s="515"/>
      <c r="BT33" s="515"/>
      <c r="BU33" s="515"/>
      <c r="BV33" s="515"/>
      <c r="BW33" s="598">
        <f ca="1">IF(AQ15&lt;0,"",AQ15)</f>
        <v>7.9897636639041138E-6</v>
      </c>
      <c r="BX33" s="515"/>
      <c r="BY33" s="515"/>
      <c r="BZ33" s="515"/>
      <c r="CA33" s="593"/>
      <c r="CB33" s="515"/>
      <c r="CC33" s="515"/>
      <c r="CD33" s="515"/>
      <c r="CE33" s="515"/>
      <c r="CF33" s="515"/>
      <c r="CG33" s="515"/>
      <c r="CH33" s="611">
        <f>AG19</f>
        <v>3.1709791983764589E-7</v>
      </c>
      <c r="CI33" s="515"/>
      <c r="CJ33" s="500"/>
      <c r="CK33" s="481"/>
    </row>
    <row r="34" spans="1:89" ht="12.75" customHeight="1" thickBot="1" x14ac:dyDescent="0.4">
      <c r="A34" s="70"/>
      <c r="B34" s="590" t="s">
        <v>445</v>
      </c>
      <c r="C34" s="580"/>
      <c r="D34" s="569"/>
      <c r="E34" s="581">
        <f ca="1">C.sd2R*VOLUME.sd2R*Molweight</f>
        <v>592.38567332274272</v>
      </c>
      <c r="F34" s="513">
        <f ca="1">E34/$E$50</f>
        <v>6.5510239574277679E-2</v>
      </c>
      <c r="G34" s="581">
        <f ca="1">C.sd2C*VOLUME.sd2C*Molweight</f>
        <v>6018.9502492116017</v>
      </c>
      <c r="H34" s="513">
        <f ca="1">G34/$G$50</f>
        <v>8.2034809637133624E-2</v>
      </c>
      <c r="I34" s="581">
        <f ca="1">C.sdM*VOLUME.sdM*Molweight</f>
        <v>137680.12148990025</v>
      </c>
      <c r="J34" s="513">
        <f ca="1">I34/$I$50</f>
        <v>2.9647678046373031E-2</v>
      </c>
      <c r="K34" s="581">
        <f ca="1">C.sdA*VOLUME.sdA*Molweight</f>
        <v>91744.804744828245</v>
      </c>
      <c r="L34" s="513">
        <f ca="1">K34/$K$50</f>
        <v>2.9447836110423016E-2</v>
      </c>
      <c r="M34" s="581">
        <f ca="1">C.sdT*VOLUME.sdT*Molweight</f>
        <v>344818.21721013938</v>
      </c>
      <c r="N34" s="575">
        <f ca="1">M34/$M$50</f>
        <v>2.971337823623733E-2</v>
      </c>
      <c r="O34" s="569"/>
      <c r="P34" s="513">
        <f ca="1">C.sd2R*(Molweight*1000)/(FRACw.sdR*1000+FRACs.sdR*RHOsolid)</f>
        <v>1.520387331223116E+18</v>
      </c>
      <c r="Q34" s="513">
        <f ca="1">C.sd2C*(Molweight*1000)/(FRACw.sdC*1000+FRACs.sdC*RHOsolid)</f>
        <v>2.450030695835083E-8</v>
      </c>
      <c r="R34" s="513">
        <f ca="1">C.sdM*(Molweight*1000)/(FRACw.sdM*1000+FRACs.sdM*RHOsolid)</f>
        <v>9.1659890814994045E-8</v>
      </c>
      <c r="S34" s="513">
        <f ca="1">C.sdA*(Molweight*1000)/(FRACw.sdA*1000+FRACs.sdA*RHOsolid)</f>
        <v>9.1658114195465455E-8</v>
      </c>
      <c r="T34" s="513">
        <f ca="1">C.sdT*(Molweight*1000)/(FRACw.sdT*1000+FRACs.sdT*RHOsolid)</f>
        <v>9.8426398616181647E-8</v>
      </c>
      <c r="U34" s="575" t="s">
        <v>1522</v>
      </c>
      <c r="V34" s="513"/>
      <c r="W34" s="513">
        <f ca="1">F.sd2R</f>
        <v>0.45601184675659145</v>
      </c>
      <c r="X34" s="513">
        <f ca="1">F.sd2C</f>
        <v>2.5864463623853094E-27</v>
      </c>
      <c r="Y34" s="513">
        <f ca="1">F.sdM</f>
        <v>5.2464896446092995E-27</v>
      </c>
      <c r="Z34" s="513">
        <f ca="1">F.sdA</f>
        <v>2.9241795511476617E-28</v>
      </c>
      <c r="AA34" s="575">
        <f ca="1">F.sdT</f>
        <v>2.5391945183522957E-26</v>
      </c>
      <c r="AB34" s="70"/>
      <c r="AC34" s="500"/>
      <c r="AD34" s="70"/>
      <c r="AE34" s="582" t="s">
        <v>379</v>
      </c>
      <c r="AF34" s="575" t="s">
        <v>513</v>
      </c>
      <c r="AG34" s="576"/>
      <c r="AH34" s="573"/>
      <c r="AI34" s="573"/>
      <c r="AJ34" s="513">
        <f ca="1">(NETsedrate.wM*SYSTEMAREA.M*AREAFRAC.wM)*C.sdM*Molweight</f>
        <v>4.1082843895974209E-7</v>
      </c>
      <c r="AK34" s="575">
        <f ca="1">KDEG.sdM*VOLUME.sdM*C.sdM*Molweight</f>
        <v>5.5915504305394563E-16</v>
      </c>
      <c r="AL34" s="513"/>
      <c r="AM34" s="513"/>
      <c r="AN34" s="513"/>
      <c r="AO34" s="513"/>
      <c r="AP34" s="513"/>
      <c r="AQ34" s="513">
        <f ca="1">k.w3M.sdM*M.w3M*Molweight</f>
        <v>1.3811882916444243E-3</v>
      </c>
      <c r="AR34" s="575">
        <f ca="1">k.sdM.w3M*M.sdM*Molweight</f>
        <v>1.3807774632049053E-3</v>
      </c>
      <c r="AS34" s="572">
        <f ca="1">SUM(AG34,AH34,AQ34)-SUM(AI34,AJ34,AK34,AR34)</f>
        <v>0</v>
      </c>
      <c r="AT34" s="70"/>
      <c r="AU34" s="514"/>
      <c r="AV34" s="515"/>
      <c r="AW34" s="556"/>
      <c r="AX34" s="557"/>
      <c r="AY34" s="557"/>
      <c r="AZ34" s="557"/>
      <c r="BA34" s="557"/>
      <c r="BB34" s="558"/>
      <c r="BC34" s="559"/>
      <c r="BD34" s="557"/>
      <c r="BE34" s="557"/>
      <c r="BF34" s="557"/>
      <c r="BG34" s="558"/>
      <c r="BH34" s="559"/>
      <c r="BI34" s="557"/>
      <c r="BJ34" s="557"/>
      <c r="BK34" s="557"/>
      <c r="BL34" s="558"/>
      <c r="BM34" s="556"/>
      <c r="BN34" s="515"/>
      <c r="BO34" s="516"/>
      <c r="BP34" s="515"/>
      <c r="BQ34" s="515"/>
      <c r="BR34" s="515"/>
      <c r="BS34" s="515"/>
      <c r="BT34" s="515"/>
      <c r="BU34" s="515"/>
      <c r="BV34" s="607">
        <f ca="1">AK15</f>
        <v>8.2357882150929932E-18</v>
      </c>
      <c r="BW34" s="526"/>
      <c r="BX34" s="515"/>
      <c r="BY34" s="515"/>
      <c r="BZ34" s="515"/>
      <c r="CA34" s="515"/>
      <c r="CB34" s="515"/>
      <c r="CC34" s="515"/>
      <c r="CD34" s="515"/>
      <c r="CE34" s="515"/>
      <c r="CF34" s="515"/>
      <c r="CG34" s="515"/>
      <c r="CH34" s="611">
        <f>AG18</f>
        <v>3.1709791983764589E-7</v>
      </c>
      <c r="CI34" s="515"/>
      <c r="CJ34" s="500"/>
      <c r="CK34" s="481"/>
    </row>
    <row r="35" spans="1:89" ht="12.75" customHeight="1" x14ac:dyDescent="0.3">
      <c r="A35" s="70"/>
      <c r="B35" s="579" t="s">
        <v>711</v>
      </c>
      <c r="C35" s="580"/>
      <c r="D35" s="569"/>
      <c r="E35" s="581">
        <f ca="1">E34*FRACw.sdR</f>
        <v>477.62137573967823</v>
      </c>
      <c r="F35" s="513">
        <f ca="1">E35/$E$50</f>
        <v>5.2818783707241253E-2</v>
      </c>
      <c r="G35" s="581">
        <f ca="1">G34*FRACw.sdC</f>
        <v>5184.9901799040645</v>
      </c>
      <c r="H35" s="513">
        <f ca="1">G35/$G$50</f>
        <v>7.0668416379509366E-2</v>
      </c>
      <c r="I35" s="581">
        <f ca="1">I34*FRACw.sdM</f>
        <v>110144.09719192021</v>
      </c>
      <c r="J35" s="513">
        <f ca="1">I35/$I$50</f>
        <v>2.3718142437098428E-2</v>
      </c>
      <c r="K35" s="581">
        <f ca="1">K34*FRACw.sdA</f>
        <v>73395.843795862602</v>
      </c>
      <c r="L35" s="513">
        <f ca="1">K35/$K$50</f>
        <v>2.3558268888338414E-2</v>
      </c>
      <c r="M35" s="581">
        <f ca="1">M34*FRACw.sdT</f>
        <v>275854.57376811153</v>
      </c>
      <c r="N35" s="575">
        <f ca="1">M35/$M$50</f>
        <v>2.3770702588989865E-2</v>
      </c>
      <c r="O35" s="569"/>
      <c r="P35" s="513">
        <f ca="1">P36/Kp.sd2R</f>
        <v>1215398406766540.5</v>
      </c>
      <c r="Q35" s="513">
        <f ca="1">Q36/Kp.sd2C</f>
        <v>5.0269833756712739E-11</v>
      </c>
      <c r="R35" s="513">
        <f ca="1">R36/Kp.sdM</f>
        <v>7.1506327212900922E-11</v>
      </c>
      <c r="S35" s="513">
        <f ca="1">S36/Kp.sdA</f>
        <v>7.1504941224588985E-11</v>
      </c>
      <c r="T35" s="513">
        <f ca="1">T36/Kp.sdT</f>
        <v>7.6785060545640391E-11</v>
      </c>
      <c r="U35" s="575" t="s">
        <v>1516</v>
      </c>
      <c r="V35" s="513"/>
      <c r="W35" s="513">
        <f ca="1">W34*FRACw.sdR</f>
        <v>0.36766757774510272</v>
      </c>
      <c r="X35" s="513">
        <f ca="1">X34*FRACw.sdC</f>
        <v>2.2280793883573024E-27</v>
      </c>
      <c r="Y35" s="513">
        <f ca="1">Y34*FRACw.sdM</f>
        <v>4.1971917156874399E-27</v>
      </c>
      <c r="Z35" s="513">
        <f ca="1">Z34*FRACw.sdA</f>
        <v>2.3393436409181294E-28</v>
      </c>
      <c r="AA35" s="575">
        <f ca="1">AA34*FRACw.sdT</f>
        <v>2.0313556146818367E-26</v>
      </c>
      <c r="AB35" s="70"/>
      <c r="AC35" s="500"/>
      <c r="AD35" s="70"/>
      <c r="AE35" s="582" t="s">
        <v>380</v>
      </c>
      <c r="AF35" s="575" t="s">
        <v>518</v>
      </c>
      <c r="AG35" s="576">
        <f>E.sM*Molweight</f>
        <v>0</v>
      </c>
      <c r="AH35" s="573"/>
      <c r="AI35" s="573"/>
      <c r="AJ35" s="513">
        <f ca="1">(FRACinf.sM*RAINrate.M/Kslw.M*SYSTEMAREA.M*AREAFRAC.sM*CORRleach.sM)*C.sM*Molweight</f>
        <v>1.2215171171342852E-10</v>
      </c>
      <c r="AK35" s="575">
        <f ca="1">KDEG.sM*VOLUME.sM*C.sM*Molweight</f>
        <v>1.0503006603539156E-18</v>
      </c>
      <c r="AL35" s="513"/>
      <c r="AM35" s="513"/>
      <c r="AN35" s="513">
        <f ca="1">k.aM.sM*M.aM*Molweight</f>
        <v>2.4503611766958837E-8</v>
      </c>
      <c r="AO35" s="513">
        <f ca="1">k.sM.aM*M.sM*Molweight</f>
        <v>7.9410302015418861E-24</v>
      </c>
      <c r="AP35" s="513">
        <f ca="1">k.sM.w2M*M.sM*Molweight</f>
        <v>2.4381460054195096E-8</v>
      </c>
      <c r="AQ35" s="513"/>
      <c r="AR35" s="575"/>
      <c r="AS35" s="572">
        <f ca="1">SUM(AG35,AH35,AN35)-SUM(AI35,AJ35,AK35,AO35,AP35,AS34)</f>
        <v>0</v>
      </c>
      <c r="AT35" s="70"/>
      <c r="AU35" s="514"/>
      <c r="AV35" s="515"/>
      <c r="AW35" s="538" t="s">
        <v>502</v>
      </c>
      <c r="BN35" s="515"/>
      <c r="BO35" s="516"/>
      <c r="BP35" s="515"/>
      <c r="BQ35" s="515"/>
      <c r="BR35" s="515"/>
      <c r="BS35" s="515"/>
      <c r="BT35" s="602" t="s">
        <v>1745</v>
      </c>
      <c r="BU35" s="515"/>
      <c r="BV35" s="515"/>
      <c r="BW35" s="519" t="s">
        <v>1746</v>
      </c>
      <c r="BX35" s="515"/>
      <c r="BY35" s="515"/>
      <c r="BZ35" s="515"/>
      <c r="CA35" s="515"/>
      <c r="CB35" s="515"/>
      <c r="CC35" s="515"/>
      <c r="CD35" s="515"/>
      <c r="CE35" s="515"/>
      <c r="CF35" s="515"/>
      <c r="CG35" s="515"/>
      <c r="CH35" s="611">
        <f>AG17</f>
        <v>3.1709791983764589E-7</v>
      </c>
      <c r="CI35" s="515"/>
      <c r="CJ35" s="500"/>
      <c r="CK35" s="481"/>
    </row>
    <row r="36" spans="1:89" ht="12.75" customHeight="1" thickBot="1" x14ac:dyDescent="0.35">
      <c r="A36" s="70"/>
      <c r="B36" s="579" t="s">
        <v>712</v>
      </c>
      <c r="C36" s="580"/>
      <c r="D36" s="569"/>
      <c r="E36" s="581">
        <f ca="1">E34*FRACs.sdR</f>
        <v>114.7642975830645</v>
      </c>
      <c r="F36" s="513">
        <f ca="1">E36/$E$50</f>
        <v>1.2691455867036436E-2</v>
      </c>
      <c r="G36" s="581">
        <f ca="1">G34*FRACs.sdC</f>
        <v>833.96006930753754</v>
      </c>
      <c r="H36" s="513">
        <f ca="1">G36/$G$50</f>
        <v>1.1366393257624259E-2</v>
      </c>
      <c r="I36" s="581">
        <f ca="1">I34*FRACs.sdM</f>
        <v>27536.024297980046</v>
      </c>
      <c r="J36" s="513">
        <f ca="1">I36/$I$50</f>
        <v>5.9295356092746053E-3</v>
      </c>
      <c r="K36" s="581">
        <f ca="1">K34*FRACs.sdA</f>
        <v>18348.960948965643</v>
      </c>
      <c r="L36" s="513">
        <f ca="1">K36/$K$50</f>
        <v>5.8895672220846016E-3</v>
      </c>
      <c r="M36" s="581">
        <f ca="1">M34*FRACs.sdT</f>
        <v>68963.643442027867</v>
      </c>
      <c r="N36" s="575">
        <f ca="1">M36/$M$50</f>
        <v>5.9426756472474654E-3</v>
      </c>
      <c r="O36" s="569"/>
      <c r="P36" s="513">
        <f ca="1">C.sd2R*FRACs.sdR/(FRACw.sdR/(Kp.sd2R*RHOsolid/1000)+FRACs.sdR)*(Molweight*1000)/(FRACs.sdR*RHOsolid)</f>
        <v>4.0074470942844928E+18</v>
      </c>
      <c r="Q36" s="513">
        <f ca="1">C.sd2C*FRACs.sdC/(FRACw.sdC/(Kp.sd2C*RHOsolid/1000)+FRACs.sdC)*(Molweight*1000)/(FRACs.sdC*RHOsolid)</f>
        <v>8.4298015940601375E-8</v>
      </c>
      <c r="R36" s="513">
        <f ca="1">C.sdM*FRACs.sdM/(FRACw.sdM/(Kp.sdM*RHOsolid/1000)+FRACs.sdM)*(Molweight*1000)/(FRACs.sdM*RHOsolid)</f>
        <v>2.3577274876857672E-7</v>
      </c>
      <c r="S36" s="513">
        <f ca="1">C.sdA*FRACs.sdA/(FRACw.sdA/(Kp.sdA*RHOsolid/1000)+FRACs.sdA)*(Molweight*1000)/(FRACs.sdA*RHOsolid)</f>
        <v>2.3576817884746897E-7</v>
      </c>
      <c r="T36" s="513">
        <f ca="1">C.sdT*FRACs.sdT/(FRACw.sdT/(Kp.sdT*RHOsolid/1000)+FRACs.sdT)*(Molweight*1000)/(FRACs.sdT*RHOsolid)</f>
        <v>2.5317794235614151E-7</v>
      </c>
      <c r="U36" s="575" t="s">
        <v>1521</v>
      </c>
      <c r="V36" s="513"/>
      <c r="W36" s="513">
        <f ca="1">W34*(1-FRACw.sdR)</f>
        <v>8.834426901148873E-2</v>
      </c>
      <c r="X36" s="513">
        <f ca="1">X34*(1-FRACw.sdC)</f>
        <v>3.5836697402800706E-28</v>
      </c>
      <c r="Y36" s="513">
        <f ca="1">Y34*(1-FRACw.sdM)</f>
        <v>1.0492979289218596E-27</v>
      </c>
      <c r="Z36" s="513">
        <f ca="1">Z34*(1-FRACw.sdA)</f>
        <v>5.8483591022953223E-29</v>
      </c>
      <c r="AA36" s="575">
        <f ca="1">AA34*(1-FRACw.sdT)</f>
        <v>5.0783890367045903E-27</v>
      </c>
      <c r="AB36" s="70"/>
      <c r="AC36" s="500"/>
      <c r="AD36" s="70"/>
      <c r="AE36" s="570" t="s">
        <v>369</v>
      </c>
      <c r="AF36" s="571"/>
      <c r="AG36" s="572"/>
      <c r="AH36" s="573"/>
      <c r="AI36" s="573"/>
      <c r="AJ36" s="573"/>
      <c r="AK36" s="574"/>
      <c r="AL36" s="513"/>
      <c r="AM36" s="513"/>
      <c r="AN36" s="513"/>
      <c r="AO36" s="513"/>
      <c r="AP36" s="513"/>
      <c r="AQ36" s="513"/>
      <c r="AR36" s="575"/>
      <c r="AS36" s="576"/>
      <c r="AT36" s="70"/>
      <c r="AU36" s="514"/>
      <c r="AV36" s="515"/>
      <c r="AW36" s="584"/>
      <c r="AX36" s="585"/>
      <c r="AY36" s="585"/>
      <c r="AZ36" s="585"/>
      <c r="BA36" s="585"/>
      <c r="BB36" s="586"/>
      <c r="BC36" s="587"/>
      <c r="BD36" s="585"/>
      <c r="BE36" s="585"/>
      <c r="BF36" s="585"/>
      <c r="BG36" s="586"/>
      <c r="BH36" s="587"/>
      <c r="BI36" s="585"/>
      <c r="BJ36" s="585"/>
      <c r="BK36" s="585"/>
      <c r="BL36" s="586"/>
      <c r="BM36" s="584"/>
      <c r="BN36" s="515"/>
      <c r="BO36" s="516"/>
      <c r="BP36" s="515"/>
      <c r="BQ36" s="515"/>
      <c r="BR36" s="612"/>
      <c r="BS36" s="515"/>
      <c r="BT36" s="606">
        <f ca="1">IF(ISERROR(F26),0,F26)</f>
        <v>7.0866418756825858E-3</v>
      </c>
      <c r="BU36" s="515"/>
      <c r="BV36" s="515"/>
      <c r="BW36" s="578">
        <f ca="1">IF(ISERROR(F22),0,F22)</f>
        <v>8.4132108768573716E-2</v>
      </c>
      <c r="BX36" s="515"/>
      <c r="BY36" s="515"/>
      <c r="BZ36" s="515"/>
      <c r="CA36" s="515"/>
      <c r="CB36" s="515"/>
      <c r="CC36" s="515"/>
      <c r="CD36" s="515"/>
      <c r="CE36" s="515"/>
      <c r="CF36" s="515"/>
      <c r="CG36" s="515"/>
      <c r="CH36" s="515"/>
      <c r="CI36" s="515"/>
      <c r="CJ36" s="500"/>
      <c r="CK36" s="481"/>
    </row>
    <row r="37" spans="1:89" ht="12.75" customHeight="1" x14ac:dyDescent="0.35">
      <c r="A37" s="70"/>
      <c r="B37" s="579"/>
      <c r="C37" s="580"/>
      <c r="D37" s="569"/>
      <c r="E37" s="581"/>
      <c r="F37" s="513"/>
      <c r="G37" s="581"/>
      <c r="H37" s="513"/>
      <c r="I37" s="581"/>
      <c r="J37" s="513"/>
      <c r="K37" s="581"/>
      <c r="L37" s="513"/>
      <c r="M37" s="581"/>
      <c r="N37" s="575"/>
      <c r="O37" s="569"/>
      <c r="P37" s="513"/>
      <c r="Q37" s="513"/>
      <c r="R37" s="513"/>
      <c r="S37" s="513"/>
      <c r="T37" s="513"/>
      <c r="U37" s="575"/>
      <c r="V37" s="513"/>
      <c r="W37" s="513"/>
      <c r="X37" s="513"/>
      <c r="Y37" s="513"/>
      <c r="Z37" s="513"/>
      <c r="AA37" s="575"/>
      <c r="AB37" s="70"/>
      <c r="AC37" s="500"/>
      <c r="AD37" s="70"/>
      <c r="AE37" s="582" t="s">
        <v>366</v>
      </c>
      <c r="AF37" s="575" t="s">
        <v>514</v>
      </c>
      <c r="AG37" s="576">
        <f>E.aA*Molweight</f>
        <v>0</v>
      </c>
      <c r="AH37" s="513">
        <f ca="1">k.aM.aA*M.aM*Molweight</f>
        <v>1.7713097420785841E-9</v>
      </c>
      <c r="AI37" s="513">
        <f ca="1">k.aA.aM*M.aA*Molweight</f>
        <v>1.0722462194853851E-10</v>
      </c>
      <c r="AJ37" s="513">
        <f ca="1">kesc.aA*VOLUME.aA*C.aA*Molweight</f>
        <v>7.5645008914957229E-14</v>
      </c>
      <c r="AK37" s="575">
        <f ca="1">KDEG.aA*VOLUME.aA*C.aA*Molweight</f>
        <v>1.3996743297070405E-34</v>
      </c>
      <c r="AL37" s="513">
        <f ca="1">SUM(AL38,AN41)</f>
        <v>1.6640094751220236E-9</v>
      </c>
      <c r="AM37" s="513">
        <f ca="1">SUM(AM38,AO41)</f>
        <v>8.9360602608740436E-22</v>
      </c>
      <c r="AN37" s="513"/>
      <c r="AO37" s="513"/>
      <c r="AP37" s="513"/>
      <c r="AQ37" s="513"/>
      <c r="AR37" s="575"/>
      <c r="AS37" s="572">
        <f ca="1">SUM(AG37,AH37,AM37,AO37)-SUM(AI37,AJ37,AK37,AL37,AN37)</f>
        <v>0</v>
      </c>
      <c r="AT37" s="70"/>
      <c r="AU37" s="514"/>
      <c r="AV37" s="515"/>
      <c r="AW37" s="538" t="s">
        <v>995</v>
      </c>
      <c r="BN37" s="515"/>
      <c r="BO37" s="516"/>
      <c r="BP37" s="515"/>
      <c r="BQ37" s="515"/>
      <c r="BR37" s="515"/>
      <c r="BS37" s="515"/>
      <c r="BT37" s="613"/>
      <c r="BU37" s="515"/>
      <c r="BV37" s="515"/>
      <c r="BW37" s="526"/>
      <c r="BX37" s="515"/>
      <c r="BY37" s="515"/>
      <c r="BZ37" s="515"/>
      <c r="CA37" s="515"/>
      <c r="CB37" s="515"/>
      <c r="CC37" s="515"/>
      <c r="CD37" s="515"/>
      <c r="CE37" s="515"/>
      <c r="CF37" s="515"/>
      <c r="CG37" s="515"/>
      <c r="CH37" s="515"/>
      <c r="CI37" s="515"/>
      <c r="CJ37" s="500"/>
      <c r="CK37" s="481"/>
    </row>
    <row r="38" spans="1:89" ht="12.75" customHeight="1" x14ac:dyDescent="0.35">
      <c r="A38" s="70"/>
      <c r="B38" s="590" t="s">
        <v>446</v>
      </c>
      <c r="C38" s="580"/>
      <c r="D38" s="569"/>
      <c r="E38" s="581">
        <f ca="1">C.s1R*VOLUME.s1R*Molweight</f>
        <v>1527.8440670729071</v>
      </c>
      <c r="F38" s="513">
        <f ca="1">E38/$E$50</f>
        <v>0.16895991137779315</v>
      </c>
      <c r="G38" s="581">
        <f ca="1">C.s1C*VOLUME.s1C*Molweight</f>
        <v>8066.9173237828027</v>
      </c>
      <c r="H38" s="513">
        <f ca="1">G38/$G$50</f>
        <v>0.10994741601356482</v>
      </c>
      <c r="I38" s="581"/>
      <c r="J38" s="513"/>
      <c r="K38" s="581"/>
      <c r="L38" s="513"/>
      <c r="M38" s="581"/>
      <c r="N38" s="575"/>
      <c r="O38" s="569"/>
      <c r="P38" s="513">
        <f ca="1">C.s1R*(Molweight*1000)/(FRACw.s1R*1000+(1-FRACa.s1R-FRACw.s1R)*RHOsolid)</f>
        <v>9740620896653140</v>
      </c>
      <c r="Q38" s="513">
        <f ca="1">C.s1C*(Molweight*1000)/(FRACw.s1C*1000+(1-FRACa.s1C-FRACw.s1C)*RHOsolid)</f>
        <v>9.0633747322122141E-8</v>
      </c>
      <c r="R38" s="513"/>
      <c r="S38" s="513"/>
      <c r="T38" s="513"/>
      <c r="U38" s="575" t="s">
        <v>1522</v>
      </c>
      <c r="V38" s="513"/>
      <c r="W38" s="513">
        <f ca="1">F.s1R</f>
        <v>2.9291065750791188E-3</v>
      </c>
      <c r="X38" s="513">
        <f ca="1">F.s1C</f>
        <v>1.4497353780090401E-27</v>
      </c>
      <c r="Y38" s="513"/>
      <c r="Z38" s="513"/>
      <c r="AA38" s="575"/>
      <c r="AB38" s="70"/>
      <c r="AC38" s="500"/>
      <c r="AD38" s="70"/>
      <c r="AE38" s="582" t="s">
        <v>377</v>
      </c>
      <c r="AF38" s="575" t="s">
        <v>1507</v>
      </c>
      <c r="AG38" s="576">
        <f>E.w2A*Molweight</f>
        <v>0</v>
      </c>
      <c r="AH38" s="513">
        <f ca="1">(k.w2M.w2A*M.w2M+k.w3A.w2A*M.w3A)*Molweight</f>
        <v>3.1777675126187725E-2</v>
      </c>
      <c r="AI38" s="513">
        <f ca="1">(k.w2A.w2M+k.w2A.w3A)*M.w2A*Molweight</f>
        <v>3.177767678792337E-2</v>
      </c>
      <c r="AJ38" s="573"/>
      <c r="AK38" s="575">
        <f ca="1">KDEG.w2A*VOLUME.w2A*C.w2A*Molweight</f>
        <v>1.0098439291814631E-16</v>
      </c>
      <c r="AL38" s="513">
        <f ca="1">k.aA.w2A*M.aA*Molweight</f>
        <v>9.9840568509345546E-10</v>
      </c>
      <c r="AM38" s="513">
        <f ca="1">k.w2A.aA*M.w2A*Molweight</f>
        <v>8.9358102787683731E-22</v>
      </c>
      <c r="AN38" s="513"/>
      <c r="AO38" s="513"/>
      <c r="AP38" s="513">
        <f ca="1">k.sA.w2A*M.sA*Molweight</f>
        <v>6.633300546273856E-10</v>
      </c>
      <c r="AQ38" s="513"/>
      <c r="AR38" s="575"/>
      <c r="AS38" s="572">
        <f ca="1">SUM(AG38,AH38,AL38,AP38)-SUM(AJ38,AI38,AK38,AM38)</f>
        <v>0</v>
      </c>
      <c r="AT38" s="70"/>
      <c r="AU38" s="514"/>
      <c r="AV38" s="515"/>
      <c r="AW38" s="589" t="s">
        <v>996</v>
      </c>
      <c r="BN38" s="515"/>
      <c r="BO38" s="516"/>
      <c r="BP38" s="515"/>
      <c r="BQ38" s="515"/>
      <c r="BR38" s="515"/>
      <c r="BS38" s="515"/>
      <c r="BT38" s="515"/>
      <c r="BU38" s="515"/>
      <c r="BV38" s="515"/>
      <c r="BW38" s="526"/>
      <c r="BX38" s="614"/>
      <c r="BY38" s="515"/>
      <c r="BZ38" s="515"/>
      <c r="CA38" s="515"/>
      <c r="CB38" s="515"/>
      <c r="CC38" s="515"/>
      <c r="CD38" s="515"/>
      <c r="CE38" s="515"/>
      <c r="CF38" s="515"/>
      <c r="CG38" s="515"/>
      <c r="CH38" s="515"/>
      <c r="CI38" s="515"/>
      <c r="CJ38" s="500"/>
      <c r="CK38" s="481"/>
    </row>
    <row r="39" spans="1:89" ht="12.75" customHeight="1" x14ac:dyDescent="0.35">
      <c r="A39" s="70"/>
      <c r="B39" s="579" t="s">
        <v>430</v>
      </c>
      <c r="C39" s="580"/>
      <c r="D39" s="569"/>
      <c r="E39" s="581">
        <f ca="1">E38*FRw.s1R</f>
        <v>0.33844479927708387</v>
      </c>
      <c r="F39" s="513">
        <f ca="1">E39/$E$50</f>
        <v>3.7427643648010018E-5</v>
      </c>
      <c r="G39" s="581">
        <f ca="1">G38*FRw.s1C</f>
        <v>0.49731720658879741</v>
      </c>
      <c r="H39" s="513">
        <f ca="1">G39/$G$50</f>
        <v>6.7781458032697527E-6</v>
      </c>
      <c r="I39" s="581"/>
      <c r="J39" s="513"/>
      <c r="K39" s="581"/>
      <c r="L39" s="513"/>
      <c r="M39" s="581"/>
      <c r="N39" s="575"/>
      <c r="O39" s="569"/>
      <c r="P39" s="513">
        <f ca="1">P40/Kp.s1R</f>
        <v>7806883724450.3018</v>
      </c>
      <c r="Q39" s="513">
        <f ca="1">Q40/Kp.s1C</f>
        <v>2.8176867498048178E-11</v>
      </c>
      <c r="R39" s="513"/>
      <c r="S39" s="513"/>
      <c r="T39" s="513"/>
      <c r="U39" s="575" t="s">
        <v>1516</v>
      </c>
      <c r="V39" s="513"/>
      <c r="W39" s="513">
        <f ca="1">W38*FRACw.s1R</f>
        <v>1.1543901764996406E-3</v>
      </c>
      <c r="X39" s="513">
        <f ca="1">X38*FRACw.s1C</f>
        <v>4.4773527780849332E-28</v>
      </c>
      <c r="Y39" s="513"/>
      <c r="Z39" s="513"/>
      <c r="AA39" s="575"/>
      <c r="AB39" s="70"/>
      <c r="AC39" s="500"/>
      <c r="AD39" s="70"/>
      <c r="AE39" s="582" t="s">
        <v>378</v>
      </c>
      <c r="AF39" s="575" t="s">
        <v>1508</v>
      </c>
      <c r="AG39" s="576"/>
      <c r="AH39" s="513">
        <f ca="1">(k.w2A.w3A*M.w2A+k.w3M.w3A*M.w3M)*Molweight</f>
        <v>3.177767678792337E-2</v>
      </c>
      <c r="AI39" s="513">
        <f ca="1">(k.w3A.w2A+k.w3A.w3M)*M.w3A*Molweight</f>
        <v>3.1777482840675865E-2</v>
      </c>
      <c r="AJ39" s="573"/>
      <c r="AK39" s="575">
        <f ca="1">KDEG.w3A*VOLUME.w3A*C.w3A*Molweight</f>
        <v>2.4863406749212148E-15</v>
      </c>
      <c r="AL39" s="513"/>
      <c r="AM39" s="513"/>
      <c r="AN39" s="513"/>
      <c r="AO39" s="513"/>
      <c r="AP39" s="513"/>
      <c r="AQ39" s="513">
        <f ca="1">k.w3A.sdA*M.w3A*Molweight</f>
        <v>9.2037142879784544E-4</v>
      </c>
      <c r="AR39" s="575">
        <f ca="1">k.sdA.w3A*M.sdA*Molweight</f>
        <v>9.2017748155282788E-4</v>
      </c>
      <c r="AS39" s="572">
        <f ca="1">SUM(AG39,AH39,AL39,AP39,AR39)-SUM(AI39,AJ39,AK39,AM39,AQ39)</f>
        <v>0</v>
      </c>
      <c r="AT39" s="70"/>
      <c r="AU39" s="514"/>
      <c r="AV39" s="515"/>
      <c r="AW39" s="589" t="s">
        <v>1565</v>
      </c>
      <c r="BN39" s="515"/>
      <c r="BO39" s="516"/>
      <c r="BP39" s="515"/>
      <c r="BQ39" s="515"/>
      <c r="BR39" s="515"/>
      <c r="BS39" s="592">
        <f ca="1">IF(AR16&lt;0,"",AR16)</f>
        <v>4.2043634645002386E-6</v>
      </c>
      <c r="BT39" s="515"/>
      <c r="BU39" s="526"/>
      <c r="BV39" s="515"/>
      <c r="BW39" s="526"/>
      <c r="BX39" s="515"/>
      <c r="BY39" s="515"/>
      <c r="BZ39" s="515"/>
      <c r="CA39" s="515"/>
      <c r="CB39" s="515"/>
      <c r="CC39" s="515"/>
      <c r="CD39" s="515"/>
      <c r="CE39" s="515"/>
      <c r="CF39" s="515"/>
      <c r="CG39" s="515"/>
      <c r="CH39" s="515"/>
      <c r="CI39" s="515"/>
      <c r="CJ39" s="500"/>
      <c r="CK39" s="481"/>
    </row>
    <row r="40" spans="1:89" ht="12.75" customHeight="1" thickBot="1" x14ac:dyDescent="0.4">
      <c r="A40" s="70"/>
      <c r="B40" s="579" t="s">
        <v>712</v>
      </c>
      <c r="C40" s="580"/>
      <c r="D40" s="569"/>
      <c r="E40" s="581">
        <f ca="1">E38*FRs.s1R</f>
        <v>1527.50562227363</v>
      </c>
      <c r="F40" s="513">
        <f ca="1">E40/$E$50</f>
        <v>0.16892248373414512</v>
      </c>
      <c r="G40" s="581">
        <f ca="1">G38*FRs.s1C</f>
        <v>8066.4200065762143</v>
      </c>
      <c r="H40" s="513">
        <f ca="1">G40/$G$50</f>
        <v>0.10994063786776155</v>
      </c>
      <c r="I40" s="581"/>
      <c r="J40" s="513"/>
      <c r="K40" s="581"/>
      <c r="L40" s="513"/>
      <c r="M40" s="581"/>
      <c r="N40" s="575"/>
      <c r="O40" s="569"/>
      <c r="P40" s="513">
        <f ca="1">C.s1R*FRs.s1R*(Molweight*1000)/(FRACs.s1R*RHOsolid)</f>
        <v>1.3458111304678312E+16</v>
      </c>
      <c r="Q40" s="513">
        <f ca="1">C.s1C*FRs.s1C*(Molweight*1000)/(FRACs.s1C*RHOsolid)</f>
        <v>1.1304500448144293E-7</v>
      </c>
      <c r="R40" s="513"/>
      <c r="S40" s="513"/>
      <c r="T40" s="513"/>
      <c r="U40" s="575" t="s">
        <v>1521</v>
      </c>
      <c r="V40" s="513"/>
      <c r="W40" s="513">
        <f ca="1">W38*(1-FRACw.s1R)</f>
        <v>1.7747163985794782E-3</v>
      </c>
      <c r="X40" s="513">
        <f ca="1">X38*(1-FRACw.s1C)</f>
        <v>1.0020001002005468E-27</v>
      </c>
      <c r="Y40" s="513"/>
      <c r="Z40" s="513"/>
      <c r="AA40" s="575"/>
      <c r="AB40" s="70"/>
      <c r="AC40" s="500"/>
      <c r="AD40" s="70"/>
      <c r="AE40" s="582" t="s">
        <v>379</v>
      </c>
      <c r="AF40" s="575" t="s">
        <v>515</v>
      </c>
      <c r="AG40" s="576"/>
      <c r="AH40" s="573"/>
      <c r="AI40" s="573"/>
      <c r="AJ40" s="513">
        <f ca="1">(NETsedrate.wA*SYSTEMAREA.A*AREAFRAC.wA)*C.sdA*Molweight</f>
        <v>1.9394724493663804E-7</v>
      </c>
      <c r="AK40" s="575">
        <f ca="1">KDEG.sdA*VOLUME.sdA*C.sdA*Molweight</f>
        <v>8.1091716967129735E-17</v>
      </c>
      <c r="AL40" s="513"/>
      <c r="AM40" s="513"/>
      <c r="AN40" s="513"/>
      <c r="AO40" s="513"/>
      <c r="AP40" s="513"/>
      <c r="AQ40" s="513">
        <f ca="1">k.w3A.sdA*M.w3A*Molweight</f>
        <v>9.2037142879784544E-4</v>
      </c>
      <c r="AR40" s="575">
        <f ca="1">k.sdA.w3A*M.sdA*Molweight</f>
        <v>9.2017748155282788E-4</v>
      </c>
      <c r="AS40" s="572">
        <f ca="1">SUM(AG40,AH40,AQ40)-SUM(AI40,AJ40,AK40,AR40)</f>
        <v>0</v>
      </c>
      <c r="AT40" s="70"/>
      <c r="AU40" s="514"/>
      <c r="AV40" s="515"/>
      <c r="AW40" s="556"/>
      <c r="AX40" s="557"/>
      <c r="AY40" s="557"/>
      <c r="AZ40" s="557"/>
      <c r="BA40" s="557"/>
      <c r="BB40" s="558"/>
      <c r="BC40" s="559"/>
      <c r="BD40" s="557"/>
      <c r="BE40" s="557"/>
      <c r="BF40" s="557"/>
      <c r="BG40" s="558"/>
      <c r="BH40" s="559"/>
      <c r="BI40" s="557"/>
      <c r="BJ40" s="557"/>
      <c r="BK40" s="557"/>
      <c r="BL40" s="558"/>
      <c r="BM40" s="556"/>
      <c r="BN40" s="515"/>
      <c r="BO40" s="516"/>
      <c r="BP40" s="515"/>
      <c r="BQ40" s="515"/>
      <c r="BR40" s="515"/>
      <c r="BS40" s="593"/>
      <c r="BT40" s="515"/>
      <c r="BU40" s="526"/>
      <c r="BV40" s="526"/>
      <c r="BW40" s="526"/>
      <c r="BX40" s="515"/>
      <c r="BY40" s="515"/>
      <c r="BZ40" s="515"/>
      <c r="CA40" s="515"/>
      <c r="CB40" s="515"/>
      <c r="CC40" s="515"/>
      <c r="CD40" s="515"/>
      <c r="CE40" s="515"/>
      <c r="CF40" s="515"/>
      <c r="CG40" s="515"/>
      <c r="CH40" s="515"/>
      <c r="CI40" s="515"/>
      <c r="CJ40" s="500"/>
      <c r="CK40" s="481"/>
    </row>
    <row r="41" spans="1:89" ht="12.75" customHeight="1" x14ac:dyDescent="0.35">
      <c r="A41" s="70"/>
      <c r="B41" s="579"/>
      <c r="C41" s="580"/>
      <c r="D41" s="569"/>
      <c r="E41" s="581"/>
      <c r="F41" s="513"/>
      <c r="G41" s="581"/>
      <c r="H41" s="513"/>
      <c r="I41" s="581"/>
      <c r="J41" s="513"/>
      <c r="K41" s="581"/>
      <c r="L41" s="513"/>
      <c r="M41" s="581"/>
      <c r="N41" s="575"/>
      <c r="O41" s="569"/>
      <c r="P41" s="513"/>
      <c r="Q41" s="513"/>
      <c r="R41" s="513"/>
      <c r="S41" s="513"/>
      <c r="T41" s="513"/>
      <c r="U41" s="575"/>
      <c r="V41" s="513"/>
      <c r="W41" s="513"/>
      <c r="X41" s="513"/>
      <c r="Y41" s="513"/>
      <c r="Z41" s="513"/>
      <c r="AA41" s="575"/>
      <c r="AB41" s="70"/>
      <c r="AC41" s="500"/>
      <c r="AD41" s="70"/>
      <c r="AE41" s="582" t="s">
        <v>380</v>
      </c>
      <c r="AF41" s="575" t="s">
        <v>519</v>
      </c>
      <c r="AG41" s="576">
        <f>E.sA*Molweight</f>
        <v>0</v>
      </c>
      <c r="AH41" s="573"/>
      <c r="AI41" s="573"/>
      <c r="AJ41" s="513">
        <f ca="1">(FRACinf.sA*RAINrate.A/Kslw.A*SYSTEMAREA.A*AREAFRAC.sA*CORRleach.sA)*C.sA*Molweight</f>
        <v>2.2737353892689998E-12</v>
      </c>
      <c r="AK41" s="575">
        <f ca="1">KDEG.sA*VOLUME.sA*C.sA*Molweight</f>
        <v>1.1913683095216881E-20</v>
      </c>
      <c r="AL41" s="513"/>
      <c r="AM41" s="513"/>
      <c r="AN41" s="513">
        <f ca="1">k.aA.sA*M.aA*Molweight</f>
        <v>6.6560379002856812E-10</v>
      </c>
      <c r="AO41" s="513">
        <f ca="1">k.sA.aA*M.sA*Molweight</f>
        <v>2.499821056700397E-26</v>
      </c>
      <c r="AP41" s="513">
        <f ca="1">k.sA.w2A*M.sA*Molweight</f>
        <v>6.633300546273856E-10</v>
      </c>
      <c r="AQ41" s="513"/>
      <c r="AR41" s="575"/>
      <c r="AS41" s="572">
        <f ca="1">SUM(AG41,AH41,AN41)-SUM(AI41,AJ41,AK41,AO41,AP41,AS40)</f>
        <v>0</v>
      </c>
      <c r="AT41" s="70"/>
      <c r="AU41" s="514"/>
      <c r="AV41" s="515"/>
      <c r="AW41" s="538" t="s">
        <v>1566</v>
      </c>
      <c r="BN41" s="515"/>
      <c r="BO41" s="516"/>
      <c r="BP41" s="515"/>
      <c r="BQ41" s="515"/>
      <c r="BR41" s="515"/>
      <c r="BS41" s="592">
        <f ca="1">IF(AQ16&lt;0,"",AQ16)</f>
        <v>4.7459776820383046E-6</v>
      </c>
      <c r="BT41" s="602" t="s">
        <v>1744</v>
      </c>
      <c r="BU41" s="515"/>
      <c r="BV41" s="515"/>
      <c r="BW41" s="526"/>
      <c r="BX41" s="515"/>
      <c r="BY41" s="615"/>
      <c r="BZ41" s="515"/>
      <c r="CA41" s="515"/>
      <c r="CB41" s="515"/>
      <c r="CC41" s="515"/>
      <c r="CD41" s="515"/>
      <c r="CE41" s="515"/>
      <c r="CF41" s="515"/>
      <c r="CG41" s="515"/>
      <c r="CH41" s="515"/>
      <c r="CI41" s="515"/>
      <c r="CJ41" s="500"/>
      <c r="CK41" s="481"/>
    </row>
    <row r="42" spans="1:89" ht="12.75" customHeight="1" x14ac:dyDescent="0.35">
      <c r="A42" s="70"/>
      <c r="B42" s="590" t="s">
        <v>447</v>
      </c>
      <c r="C42" s="580"/>
      <c r="D42" s="569"/>
      <c r="E42" s="581">
        <f ca="1">C.s2R*VOLUME.s2R*Molweight</f>
        <v>2913.6798208189871</v>
      </c>
      <c r="F42" s="513">
        <f ca="1">E42/$E$50</f>
        <v>0.32221552900486439</v>
      </c>
      <c r="G42" s="581">
        <f ca="1">C.s2C*VOLUME.s2C*Molweight</f>
        <v>20861.414765416896</v>
      </c>
      <c r="H42" s="513">
        <f ca="1">G42/$G$50</f>
        <v>0.28432901389514359</v>
      </c>
      <c r="I42" s="581"/>
      <c r="J42" s="513"/>
      <c r="K42" s="581"/>
      <c r="L42" s="513"/>
      <c r="M42" s="581"/>
      <c r="N42" s="575"/>
      <c r="O42" s="569">
        <f ca="1">C.sL*(Molweight*1000)/(FRACw.sL*1000+(1-FRACa.sL-FRACw.sL)*RHOsolid)</f>
        <v>4.4664264366309908E-3</v>
      </c>
      <c r="P42" s="513">
        <f ca="1">C.s2R*(Molweight*1000)/(FRACw.s2R*1000+(1-FRACa.s2R-FRACw.s2R)*RHOsolid)</f>
        <v>2.7618551470136196E-4</v>
      </c>
      <c r="Q42" s="513">
        <f ca="1">C.s2C*(Molweight*1000)/(FRACw.s2C*1000+(1-FRACa.s2C-FRACw.s2C)*RHOsolid)</f>
        <v>3.2968973805023558E-8</v>
      </c>
      <c r="R42" s="513"/>
      <c r="S42" s="513"/>
      <c r="T42" s="513"/>
      <c r="U42" s="575" t="s">
        <v>1522</v>
      </c>
      <c r="V42" s="513"/>
      <c r="W42" s="513">
        <f ca="1">F.s2R</f>
        <v>9.8391950352205416E-23</v>
      </c>
      <c r="X42" s="513">
        <f ca="1">F.s2C</f>
        <v>7.2770819262112253E-28</v>
      </c>
      <c r="Y42" s="513"/>
      <c r="Z42" s="513"/>
      <c r="AA42" s="575"/>
      <c r="AB42" s="70"/>
      <c r="AC42" s="500"/>
      <c r="AD42" s="70"/>
      <c r="AE42" s="570" t="s">
        <v>370</v>
      </c>
      <c r="AF42" s="571"/>
      <c r="AG42" s="572"/>
      <c r="AH42" s="573"/>
      <c r="AI42" s="573"/>
      <c r="AJ42" s="573"/>
      <c r="AK42" s="574"/>
      <c r="AL42" s="513"/>
      <c r="AM42" s="513"/>
      <c r="AN42" s="513"/>
      <c r="AO42" s="513"/>
      <c r="AP42" s="513"/>
      <c r="AQ42" s="513"/>
      <c r="AR42" s="575"/>
      <c r="AS42" s="576"/>
      <c r="AT42" s="70"/>
      <c r="AU42" s="514"/>
      <c r="AV42" s="515"/>
      <c r="AW42" s="589" t="s">
        <v>1567</v>
      </c>
      <c r="BN42" s="515"/>
      <c r="BO42" s="516"/>
      <c r="BP42" s="515"/>
      <c r="BQ42" s="515"/>
      <c r="BR42" s="515"/>
      <c r="BS42" s="515"/>
      <c r="BT42" s="606">
        <f ca="1">IF(ISERROR(F34),0,F34)</f>
        <v>6.5510239574277679E-2</v>
      </c>
      <c r="BU42" s="515"/>
      <c r="BV42" s="515"/>
      <c r="BW42" s="526"/>
      <c r="BX42" s="515"/>
      <c r="BY42" s="515"/>
      <c r="BZ42" s="515"/>
      <c r="CA42" s="515"/>
      <c r="CB42" s="515"/>
      <c r="CC42" s="515"/>
      <c r="CD42" s="515"/>
      <c r="CE42" s="515"/>
      <c r="CF42" s="515"/>
      <c r="CG42" s="515"/>
      <c r="CH42" s="515"/>
      <c r="CI42" s="515"/>
      <c r="CJ42" s="500"/>
      <c r="CK42" s="481"/>
    </row>
    <row r="43" spans="1:89" ht="12.75" customHeight="1" x14ac:dyDescent="0.35">
      <c r="A43" s="70"/>
      <c r="B43" s="579" t="s">
        <v>430</v>
      </c>
      <c r="C43" s="580"/>
      <c r="D43" s="569"/>
      <c r="E43" s="581">
        <f ca="1">E42*FRw.s2R</f>
        <v>0.94501403828963793</v>
      </c>
      <c r="F43" s="513">
        <f ca="1">E43/$E$50</f>
        <v>1.0450640323923082E-4</v>
      </c>
      <c r="G43" s="581">
        <f ca="1">G42*FRw.s2C</f>
        <v>3.6717488136476417</v>
      </c>
      <c r="H43" s="513">
        <f ca="1">G43/$G$50</f>
        <v>5.0043812042209512E-5</v>
      </c>
      <c r="I43" s="581"/>
      <c r="J43" s="513"/>
      <c r="K43" s="581"/>
      <c r="L43" s="513"/>
      <c r="M43" s="581"/>
      <c r="N43" s="575"/>
      <c r="O43" s="569">
        <f ca="1">O44/Kp.sL</f>
        <v>5.3073008956058943E-7</v>
      </c>
      <c r="P43" s="513">
        <f ca="1">P44/Kp.s2R</f>
        <v>2.6224191443112855E-7</v>
      </c>
      <c r="Q43" s="513">
        <f ca="1">Q44/Kp.s2C</f>
        <v>1.414367862201393E-11</v>
      </c>
      <c r="R43" s="513"/>
      <c r="S43" s="513"/>
      <c r="T43" s="513"/>
      <c r="U43" s="575" t="s">
        <v>1516</v>
      </c>
      <c r="V43" s="513"/>
      <c r="W43" s="513">
        <f ca="1">W42*FRACw.s2R</f>
        <v>4.4768293611198479E-23</v>
      </c>
      <c r="X43" s="513">
        <f ca="1">X42*FRACw.s2C</f>
        <v>3.7188898453717511E-28</v>
      </c>
      <c r="Y43" s="513"/>
      <c r="Z43" s="513"/>
      <c r="AA43" s="575"/>
      <c r="AB43" s="70"/>
      <c r="AC43" s="500"/>
      <c r="AD43" s="70"/>
      <c r="AE43" s="582" t="s">
        <v>366</v>
      </c>
      <c r="AF43" s="575" t="s">
        <v>516</v>
      </c>
      <c r="AG43" s="576">
        <f>E.aT*Molweight</f>
        <v>0</v>
      </c>
      <c r="AH43" s="513">
        <f ca="1">k.aM.aT*M.aM*Molweight</f>
        <v>3.0679984692218308E-9</v>
      </c>
      <c r="AI43" s="513">
        <f ca="1">k.aT.aM*M.aT*Molweight</f>
        <v>1.0933594355636263E-10</v>
      </c>
      <c r="AJ43" s="513">
        <f ca="1">kesc.aT*VOLUME.aT*C.aT*Molweight</f>
        <v>1.3360088631649881E-13</v>
      </c>
      <c r="AK43" s="575">
        <f ca="1">KDEG.aT*VOLUME.aT*C.aT*Molweight</f>
        <v>8.1407144836179673E-34</v>
      </c>
      <c r="AL43" s="513">
        <f ca="1">SUM(AL44,AN47)</f>
        <v>2.9585289249623126E-9</v>
      </c>
      <c r="AM43" s="595">
        <f ca="1">SUM(AM44,AO47)</f>
        <v>1.8316087913330147E-19</v>
      </c>
      <c r="AN43" s="513"/>
      <c r="AO43" s="513"/>
      <c r="AP43" s="513"/>
      <c r="AQ43" s="513"/>
      <c r="AR43" s="575"/>
      <c r="AS43" s="572">
        <f ca="1">SUM(AG43,AH43,AM43,AO43)-SUM(AI43,AJ43,AK43,AL43,AN43)</f>
        <v>0</v>
      </c>
      <c r="AT43" s="70"/>
      <c r="AU43" s="514"/>
      <c r="AV43" s="515"/>
      <c r="AW43" s="589" t="s">
        <v>1230</v>
      </c>
      <c r="BN43" s="515"/>
      <c r="BO43" s="516"/>
      <c r="BP43" s="515"/>
      <c r="BQ43" s="515"/>
      <c r="BR43" s="515"/>
      <c r="BS43" s="607">
        <f ca="1">AK16</f>
        <v>6.4128721715256433E-18</v>
      </c>
      <c r="BT43" s="526"/>
      <c r="BU43" s="613"/>
      <c r="BV43" s="515"/>
      <c r="BW43" s="526"/>
      <c r="BX43" s="515"/>
      <c r="BY43" s="515"/>
      <c r="BZ43" s="515"/>
      <c r="CA43" s="515"/>
      <c r="CB43" s="515"/>
      <c r="CC43" s="515"/>
      <c r="CD43" s="515"/>
      <c r="CE43" s="515"/>
      <c r="CF43" s="515"/>
      <c r="CG43" s="515"/>
      <c r="CH43" s="515"/>
      <c r="CI43" s="515"/>
      <c r="CJ43" s="500"/>
      <c r="CK43" s="481"/>
    </row>
    <row r="44" spans="1:89" ht="12.75" customHeight="1" x14ac:dyDescent="0.35">
      <c r="A44" s="70"/>
      <c r="B44" s="579" t="s">
        <v>712</v>
      </c>
      <c r="C44" s="580"/>
      <c r="D44" s="569"/>
      <c r="E44" s="581">
        <f ca="1">E42*FRs.s2R</f>
        <v>2912.7348067806975</v>
      </c>
      <c r="F44" s="513">
        <f ca="1">E44/$E$50</f>
        <v>0.32211102260162516</v>
      </c>
      <c r="G44" s="581">
        <f ca="1">G42*FRs.s2C</f>
        <v>20857.797898773963</v>
      </c>
      <c r="H44" s="513">
        <f ca="1">G44/$G$50</f>
        <v>0.2842797180953362</v>
      </c>
      <c r="I44" s="581"/>
      <c r="J44" s="513"/>
      <c r="K44" s="581"/>
      <c r="L44" s="513"/>
      <c r="M44" s="581"/>
      <c r="N44" s="575"/>
      <c r="O44" s="569">
        <f ca="1">C.sL*FRs.sL*(Molweight*1000)/(FRACs.sL*RHOsolid)</f>
        <v>5.3911616028196867E-3</v>
      </c>
      <c r="P44" s="513">
        <f ca="1">C.s2R*FRs.s2R*(Molweight*1000)/(FRACs.s2R*RHOsolid)</f>
        <v>4.1933242873662922E-4</v>
      </c>
      <c r="Q44" s="513">
        <f ca="1">C.s2C*FRs.s2C*(Molweight*1000)/(FRACs.s2C*RHOsolid)</f>
        <v>5.5895833364961817E-8</v>
      </c>
      <c r="R44" s="513"/>
      <c r="S44" s="513"/>
      <c r="T44" s="513"/>
      <c r="U44" s="575" t="s">
        <v>1521</v>
      </c>
      <c r="V44" s="513"/>
      <c r="W44" s="513">
        <f ca="1">W42*(1-FRACw.s2R)</f>
        <v>5.3623656741006932E-23</v>
      </c>
      <c r="X44" s="513">
        <f ca="1">X42*(1-FRACw.s2C)</f>
        <v>3.5581920808394741E-28</v>
      </c>
      <c r="Y44" s="513"/>
      <c r="Z44" s="513"/>
      <c r="AA44" s="575"/>
      <c r="AB44" s="70"/>
      <c r="AC44" s="500"/>
      <c r="AD44" s="70"/>
      <c r="AE44" s="582" t="s">
        <v>377</v>
      </c>
      <c r="AF44" s="575" t="s">
        <v>1509</v>
      </c>
      <c r="AG44" s="576">
        <f>E.w2T*Molweight</f>
        <v>0</v>
      </c>
      <c r="AH44" s="513">
        <f ca="1">(k.w2M.w2T*M.w2M+k.w3T.w2T*M.w3T)*Molweight</f>
        <v>8.2724737500091183E-2</v>
      </c>
      <c r="AI44" s="513">
        <f ca="1">(k.w2T.w2M+k.w2T.w3T)*M.w2T*Molweight</f>
        <v>8.2724740453601647E-2</v>
      </c>
      <c r="AJ44" s="573"/>
      <c r="AK44" s="575">
        <f ca="1">KDEG.w2T*VOLUME.w2T*C.w2T*Molweight</f>
        <v>3.2814476937809221E-15</v>
      </c>
      <c r="AL44" s="513">
        <f ca="1">k.aT.w2T*M.aT*Molweight</f>
        <v>2.0709702475511285E-9</v>
      </c>
      <c r="AM44" s="513">
        <f ca="1">k.w2T.aT*M.w2T*Molweight</f>
        <v>1.8316012240646205E-19</v>
      </c>
      <c r="AN44" s="513"/>
      <c r="AO44" s="513"/>
      <c r="AP44" s="513">
        <f ca="1">k.sT.w2T*M.sT*Molweight</f>
        <v>8.8254351911503162E-10</v>
      </c>
      <c r="AQ44" s="513"/>
      <c r="AR44" s="575"/>
      <c r="AS44" s="572">
        <f ca="1">SUM(AG44,AH44,AL44,AP44)-SUM(AJ44,AI44,AK44,AM44)</f>
        <v>0</v>
      </c>
      <c r="AT44" s="70"/>
      <c r="AU44" s="514"/>
      <c r="AV44" s="515"/>
      <c r="AW44" s="589" t="s">
        <v>1231</v>
      </c>
      <c r="BN44" s="515"/>
      <c r="BO44" s="516"/>
      <c r="BP44" s="515"/>
      <c r="BQ44" s="515"/>
      <c r="BR44" s="515"/>
      <c r="BS44" s="515"/>
      <c r="BT44" s="526"/>
      <c r="BU44" s="515"/>
      <c r="BV44" s="515"/>
      <c r="BW44" s="515"/>
      <c r="BX44" s="515"/>
      <c r="BY44" s="515"/>
      <c r="BZ44" s="515"/>
      <c r="CA44" s="515"/>
      <c r="CB44" s="515"/>
      <c r="CC44" s="515"/>
      <c r="CD44" s="515"/>
      <c r="CE44" s="515"/>
      <c r="CF44" s="515"/>
      <c r="CG44" s="515"/>
      <c r="CH44" s="515"/>
      <c r="CI44" s="515"/>
      <c r="CJ44" s="500"/>
      <c r="CK44" s="481"/>
    </row>
    <row r="45" spans="1:89" ht="12.75" customHeight="1" thickBot="1" x14ac:dyDescent="0.35">
      <c r="A45" s="70"/>
      <c r="B45" s="579"/>
      <c r="C45" s="580"/>
      <c r="D45" s="569"/>
      <c r="E45" s="581"/>
      <c r="F45" s="513"/>
      <c r="G45" s="581"/>
      <c r="H45" s="513"/>
      <c r="I45" s="581"/>
      <c r="J45" s="513"/>
      <c r="K45" s="581"/>
      <c r="L45" s="513"/>
      <c r="M45" s="581"/>
      <c r="N45" s="575"/>
      <c r="O45" s="569"/>
      <c r="P45" s="513"/>
      <c r="Q45" s="513"/>
      <c r="R45" s="513"/>
      <c r="S45" s="513"/>
      <c r="T45" s="513"/>
      <c r="U45" s="575"/>
      <c r="V45" s="513"/>
      <c r="W45" s="513"/>
      <c r="X45" s="513"/>
      <c r="Y45" s="513"/>
      <c r="Z45" s="513"/>
      <c r="AA45" s="575"/>
      <c r="AB45" s="70"/>
      <c r="AC45" s="500"/>
      <c r="AD45" s="70"/>
      <c r="AE45" s="582" t="s">
        <v>378</v>
      </c>
      <c r="AF45" s="575" t="s">
        <v>1510</v>
      </c>
      <c r="AG45" s="576"/>
      <c r="AH45" s="513">
        <f ca="1">(k.w2T.w3T*M.w2T+k.w3M.w3T*M.w3M)*Molweight</f>
        <v>8.2725466441129672E-2</v>
      </c>
      <c r="AI45" s="513">
        <f ca="1">(k.w3T.w2T+k.w3T.w3M)*M.w3T*Molweight</f>
        <v>8.2724737500091183E-2</v>
      </c>
      <c r="AJ45" s="573"/>
      <c r="AK45" s="575">
        <f ca="1">KDEG.w3T*VOLUME.w3T*C.w3T*Molweight</f>
        <v>1.0572418379693273E-13</v>
      </c>
      <c r="AL45" s="513"/>
      <c r="AM45" s="513"/>
      <c r="AN45" s="513"/>
      <c r="AO45" s="513"/>
      <c r="AP45" s="513"/>
      <c r="AQ45" s="513">
        <f ca="1">k.w3T.sdT*M.w3T*Molweight</f>
        <v>3.4591695533299424E-3</v>
      </c>
      <c r="AR45" s="575">
        <f ca="1">k.sdT.w3T*M.sdT*Molweight</f>
        <v>3.4584406123971644E-3</v>
      </c>
      <c r="AS45" s="572">
        <f ca="1">SUM(AG45,AH45,AL45,AP45,AR45)-SUM(AI45,AJ45,AK45,AM45,AQ45)</f>
        <v>0</v>
      </c>
      <c r="AT45" s="70"/>
      <c r="AU45" s="514"/>
      <c r="AV45" s="515"/>
      <c r="AW45" s="584"/>
      <c r="AX45" s="585"/>
      <c r="AY45" s="585"/>
      <c r="AZ45" s="585"/>
      <c r="BA45" s="585"/>
      <c r="BB45" s="586"/>
      <c r="BC45" s="587"/>
      <c r="BD45" s="585"/>
      <c r="BE45" s="585"/>
      <c r="BF45" s="585"/>
      <c r="BG45" s="586"/>
      <c r="BH45" s="587"/>
      <c r="BI45" s="585"/>
      <c r="BJ45" s="585"/>
      <c r="BK45" s="585"/>
      <c r="BL45" s="586"/>
      <c r="BM45" s="584"/>
      <c r="BN45" s="515"/>
      <c r="BO45" s="516"/>
      <c r="BP45" s="515"/>
      <c r="BQ45" s="515"/>
      <c r="BR45" s="515"/>
      <c r="BS45" s="515"/>
      <c r="BT45" s="515"/>
      <c r="BU45" s="515"/>
      <c r="BV45" s="515"/>
      <c r="BW45" s="515"/>
      <c r="BX45" s="515"/>
      <c r="BY45" s="515"/>
      <c r="BZ45" s="515"/>
      <c r="CA45" s="515"/>
      <c r="CB45" s="515"/>
      <c r="CC45" s="515"/>
      <c r="CD45" s="515"/>
      <c r="CE45" s="515"/>
      <c r="CF45" s="515"/>
      <c r="CG45" s="515"/>
      <c r="CH45" s="515"/>
      <c r="CI45" s="515"/>
      <c r="CJ45" s="500"/>
      <c r="CK45" s="481"/>
    </row>
    <row r="46" spans="1:89" ht="12.75" customHeight="1" x14ac:dyDescent="0.3">
      <c r="A46" s="70"/>
      <c r="B46" s="590" t="s">
        <v>448</v>
      </c>
      <c r="C46" s="580">
        <f ca="1">C.sL*VOLUME.sL*Molweight</f>
        <v>10573.567739100941</v>
      </c>
      <c r="D46" s="569">
        <f ca="1">C46/$C$50</f>
        <v>0.9990549829491967</v>
      </c>
      <c r="E46" s="581">
        <f ca="1">C.s3R*VOLUME.s3R*Molweight</f>
        <v>3172.0021098768575</v>
      </c>
      <c r="F46" s="513">
        <f ca="1">E46/$E$50</f>
        <v>0.35078265310264295</v>
      </c>
      <c r="G46" s="581">
        <f ca="1">C.s3C*VOLUME.s3C*Molweight</f>
        <v>5910.521881153707</v>
      </c>
      <c r="H46" s="513">
        <f ca="1">G46/$G$50</f>
        <v>8.0556993711663957E-2</v>
      </c>
      <c r="I46" s="581">
        <f ca="1">C.sM*VOLUME.sM*Molweight</f>
        <v>258.61435806543994</v>
      </c>
      <c r="J46" s="513">
        <f ca="1">I46/$I$50</f>
        <v>5.5689340938416051E-5</v>
      </c>
      <c r="K46" s="581">
        <f ca="1">C.sA*VOLUME.sA*Molweight</f>
        <v>13.478793768856631</v>
      </c>
      <c r="L46" s="513">
        <f ca="1">K46/$K$50</f>
        <v>4.3263627948791941E-6</v>
      </c>
      <c r="M46" s="581">
        <f ca="1">C.sT*VOLUME.sT*Molweight</f>
        <v>5.7173187295844654</v>
      </c>
      <c r="N46" s="575">
        <f ca="1">M46/$M$50</f>
        <v>4.9266786216732337E-7</v>
      </c>
      <c r="O46" s="569"/>
      <c r="P46" s="513">
        <f ca="1">C.s3R*(Molweight*1000)/(FRACw.s3R*1000+(1-FRACa.s3R-FRACw.s3R)*RHOsolid)</f>
        <v>2.6421444422450356E-4</v>
      </c>
      <c r="Q46" s="513">
        <f ca="1">C.s3C*(Molweight*1000)/(FRACw.s3C*1000+(1-FRACa.s3C-FRACw.s3C)*RHOsolid)</f>
        <v>2.2357960913805023E-7</v>
      </c>
      <c r="R46" s="513">
        <f ca="1">C.sM*(Molweight*1000)/(FRACw.sM*1000+(1-FRACa.sM-FRACw.sM)*RHOsolid)</f>
        <v>7.834334442504234E-11</v>
      </c>
      <c r="S46" s="513">
        <f ca="1">C.sA*(Molweight*1000)/(FRACw.sA*1000+(1-FRACa.sA-FRACw.sA)*RHOsolid)</f>
        <v>9.1912187821244866E-12</v>
      </c>
      <c r="T46" s="513">
        <f ca="1">C.sT*(Molweight*1000)/(FRACw.sT*1000+(1-FRACa.sT-FRACw.sT)*RHOsolid)</f>
        <v>1.7327342554005421E-12</v>
      </c>
      <c r="U46" s="575" t="s">
        <v>1522</v>
      </c>
      <c r="V46" s="513"/>
      <c r="W46" s="513">
        <f ca="1">F.s3R</f>
        <v>3.0272404687239591E-23</v>
      </c>
      <c r="X46" s="513">
        <f ca="1">F.s3C</f>
        <v>5.7494132120201733E-27</v>
      </c>
      <c r="Y46" s="513">
        <f ca="1">F.sM</f>
        <v>4.9292885712646555E-30</v>
      </c>
      <c r="Z46" s="513">
        <f ca="1">F.sA</f>
        <v>3.22328623580132E-32</v>
      </c>
      <c r="AA46" s="575">
        <f ca="1">F.sT</f>
        <v>4.9137039877623215E-31</v>
      </c>
      <c r="AB46" s="70"/>
      <c r="AC46" s="500"/>
      <c r="AD46" s="70"/>
      <c r="AE46" s="582" t="s">
        <v>379</v>
      </c>
      <c r="AF46" s="575" t="s">
        <v>517</v>
      </c>
      <c r="AG46" s="576"/>
      <c r="AH46" s="573"/>
      <c r="AI46" s="573"/>
      <c r="AJ46" s="513">
        <f ca="1">(NETsedrate.wT*SYSTEMAREA.T*AREAFRAC.wT)*C.sdT*Molweight</f>
        <v>7.2894092932974182E-7</v>
      </c>
      <c r="AK46" s="575">
        <f ca="1">KDEG.sdT*VOLUME.sdT*C.sdT*Molweight</f>
        <v>3.4481821721013941E-15</v>
      </c>
      <c r="AL46" s="513"/>
      <c r="AM46" s="513"/>
      <c r="AN46" s="513"/>
      <c r="AO46" s="513"/>
      <c r="AP46" s="513"/>
      <c r="AQ46" s="513">
        <f ca="1">k.w3T.sdT*M.w3T*Molweight</f>
        <v>3.4591695533299424E-3</v>
      </c>
      <c r="AR46" s="575">
        <f ca="1">k.sdT.w3T*M.sdT*Molweight</f>
        <v>3.4584406123971644E-3</v>
      </c>
      <c r="AS46" s="572">
        <f ca="1">SUM(AG46,AH46,AQ46)-SUM(AI46,AJ46,AK46,AR46)</f>
        <v>0</v>
      </c>
      <c r="AT46" s="70"/>
      <c r="AU46" s="514"/>
      <c r="AV46" s="515"/>
      <c r="AW46" s="538" t="s">
        <v>1568</v>
      </c>
      <c r="BN46" s="515"/>
      <c r="BO46" s="516"/>
      <c r="BP46" s="515"/>
      <c r="BQ46" s="515"/>
      <c r="BR46" s="515"/>
      <c r="BS46" s="515"/>
      <c r="BT46" s="607">
        <f ca="1">AJ16</f>
        <v>5.4161421753165393E-7</v>
      </c>
      <c r="BU46" s="515"/>
      <c r="BV46" s="607">
        <f ca="1">AJ15</f>
        <v>9.3213829383959445E-7</v>
      </c>
      <c r="BW46" s="515"/>
      <c r="BX46" s="515"/>
      <c r="BY46" s="515"/>
      <c r="BZ46" s="515"/>
      <c r="CA46" s="515"/>
      <c r="CB46" s="528">
        <f ca="1">AJ17</f>
        <v>1.7367088217191146E-9</v>
      </c>
      <c r="CC46" s="515"/>
      <c r="CD46" s="528">
        <f ca="1">AJ19</f>
        <v>1.6609232390529041E-9</v>
      </c>
      <c r="CE46" s="515"/>
      <c r="CF46" s="527">
        <f ca="1">AJ18</f>
        <v>1.7206902778538987E-9</v>
      </c>
      <c r="CG46" s="515"/>
      <c r="CH46" s="515"/>
      <c r="CI46" s="515"/>
      <c r="CJ46" s="500"/>
      <c r="CK46" s="481"/>
    </row>
    <row r="47" spans="1:89" ht="12.75" customHeight="1" x14ac:dyDescent="0.3">
      <c r="A47" s="70"/>
      <c r="B47" s="579" t="s">
        <v>430</v>
      </c>
      <c r="C47" s="580">
        <f ca="1">C46*FRw.sL</f>
        <v>0.2155325445823538</v>
      </c>
      <c r="D47" s="569">
        <f ca="1">C47/$C$50</f>
        <v>2.0364825569371123E-5</v>
      </c>
      <c r="E47" s="581">
        <f ca="1">E46*FRw.s3R</f>
        <v>5.073067430023314E-2</v>
      </c>
      <c r="F47" s="513">
        <f ca="1">E47/$E$50</f>
        <v>5.6101603682138456E-6</v>
      </c>
      <c r="G47" s="581">
        <f ca="1">G46*FRw.s3C</f>
        <v>1.2035878230948054</v>
      </c>
      <c r="H47" s="513">
        <f ca="1">G47/$G$50</f>
        <v>1.6404205693856243E-5</v>
      </c>
      <c r="I47" s="581">
        <f ca="1">I46*FRw.sM</f>
        <v>2.5708777030814374E-2</v>
      </c>
      <c r="J47" s="513">
        <f ca="1">I47/$I$50</f>
        <v>5.5360609514822906E-9</v>
      </c>
      <c r="K47" s="581">
        <f ca="1">K46*FRw.sA</f>
        <v>1.3399229116280574E-3</v>
      </c>
      <c r="L47" s="513">
        <f ca="1">K47/$K$50</f>
        <v>4.3008244894050135E-10</v>
      </c>
      <c r="M47" s="581">
        <f ca="1">M46*FRw.sT</f>
        <v>5.6835696800636517E-4</v>
      </c>
      <c r="N47" s="575">
        <f ca="1">M47/$M$50</f>
        <v>4.8975966815820488E-11</v>
      </c>
      <c r="O47" s="569"/>
      <c r="P47" s="513">
        <f ca="1">P48/Kp.s3R</f>
        <v>8.0684378459803952E-8</v>
      </c>
      <c r="Q47" s="513">
        <f ca="1">Q48/Kp.s3C</f>
        <v>1.1174845271148559E-10</v>
      </c>
      <c r="R47" s="513">
        <f ca="1">R48/Kp.sM</f>
        <v>6.7183077710984764E-14</v>
      </c>
      <c r="S47" s="513">
        <f ca="1">S48/Kp.sA</f>
        <v>7.881899480165043E-15</v>
      </c>
      <c r="T47" s="513">
        <f ca="1">T48/Kp.sT</f>
        <v>1.4859005699512812E-15</v>
      </c>
      <c r="U47" s="575" t="s">
        <v>1516</v>
      </c>
      <c r="V47" s="513"/>
      <c r="W47" s="513">
        <f ca="1">W46*FRACw.s3R</f>
        <v>2.9833720648135703E-24</v>
      </c>
      <c r="X47" s="513">
        <f ca="1">X46*FRACw.s3C</f>
        <v>2.9256972154631069E-27</v>
      </c>
      <c r="Y47" s="513">
        <f ca="1">Y46*FRACw.sM</f>
        <v>9.8585771425293116E-31</v>
      </c>
      <c r="Z47" s="513">
        <f ca="1">Z46*FRACw.sA</f>
        <v>6.44657247160264E-33</v>
      </c>
      <c r="AA47" s="575">
        <f ca="1">AA46*FRACw.sT</f>
        <v>9.8274079755246432E-32</v>
      </c>
      <c r="AB47" s="70"/>
      <c r="AC47" s="500"/>
      <c r="AD47" s="70"/>
      <c r="AE47" s="582" t="s">
        <v>380</v>
      </c>
      <c r="AF47" s="575" t="s">
        <v>520</v>
      </c>
      <c r="AG47" s="576">
        <f>E.sT*Molweight</f>
        <v>0</v>
      </c>
      <c r="AH47" s="573"/>
      <c r="AI47" s="573"/>
      <c r="AJ47" s="513">
        <f ca="1">(FRACinf.sT*RAINrate.T/Kslw.T*SYSTEMAREA.T*AREAFRAC.sT*CORRleach.sT)*C.sT*Molweight</f>
        <v>5.0151582389782998E-12</v>
      </c>
      <c r="AK47" s="575">
        <f ca="1">KDEG.sT*VOLUME.sT*C.sT*Molweight</f>
        <v>5.7173187295844651E-20</v>
      </c>
      <c r="AL47" s="513"/>
      <c r="AM47" s="513"/>
      <c r="AN47" s="513">
        <f ca="1">k.aT.sT*M.aT*Molweight</f>
        <v>8.87558677411184E-10</v>
      </c>
      <c r="AO47" s="513">
        <f ca="1">k.sT.aT*M.sT*Molweight</f>
        <v>7.5672683941733267E-25</v>
      </c>
      <c r="AP47" s="595">
        <f ca="1">k.sT.w2T*M.sT*Molweight</f>
        <v>8.8254351911503162E-10</v>
      </c>
      <c r="AQ47" s="513"/>
      <c r="AR47" s="575"/>
      <c r="AS47" s="572">
        <f ca="1">SUM(AG47,AH47,AN47)-SUM(AI47,AJ47,AK47,AO47,AP47,AS46)</f>
        <v>0</v>
      </c>
      <c r="AT47" s="70"/>
      <c r="AU47" s="514"/>
      <c r="AV47" s="515"/>
      <c r="AW47" s="589" t="s">
        <v>1569</v>
      </c>
      <c r="BN47" s="515"/>
      <c r="BO47" s="516"/>
      <c r="BP47" s="515"/>
      <c r="BQ47" s="515"/>
      <c r="BR47" s="515"/>
      <c r="BS47" s="515"/>
      <c r="BT47" s="515"/>
      <c r="BU47" s="515"/>
      <c r="BV47" s="515"/>
      <c r="BW47" s="515"/>
      <c r="BX47" s="515"/>
      <c r="BY47" s="515"/>
      <c r="BZ47" s="515"/>
      <c r="CA47" s="515"/>
      <c r="CB47" s="515"/>
      <c r="CC47" s="515"/>
      <c r="CD47" s="515"/>
      <c r="CE47" s="515"/>
      <c r="CF47" s="515"/>
      <c r="CG47" s="515"/>
      <c r="CH47" s="515"/>
      <c r="CI47" s="515"/>
      <c r="CJ47" s="500"/>
      <c r="CK47" s="481"/>
    </row>
    <row r="48" spans="1:89" ht="12.75" customHeight="1" thickBot="1" x14ac:dyDescent="0.35">
      <c r="A48" s="70"/>
      <c r="B48" s="579" t="s">
        <v>712</v>
      </c>
      <c r="C48" s="580">
        <f ca="1">C46*FRs.sL</f>
        <v>10573.352206556357</v>
      </c>
      <c r="D48" s="569">
        <f ca="1">C48/$C$50</f>
        <v>0.99903461812362715</v>
      </c>
      <c r="E48" s="581">
        <f ca="1">E46*FRs.s3R</f>
        <v>3171.9513792025573</v>
      </c>
      <c r="F48" s="513">
        <f ca="1">E48/$E$50</f>
        <v>0.35077704294227474</v>
      </c>
      <c r="G48" s="581">
        <f ca="1">G46*FRs.s3C</f>
        <v>5909.509107856431</v>
      </c>
      <c r="H48" s="513">
        <f ca="1">G48/$G$50</f>
        <v>8.0543190197561398E-2</v>
      </c>
      <c r="I48" s="581">
        <f ca="1">I46*FRs.sM</f>
        <v>258.58864928840916</v>
      </c>
      <c r="J48" s="513">
        <f ca="1">I48/$I$50</f>
        <v>5.5683804877464579E-5</v>
      </c>
      <c r="K48" s="581">
        <f ca="1">K46*FRs.sA</f>
        <v>13.477453845945004</v>
      </c>
      <c r="L48" s="513">
        <f ca="1">K48/$K$50</f>
        <v>4.3259327124302534E-6</v>
      </c>
      <c r="M48" s="581">
        <f ca="1">M46*FRs.sT</f>
        <v>5.7167503726164588</v>
      </c>
      <c r="N48" s="575">
        <f ca="1">M48/$M$50</f>
        <v>4.9261888620050748E-7</v>
      </c>
      <c r="O48" s="569"/>
      <c r="P48" s="513">
        <f ca="1">C.s3R*FRs.s3R*(Molweight*1000)/(FRACs.s3R*RHOsolid)</f>
        <v>2.7881235069726509E-4</v>
      </c>
      <c r="Q48" s="513">
        <f ca="1">C.s3C*FRs.s3C*(Molweight*1000)/(FRACs.s3C*RHOsolid)</f>
        <v>3.7724250311631275E-7</v>
      </c>
      <c r="R48" s="513">
        <f ca="1">C.sM*FRs.sM*(Molweight*1000)/(FRACs.sM*RHOsolid)</f>
        <v>8.8607201740290134E-11</v>
      </c>
      <c r="S48" s="513">
        <f ca="1">C.sA*FRs.sA*(Molweight*1000)/(FRACs.sA*RHOsolid)</f>
        <v>1.0395371589555523E-11</v>
      </c>
      <c r="T48" s="513">
        <f ca="1">C.sT*FRs.sT*(Molweight*1000)/(FRACs.sT*RHOsolid)</f>
        <v>1.9597418881891737E-12</v>
      </c>
      <c r="U48" s="575" t="s">
        <v>1521</v>
      </c>
      <c r="V48" s="513"/>
      <c r="W48" s="513">
        <f ca="1">W46*(1-FRACw.s3R)</f>
        <v>2.7289032622426018E-23</v>
      </c>
      <c r="X48" s="513">
        <f ca="1">X46*(1-FRACw.s3C)</f>
        <v>2.8237159965570664E-27</v>
      </c>
      <c r="Y48" s="513">
        <f ca="1">Y46*(1-FRACw.sM)</f>
        <v>3.9434308570117246E-30</v>
      </c>
      <c r="Z48" s="513">
        <f ca="1">Z46*(1-FRACw.sA)</f>
        <v>2.578628988641056E-32</v>
      </c>
      <c r="AA48" s="575">
        <f ca="1">AA46*(1-FRACw.sT)</f>
        <v>3.9309631902098573E-31</v>
      </c>
      <c r="AB48" s="70"/>
      <c r="AC48" s="500"/>
      <c r="AD48" s="70"/>
      <c r="AE48" s="616"/>
      <c r="AF48" s="617"/>
      <c r="AG48" s="618">
        <f>SUM(AG10:AG47)</f>
        <v>3.488077118214104E-6</v>
      </c>
      <c r="AH48" s="619"/>
      <c r="AI48" s="619"/>
      <c r="AJ48" s="619">
        <f ca="1">SUM(AJ10:AJ47)</f>
        <v>3.4885704938442102E-6</v>
      </c>
      <c r="AK48" s="620">
        <f ca="1">SUM(AK10:AK47)</f>
        <v>1.337357625970567E-13</v>
      </c>
      <c r="AL48" s="621"/>
      <c r="AM48" s="621"/>
      <c r="AN48" s="621"/>
      <c r="AO48" s="621"/>
      <c r="AP48" s="621"/>
      <c r="AQ48" s="621"/>
      <c r="AR48" s="622"/>
      <c r="AS48" s="618">
        <f ca="1">SUM(AS11:AS46)</f>
        <v>152.61044826205887</v>
      </c>
      <c r="AT48" s="70"/>
      <c r="AU48" s="514"/>
      <c r="AV48" s="515"/>
      <c r="AW48" s="556"/>
      <c r="AX48" s="557"/>
      <c r="AY48" s="557"/>
      <c r="AZ48" s="557"/>
      <c r="BA48" s="557"/>
      <c r="BB48" s="558"/>
      <c r="BC48" s="559"/>
      <c r="BD48" s="557"/>
      <c r="BE48" s="557"/>
      <c r="BF48" s="557"/>
      <c r="BG48" s="558"/>
      <c r="BH48" s="559"/>
      <c r="BI48" s="557"/>
      <c r="BJ48" s="557"/>
      <c r="BK48" s="557"/>
      <c r="BL48" s="558"/>
      <c r="BM48" s="556"/>
      <c r="BN48" s="515"/>
      <c r="BO48" s="516"/>
      <c r="BP48" s="515"/>
      <c r="BQ48" s="515"/>
      <c r="BR48" s="519" t="s">
        <v>1755</v>
      </c>
      <c r="BS48" s="515"/>
      <c r="BT48" s="515"/>
      <c r="BU48" s="515"/>
      <c r="BV48" s="517" t="s">
        <v>768</v>
      </c>
      <c r="BW48" s="70"/>
      <c r="BX48" s="70"/>
      <c r="BY48" s="70"/>
      <c r="BZ48" s="70"/>
      <c r="CA48" s="515"/>
      <c r="CB48" s="515"/>
      <c r="CC48" s="515"/>
      <c r="CD48" s="515"/>
      <c r="CE48" s="515"/>
      <c r="CF48" s="515"/>
      <c r="CG48" s="515"/>
      <c r="CH48" s="515"/>
      <c r="CI48" s="515"/>
      <c r="CJ48" s="500"/>
      <c r="CK48" s="481"/>
    </row>
    <row r="49" spans="1:89" ht="12.75" customHeight="1" x14ac:dyDescent="0.3">
      <c r="A49" s="70"/>
      <c r="B49" s="545"/>
      <c r="C49" s="623"/>
      <c r="D49" s="624"/>
      <c r="E49" s="625"/>
      <c r="F49" s="554"/>
      <c r="G49" s="625"/>
      <c r="H49" s="554"/>
      <c r="I49" s="625"/>
      <c r="J49" s="554"/>
      <c r="K49" s="625"/>
      <c r="L49" s="554"/>
      <c r="M49" s="625"/>
      <c r="N49" s="555"/>
      <c r="O49" s="513"/>
      <c r="P49" s="513"/>
      <c r="Q49" s="513"/>
      <c r="R49" s="513"/>
      <c r="S49" s="513"/>
      <c r="T49" s="554"/>
      <c r="U49" s="555"/>
      <c r="V49" s="513"/>
      <c r="W49" s="513"/>
      <c r="X49" s="513"/>
      <c r="Y49" s="513"/>
      <c r="Z49" s="513"/>
      <c r="AA49" s="555"/>
      <c r="AB49" s="70"/>
      <c r="AC49" s="50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514"/>
      <c r="AV49" s="515"/>
      <c r="AW49" s="538" t="s">
        <v>1570</v>
      </c>
      <c r="BN49" s="515"/>
      <c r="BO49" s="516"/>
      <c r="BP49" s="515"/>
      <c r="BQ49" s="515"/>
      <c r="BR49" s="515"/>
      <c r="BS49" s="515"/>
      <c r="BT49" s="515"/>
      <c r="BU49" s="515"/>
      <c r="BV49" s="515"/>
      <c r="BW49" s="515"/>
      <c r="BX49" s="515"/>
      <c r="BY49" s="515"/>
      <c r="BZ49" s="515"/>
      <c r="CA49" s="515"/>
      <c r="CB49" s="515"/>
      <c r="CC49" s="515"/>
      <c r="CD49" s="515"/>
      <c r="CE49" s="515"/>
      <c r="CF49" s="515"/>
      <c r="CG49" s="515"/>
      <c r="CH49" s="515"/>
      <c r="CI49" s="515"/>
      <c r="CJ49" s="500"/>
      <c r="CK49" s="481"/>
    </row>
    <row r="50" spans="1:89" ht="12.75" customHeight="1" thickBot="1" x14ac:dyDescent="0.35">
      <c r="A50" s="70"/>
      <c r="B50" s="626" t="s">
        <v>22</v>
      </c>
      <c r="C50" s="627">
        <f ca="1">SUM(C10,C14,C18,C22,C26,C30,C34,C38,C42,C46)</f>
        <v>10583.569392635342</v>
      </c>
      <c r="D50" s="621">
        <f ca="1">C50/SUM($C$50,$E$50,$G$50,$I$50,$K$50,$M$50)</f>
        <v>5.4394135558817256E-4</v>
      </c>
      <c r="E50" s="628">
        <f ca="1">SUM(E10,E14,E18,E22,E26,E30,E34,E38,E42,E46)</f>
        <v>9042.6424505908908</v>
      </c>
      <c r="F50" s="621">
        <f ca="1">E50/SUM($C$50,$E$50,$G$50,$I$50,$K$50,$M$50)</f>
        <v>4.6474558914842625E-4</v>
      </c>
      <c r="G50" s="628">
        <f ca="1">SUM(G10,G14,G18,G22,G26,G30,G34,G38,G42,G46)</f>
        <v>73370.685881217461</v>
      </c>
      <c r="H50" s="621">
        <f ca="1">G50/SUM($C$50,$E$50,$G$50,$I$50,$K$50,$M$50)</f>
        <v>3.7708781279815343E-3</v>
      </c>
      <c r="I50" s="628">
        <f ca="1">SUM(I10,I14,I18,I22,I26,I30,I34,I38,I42,I46)</f>
        <v>4643875.3576097824</v>
      </c>
      <c r="J50" s="621">
        <f ca="1">I50/SUM($C$50,$E$50,$G$50,$I$50,$K$50,$M$50)</f>
        <v>0.23867145038596416</v>
      </c>
      <c r="K50" s="628">
        <f ca="1">SUM(K10,K14,K18,K22,K26,K30,K34,K38,K42,K46)</f>
        <v>3115502.4226841344</v>
      </c>
      <c r="L50" s="621">
        <f ca="1">K50/SUM($C$50,$E$50,$G$50,$I$50,$K$50,$M$50)</f>
        <v>0.16012089572656646</v>
      </c>
      <c r="M50" s="628">
        <f ca="1">SUM(M10,M14,M18,M22,M26,M30,M34,M38,M42,M46)</f>
        <v>11604813.645511769</v>
      </c>
      <c r="N50" s="621">
        <f ca="1">M50/SUM($C$50,$E$50,$G$50,$I$50,$K$50,$M$50)</f>
        <v>0.59642808881475118</v>
      </c>
      <c r="O50" s="621"/>
      <c r="P50" s="621"/>
      <c r="Q50" s="621"/>
      <c r="R50" s="621"/>
      <c r="S50" s="621"/>
      <c r="T50" s="621"/>
      <c r="U50" s="621"/>
      <c r="V50" s="621"/>
      <c r="W50" s="621">
        <f ca="1">SUM(W10,W14,W18,W22,W26,W34,W38,W42,W46)</f>
        <v>0.69937352872688718</v>
      </c>
      <c r="X50" s="621">
        <f ca="1">SUM(X10,X14,X18,X22,X26,X34,X38,X42,X46)</f>
        <v>3.1002835519482258E-13</v>
      </c>
      <c r="Y50" s="621">
        <f ca="1">SUM(Y10,Y14,Y18,Y22,Y26,Y34,Y38,Y42,Y46)</f>
        <v>2.5384672743470599E-15</v>
      </c>
      <c r="Z50" s="621">
        <f ca="1">SUM(Z10,Z14,Z18,Z22,Z26,Z34,Z38,Z42,Z46)</f>
        <v>1.4180203708557134E-16</v>
      </c>
      <c r="AA50" s="621">
        <f ca="1">SUM(AA10,AA14,AA18,AA22,AA26,AA34,AA38,AA42,AA46)</f>
        <v>9.45912123555531E-17</v>
      </c>
      <c r="AB50" s="70"/>
      <c r="AC50" s="50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514"/>
      <c r="AV50" s="515"/>
      <c r="AW50" s="556"/>
      <c r="AX50" s="557"/>
      <c r="AY50" s="557"/>
      <c r="AZ50" s="557"/>
      <c r="BA50" s="557"/>
      <c r="BB50" s="558"/>
      <c r="BC50" s="559"/>
      <c r="BD50" s="557"/>
      <c r="BE50" s="557"/>
      <c r="BF50" s="557"/>
      <c r="BG50" s="558"/>
      <c r="BH50" s="559"/>
      <c r="BI50" s="557"/>
      <c r="BJ50" s="557"/>
      <c r="BK50" s="557"/>
      <c r="BL50" s="558"/>
      <c r="BM50" s="629"/>
      <c r="BN50" s="515"/>
      <c r="BO50" s="516"/>
      <c r="BP50" s="515"/>
      <c r="BQ50" s="515"/>
      <c r="BR50" s="515"/>
      <c r="BS50" s="515" t="s">
        <v>502</v>
      </c>
      <c r="BT50" s="515"/>
      <c r="BU50" s="515"/>
      <c r="BV50" s="70" t="s">
        <v>198</v>
      </c>
      <c r="BW50" s="70"/>
      <c r="BX50" s="70">
        <f ca="1">P10</f>
        <v>8.8858889121483004E-12</v>
      </c>
      <c r="BY50" s="70" t="s">
        <v>1520</v>
      </c>
      <c r="BZ50" s="515"/>
      <c r="CA50" s="515"/>
      <c r="CB50" s="515"/>
      <c r="CC50" s="515"/>
      <c r="CD50" s="515"/>
      <c r="CE50" s="515"/>
      <c r="CF50" s="515"/>
      <c r="CG50" s="515"/>
      <c r="CH50" s="515"/>
      <c r="CI50" s="515"/>
      <c r="CJ50" s="500"/>
      <c r="CK50" s="481"/>
    </row>
    <row r="51" spans="1:89" ht="12.75" customHeight="1" x14ac:dyDescent="0.3">
      <c r="A51" s="70"/>
      <c r="B51" s="602"/>
      <c r="C51" s="602"/>
      <c r="D51" s="519"/>
      <c r="E51" s="519"/>
      <c r="F51" s="519"/>
      <c r="G51" s="519"/>
      <c r="H51" s="519"/>
      <c r="I51" s="519"/>
      <c r="J51" s="519"/>
      <c r="K51" s="519"/>
      <c r="L51" s="519"/>
      <c r="M51" s="519"/>
      <c r="N51" s="519"/>
      <c r="O51" s="519"/>
      <c r="P51" s="519"/>
      <c r="Q51" s="519"/>
      <c r="R51" s="519"/>
      <c r="S51" s="519"/>
      <c r="T51" s="519"/>
      <c r="U51" s="519"/>
      <c r="V51" s="519"/>
      <c r="W51" s="519"/>
      <c r="X51" s="519"/>
      <c r="Y51" s="519"/>
      <c r="Z51" s="519"/>
      <c r="AA51" s="519"/>
      <c r="AB51" s="70"/>
      <c r="AC51" s="50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514"/>
      <c r="AV51" s="515"/>
      <c r="AW51" s="538" t="s">
        <v>1571</v>
      </c>
      <c r="BN51" s="515"/>
      <c r="BO51" s="516"/>
      <c r="BP51" s="515"/>
      <c r="BQ51" s="515"/>
      <c r="BR51" s="515"/>
      <c r="BS51" s="515"/>
      <c r="BT51" s="515"/>
      <c r="BU51" s="515"/>
      <c r="BV51" s="70" t="s">
        <v>1659</v>
      </c>
      <c r="BW51" s="70"/>
      <c r="BX51" s="70">
        <f ca="1">P14</f>
        <v>28.677853510778611</v>
      </c>
      <c r="BY51" s="70" t="s">
        <v>1516</v>
      </c>
      <c r="BZ51" s="515"/>
      <c r="CA51" s="515"/>
      <c r="CB51" s="515"/>
      <c r="CC51" s="515"/>
      <c r="CD51" s="515"/>
      <c r="CE51" s="515"/>
      <c r="CF51" s="515"/>
      <c r="CG51" s="515"/>
      <c r="CH51" s="515"/>
      <c r="CI51" s="515"/>
      <c r="CJ51" s="500"/>
      <c r="CK51" s="481"/>
    </row>
    <row r="52" spans="1:89" ht="12.75" customHeight="1" x14ac:dyDescent="0.3">
      <c r="A52" s="70"/>
      <c r="B52" s="602"/>
      <c r="C52" s="602"/>
      <c r="D52" s="519"/>
      <c r="E52" s="519"/>
      <c r="F52" s="519"/>
      <c r="G52" s="519"/>
      <c r="H52" s="519"/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519"/>
      <c r="X52" s="519"/>
      <c r="Y52" s="519"/>
      <c r="Z52" s="519"/>
      <c r="AA52" s="519"/>
      <c r="AB52" s="70"/>
      <c r="AC52" s="50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514"/>
      <c r="AV52" s="515"/>
      <c r="AW52" s="589" t="s">
        <v>1572</v>
      </c>
      <c r="BN52" s="515"/>
      <c r="BO52" s="516"/>
      <c r="BP52" s="515"/>
      <c r="BQ52" s="515"/>
      <c r="BR52" s="515"/>
      <c r="BS52" s="515" t="s">
        <v>1742</v>
      </c>
      <c r="BT52" s="515"/>
      <c r="BU52" s="515"/>
      <c r="BV52" s="70" t="s">
        <v>199</v>
      </c>
      <c r="BW52" s="70"/>
      <c r="BX52" s="70">
        <f ca="1">P18</f>
        <v>1.0143536176223998E-7</v>
      </c>
      <c r="BY52" s="70" t="s">
        <v>1516</v>
      </c>
      <c r="BZ52" s="515"/>
      <c r="CA52" s="515"/>
      <c r="CB52" s="515"/>
      <c r="CC52" s="515"/>
      <c r="CD52" s="515"/>
      <c r="CE52" s="515"/>
      <c r="CF52" s="515"/>
      <c r="CG52" s="515"/>
      <c r="CH52" s="515"/>
      <c r="CI52" s="515"/>
      <c r="CJ52" s="500"/>
      <c r="CK52" s="481"/>
    </row>
    <row r="53" spans="1:89" ht="12.75" customHeight="1" thickBot="1" x14ac:dyDescent="0.35">
      <c r="A53" s="70"/>
      <c r="B53" s="602"/>
      <c r="C53" s="602"/>
      <c r="D53" s="519"/>
      <c r="E53" s="519"/>
      <c r="F53" s="519"/>
      <c r="G53" s="519"/>
      <c r="H53" s="519"/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519"/>
      <c r="X53" s="519"/>
      <c r="Y53" s="519"/>
      <c r="Z53" s="519"/>
      <c r="AA53" s="519"/>
      <c r="AB53" s="70"/>
      <c r="AC53" s="50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514"/>
      <c r="AV53" s="515"/>
      <c r="AW53" s="584"/>
      <c r="AX53" s="585"/>
      <c r="AY53" s="585"/>
      <c r="AZ53" s="585"/>
      <c r="BA53" s="585"/>
      <c r="BB53" s="586"/>
      <c r="BC53" s="587"/>
      <c r="BD53" s="585"/>
      <c r="BE53" s="585"/>
      <c r="BF53" s="585"/>
      <c r="BG53" s="586"/>
      <c r="BH53" s="587"/>
      <c r="BI53" s="585"/>
      <c r="BJ53" s="585"/>
      <c r="BK53" s="585"/>
      <c r="BL53" s="586"/>
      <c r="BM53" s="630"/>
      <c r="BN53" s="515"/>
      <c r="BO53" s="516"/>
      <c r="BP53" s="515"/>
      <c r="BQ53" s="515"/>
      <c r="BR53" s="515"/>
      <c r="BS53" s="515"/>
      <c r="BT53" s="515"/>
      <c r="BU53" s="515"/>
      <c r="BV53" s="70" t="s">
        <v>1503</v>
      </c>
      <c r="BW53" s="70"/>
      <c r="BX53" s="70">
        <f ca="1">P26</f>
        <v>640819686571824</v>
      </c>
      <c r="BY53" s="70" t="s">
        <v>1516</v>
      </c>
      <c r="BZ53" s="515"/>
      <c r="CA53" s="515"/>
      <c r="CB53" s="515"/>
      <c r="CC53" s="515"/>
      <c r="CD53" s="515"/>
      <c r="CE53" s="515"/>
      <c r="CF53" s="515"/>
      <c r="CG53" s="515"/>
      <c r="CH53" s="515"/>
      <c r="CI53" s="515"/>
      <c r="CJ53" s="500"/>
      <c r="CK53" s="481"/>
    </row>
    <row r="54" spans="1:89" ht="12.75" customHeight="1" x14ac:dyDescent="0.3">
      <c r="A54" s="70"/>
      <c r="B54" s="602"/>
      <c r="C54" s="602"/>
      <c r="D54" s="519"/>
      <c r="E54" s="519"/>
      <c r="F54" s="519"/>
      <c r="G54" s="519"/>
      <c r="H54" s="519"/>
      <c r="I54" s="519"/>
      <c r="J54" s="519"/>
      <c r="K54" s="519"/>
      <c r="L54" s="519"/>
      <c r="M54" s="519"/>
      <c r="N54" s="519"/>
      <c r="O54" s="519"/>
      <c r="P54" s="519"/>
      <c r="Q54" s="519"/>
      <c r="R54" s="519"/>
      <c r="S54" s="519"/>
      <c r="T54" s="519"/>
      <c r="U54" s="519"/>
      <c r="V54" s="519"/>
      <c r="W54" s="519"/>
      <c r="X54" s="519"/>
      <c r="Y54" s="519"/>
      <c r="Z54" s="519"/>
      <c r="AA54" s="519"/>
      <c r="AB54" s="70"/>
      <c r="AC54" s="50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514"/>
      <c r="AV54" s="515"/>
      <c r="AW54" s="538" t="s">
        <v>1573</v>
      </c>
      <c r="BN54" s="515"/>
      <c r="BO54" s="516"/>
      <c r="BP54" s="515"/>
      <c r="BQ54" s="515"/>
      <c r="BR54" s="515"/>
      <c r="BS54" s="515" t="s">
        <v>1743</v>
      </c>
      <c r="BT54" s="515"/>
      <c r="BU54" s="515"/>
      <c r="BV54" s="70" t="s">
        <v>200</v>
      </c>
      <c r="BW54" s="70"/>
      <c r="BX54" s="70">
        <f ca="1">P22</f>
        <v>1.5649206241057935E-4</v>
      </c>
      <c r="BY54" s="70" t="s">
        <v>1522</v>
      </c>
      <c r="BZ54" s="515"/>
      <c r="CA54" s="515"/>
      <c r="CB54" s="515"/>
      <c r="CC54" s="515"/>
      <c r="CD54" s="515"/>
      <c r="CE54" s="515"/>
      <c r="CF54" s="515"/>
      <c r="CG54" s="515"/>
      <c r="CH54" s="515"/>
      <c r="CI54" s="515"/>
      <c r="CJ54" s="500"/>
      <c r="CK54" s="481"/>
    </row>
    <row r="55" spans="1:89" ht="12.75" customHeight="1" x14ac:dyDescent="0.3">
      <c r="A55" s="70"/>
      <c r="B55" s="602"/>
      <c r="C55" s="602"/>
      <c r="D55" s="519"/>
      <c r="E55" s="519"/>
      <c r="F55" s="519"/>
      <c r="G55" s="519"/>
      <c r="H55" s="519"/>
      <c r="I55" s="519"/>
      <c r="J55" s="519"/>
      <c r="K55" s="519"/>
      <c r="L55" s="519"/>
      <c r="M55" s="519"/>
      <c r="N55" s="519"/>
      <c r="O55" s="519"/>
      <c r="P55" s="519"/>
      <c r="Q55" s="519"/>
      <c r="R55" s="519"/>
      <c r="S55" s="519"/>
      <c r="T55" s="519"/>
      <c r="U55" s="519"/>
      <c r="V55" s="519"/>
      <c r="W55" s="519"/>
      <c r="X55" s="519"/>
      <c r="Y55" s="519"/>
      <c r="Z55" s="519"/>
      <c r="AA55" s="519"/>
      <c r="AB55" s="70"/>
      <c r="AC55" s="50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514"/>
      <c r="AV55" s="515"/>
      <c r="AW55" s="589" t="s">
        <v>1574</v>
      </c>
      <c r="BN55" s="515"/>
      <c r="BO55" s="516"/>
      <c r="BP55" s="515"/>
      <c r="BQ55" s="515"/>
      <c r="BR55" s="515"/>
      <c r="BS55" s="515"/>
      <c r="BT55" s="515"/>
      <c r="BU55" s="515"/>
      <c r="BV55" s="70" t="s">
        <v>1502</v>
      </c>
      <c r="BW55" s="70"/>
      <c r="BX55" s="70">
        <f ca="1">P34</f>
        <v>1.520387331223116E+18</v>
      </c>
      <c r="BY55" s="70" t="s">
        <v>1522</v>
      </c>
      <c r="BZ55" s="515"/>
      <c r="CA55" s="515"/>
      <c r="CB55" s="515"/>
      <c r="CC55" s="515"/>
      <c r="CD55" s="515"/>
      <c r="CE55" s="515"/>
      <c r="CF55" s="515"/>
      <c r="CG55" s="515"/>
      <c r="CH55" s="515"/>
      <c r="CI55" s="515"/>
      <c r="CJ55" s="500"/>
      <c r="CK55" s="481"/>
    </row>
    <row r="56" spans="1:89" ht="12.75" customHeight="1" thickBot="1" x14ac:dyDescent="0.35">
      <c r="A56" s="70"/>
      <c r="B56" s="602"/>
      <c r="C56" s="602"/>
      <c r="D56" s="519"/>
      <c r="E56" s="519"/>
      <c r="F56" s="519"/>
      <c r="G56" s="519"/>
      <c r="H56" s="519"/>
      <c r="I56" s="519"/>
      <c r="J56" s="519"/>
      <c r="K56" s="519"/>
      <c r="L56" s="519"/>
      <c r="M56" s="519"/>
      <c r="N56" s="519"/>
      <c r="O56" s="519"/>
      <c r="P56" s="519"/>
      <c r="Q56" s="519"/>
      <c r="R56" s="519"/>
      <c r="S56" s="519"/>
      <c r="T56" s="519"/>
      <c r="U56" s="519"/>
      <c r="V56" s="519"/>
      <c r="W56" s="519"/>
      <c r="X56" s="519"/>
      <c r="Y56" s="519"/>
      <c r="Z56" s="519"/>
      <c r="AA56" s="519"/>
      <c r="AB56" s="70"/>
      <c r="AC56" s="50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514"/>
      <c r="AV56" s="515"/>
      <c r="AW56" s="608" t="s">
        <v>770</v>
      </c>
      <c r="BN56" s="515"/>
      <c r="BO56" s="516"/>
      <c r="BP56" s="515"/>
      <c r="BQ56" s="515"/>
      <c r="BR56" s="515"/>
      <c r="BS56" s="70" t="s">
        <v>1756</v>
      </c>
      <c r="BT56" s="515"/>
      <c r="BU56" s="515"/>
      <c r="BV56" s="70" t="s">
        <v>500</v>
      </c>
      <c r="BW56" s="70"/>
      <c r="BX56" s="70">
        <f ca="1">P38</f>
        <v>9740620896653140</v>
      </c>
      <c r="BY56" s="70" t="s">
        <v>1522</v>
      </c>
      <c r="BZ56" s="515"/>
      <c r="CA56" s="515"/>
      <c r="CB56" s="515"/>
      <c r="CC56" s="515"/>
      <c r="CD56" s="515"/>
      <c r="CE56" s="515"/>
      <c r="CF56" s="515"/>
      <c r="CG56" s="515"/>
      <c r="CH56" s="515"/>
      <c r="CI56" s="515"/>
      <c r="CJ56" s="500"/>
      <c r="CK56" s="481"/>
    </row>
    <row r="57" spans="1:89" ht="12.75" customHeight="1" x14ac:dyDescent="0.3">
      <c r="A57" s="70"/>
      <c r="B57" s="602"/>
      <c r="C57" s="602"/>
      <c r="D57" s="519"/>
      <c r="E57" s="519"/>
      <c r="F57" s="519"/>
      <c r="G57" s="519"/>
      <c r="H57" s="519"/>
      <c r="I57" s="519"/>
      <c r="J57" s="519"/>
      <c r="K57" s="519"/>
      <c r="L57" s="519"/>
      <c r="M57" s="519"/>
      <c r="N57" s="519"/>
      <c r="O57" s="519"/>
      <c r="P57" s="519"/>
      <c r="Q57" s="519"/>
      <c r="R57" s="519"/>
      <c r="S57" s="519"/>
      <c r="T57" s="519"/>
      <c r="U57" s="519"/>
      <c r="V57" s="519"/>
      <c r="W57" s="519"/>
      <c r="X57" s="519"/>
      <c r="Y57" s="519"/>
      <c r="Z57" s="519"/>
      <c r="AA57" s="519"/>
      <c r="AB57" s="70"/>
      <c r="AC57" s="50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514"/>
      <c r="AV57" s="515"/>
      <c r="AW57" s="515"/>
      <c r="AX57" s="515"/>
      <c r="AY57" s="515"/>
      <c r="AZ57" s="515"/>
      <c r="BA57" s="515"/>
      <c r="BB57" s="515"/>
      <c r="BC57" s="515"/>
      <c r="BD57" s="515"/>
      <c r="BE57" s="515"/>
      <c r="BF57" s="515"/>
      <c r="BG57" s="515"/>
      <c r="BH57" s="515"/>
      <c r="BI57" s="515"/>
      <c r="BJ57" s="515"/>
      <c r="BK57" s="515"/>
      <c r="BL57" s="515"/>
      <c r="BM57" s="515"/>
      <c r="BN57" s="515"/>
      <c r="BO57" s="516"/>
      <c r="BP57" s="515"/>
      <c r="BQ57" s="515"/>
      <c r="BR57" s="515"/>
      <c r="BS57" s="515"/>
      <c r="BT57" s="515"/>
      <c r="BU57" s="515"/>
      <c r="BV57" s="70" t="s">
        <v>1445</v>
      </c>
      <c r="BW57" s="70"/>
      <c r="BX57" s="70">
        <f ca="1">P42</f>
        <v>2.7618551470136196E-4</v>
      </c>
      <c r="BY57" s="70" t="s">
        <v>1522</v>
      </c>
      <c r="BZ57" s="515"/>
      <c r="CA57" s="515"/>
      <c r="CB57" s="515"/>
      <c r="CC57" s="515"/>
      <c r="CD57" s="515"/>
      <c r="CE57" s="515"/>
      <c r="CF57" s="515"/>
      <c r="CG57" s="515"/>
      <c r="CH57" s="515"/>
      <c r="CI57" s="515"/>
      <c r="CJ57" s="500"/>
      <c r="CK57" s="481"/>
    </row>
    <row r="58" spans="1:89" ht="12.75" customHeight="1" x14ac:dyDescent="0.3">
      <c r="A58" s="70"/>
      <c r="B58" s="602"/>
      <c r="C58" s="602"/>
      <c r="D58" s="519"/>
      <c r="E58" s="519"/>
      <c r="F58" s="519"/>
      <c r="G58" s="519"/>
      <c r="H58" s="519"/>
      <c r="I58" s="519"/>
      <c r="J58" s="519"/>
      <c r="K58" s="519"/>
      <c r="L58" s="519"/>
      <c r="M58" s="519"/>
      <c r="N58" s="519"/>
      <c r="O58" s="519"/>
      <c r="P58" s="519"/>
      <c r="Q58" s="519"/>
      <c r="R58" s="519"/>
      <c r="S58" s="519"/>
      <c r="T58" s="519"/>
      <c r="U58" s="519"/>
      <c r="V58" s="519"/>
      <c r="W58" s="519"/>
      <c r="X58" s="519"/>
      <c r="Y58" s="519"/>
      <c r="Z58" s="519"/>
      <c r="AA58" s="519"/>
      <c r="AB58" s="70"/>
      <c r="AC58" s="50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514"/>
      <c r="AV58" s="515"/>
      <c r="AW58" s="515"/>
      <c r="AX58" s="515"/>
      <c r="AY58" s="515"/>
      <c r="AZ58" s="515"/>
      <c r="BA58" s="515"/>
      <c r="BB58" s="515"/>
      <c r="BC58" s="515"/>
      <c r="BD58" s="515"/>
      <c r="BE58" s="515"/>
      <c r="BF58" s="515"/>
      <c r="BG58" s="515"/>
      <c r="BH58" s="515"/>
      <c r="BI58" s="515"/>
      <c r="BJ58" s="515"/>
      <c r="BK58" s="515"/>
      <c r="BL58" s="515"/>
      <c r="BM58" s="515"/>
      <c r="BN58" s="515"/>
      <c r="BO58" s="516"/>
      <c r="BP58" s="515"/>
      <c r="BQ58" s="515"/>
      <c r="BR58" s="631">
        <v>0.12130000000000001</v>
      </c>
      <c r="BS58" s="515" t="s">
        <v>1741</v>
      </c>
      <c r="BT58" s="515"/>
      <c r="BU58" s="515"/>
      <c r="BV58" s="70" t="s">
        <v>501</v>
      </c>
      <c r="BW58" s="70"/>
      <c r="BX58" s="70">
        <f ca="1">P46</f>
        <v>2.6421444422450356E-4</v>
      </c>
      <c r="BY58" s="70" t="s">
        <v>1522</v>
      </c>
      <c r="BZ58" s="70"/>
      <c r="CA58" s="515"/>
      <c r="CB58" s="515"/>
      <c r="CC58" s="515"/>
      <c r="CD58" s="515"/>
      <c r="CE58" s="515"/>
      <c r="CF58" s="515"/>
      <c r="CG58" s="515"/>
      <c r="CH58" s="515"/>
      <c r="CI58" s="515"/>
      <c r="CJ58" s="500"/>
      <c r="CK58" s="481"/>
    </row>
    <row r="59" spans="1:89" ht="12.75" customHeight="1" x14ac:dyDescent="0.3">
      <c r="A59" s="70"/>
      <c r="B59" s="602"/>
      <c r="C59" s="602"/>
      <c r="D59" s="519"/>
      <c r="E59" s="519"/>
      <c r="F59" s="519"/>
      <c r="G59" s="519"/>
      <c r="H59" s="519"/>
      <c r="I59" s="519"/>
      <c r="J59" s="519"/>
      <c r="K59" s="519"/>
      <c r="L59" s="519"/>
      <c r="M59" s="519"/>
      <c r="N59" s="519"/>
      <c r="O59" s="519"/>
      <c r="P59" s="519"/>
      <c r="Q59" s="519"/>
      <c r="R59" s="519"/>
      <c r="S59" s="519"/>
      <c r="T59" s="519"/>
      <c r="U59" s="519"/>
      <c r="V59" s="519"/>
      <c r="W59" s="519"/>
      <c r="X59" s="519"/>
      <c r="Y59" s="519"/>
      <c r="Z59" s="519"/>
      <c r="AA59" s="519"/>
      <c r="AB59" s="70"/>
      <c r="AC59" s="50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514"/>
      <c r="AV59" s="515"/>
      <c r="AW59" s="515"/>
      <c r="AX59" s="515"/>
      <c r="AY59" s="515"/>
      <c r="AZ59" s="515"/>
      <c r="BA59" s="515"/>
      <c r="BB59" s="515"/>
      <c r="BC59" s="515"/>
      <c r="BD59" s="515"/>
      <c r="BE59" s="515"/>
      <c r="BF59" s="515"/>
      <c r="BG59" s="515"/>
      <c r="BH59" s="515"/>
      <c r="BI59" s="515"/>
      <c r="BJ59" s="515"/>
      <c r="BK59" s="515"/>
      <c r="BL59" s="515"/>
      <c r="BM59" s="515"/>
      <c r="BN59" s="515"/>
      <c r="BO59" s="516"/>
      <c r="BP59" s="515"/>
      <c r="BQ59" s="515"/>
      <c r="BR59" s="515"/>
      <c r="BS59" s="515"/>
      <c r="BT59" s="515"/>
      <c r="BU59" s="515"/>
      <c r="BV59" s="517"/>
      <c r="BW59" s="515"/>
      <c r="BX59" s="515"/>
      <c r="BY59" s="517"/>
      <c r="BZ59" s="515"/>
      <c r="CA59" s="515"/>
      <c r="CB59" s="515"/>
      <c r="CC59" s="515"/>
      <c r="CD59" s="515"/>
      <c r="CE59" s="515"/>
      <c r="CF59" s="515"/>
      <c r="CG59" s="515"/>
      <c r="CH59" s="515"/>
      <c r="CI59" s="515"/>
      <c r="CJ59" s="500"/>
      <c r="CK59" s="481"/>
    </row>
    <row r="60" spans="1:89" ht="12.75" customHeight="1" x14ac:dyDescent="0.3">
      <c r="A60" s="70"/>
      <c r="B60" s="602"/>
      <c r="C60" s="602"/>
      <c r="D60" s="519"/>
      <c r="E60" s="519"/>
      <c r="F60" s="519"/>
      <c r="G60" s="519"/>
      <c r="H60" s="519"/>
      <c r="I60" s="519"/>
      <c r="J60" s="519"/>
      <c r="K60" s="519"/>
      <c r="L60" s="519"/>
      <c r="M60" s="519"/>
      <c r="N60" s="519"/>
      <c r="O60" s="519"/>
      <c r="P60" s="519"/>
      <c r="Q60" s="519"/>
      <c r="R60" s="519"/>
      <c r="S60" s="519"/>
      <c r="T60" s="519"/>
      <c r="U60" s="519"/>
      <c r="V60" s="519"/>
      <c r="W60" s="519"/>
      <c r="X60" s="519"/>
      <c r="Y60" s="519"/>
      <c r="Z60" s="519"/>
      <c r="AA60" s="519"/>
      <c r="AB60" s="70"/>
      <c r="AC60" s="50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514"/>
      <c r="AV60" s="515"/>
      <c r="AW60" s="515"/>
      <c r="AX60" s="515"/>
      <c r="AY60" s="515"/>
      <c r="AZ60" s="515"/>
      <c r="BA60" s="515"/>
      <c r="BB60" s="515"/>
      <c r="BC60" s="515"/>
      <c r="BD60" s="515"/>
      <c r="BE60" s="515"/>
      <c r="BF60" s="515"/>
      <c r="BG60" s="515"/>
      <c r="BH60" s="515"/>
      <c r="BI60" s="515"/>
      <c r="BJ60" s="515"/>
      <c r="BK60" s="515"/>
      <c r="BL60" s="515"/>
      <c r="BM60" s="515"/>
      <c r="BN60" s="515"/>
      <c r="BO60" s="516"/>
      <c r="BP60" s="515"/>
      <c r="BQ60" s="515"/>
      <c r="BR60" s="515"/>
      <c r="BS60" s="515"/>
      <c r="BT60" s="515"/>
      <c r="BU60" s="515"/>
      <c r="BV60" s="517"/>
      <c r="BW60" s="515"/>
      <c r="BX60" s="515"/>
      <c r="BY60" s="517"/>
      <c r="BZ60" s="515"/>
      <c r="CA60" s="515"/>
      <c r="CB60" s="515"/>
      <c r="CC60" s="515"/>
      <c r="CD60" s="515"/>
      <c r="CE60" s="515"/>
      <c r="CF60" s="515"/>
      <c r="CG60" s="515"/>
      <c r="CH60" s="515"/>
      <c r="CI60" s="515"/>
      <c r="CJ60" s="500"/>
      <c r="CK60" s="481"/>
    </row>
    <row r="61" spans="1:89" ht="12.75" customHeight="1" x14ac:dyDescent="0.3">
      <c r="A61" s="70"/>
      <c r="B61" s="602"/>
      <c r="C61" s="602"/>
      <c r="D61" s="519"/>
      <c r="E61" s="519"/>
      <c r="F61" s="519"/>
      <c r="G61" s="519"/>
      <c r="H61" s="519"/>
      <c r="I61" s="519"/>
      <c r="J61" s="519"/>
      <c r="K61" s="519"/>
      <c r="L61" s="519"/>
      <c r="M61" s="519"/>
      <c r="N61" s="519"/>
      <c r="O61" s="519"/>
      <c r="P61" s="519"/>
      <c r="Q61" s="519"/>
      <c r="R61" s="519"/>
      <c r="S61" s="519"/>
      <c r="T61" s="519"/>
      <c r="U61" s="519"/>
      <c r="V61" s="519"/>
      <c r="W61" s="519"/>
      <c r="X61" s="519"/>
      <c r="Y61" s="519"/>
      <c r="Z61" s="519"/>
      <c r="AA61" s="519"/>
      <c r="AB61" s="70"/>
      <c r="AC61" s="50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514"/>
      <c r="AV61" s="515"/>
      <c r="AW61" s="515"/>
      <c r="AX61" s="515"/>
      <c r="AY61" s="515"/>
      <c r="AZ61" s="515"/>
      <c r="BA61" s="515"/>
      <c r="BB61" s="515"/>
      <c r="BC61" s="515"/>
      <c r="BD61" s="515"/>
      <c r="BE61" s="515"/>
      <c r="BF61" s="515"/>
      <c r="BG61" s="515"/>
      <c r="BH61" s="515"/>
      <c r="BI61" s="515"/>
      <c r="BJ61" s="515"/>
      <c r="BK61" s="515"/>
      <c r="BL61" s="515"/>
      <c r="BM61" s="515"/>
      <c r="BN61" s="515"/>
      <c r="BO61" s="516"/>
      <c r="BP61" s="515"/>
      <c r="BQ61" s="515"/>
      <c r="BR61" s="515"/>
      <c r="BS61" s="515"/>
      <c r="BT61" s="515"/>
      <c r="BU61" s="515"/>
      <c r="BV61" s="515"/>
      <c r="BW61" s="517"/>
      <c r="BX61" s="515"/>
      <c r="BY61" s="515"/>
      <c r="BZ61" s="517"/>
      <c r="CA61" s="515"/>
      <c r="CB61" s="515"/>
      <c r="CC61" s="515"/>
      <c r="CD61" s="515"/>
      <c r="CE61" s="515"/>
      <c r="CF61" s="515"/>
      <c r="CG61" s="515"/>
      <c r="CH61" s="515"/>
      <c r="CI61" s="515"/>
      <c r="CJ61" s="500"/>
      <c r="CK61" s="481"/>
    </row>
    <row r="62" spans="1:89" ht="12.75" customHeight="1" x14ac:dyDescent="0.3">
      <c r="A62" s="70"/>
      <c r="B62" s="602"/>
      <c r="C62" s="602"/>
      <c r="D62" s="519"/>
      <c r="E62" s="519"/>
      <c r="F62" s="519"/>
      <c r="G62" s="519"/>
      <c r="H62" s="519"/>
      <c r="I62" s="519"/>
      <c r="J62" s="519"/>
      <c r="K62" s="519"/>
      <c r="L62" s="519"/>
      <c r="M62" s="519"/>
      <c r="N62" s="519"/>
      <c r="O62" s="519"/>
      <c r="P62" s="519"/>
      <c r="Q62" s="519"/>
      <c r="R62" s="519"/>
      <c r="S62" s="519"/>
      <c r="T62" s="519"/>
      <c r="U62" s="519"/>
      <c r="V62" s="519"/>
      <c r="W62" s="519"/>
      <c r="X62" s="519"/>
      <c r="Y62" s="519"/>
      <c r="Z62" s="519"/>
      <c r="AA62" s="519"/>
      <c r="AB62" s="70"/>
      <c r="AC62" s="50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514"/>
      <c r="AV62" s="515"/>
      <c r="AW62" s="515"/>
      <c r="AX62" s="515"/>
      <c r="AY62" s="515"/>
      <c r="AZ62" s="515"/>
      <c r="BA62" s="515"/>
      <c r="BB62" s="515"/>
      <c r="BC62" s="515"/>
      <c r="BD62" s="515"/>
      <c r="BE62" s="515"/>
      <c r="BF62" s="515"/>
      <c r="BG62" s="515"/>
      <c r="BH62" s="515"/>
      <c r="BI62" s="515"/>
      <c r="BJ62" s="515"/>
      <c r="BK62" s="515"/>
      <c r="BL62" s="515"/>
      <c r="BM62" s="515"/>
      <c r="BN62" s="515"/>
      <c r="BO62" s="516"/>
      <c r="BP62" s="515"/>
      <c r="BQ62" s="515"/>
      <c r="BR62" s="515"/>
      <c r="BS62" s="515"/>
      <c r="BT62" s="515"/>
      <c r="BU62" s="515"/>
      <c r="BV62" s="515"/>
      <c r="BW62" s="517"/>
      <c r="BX62" s="515"/>
      <c r="BY62" s="515"/>
      <c r="BZ62" s="517"/>
      <c r="CA62" s="515"/>
      <c r="CB62" s="515"/>
      <c r="CC62" s="515"/>
      <c r="CD62" s="515"/>
      <c r="CE62" s="515"/>
      <c r="CF62" s="515"/>
      <c r="CG62" s="515"/>
      <c r="CH62" s="515"/>
      <c r="CI62" s="515"/>
      <c r="CJ62" s="500"/>
      <c r="CK62" s="481"/>
    </row>
    <row r="63" spans="1:89" ht="12.75" customHeight="1" x14ac:dyDescent="0.3">
      <c r="A63" s="70"/>
      <c r="B63" s="602"/>
      <c r="C63" s="602"/>
      <c r="D63" s="519"/>
      <c r="E63" s="519"/>
      <c r="F63" s="519"/>
      <c r="G63" s="519"/>
      <c r="H63" s="519"/>
      <c r="I63" s="519"/>
      <c r="J63" s="519"/>
      <c r="K63" s="519"/>
      <c r="L63" s="519"/>
      <c r="M63" s="519"/>
      <c r="N63" s="519"/>
      <c r="O63" s="519"/>
      <c r="P63" s="519"/>
      <c r="Q63" s="519"/>
      <c r="R63" s="519"/>
      <c r="S63" s="519"/>
      <c r="T63" s="519"/>
      <c r="U63" s="519"/>
      <c r="V63" s="519"/>
      <c r="W63" s="519"/>
      <c r="X63" s="519"/>
      <c r="Y63" s="519"/>
      <c r="Z63" s="519"/>
      <c r="AA63" s="519"/>
      <c r="AB63" s="70"/>
      <c r="AC63" s="50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514"/>
      <c r="AV63" s="515"/>
      <c r="AW63" s="515"/>
      <c r="AX63" s="515"/>
      <c r="AY63" s="515"/>
      <c r="AZ63" s="515"/>
      <c r="BA63" s="515"/>
      <c r="BB63" s="515"/>
      <c r="BC63" s="515"/>
      <c r="BD63" s="515"/>
      <c r="BE63" s="515"/>
      <c r="BF63" s="515"/>
      <c r="BG63" s="515"/>
      <c r="BH63" s="515"/>
      <c r="BI63" s="515"/>
      <c r="BJ63" s="515"/>
      <c r="BK63" s="515"/>
      <c r="BL63" s="515"/>
      <c r="BM63" s="515"/>
      <c r="BN63" s="515"/>
      <c r="BO63" s="516"/>
      <c r="BP63" s="515"/>
      <c r="BQ63" s="515"/>
      <c r="BR63" s="515"/>
      <c r="BS63" s="515"/>
      <c r="BT63" s="515"/>
      <c r="BU63" s="515"/>
      <c r="BV63" s="515"/>
      <c r="BW63" s="517"/>
      <c r="BX63" s="515"/>
      <c r="BY63" s="515"/>
      <c r="BZ63" s="517"/>
      <c r="CA63" s="515"/>
      <c r="CB63" s="515"/>
      <c r="CC63" s="515"/>
      <c r="CD63" s="515"/>
      <c r="CE63" s="515"/>
      <c r="CF63" s="515"/>
      <c r="CG63" s="515"/>
      <c r="CH63" s="515"/>
      <c r="CI63" s="515"/>
      <c r="CJ63" s="500"/>
      <c r="CK63" s="481"/>
    </row>
    <row r="64" spans="1:89" ht="12.75" customHeight="1" x14ac:dyDescent="0.3">
      <c r="A64" s="70"/>
      <c r="B64" s="602"/>
      <c r="C64" s="602"/>
      <c r="D64" s="519"/>
      <c r="E64" s="519"/>
      <c r="F64" s="519"/>
      <c r="G64" s="519"/>
      <c r="H64" s="519"/>
      <c r="I64" s="519"/>
      <c r="J64" s="519"/>
      <c r="K64" s="519"/>
      <c r="L64" s="519"/>
      <c r="M64" s="519"/>
      <c r="N64" s="519"/>
      <c r="O64" s="519"/>
      <c r="P64" s="519"/>
      <c r="Q64" s="519"/>
      <c r="R64" s="519"/>
      <c r="S64" s="519"/>
      <c r="T64" s="519"/>
      <c r="U64" s="519"/>
      <c r="V64" s="519"/>
      <c r="W64" s="519"/>
      <c r="X64" s="519"/>
      <c r="Y64" s="519"/>
      <c r="Z64" s="519"/>
      <c r="AA64" s="519"/>
      <c r="AB64" s="70"/>
      <c r="AC64" s="50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514"/>
      <c r="AV64" s="515"/>
      <c r="AW64" s="515"/>
      <c r="AX64" s="515"/>
      <c r="AY64" s="515"/>
      <c r="AZ64" s="515"/>
      <c r="BA64" s="515"/>
      <c r="BB64" s="515"/>
      <c r="BC64" s="515"/>
      <c r="BD64" s="515"/>
      <c r="BE64" s="515"/>
      <c r="BF64" s="515"/>
      <c r="BG64" s="515"/>
      <c r="BH64" s="515"/>
      <c r="BI64" s="515"/>
      <c r="BJ64" s="515"/>
      <c r="BK64" s="515"/>
      <c r="BL64" s="515"/>
      <c r="BM64" s="515"/>
      <c r="BN64" s="515"/>
      <c r="BO64" s="516"/>
      <c r="BP64" s="515"/>
      <c r="BQ64" s="515"/>
      <c r="BR64" s="515"/>
      <c r="BS64" s="515"/>
      <c r="BT64" s="515"/>
      <c r="BU64" s="515"/>
      <c r="BV64" s="515"/>
      <c r="BW64" s="517"/>
      <c r="BX64" s="515"/>
      <c r="BY64" s="515"/>
      <c r="BZ64" s="517"/>
      <c r="CA64" s="515"/>
      <c r="CB64" s="515"/>
      <c r="CC64" s="515"/>
      <c r="CD64" s="515"/>
      <c r="CE64" s="515"/>
      <c r="CF64" s="515"/>
      <c r="CG64" s="515"/>
      <c r="CH64" s="515"/>
      <c r="CI64" s="515"/>
      <c r="CJ64" s="500"/>
      <c r="CK64" s="481"/>
    </row>
    <row r="65" spans="1:89" ht="12.75" customHeight="1" x14ac:dyDescent="0.35">
      <c r="A65" s="70"/>
      <c r="B65" s="602"/>
      <c r="C65" s="602"/>
      <c r="D65" s="519"/>
      <c r="E65" s="519"/>
      <c r="F65" s="519"/>
      <c r="G65" s="519"/>
      <c r="H65" s="519"/>
      <c r="I65" s="519"/>
      <c r="J65" s="519"/>
      <c r="K65" s="519"/>
      <c r="L65" s="519"/>
      <c r="M65" s="519"/>
      <c r="N65" s="519"/>
      <c r="O65" s="519"/>
      <c r="P65" s="519"/>
      <c r="Q65" s="519"/>
      <c r="R65" s="519"/>
      <c r="S65" s="519"/>
      <c r="T65" s="519"/>
      <c r="U65" s="519"/>
      <c r="V65" s="519"/>
      <c r="W65" s="519"/>
      <c r="X65" s="519"/>
      <c r="Y65" s="519"/>
      <c r="Z65" s="519"/>
      <c r="AA65" s="519"/>
      <c r="AB65" s="70"/>
      <c r="AC65" s="50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514"/>
      <c r="AV65" s="515"/>
      <c r="AW65" s="515"/>
      <c r="AX65" s="515"/>
      <c r="AY65" s="515"/>
      <c r="AZ65" s="515"/>
      <c r="BA65" s="515"/>
      <c r="BB65" s="515"/>
      <c r="BC65" s="515"/>
      <c r="BD65" s="515"/>
      <c r="BE65" s="515"/>
      <c r="BF65" s="515"/>
      <c r="BG65" s="515"/>
      <c r="BH65" s="515"/>
      <c r="BI65" s="515"/>
      <c r="BJ65" s="515"/>
      <c r="BK65" s="515"/>
      <c r="BL65" s="515"/>
      <c r="BM65" s="515"/>
      <c r="BN65" s="515"/>
      <c r="BO65" s="516"/>
      <c r="BP65" s="515"/>
      <c r="BQ65" s="512" t="s">
        <v>1757</v>
      </c>
      <c r="BR65" s="515"/>
      <c r="BS65" s="515"/>
      <c r="BT65" s="515"/>
      <c r="BU65" s="515"/>
      <c r="BV65" s="517" t="s">
        <v>1245</v>
      </c>
      <c r="BW65" s="513" t="str">
        <f>CONCATENATE(version!$B$2,", ",version!$B$3)</f>
        <v>SimpleBoxTreat, vs 4DIRECT</v>
      </c>
      <c r="BX65" s="515"/>
      <c r="BY65" s="515"/>
      <c r="BZ65" s="515"/>
      <c r="CA65" s="515"/>
      <c r="CB65" s="515"/>
      <c r="CC65" s="515"/>
      <c r="CD65" s="515"/>
      <c r="CE65" s="515"/>
      <c r="CF65" s="515"/>
      <c r="CG65" s="515"/>
      <c r="CH65" s="515"/>
      <c r="CI65" s="515"/>
      <c r="CJ65" s="500"/>
      <c r="CK65" s="481"/>
    </row>
    <row r="66" spans="1:89" ht="12.75" customHeight="1" x14ac:dyDescent="0.3">
      <c r="A66" s="70"/>
      <c r="B66" s="602"/>
      <c r="C66" s="602"/>
      <c r="D66" s="519"/>
      <c r="E66" s="519"/>
      <c r="F66" s="519"/>
      <c r="G66" s="519"/>
      <c r="H66" s="519"/>
      <c r="I66" s="519"/>
      <c r="J66" s="519"/>
      <c r="K66" s="519"/>
      <c r="L66" s="519"/>
      <c r="M66" s="519"/>
      <c r="N66" s="519"/>
      <c r="O66" s="519"/>
      <c r="P66" s="519"/>
      <c r="Q66" s="519"/>
      <c r="R66" s="519"/>
      <c r="S66" s="519"/>
      <c r="T66" s="519"/>
      <c r="U66" s="519"/>
      <c r="V66" s="519"/>
      <c r="W66" s="519"/>
      <c r="X66" s="519"/>
      <c r="Y66" s="519"/>
      <c r="Z66" s="519"/>
      <c r="AA66" s="519"/>
      <c r="AB66" s="70"/>
      <c r="AC66" s="50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514"/>
      <c r="AV66" s="515"/>
      <c r="AW66" s="515"/>
      <c r="AX66" s="515"/>
      <c r="AY66" s="515"/>
      <c r="AZ66" s="515"/>
      <c r="BA66" s="515"/>
      <c r="BB66" s="515"/>
      <c r="BC66" s="515"/>
      <c r="BD66" s="515"/>
      <c r="BE66" s="515"/>
      <c r="BF66" s="515"/>
      <c r="BG66" s="515"/>
      <c r="BH66" s="515"/>
      <c r="BI66" s="515"/>
      <c r="BJ66" s="515"/>
      <c r="BK66" s="515"/>
      <c r="BL66" s="515"/>
      <c r="BM66" s="515"/>
      <c r="BN66" s="515"/>
      <c r="BO66" s="516"/>
      <c r="BP66" s="515"/>
      <c r="BQ66" s="518" t="s">
        <v>1322</v>
      </c>
      <c r="BR66" s="515"/>
      <c r="BS66" s="515"/>
      <c r="BT66" s="515"/>
      <c r="BU66" s="515"/>
      <c r="BV66" s="517" t="s">
        <v>1355</v>
      </c>
      <c r="BW66" s="515" t="str">
        <f>ChemName</f>
        <v>As(III)</v>
      </c>
      <c r="BX66" s="515"/>
      <c r="BY66" s="517" t="s">
        <v>804</v>
      </c>
      <c r="BZ66" s="513" t="str">
        <f>ScenarioName</f>
        <v>default scenario</v>
      </c>
      <c r="CA66" s="515"/>
      <c r="CB66" s="517" t="s">
        <v>1207</v>
      </c>
      <c r="CC66" s="513" t="str">
        <f>CaseName</f>
        <v>defaults only</v>
      </c>
      <c r="CD66" s="515"/>
      <c r="CE66" s="515"/>
      <c r="CF66" s="515"/>
      <c r="CG66" s="515"/>
      <c r="CH66" s="515"/>
      <c r="CI66" s="515"/>
      <c r="CJ66" s="500"/>
      <c r="CK66" s="481"/>
    </row>
    <row r="67" spans="1:89" ht="12.75" customHeight="1" x14ac:dyDescent="0.3">
      <c r="A67" s="70"/>
      <c r="B67" s="602"/>
      <c r="C67" s="602"/>
      <c r="D67" s="519"/>
      <c r="E67" s="519"/>
      <c r="F67" s="519"/>
      <c r="G67" s="519"/>
      <c r="H67" s="519"/>
      <c r="I67" s="519"/>
      <c r="J67" s="519"/>
      <c r="K67" s="519"/>
      <c r="L67" s="519"/>
      <c r="M67" s="519"/>
      <c r="N67" s="519"/>
      <c r="O67" s="519"/>
      <c r="P67" s="519"/>
      <c r="Q67" s="519"/>
      <c r="R67" s="519"/>
      <c r="S67" s="519"/>
      <c r="T67" s="519"/>
      <c r="U67" s="519"/>
      <c r="V67" s="519"/>
      <c r="W67" s="519"/>
      <c r="X67" s="519"/>
      <c r="Y67" s="519"/>
      <c r="Z67" s="519"/>
      <c r="AA67" s="519"/>
      <c r="AB67" s="70"/>
      <c r="AC67" s="50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514"/>
      <c r="AV67" s="515"/>
      <c r="AW67" s="515"/>
      <c r="AX67" s="515"/>
      <c r="AY67" s="515"/>
      <c r="AZ67" s="515"/>
      <c r="BA67" s="515"/>
      <c r="BB67" s="515"/>
      <c r="BC67" s="515"/>
      <c r="BD67" s="515"/>
      <c r="BE67" s="515"/>
      <c r="BF67" s="515"/>
      <c r="BG67" s="515"/>
      <c r="BH67" s="515"/>
      <c r="BI67" s="515"/>
      <c r="BJ67" s="515"/>
      <c r="BK67" s="515"/>
      <c r="BL67" s="515"/>
      <c r="BM67" s="515"/>
      <c r="BN67" s="515"/>
      <c r="BO67" s="516"/>
      <c r="BP67" s="515"/>
      <c r="BQ67" s="518"/>
      <c r="BR67" s="515"/>
      <c r="BS67" s="515"/>
      <c r="BT67" s="515"/>
      <c r="BU67" s="515"/>
      <c r="BV67" s="515"/>
      <c r="BW67" s="515"/>
      <c r="BX67" s="515"/>
      <c r="BY67" s="515"/>
      <c r="BZ67" s="515"/>
      <c r="CA67" s="515"/>
      <c r="CB67" s="515"/>
      <c r="CC67" s="515"/>
      <c r="CD67" s="515"/>
      <c r="CE67" s="515"/>
      <c r="CF67" s="515"/>
      <c r="CG67" s="515"/>
      <c r="CH67" s="515"/>
      <c r="CI67" s="515"/>
      <c r="CJ67" s="500"/>
      <c r="CK67" s="481"/>
    </row>
    <row r="68" spans="1:89" ht="12.75" customHeight="1" x14ac:dyDescent="0.3">
      <c r="A68" s="70"/>
      <c r="B68" s="602"/>
      <c r="C68" s="602"/>
      <c r="D68" s="519"/>
      <c r="E68" s="519"/>
      <c r="F68" s="519"/>
      <c r="G68" s="519"/>
      <c r="H68" s="519"/>
      <c r="I68" s="519"/>
      <c r="J68" s="519"/>
      <c r="K68" s="519"/>
      <c r="L68" s="519"/>
      <c r="M68" s="519"/>
      <c r="N68" s="519"/>
      <c r="O68" s="519"/>
      <c r="P68" s="519"/>
      <c r="Q68" s="519"/>
      <c r="R68" s="519"/>
      <c r="S68" s="519"/>
      <c r="T68" s="519"/>
      <c r="U68" s="519"/>
      <c r="V68" s="519"/>
      <c r="W68" s="519"/>
      <c r="X68" s="519"/>
      <c r="Y68" s="519"/>
      <c r="Z68" s="519"/>
      <c r="AA68" s="519"/>
      <c r="AB68" s="70"/>
      <c r="AC68" s="50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514"/>
      <c r="AV68" s="515"/>
      <c r="AW68" s="515"/>
      <c r="AX68" s="515"/>
      <c r="AY68" s="515"/>
      <c r="AZ68" s="515"/>
      <c r="BA68" s="515"/>
      <c r="BB68" s="515"/>
      <c r="BC68" s="515"/>
      <c r="BD68" s="515"/>
      <c r="BE68" s="515"/>
      <c r="BF68" s="515"/>
      <c r="BG68" s="515"/>
      <c r="BH68" s="515"/>
      <c r="BI68" s="515"/>
      <c r="BJ68" s="515"/>
      <c r="BK68" s="515"/>
      <c r="BL68" s="515"/>
      <c r="BM68" s="515"/>
      <c r="BN68" s="515"/>
      <c r="BO68" s="516"/>
      <c r="BP68" s="515"/>
      <c r="BQ68" s="518"/>
      <c r="BR68" s="515"/>
      <c r="BS68" s="515"/>
      <c r="BT68" s="515"/>
      <c r="BU68" s="515"/>
      <c r="BV68" s="517"/>
      <c r="BW68" s="515"/>
      <c r="BX68" s="515"/>
      <c r="BY68" s="517"/>
      <c r="BZ68" s="513"/>
      <c r="CA68" s="515"/>
      <c r="CB68" s="517"/>
      <c r="CC68" s="513"/>
      <c r="CD68" s="515"/>
      <c r="CE68" s="515"/>
      <c r="CF68" s="515"/>
      <c r="CG68" s="515"/>
      <c r="CH68" s="515"/>
      <c r="CI68" s="515"/>
      <c r="CJ68" s="500"/>
      <c r="CK68" s="481"/>
    </row>
    <row r="69" spans="1:89" ht="12.75" customHeight="1" x14ac:dyDescent="0.35">
      <c r="A69" s="70"/>
      <c r="B69" s="602"/>
      <c r="C69" s="602"/>
      <c r="D69" s="519"/>
      <c r="E69" s="519"/>
      <c r="F69" s="519"/>
      <c r="G69" s="519"/>
      <c r="H69" s="519"/>
      <c r="I69" s="519"/>
      <c r="J69" s="519"/>
      <c r="K69" s="519"/>
      <c r="L69" s="519"/>
      <c r="M69" s="519"/>
      <c r="N69" s="519"/>
      <c r="O69" s="519"/>
      <c r="P69" s="519"/>
      <c r="Q69" s="519"/>
      <c r="R69" s="519"/>
      <c r="S69" s="519"/>
      <c r="T69" s="519"/>
      <c r="U69" s="519"/>
      <c r="V69" s="519"/>
      <c r="W69" s="519"/>
      <c r="X69" s="519"/>
      <c r="Y69" s="519"/>
      <c r="Z69" s="519"/>
      <c r="AA69" s="519"/>
      <c r="AB69" s="70"/>
      <c r="AC69" s="50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514"/>
      <c r="AV69" s="515"/>
      <c r="AW69" s="515"/>
      <c r="AX69" s="515"/>
      <c r="AY69" s="515"/>
      <c r="AZ69" s="515"/>
      <c r="BA69" s="515"/>
      <c r="BB69" s="515"/>
      <c r="BC69" s="515"/>
      <c r="BD69" s="515"/>
      <c r="BE69" s="515"/>
      <c r="BF69" s="515"/>
      <c r="BG69" s="515"/>
      <c r="BH69" s="515"/>
      <c r="BI69" s="515"/>
      <c r="BJ69" s="515"/>
      <c r="BK69" s="515"/>
      <c r="BL69" s="515"/>
      <c r="BM69" s="515"/>
      <c r="BN69" s="515"/>
      <c r="BO69" s="516"/>
      <c r="BP69" s="515"/>
      <c r="BQ69" s="515"/>
      <c r="BR69" s="515"/>
      <c r="BS69" s="515"/>
      <c r="BT69" s="515"/>
      <c r="BU69" s="526"/>
      <c r="BV69" s="515"/>
      <c r="BW69" s="515"/>
      <c r="BX69" s="515"/>
      <c r="BY69" s="515"/>
      <c r="BZ69" s="515"/>
      <c r="CA69" s="515"/>
      <c r="CB69" s="515"/>
      <c r="CC69" s="515"/>
      <c r="CD69" s="515"/>
      <c r="CE69" s="515"/>
      <c r="CF69" s="515"/>
      <c r="CG69" s="515"/>
      <c r="CH69" s="515"/>
      <c r="CI69" s="515"/>
      <c r="CJ69" s="500"/>
      <c r="CK69" s="481"/>
    </row>
    <row r="70" spans="1:89" ht="12.75" customHeight="1" x14ac:dyDescent="0.35">
      <c r="A70" s="70"/>
      <c r="B70" s="602"/>
      <c r="C70" s="602"/>
      <c r="D70" s="519"/>
      <c r="E70" s="519"/>
      <c r="F70" s="519"/>
      <c r="G70" s="519"/>
      <c r="H70" s="519"/>
      <c r="I70" s="519"/>
      <c r="J70" s="519"/>
      <c r="K70" s="519"/>
      <c r="L70" s="519"/>
      <c r="M70" s="519"/>
      <c r="N70" s="519"/>
      <c r="O70" s="519"/>
      <c r="P70" s="519"/>
      <c r="Q70" s="519"/>
      <c r="R70" s="519"/>
      <c r="S70" s="519"/>
      <c r="T70" s="519"/>
      <c r="U70" s="519"/>
      <c r="V70" s="519"/>
      <c r="W70" s="519"/>
      <c r="X70" s="519"/>
      <c r="Y70" s="519"/>
      <c r="Z70" s="519"/>
      <c r="AA70" s="519"/>
      <c r="AB70" s="70"/>
      <c r="AC70" s="50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514"/>
      <c r="AV70" s="515"/>
      <c r="AW70" s="515"/>
      <c r="AX70" s="515"/>
      <c r="AY70" s="515"/>
      <c r="AZ70" s="515"/>
      <c r="BA70" s="515"/>
      <c r="BB70" s="515"/>
      <c r="BC70" s="515"/>
      <c r="BD70" s="515"/>
      <c r="BE70" s="515"/>
      <c r="BF70" s="515"/>
      <c r="BG70" s="515"/>
      <c r="BH70" s="515"/>
      <c r="BI70" s="515"/>
      <c r="BJ70" s="515"/>
      <c r="BK70" s="515"/>
      <c r="BL70" s="515"/>
      <c r="BM70" s="515"/>
      <c r="BN70" s="515"/>
      <c r="BO70" s="516"/>
      <c r="BP70" s="515"/>
      <c r="BQ70" s="515"/>
      <c r="BR70" s="515"/>
      <c r="BS70" s="515"/>
      <c r="BT70" s="515"/>
      <c r="BU70" s="526"/>
      <c r="BV70" s="515"/>
      <c r="BW70" s="515"/>
      <c r="BX70" s="515"/>
      <c r="BY70" s="515"/>
      <c r="BZ70" s="515"/>
      <c r="CA70" s="515"/>
      <c r="CB70" s="515"/>
      <c r="CC70" s="515"/>
      <c r="CD70" s="515"/>
      <c r="CE70" s="515"/>
      <c r="CF70" s="515"/>
      <c r="CG70" s="515"/>
      <c r="CH70" s="515"/>
      <c r="CI70" s="515"/>
      <c r="CJ70" s="500"/>
      <c r="CK70" s="481"/>
    </row>
    <row r="71" spans="1:89" ht="12.75" customHeight="1" x14ac:dyDescent="0.35">
      <c r="A71" s="70"/>
      <c r="B71" s="602"/>
      <c r="C71" s="602"/>
      <c r="D71" s="519"/>
      <c r="E71" s="519"/>
      <c r="F71" s="519"/>
      <c r="G71" s="519"/>
      <c r="H71" s="519"/>
      <c r="I71" s="519"/>
      <c r="J71" s="519"/>
      <c r="K71" s="519"/>
      <c r="L71" s="519"/>
      <c r="M71" s="519"/>
      <c r="N71" s="519"/>
      <c r="O71" s="519"/>
      <c r="P71" s="519"/>
      <c r="Q71" s="519"/>
      <c r="R71" s="519"/>
      <c r="S71" s="519"/>
      <c r="T71" s="519"/>
      <c r="U71" s="519"/>
      <c r="V71" s="519"/>
      <c r="W71" s="519"/>
      <c r="X71" s="519"/>
      <c r="Y71" s="519"/>
      <c r="Z71" s="519"/>
      <c r="AA71" s="519"/>
      <c r="AB71" s="70"/>
      <c r="AC71" s="50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514"/>
      <c r="AV71" s="515"/>
      <c r="AW71" s="515"/>
      <c r="AX71" s="515"/>
      <c r="AY71" s="515"/>
      <c r="AZ71" s="515"/>
      <c r="BA71" s="515"/>
      <c r="BB71" s="515"/>
      <c r="BC71" s="515"/>
      <c r="BD71" s="515"/>
      <c r="BE71" s="515"/>
      <c r="BF71" s="515"/>
      <c r="BG71" s="515"/>
      <c r="BH71" s="515"/>
      <c r="BI71" s="515"/>
      <c r="BJ71" s="515"/>
      <c r="BK71" s="515"/>
      <c r="BL71" s="515"/>
      <c r="BM71" s="515"/>
      <c r="BN71" s="515"/>
      <c r="BO71" s="516"/>
      <c r="BP71" s="515"/>
      <c r="BQ71" s="515"/>
      <c r="BR71" s="515"/>
      <c r="BS71" s="515"/>
      <c r="BT71" s="515"/>
      <c r="BU71" s="526"/>
      <c r="BV71" s="528">
        <f ca="1">AK21</f>
        <v>1.2669874174241255E-32</v>
      </c>
      <c r="BW71" s="515"/>
      <c r="BX71" s="528">
        <f ca="1">AJ21</f>
        <v>7.7366750468553344E-12</v>
      </c>
      <c r="BY71" s="515"/>
      <c r="BZ71" s="515"/>
      <c r="CA71" s="515"/>
      <c r="CB71" s="515"/>
      <c r="CC71" s="515"/>
      <c r="CD71" s="515"/>
      <c r="CE71" s="515"/>
      <c r="CF71" s="515"/>
      <c r="CG71" s="515"/>
      <c r="CH71" s="515"/>
      <c r="CI71" s="515"/>
      <c r="CJ71" s="500"/>
      <c r="CK71" s="481"/>
    </row>
    <row r="72" spans="1:89" ht="12.75" customHeight="1" x14ac:dyDescent="0.35">
      <c r="A72" s="70"/>
      <c r="B72" s="602"/>
      <c r="C72" s="602"/>
      <c r="D72" s="519"/>
      <c r="E72" s="519"/>
      <c r="F72" s="519"/>
      <c r="G72" s="519"/>
      <c r="H72" s="519"/>
      <c r="I72" s="519"/>
      <c r="J72" s="519"/>
      <c r="K72" s="519"/>
      <c r="L72" s="519"/>
      <c r="M72" s="519"/>
      <c r="N72" s="519"/>
      <c r="O72" s="519"/>
      <c r="P72" s="519"/>
      <c r="Q72" s="519"/>
      <c r="R72" s="519"/>
      <c r="S72" s="519"/>
      <c r="T72" s="519"/>
      <c r="U72" s="519"/>
      <c r="V72" s="519"/>
      <c r="W72" s="519"/>
      <c r="X72" s="519"/>
      <c r="Y72" s="519"/>
      <c r="Z72" s="519"/>
      <c r="AA72" s="519"/>
      <c r="AB72" s="70"/>
      <c r="AC72" s="50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514"/>
      <c r="AV72" s="515"/>
      <c r="AW72" s="515"/>
      <c r="AX72" s="515"/>
      <c r="AY72" s="515"/>
      <c r="AZ72" s="515"/>
      <c r="BA72" s="515"/>
      <c r="BB72" s="515"/>
      <c r="BC72" s="515"/>
      <c r="BD72" s="515"/>
      <c r="BE72" s="515"/>
      <c r="BF72" s="515"/>
      <c r="BG72" s="515"/>
      <c r="BH72" s="515"/>
      <c r="BI72" s="515"/>
      <c r="BJ72" s="515"/>
      <c r="BK72" s="515"/>
      <c r="BL72" s="515"/>
      <c r="BM72" s="515"/>
      <c r="BN72" s="515"/>
      <c r="BO72" s="516"/>
      <c r="BP72" s="515"/>
      <c r="BQ72" s="632">
        <f ca="1">AH21</f>
        <v>1.094931622124112E-7</v>
      </c>
      <c r="BR72" s="543"/>
      <c r="BS72" s="515"/>
      <c r="BT72" s="515"/>
      <c r="BU72" s="599"/>
      <c r="BV72" s="515"/>
      <c r="BW72" s="515"/>
      <c r="BX72" s="515"/>
      <c r="BY72" s="515"/>
      <c r="BZ72" s="515"/>
      <c r="CA72" s="515"/>
      <c r="CB72" s="515"/>
      <c r="CC72" s="515"/>
      <c r="CD72" s="515"/>
      <c r="CE72" s="515"/>
      <c r="CF72" s="515"/>
      <c r="CG72" s="515"/>
      <c r="CH72" s="515"/>
      <c r="CI72" s="515"/>
      <c r="CJ72" s="500"/>
      <c r="CK72" s="481"/>
    </row>
    <row r="73" spans="1:89" ht="12.75" customHeight="1" x14ac:dyDescent="0.35">
      <c r="A73" s="70"/>
      <c r="B73" s="602"/>
      <c r="C73" s="602"/>
      <c r="D73" s="519"/>
      <c r="E73" s="519"/>
      <c r="F73" s="519"/>
      <c r="G73" s="519"/>
      <c r="H73" s="519"/>
      <c r="I73" s="519"/>
      <c r="J73" s="519"/>
      <c r="K73" s="519"/>
      <c r="L73" s="519"/>
      <c r="M73" s="519"/>
      <c r="N73" s="519"/>
      <c r="O73" s="519"/>
      <c r="P73" s="519"/>
      <c r="Q73" s="519"/>
      <c r="R73" s="519"/>
      <c r="S73" s="519"/>
      <c r="T73" s="519"/>
      <c r="U73" s="519"/>
      <c r="V73" s="519"/>
      <c r="W73" s="519"/>
      <c r="X73" s="519"/>
      <c r="Y73" s="519"/>
      <c r="Z73" s="519"/>
      <c r="AA73" s="519"/>
      <c r="AB73" s="70"/>
      <c r="AC73" s="50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514"/>
      <c r="AV73" s="515"/>
      <c r="AW73" s="515"/>
      <c r="AX73" s="515"/>
      <c r="AY73" s="515"/>
      <c r="AZ73" s="515"/>
      <c r="BA73" s="515"/>
      <c r="BB73" s="515"/>
      <c r="BC73" s="515"/>
      <c r="BD73" s="515"/>
      <c r="BE73" s="515"/>
      <c r="BF73" s="515"/>
      <c r="BG73" s="515"/>
      <c r="BH73" s="515"/>
      <c r="BI73" s="515"/>
      <c r="BJ73" s="515"/>
      <c r="BK73" s="515"/>
      <c r="BL73" s="515"/>
      <c r="BM73" s="515"/>
      <c r="BN73" s="515"/>
      <c r="BO73" s="516"/>
      <c r="BP73" s="515"/>
      <c r="BQ73" s="515"/>
      <c r="BR73" s="543"/>
      <c r="BS73" s="632">
        <f ca="1">AI21</f>
        <v>5.419198249467192E-8</v>
      </c>
      <c r="BT73" s="515"/>
      <c r="BU73" s="599"/>
      <c r="BV73" s="515"/>
      <c r="BW73" s="519" t="s">
        <v>442</v>
      </c>
      <c r="BX73" s="515"/>
      <c r="BY73" s="515"/>
      <c r="BZ73" s="515"/>
      <c r="CA73" s="515"/>
      <c r="CB73" s="70"/>
      <c r="CC73" s="515"/>
      <c r="CD73" s="515"/>
      <c r="CE73" s="515"/>
      <c r="CF73" s="515"/>
      <c r="CG73" s="515"/>
      <c r="CH73" s="515"/>
      <c r="CI73" s="515"/>
      <c r="CJ73" s="500"/>
      <c r="CK73" s="481"/>
    </row>
    <row r="74" spans="1:89" ht="12.75" customHeight="1" x14ac:dyDescent="0.35">
      <c r="A74" s="70"/>
      <c r="B74" s="602"/>
      <c r="C74" s="602"/>
      <c r="D74" s="519"/>
      <c r="E74" s="519"/>
      <c r="F74" s="519"/>
      <c r="G74" s="519"/>
      <c r="H74" s="519"/>
      <c r="I74" s="519"/>
      <c r="J74" s="519"/>
      <c r="K74" s="519"/>
      <c r="L74" s="519"/>
      <c r="M74" s="519"/>
      <c r="N74" s="519"/>
      <c r="O74" s="519"/>
      <c r="P74" s="519"/>
      <c r="Q74" s="519"/>
      <c r="R74" s="519"/>
      <c r="S74" s="519"/>
      <c r="T74" s="519"/>
      <c r="U74" s="519"/>
      <c r="V74" s="519"/>
      <c r="W74" s="519"/>
      <c r="X74" s="519"/>
      <c r="Y74" s="519"/>
      <c r="Z74" s="519"/>
      <c r="AA74" s="519"/>
      <c r="AB74" s="70"/>
      <c r="AC74" s="50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514"/>
      <c r="AV74" s="515"/>
      <c r="AW74" s="515"/>
      <c r="AX74" s="515"/>
      <c r="AY74" s="515"/>
      <c r="AZ74" s="515"/>
      <c r="BA74" s="515"/>
      <c r="BB74" s="515"/>
      <c r="BC74" s="515"/>
      <c r="BD74" s="515"/>
      <c r="BE74" s="515"/>
      <c r="BF74" s="515"/>
      <c r="BG74" s="515"/>
      <c r="BH74" s="515"/>
      <c r="BI74" s="515"/>
      <c r="BJ74" s="515"/>
      <c r="BK74" s="515"/>
      <c r="BL74" s="515"/>
      <c r="BM74" s="515"/>
      <c r="BN74" s="515"/>
      <c r="BO74" s="516"/>
      <c r="BP74" s="515"/>
      <c r="BQ74" s="593">
        <f>AG21</f>
        <v>3.1709791983764589E-7</v>
      </c>
      <c r="BR74" s="515"/>
      <c r="BS74" s="515"/>
      <c r="BT74" s="515"/>
      <c r="BU74" s="599"/>
      <c r="BV74" s="515"/>
      <c r="BW74" s="578">
        <f ca="1">IF(ISERROR(H10),0,H10)</f>
        <v>2.8784863442970865E-7</v>
      </c>
      <c r="BX74" s="515"/>
      <c r="BY74" s="515"/>
      <c r="BZ74" s="515"/>
      <c r="CA74" s="515"/>
      <c r="CB74" s="70"/>
      <c r="CC74" s="515"/>
      <c r="CD74" s="515"/>
      <c r="CE74" s="515"/>
      <c r="CF74" s="515"/>
      <c r="CG74" s="515"/>
      <c r="CH74" s="515"/>
      <c r="CI74" s="515"/>
      <c r="CJ74" s="500"/>
      <c r="CK74" s="481"/>
    </row>
    <row r="75" spans="1:89" ht="12.75" customHeight="1" x14ac:dyDescent="0.35">
      <c r="A75" s="70"/>
      <c r="B75" s="602"/>
      <c r="C75" s="602"/>
      <c r="D75" s="519"/>
      <c r="E75" s="519"/>
      <c r="F75" s="519"/>
      <c r="G75" s="519"/>
      <c r="H75" s="519"/>
      <c r="I75" s="519"/>
      <c r="J75" s="519"/>
      <c r="K75" s="519"/>
      <c r="L75" s="519"/>
      <c r="M75" s="519"/>
      <c r="N75" s="519"/>
      <c r="O75" s="519"/>
      <c r="P75" s="519"/>
      <c r="Q75" s="519"/>
      <c r="R75" s="519"/>
      <c r="S75" s="519"/>
      <c r="T75" s="519"/>
      <c r="U75" s="519"/>
      <c r="V75" s="519"/>
      <c r="W75" s="519"/>
      <c r="X75" s="519"/>
      <c r="Y75" s="519"/>
      <c r="Z75" s="519"/>
      <c r="AA75" s="519"/>
      <c r="AB75" s="70"/>
      <c r="AC75" s="50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514"/>
      <c r="AV75" s="515"/>
      <c r="AW75" s="515"/>
      <c r="AX75" s="515"/>
      <c r="AY75" s="515"/>
      <c r="AZ75" s="515"/>
      <c r="BA75" s="515"/>
      <c r="BB75" s="515"/>
      <c r="BC75" s="515"/>
      <c r="BD75" s="515"/>
      <c r="BE75" s="515"/>
      <c r="BF75" s="515"/>
      <c r="BG75" s="515"/>
      <c r="BH75" s="515"/>
      <c r="BI75" s="515"/>
      <c r="BJ75" s="515"/>
      <c r="BK75" s="515"/>
      <c r="BL75" s="515"/>
      <c r="BM75" s="515"/>
      <c r="BN75" s="515"/>
      <c r="BO75" s="516"/>
      <c r="BP75" s="515"/>
      <c r="BQ75" s="515"/>
      <c r="BR75" s="515"/>
      <c r="BS75" s="515"/>
      <c r="BT75" s="515"/>
      <c r="BU75" s="599"/>
      <c r="BV75" s="599"/>
      <c r="BW75" s="599"/>
      <c r="BX75" s="515"/>
      <c r="BY75" s="515"/>
      <c r="BZ75" s="515"/>
      <c r="CA75" s="70" t="s">
        <v>1656</v>
      </c>
      <c r="CB75" s="515"/>
      <c r="CC75" s="515"/>
      <c r="CD75" s="515"/>
      <c r="CE75" s="515"/>
      <c r="CF75" s="515"/>
      <c r="CG75" s="560"/>
      <c r="CH75" s="515"/>
      <c r="CI75" s="515"/>
      <c r="CJ75" s="500"/>
      <c r="CK75" s="481"/>
    </row>
    <row r="76" spans="1:89" ht="12.75" customHeight="1" x14ac:dyDescent="0.35">
      <c r="A76" s="70"/>
      <c r="B76" s="602"/>
      <c r="C76" s="602"/>
      <c r="D76" s="519"/>
      <c r="E76" s="519"/>
      <c r="F76" s="519"/>
      <c r="G76" s="519"/>
      <c r="H76" s="519"/>
      <c r="I76" s="519"/>
      <c r="J76" s="519"/>
      <c r="K76" s="519"/>
      <c r="L76" s="519"/>
      <c r="M76" s="519"/>
      <c r="N76" s="519"/>
      <c r="O76" s="519"/>
      <c r="P76" s="519"/>
      <c r="Q76" s="519"/>
      <c r="R76" s="519"/>
      <c r="S76" s="519"/>
      <c r="T76" s="519"/>
      <c r="U76" s="519"/>
      <c r="V76" s="519"/>
      <c r="W76" s="519"/>
      <c r="X76" s="519"/>
      <c r="Y76" s="519"/>
      <c r="Z76" s="519"/>
      <c r="AA76" s="519"/>
      <c r="AB76" s="70"/>
      <c r="AC76" s="50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514"/>
      <c r="AV76" s="515"/>
      <c r="AW76" s="515"/>
      <c r="AX76" s="515"/>
      <c r="AY76" s="515"/>
      <c r="AZ76" s="515"/>
      <c r="BA76" s="515"/>
      <c r="BB76" s="515"/>
      <c r="BC76" s="515"/>
      <c r="BD76" s="515"/>
      <c r="BE76" s="515"/>
      <c r="BF76" s="515"/>
      <c r="BG76" s="515"/>
      <c r="BH76" s="515"/>
      <c r="BI76" s="515"/>
      <c r="BJ76" s="515"/>
      <c r="BK76" s="515"/>
      <c r="BL76" s="515"/>
      <c r="BM76" s="515"/>
      <c r="BN76" s="515"/>
      <c r="BO76" s="516"/>
      <c r="BP76" s="515"/>
      <c r="BQ76" s="515"/>
      <c r="BR76" s="515"/>
      <c r="BS76" s="515"/>
      <c r="BT76" s="515"/>
      <c r="BU76" s="599"/>
      <c r="BV76" s="515"/>
      <c r="BW76" s="515"/>
      <c r="BX76" s="515"/>
      <c r="BY76" s="515"/>
      <c r="BZ76" s="515"/>
      <c r="CA76" s="70" t="s">
        <v>1657</v>
      </c>
      <c r="CB76" s="515"/>
      <c r="CC76" s="515"/>
      <c r="CD76" s="515"/>
      <c r="CE76" s="515"/>
      <c r="CF76" s="515"/>
      <c r="CG76" s="515"/>
      <c r="CH76" s="515"/>
      <c r="CI76" s="515"/>
      <c r="CJ76" s="500"/>
      <c r="CK76" s="481"/>
    </row>
    <row r="77" spans="1:89" ht="12.75" customHeight="1" x14ac:dyDescent="0.3">
      <c r="A77" s="70"/>
      <c r="B77" s="602"/>
      <c r="C77" s="602"/>
      <c r="D77" s="519"/>
      <c r="E77" s="519"/>
      <c r="F77" s="519"/>
      <c r="G77" s="519"/>
      <c r="H77" s="519"/>
      <c r="I77" s="519"/>
      <c r="J77" s="519"/>
      <c r="K77" s="519"/>
      <c r="L77" s="519"/>
      <c r="M77" s="519"/>
      <c r="N77" s="519"/>
      <c r="O77" s="519"/>
      <c r="P77" s="519"/>
      <c r="Q77" s="519"/>
      <c r="R77" s="519"/>
      <c r="S77" s="519"/>
      <c r="T77" s="519"/>
      <c r="U77" s="519"/>
      <c r="V77" s="519"/>
      <c r="W77" s="519"/>
      <c r="X77" s="519"/>
      <c r="Y77" s="519"/>
      <c r="Z77" s="519"/>
      <c r="AA77" s="519"/>
      <c r="AB77" s="70"/>
      <c r="AC77" s="50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514"/>
      <c r="AV77" s="515"/>
      <c r="AW77" s="515"/>
      <c r="AX77" s="515"/>
      <c r="AY77" s="515"/>
      <c r="AZ77" s="515"/>
      <c r="BA77" s="515"/>
      <c r="BB77" s="515"/>
      <c r="BC77" s="515"/>
      <c r="BD77" s="515"/>
      <c r="BE77" s="515"/>
      <c r="BF77" s="515"/>
      <c r="BG77" s="515"/>
      <c r="BH77" s="515"/>
      <c r="BI77" s="515"/>
      <c r="BJ77" s="515"/>
      <c r="BK77" s="515"/>
      <c r="BL77" s="515"/>
      <c r="BM77" s="515"/>
      <c r="BN77" s="515"/>
      <c r="BO77" s="516"/>
      <c r="BP77" s="515"/>
      <c r="BQ77" s="515"/>
      <c r="BR77" s="515"/>
      <c r="BS77" s="515"/>
      <c r="BT77" s="515"/>
      <c r="BU77" s="515"/>
      <c r="BV77" s="515"/>
      <c r="BW77" s="515"/>
      <c r="BX77" s="515"/>
      <c r="BY77" s="515"/>
      <c r="BZ77" s="515"/>
      <c r="CA77" s="515"/>
      <c r="CB77" s="515"/>
      <c r="CC77" s="515"/>
      <c r="CD77" s="515"/>
      <c r="CE77" s="515"/>
      <c r="CF77" s="594"/>
      <c r="CG77" s="515"/>
      <c r="CH77" s="515"/>
      <c r="CI77" s="515"/>
      <c r="CJ77" s="500"/>
      <c r="CK77" s="481"/>
    </row>
    <row r="78" spans="1:89" ht="12.75" customHeight="1" x14ac:dyDescent="0.3">
      <c r="A78" s="70"/>
      <c r="B78" s="602"/>
      <c r="C78" s="602"/>
      <c r="D78" s="519"/>
      <c r="E78" s="519"/>
      <c r="F78" s="519"/>
      <c r="G78" s="519"/>
      <c r="H78" s="519"/>
      <c r="I78" s="519"/>
      <c r="J78" s="519"/>
      <c r="K78" s="519"/>
      <c r="L78" s="519"/>
      <c r="M78" s="519"/>
      <c r="N78" s="519"/>
      <c r="O78" s="519"/>
      <c r="P78" s="519"/>
      <c r="Q78" s="519"/>
      <c r="R78" s="519"/>
      <c r="S78" s="519"/>
      <c r="T78" s="519"/>
      <c r="U78" s="519"/>
      <c r="V78" s="519"/>
      <c r="W78" s="519"/>
      <c r="X78" s="519"/>
      <c r="Y78" s="519"/>
      <c r="Z78" s="519"/>
      <c r="AA78" s="519"/>
      <c r="AB78" s="70"/>
      <c r="AC78" s="50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514"/>
      <c r="AV78" s="515"/>
      <c r="AW78" s="515"/>
      <c r="AX78" s="515"/>
      <c r="AY78" s="515"/>
      <c r="AZ78" s="515"/>
      <c r="BA78" s="515"/>
      <c r="BB78" s="515"/>
      <c r="BC78" s="515"/>
      <c r="BD78" s="515"/>
      <c r="BE78" s="515"/>
      <c r="BF78" s="515"/>
      <c r="BG78" s="515"/>
      <c r="BH78" s="515"/>
      <c r="BI78" s="515"/>
      <c r="BJ78" s="515"/>
      <c r="BK78" s="515"/>
      <c r="BL78" s="515"/>
      <c r="BM78" s="515"/>
      <c r="BN78" s="515"/>
      <c r="BO78" s="516"/>
      <c r="BP78" s="515"/>
      <c r="BQ78" s="515"/>
      <c r="BR78" s="515"/>
      <c r="BS78" s="515"/>
      <c r="BT78" s="515"/>
      <c r="BU78" s="515"/>
      <c r="BV78" s="515"/>
      <c r="BW78" s="515"/>
      <c r="BX78" s="515"/>
      <c r="BY78" s="515"/>
      <c r="BZ78" s="515"/>
      <c r="CA78" s="515"/>
      <c r="CB78" s="515"/>
      <c r="CC78" s="515"/>
      <c r="CD78" s="515"/>
      <c r="CE78" s="515"/>
      <c r="CF78" s="594"/>
      <c r="CG78" s="515"/>
      <c r="CH78" s="515"/>
      <c r="CI78" s="515"/>
      <c r="CJ78" s="500"/>
      <c r="CK78" s="481"/>
    </row>
    <row r="79" spans="1:89" ht="12.75" customHeight="1" x14ac:dyDescent="0.3">
      <c r="A79" s="70"/>
      <c r="B79" s="602"/>
      <c r="C79" s="602"/>
      <c r="D79" s="519"/>
      <c r="E79" s="519"/>
      <c r="F79" s="519"/>
      <c r="G79" s="519"/>
      <c r="H79" s="519"/>
      <c r="I79" s="519"/>
      <c r="J79" s="519"/>
      <c r="K79" s="519"/>
      <c r="L79" s="519"/>
      <c r="M79" s="519"/>
      <c r="N79" s="519"/>
      <c r="O79" s="519"/>
      <c r="P79" s="519"/>
      <c r="Q79" s="519"/>
      <c r="R79" s="519"/>
      <c r="S79" s="519"/>
      <c r="T79" s="519"/>
      <c r="U79" s="519"/>
      <c r="V79" s="519"/>
      <c r="W79" s="519"/>
      <c r="X79" s="519"/>
      <c r="Y79" s="519"/>
      <c r="Z79" s="519"/>
      <c r="AA79" s="519"/>
      <c r="AB79" s="70"/>
      <c r="AC79" s="50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514"/>
      <c r="AV79" s="515"/>
      <c r="AW79" s="515"/>
      <c r="AX79" s="515"/>
      <c r="AY79" s="515"/>
      <c r="AZ79" s="515"/>
      <c r="BA79" s="515"/>
      <c r="BB79" s="515"/>
      <c r="BC79" s="515"/>
      <c r="BD79" s="515"/>
      <c r="BE79" s="515"/>
      <c r="BF79" s="515"/>
      <c r="BG79" s="515"/>
      <c r="BH79" s="515"/>
      <c r="BI79" s="515"/>
      <c r="BJ79" s="515"/>
      <c r="BK79" s="515"/>
      <c r="BL79" s="515"/>
      <c r="BM79" s="515"/>
      <c r="BN79" s="515"/>
      <c r="BO79" s="516"/>
      <c r="BP79" s="515"/>
      <c r="BQ79" s="515"/>
      <c r="BR79" s="515"/>
      <c r="BS79" s="515"/>
      <c r="BT79" s="515"/>
      <c r="BU79" s="515"/>
      <c r="BV79" s="515"/>
      <c r="BW79" s="515"/>
      <c r="BX79" s="515"/>
      <c r="BY79" s="515"/>
      <c r="BZ79" s="515"/>
      <c r="CA79" s="515"/>
      <c r="CB79" s="515"/>
      <c r="CC79" s="515"/>
      <c r="CD79" s="515"/>
      <c r="CE79" s="515"/>
      <c r="CF79" s="594"/>
      <c r="CG79" s="515"/>
      <c r="CH79" s="515"/>
      <c r="CI79" s="515"/>
      <c r="CJ79" s="500"/>
      <c r="CK79" s="481"/>
    </row>
    <row r="80" spans="1:89" ht="12.75" customHeight="1" x14ac:dyDescent="0.3">
      <c r="A80" s="70"/>
      <c r="B80" s="602"/>
      <c r="C80" s="602"/>
      <c r="D80" s="519"/>
      <c r="E80" s="519"/>
      <c r="F80" s="519"/>
      <c r="G80" s="519"/>
      <c r="H80" s="519"/>
      <c r="I80" s="519"/>
      <c r="J80" s="519"/>
      <c r="K80" s="519"/>
      <c r="L80" s="519"/>
      <c r="M80" s="519"/>
      <c r="N80" s="519"/>
      <c r="O80" s="519"/>
      <c r="P80" s="519"/>
      <c r="Q80" s="519"/>
      <c r="R80" s="519"/>
      <c r="S80" s="519"/>
      <c r="T80" s="519"/>
      <c r="U80" s="519"/>
      <c r="V80" s="519"/>
      <c r="W80" s="519"/>
      <c r="X80" s="519"/>
      <c r="Y80" s="519"/>
      <c r="Z80" s="519"/>
      <c r="AA80" s="519"/>
      <c r="AB80" s="70"/>
      <c r="AC80" s="50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514"/>
      <c r="AV80" s="515"/>
      <c r="AW80" s="515"/>
      <c r="AX80" s="515"/>
      <c r="AY80" s="515"/>
      <c r="AZ80" s="515"/>
      <c r="BA80" s="515"/>
      <c r="BB80" s="515"/>
      <c r="BC80" s="515"/>
      <c r="BD80" s="515"/>
      <c r="BE80" s="515"/>
      <c r="BF80" s="515"/>
      <c r="BG80" s="515"/>
      <c r="BH80" s="515"/>
      <c r="BI80" s="515"/>
      <c r="BJ80" s="515"/>
      <c r="BK80" s="515"/>
      <c r="BL80" s="515"/>
      <c r="BM80" s="515"/>
      <c r="BN80" s="515"/>
      <c r="BO80" s="516"/>
      <c r="BP80" s="515"/>
      <c r="BQ80" s="515"/>
      <c r="BR80" s="515"/>
      <c r="BS80" s="515"/>
      <c r="BT80" s="515"/>
      <c r="BU80" s="515"/>
      <c r="BV80" s="515"/>
      <c r="BW80" s="515"/>
      <c r="BX80" s="594"/>
      <c r="BY80" s="515"/>
      <c r="BZ80" s="517"/>
      <c r="CA80" s="515"/>
      <c r="CB80" s="515"/>
      <c r="CC80" s="515"/>
      <c r="CD80" s="593"/>
      <c r="CE80" s="515"/>
      <c r="CF80" s="594"/>
      <c r="CG80" s="515"/>
      <c r="CH80" s="515"/>
      <c r="CI80" s="515"/>
      <c r="CJ80" s="500"/>
      <c r="CK80" s="481"/>
    </row>
    <row r="81" spans="1:89" ht="12.75" customHeight="1" x14ac:dyDescent="0.3">
      <c r="A81" s="70"/>
      <c r="B81" s="602"/>
      <c r="C81" s="602"/>
      <c r="D81" s="519"/>
      <c r="E81" s="519"/>
      <c r="F81" s="519"/>
      <c r="G81" s="519"/>
      <c r="H81" s="519"/>
      <c r="I81" s="519"/>
      <c r="J81" s="519"/>
      <c r="K81" s="519"/>
      <c r="L81" s="519"/>
      <c r="M81" s="519"/>
      <c r="N81" s="519"/>
      <c r="O81" s="519"/>
      <c r="P81" s="519"/>
      <c r="Q81" s="519"/>
      <c r="R81" s="519"/>
      <c r="S81" s="519"/>
      <c r="T81" s="519"/>
      <c r="U81" s="519"/>
      <c r="V81" s="519"/>
      <c r="W81" s="519"/>
      <c r="X81" s="519"/>
      <c r="Y81" s="519"/>
      <c r="Z81" s="519"/>
      <c r="AA81" s="519"/>
      <c r="AB81" s="70"/>
      <c r="AC81" s="50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514"/>
      <c r="AV81" s="515"/>
      <c r="AW81" s="515"/>
      <c r="AX81" s="515"/>
      <c r="AY81" s="515"/>
      <c r="AZ81" s="515"/>
      <c r="BA81" s="515"/>
      <c r="BB81" s="515"/>
      <c r="BC81" s="515"/>
      <c r="BD81" s="515"/>
      <c r="BE81" s="515"/>
      <c r="BF81" s="515"/>
      <c r="BG81" s="515"/>
      <c r="BH81" s="515"/>
      <c r="BI81" s="515"/>
      <c r="BJ81" s="515"/>
      <c r="BK81" s="515"/>
      <c r="BL81" s="515"/>
      <c r="BM81" s="515"/>
      <c r="BN81" s="515"/>
      <c r="BO81" s="516"/>
      <c r="BP81" s="515"/>
      <c r="BQ81" s="515"/>
      <c r="BR81" s="515"/>
      <c r="BS81" s="515"/>
      <c r="BT81" s="515"/>
      <c r="BU81" s="515"/>
      <c r="BV81" s="515"/>
      <c r="BW81" s="515"/>
      <c r="BX81" s="594"/>
      <c r="BY81" s="515"/>
      <c r="BZ81" s="517"/>
      <c r="CA81" s="515"/>
      <c r="CB81" s="517"/>
      <c r="CC81" s="515"/>
      <c r="CD81" s="594"/>
      <c r="CE81" s="515"/>
      <c r="CF81" s="519"/>
      <c r="CG81" s="560"/>
      <c r="CH81" s="515"/>
      <c r="CI81" s="515"/>
      <c r="CJ81" s="500"/>
      <c r="CK81" s="481"/>
    </row>
    <row r="82" spans="1:89" ht="12.75" customHeight="1" x14ac:dyDescent="0.35">
      <c r="A82" s="70"/>
      <c r="B82" s="602"/>
      <c r="C82" s="602"/>
      <c r="D82" s="519"/>
      <c r="E82" s="519"/>
      <c r="F82" s="519"/>
      <c r="G82" s="519"/>
      <c r="H82" s="519"/>
      <c r="I82" s="519"/>
      <c r="J82" s="519"/>
      <c r="K82" s="519"/>
      <c r="L82" s="519"/>
      <c r="M82" s="519"/>
      <c r="N82" s="519"/>
      <c r="O82" s="519"/>
      <c r="P82" s="519"/>
      <c r="Q82" s="519"/>
      <c r="R82" s="519"/>
      <c r="S82" s="519"/>
      <c r="T82" s="519"/>
      <c r="U82" s="519"/>
      <c r="V82" s="519"/>
      <c r="W82" s="519"/>
      <c r="X82" s="519"/>
      <c r="Y82" s="519"/>
      <c r="Z82" s="519"/>
      <c r="AA82" s="519"/>
      <c r="AB82" s="70"/>
      <c r="AC82" s="50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514"/>
      <c r="AV82" s="515"/>
      <c r="AW82" s="515"/>
      <c r="AX82" s="515"/>
      <c r="AY82" s="515"/>
      <c r="AZ82" s="515"/>
      <c r="BA82" s="515"/>
      <c r="BB82" s="515"/>
      <c r="BC82" s="515"/>
      <c r="BD82" s="515"/>
      <c r="BE82" s="515"/>
      <c r="BF82" s="515"/>
      <c r="BG82" s="515"/>
      <c r="BH82" s="515"/>
      <c r="BI82" s="515"/>
      <c r="BJ82" s="515"/>
      <c r="BK82" s="515"/>
      <c r="BL82" s="515"/>
      <c r="BM82" s="515"/>
      <c r="BN82" s="515"/>
      <c r="BO82" s="516"/>
      <c r="BP82" s="515"/>
      <c r="BQ82" s="515"/>
      <c r="BR82" s="515"/>
      <c r="BS82" s="515"/>
      <c r="BT82" s="515"/>
      <c r="BU82" s="515"/>
      <c r="BV82" s="515"/>
      <c r="BW82" s="515"/>
      <c r="BX82" s="594"/>
      <c r="BY82" s="515"/>
      <c r="BZ82" s="515"/>
      <c r="CA82" s="515"/>
      <c r="CB82" s="515"/>
      <c r="CC82" s="515"/>
      <c r="CD82" s="594"/>
      <c r="CE82" s="515"/>
      <c r="CF82" s="515"/>
      <c r="CG82" s="599"/>
      <c r="CH82" s="515"/>
      <c r="CI82" s="515"/>
      <c r="CJ82" s="500"/>
      <c r="CK82" s="481"/>
    </row>
    <row r="83" spans="1:89" ht="12.75" customHeight="1" x14ac:dyDescent="0.3">
      <c r="A83" s="70"/>
      <c r="B83" s="602"/>
      <c r="C83" s="602"/>
      <c r="D83" s="519"/>
      <c r="E83" s="519"/>
      <c r="F83" s="519"/>
      <c r="G83" s="519"/>
      <c r="H83" s="519"/>
      <c r="I83" s="519"/>
      <c r="J83" s="519"/>
      <c r="K83" s="519"/>
      <c r="L83" s="519"/>
      <c r="M83" s="519"/>
      <c r="N83" s="519"/>
      <c r="O83" s="519"/>
      <c r="P83" s="519"/>
      <c r="Q83" s="519"/>
      <c r="R83" s="519"/>
      <c r="S83" s="519"/>
      <c r="T83" s="519"/>
      <c r="U83" s="519"/>
      <c r="V83" s="519"/>
      <c r="W83" s="519"/>
      <c r="X83" s="519"/>
      <c r="Y83" s="519"/>
      <c r="Z83" s="519"/>
      <c r="AA83" s="519"/>
      <c r="AB83" s="70"/>
      <c r="AC83" s="50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514"/>
      <c r="AV83" s="515"/>
      <c r="AW83" s="515"/>
      <c r="AX83" s="515"/>
      <c r="AY83" s="515"/>
      <c r="AZ83" s="515"/>
      <c r="BA83" s="515"/>
      <c r="BB83" s="515"/>
      <c r="BC83" s="515"/>
      <c r="BD83" s="515"/>
      <c r="BE83" s="515"/>
      <c r="BF83" s="515"/>
      <c r="BG83" s="515"/>
      <c r="BH83" s="515"/>
      <c r="BI83" s="515"/>
      <c r="BJ83" s="515"/>
      <c r="BK83" s="515"/>
      <c r="BL83" s="515"/>
      <c r="BM83" s="515"/>
      <c r="BN83" s="515"/>
      <c r="BO83" s="516"/>
      <c r="BP83" s="515"/>
      <c r="BQ83" s="515"/>
      <c r="BR83" s="515"/>
      <c r="BS83" s="515"/>
      <c r="BT83" s="515"/>
      <c r="BU83" s="515"/>
      <c r="BV83" s="515"/>
      <c r="BW83" s="515"/>
      <c r="BX83" s="594"/>
      <c r="BY83" s="515"/>
      <c r="BZ83" s="522"/>
      <c r="CA83" s="515"/>
      <c r="CB83" s="633">
        <f ca="1">IF(AO27&lt;0,"",AO27)</f>
        <v>7.0476076008401384E-23</v>
      </c>
      <c r="CC83" s="515"/>
      <c r="CD83" s="634">
        <f ca="1">IF(AO29&lt;0,"",AO29)</f>
        <v>5.1636873495336138E-23</v>
      </c>
      <c r="CE83" s="515"/>
      <c r="CF83" s="633">
        <f ca="1">IF(AO28&lt;0,"",AO28)</f>
        <v>8.2935606809810937E-23</v>
      </c>
      <c r="CG83" s="515"/>
      <c r="CH83" s="515"/>
      <c r="CI83" s="515"/>
      <c r="CJ83" s="500"/>
      <c r="CK83" s="481"/>
    </row>
    <row r="84" spans="1:89" ht="12.75" customHeight="1" x14ac:dyDescent="0.3">
      <c r="A84" s="70"/>
      <c r="B84" s="602"/>
      <c r="C84" s="602"/>
      <c r="D84" s="519"/>
      <c r="E84" s="519"/>
      <c r="F84" s="519"/>
      <c r="G84" s="519"/>
      <c r="H84" s="519"/>
      <c r="I84" s="519"/>
      <c r="J84" s="519"/>
      <c r="K84" s="519"/>
      <c r="L84" s="519"/>
      <c r="M84" s="519"/>
      <c r="N84" s="519"/>
      <c r="O84" s="519"/>
      <c r="P84" s="519"/>
      <c r="Q84" s="519"/>
      <c r="R84" s="519"/>
      <c r="S84" s="519"/>
      <c r="T84" s="519"/>
      <c r="U84" s="519"/>
      <c r="V84" s="519"/>
      <c r="W84" s="519"/>
      <c r="X84" s="519"/>
      <c r="Y84" s="519"/>
      <c r="Z84" s="519"/>
      <c r="AA84" s="519"/>
      <c r="AB84" s="70"/>
      <c r="AC84" s="50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514"/>
      <c r="AV84" s="515"/>
      <c r="AW84" s="515"/>
      <c r="AX84" s="515"/>
      <c r="AY84" s="515"/>
      <c r="AZ84" s="515"/>
      <c r="BA84" s="515"/>
      <c r="BB84" s="515"/>
      <c r="BC84" s="515"/>
      <c r="BD84" s="515"/>
      <c r="BE84" s="515"/>
      <c r="BF84" s="515"/>
      <c r="BG84" s="515"/>
      <c r="BH84" s="515"/>
      <c r="BI84" s="515"/>
      <c r="BJ84" s="515"/>
      <c r="BK84" s="515"/>
      <c r="BL84" s="515"/>
      <c r="BM84" s="515"/>
      <c r="BN84" s="515"/>
      <c r="BO84" s="516"/>
      <c r="BP84" s="515"/>
      <c r="BQ84" s="515"/>
      <c r="BR84" s="515"/>
      <c r="BS84" s="634">
        <f ca="1">IF(AM24&lt;0,"",AM24)</f>
        <v>2.5655804860575459E-21</v>
      </c>
      <c r="BT84" s="594"/>
      <c r="BU84" s="515"/>
      <c r="BV84" s="634">
        <f ca="1">AP23</f>
        <v>1.1223259546037517E-6</v>
      </c>
      <c r="BW84" s="594"/>
      <c r="BX84" s="601"/>
      <c r="BY84" s="633">
        <f ca="1">IF(AM22&lt;0,"",AM22)</f>
        <v>5.0577834632421504E-26</v>
      </c>
      <c r="BZ84" s="515"/>
      <c r="CA84" s="594"/>
      <c r="CB84" s="515"/>
      <c r="CC84" s="594"/>
      <c r="CD84" s="594"/>
      <c r="CE84" s="515"/>
      <c r="CF84" s="594"/>
      <c r="CG84" s="515"/>
      <c r="CH84" s="515"/>
      <c r="CI84" s="515"/>
      <c r="CJ84" s="500"/>
      <c r="CK84" s="481"/>
    </row>
    <row r="85" spans="1:89" ht="12.75" customHeight="1" x14ac:dyDescent="0.3">
      <c r="A85" s="70"/>
      <c r="B85" s="602"/>
      <c r="C85" s="602"/>
      <c r="D85" s="519"/>
      <c r="E85" s="519"/>
      <c r="F85" s="519"/>
      <c r="G85" s="519"/>
      <c r="H85" s="519"/>
      <c r="I85" s="519"/>
      <c r="J85" s="519"/>
      <c r="K85" s="519"/>
      <c r="L85" s="519"/>
      <c r="M85" s="519"/>
      <c r="N85" s="519"/>
      <c r="O85" s="519"/>
      <c r="P85" s="519"/>
      <c r="Q85" s="519"/>
      <c r="R85" s="519"/>
      <c r="S85" s="519"/>
      <c r="T85" s="519"/>
      <c r="U85" s="519"/>
      <c r="V85" s="519"/>
      <c r="W85" s="519"/>
      <c r="X85" s="519"/>
      <c r="Y85" s="519"/>
      <c r="Z85" s="519"/>
      <c r="AA85" s="519"/>
      <c r="AB85" s="70"/>
      <c r="AC85" s="50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514"/>
      <c r="AV85" s="515"/>
      <c r="AW85" s="515"/>
      <c r="AX85" s="515"/>
      <c r="AY85" s="515"/>
      <c r="AZ85" s="515"/>
      <c r="BA85" s="515"/>
      <c r="BB85" s="515"/>
      <c r="BC85" s="515"/>
      <c r="BD85" s="515"/>
      <c r="BE85" s="515"/>
      <c r="BF85" s="515"/>
      <c r="BG85" s="515"/>
      <c r="BH85" s="515"/>
      <c r="BI85" s="515"/>
      <c r="BJ85" s="515"/>
      <c r="BK85" s="515"/>
      <c r="BL85" s="515"/>
      <c r="BM85" s="515"/>
      <c r="BN85" s="515"/>
      <c r="BO85" s="516"/>
      <c r="BP85" s="515"/>
      <c r="BQ85" s="515"/>
      <c r="BR85" s="515"/>
      <c r="BS85" s="522"/>
      <c r="BT85" s="594"/>
      <c r="BU85" s="515"/>
      <c r="BV85" s="603"/>
      <c r="BW85" s="515"/>
      <c r="BX85" s="594"/>
      <c r="BY85" s="593"/>
      <c r="BZ85" s="515"/>
      <c r="CA85" s="594"/>
      <c r="CB85" s="633">
        <f ca="1">IF(AN27&lt;0,"",AN27)</f>
        <v>5.0274140345359614E-8</v>
      </c>
      <c r="CC85" s="594"/>
      <c r="CD85" s="634">
        <f ca="1">IF(AN29&lt;0,"",AN29)</f>
        <v>1.8620051979762819E-8</v>
      </c>
      <c r="CE85" s="515"/>
      <c r="CF85" s="633">
        <f ca="1">IF(AN28&lt;0,"",AN28)</f>
        <v>1.117203118785769E-7</v>
      </c>
      <c r="CG85" s="515"/>
      <c r="CH85" s="515"/>
      <c r="CI85" s="515"/>
      <c r="CJ85" s="500"/>
      <c r="CK85" s="481"/>
    </row>
    <row r="86" spans="1:89" ht="12.75" customHeight="1" x14ac:dyDescent="0.3">
      <c r="A86" s="70"/>
      <c r="B86" s="602"/>
      <c r="C86" s="602"/>
      <c r="D86" s="519"/>
      <c r="E86" s="519"/>
      <c r="F86" s="519"/>
      <c r="G86" s="519"/>
      <c r="H86" s="519"/>
      <c r="I86" s="519"/>
      <c r="J86" s="519"/>
      <c r="K86" s="519"/>
      <c r="L86" s="519"/>
      <c r="M86" s="519"/>
      <c r="N86" s="519"/>
      <c r="O86" s="519"/>
      <c r="P86" s="519"/>
      <c r="Q86" s="519"/>
      <c r="R86" s="519"/>
      <c r="S86" s="519"/>
      <c r="T86" s="519"/>
      <c r="U86" s="519"/>
      <c r="V86" s="519"/>
      <c r="W86" s="519"/>
      <c r="X86" s="519"/>
      <c r="Y86" s="519"/>
      <c r="Z86" s="519"/>
      <c r="AA86" s="519"/>
      <c r="AB86" s="70"/>
      <c r="AC86" s="50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514"/>
      <c r="AV86" s="515"/>
      <c r="AW86" s="515"/>
      <c r="AX86" s="515"/>
      <c r="AY86" s="515"/>
      <c r="AZ86" s="515"/>
      <c r="BA86" s="515"/>
      <c r="BB86" s="515"/>
      <c r="BC86" s="515"/>
      <c r="BD86" s="515"/>
      <c r="BE86" s="515"/>
      <c r="BF86" s="515"/>
      <c r="BG86" s="515"/>
      <c r="BH86" s="515"/>
      <c r="BI86" s="515"/>
      <c r="BJ86" s="515"/>
      <c r="BK86" s="515"/>
      <c r="BL86" s="515"/>
      <c r="BM86" s="515"/>
      <c r="BN86" s="515"/>
      <c r="BO86" s="516"/>
      <c r="BP86" s="515"/>
      <c r="BQ86" s="515"/>
      <c r="BR86" s="543"/>
      <c r="BS86" s="634">
        <f ca="1">IF(AL24&lt;0,"",AL24)</f>
        <v>1.8619084308193841E-7</v>
      </c>
      <c r="BT86" s="635"/>
      <c r="BU86" s="543"/>
      <c r="BV86" s="634">
        <f ca="1">IF(AL23&lt;0,"",AL23)</f>
        <v>5.1205142951447011E-9</v>
      </c>
      <c r="BW86" s="598">
        <f ca="1">IF(AM23&lt;0,"",AM23)</f>
        <v>8.4785679562077615E-23</v>
      </c>
      <c r="BX86" s="515"/>
      <c r="BY86" s="633">
        <f ca="1">IF(AL22&lt;0,"",AL22)</f>
        <v>4.6550129955860913E-10</v>
      </c>
      <c r="BZ86" s="515"/>
      <c r="CA86" s="594"/>
      <c r="CB86" s="515"/>
      <c r="CC86" s="515"/>
      <c r="CD86" s="515"/>
      <c r="CE86" s="515"/>
      <c r="CF86" s="594"/>
      <c r="CG86" s="515"/>
      <c r="CH86" s="515"/>
      <c r="CI86" s="515"/>
      <c r="CJ86" s="500"/>
      <c r="CK86" s="481"/>
    </row>
    <row r="87" spans="1:89" ht="12.75" customHeight="1" x14ac:dyDescent="0.35">
      <c r="A87" s="70"/>
      <c r="B87" s="602"/>
      <c r="C87" s="602"/>
      <c r="D87" s="519"/>
      <c r="E87" s="519"/>
      <c r="F87" s="519"/>
      <c r="G87" s="519"/>
      <c r="H87" s="519"/>
      <c r="I87" s="519"/>
      <c r="J87" s="519"/>
      <c r="K87" s="519"/>
      <c r="L87" s="519"/>
      <c r="M87" s="519"/>
      <c r="N87" s="519"/>
      <c r="O87" s="519"/>
      <c r="P87" s="519"/>
      <c r="Q87" s="519"/>
      <c r="R87" s="519"/>
      <c r="S87" s="519"/>
      <c r="T87" s="519"/>
      <c r="U87" s="519"/>
      <c r="V87" s="519"/>
      <c r="W87" s="519"/>
      <c r="X87" s="519"/>
      <c r="Y87" s="519"/>
      <c r="Z87" s="519"/>
      <c r="AA87" s="519"/>
      <c r="AB87" s="70"/>
      <c r="AC87" s="50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514"/>
      <c r="AV87" s="515"/>
      <c r="AW87" s="515"/>
      <c r="AX87" s="515"/>
      <c r="AY87" s="515"/>
      <c r="AZ87" s="515"/>
      <c r="BA87" s="515"/>
      <c r="BB87" s="515"/>
      <c r="BC87" s="515"/>
      <c r="BD87" s="515"/>
      <c r="BE87" s="515"/>
      <c r="BF87" s="515"/>
      <c r="BG87" s="515"/>
      <c r="BH87" s="515"/>
      <c r="BI87" s="515"/>
      <c r="BJ87" s="515"/>
      <c r="BK87" s="515"/>
      <c r="BL87" s="515"/>
      <c r="BM87" s="515"/>
      <c r="BN87" s="515"/>
      <c r="BO87" s="516"/>
      <c r="BP87" s="515"/>
      <c r="BQ87" s="632">
        <f ca="1">AI22</f>
        <v>4.6550129955759397E-10</v>
      </c>
      <c r="BR87" s="543"/>
      <c r="BS87" s="515"/>
      <c r="BT87" s="543"/>
      <c r="BU87" s="543"/>
      <c r="BV87" s="603"/>
      <c r="BW87" s="515"/>
      <c r="BX87" s="594"/>
      <c r="BY87" s="594"/>
      <c r="BZ87" s="515"/>
      <c r="CA87" s="593"/>
      <c r="CB87" s="515"/>
      <c r="CC87" s="526"/>
      <c r="CD87" s="515"/>
      <c r="CE87" s="515"/>
      <c r="CF87" s="594"/>
      <c r="CG87" s="515"/>
      <c r="CH87" s="515"/>
      <c r="CI87" s="515"/>
      <c r="CJ87" s="500"/>
      <c r="CK87" s="481"/>
    </row>
    <row r="88" spans="1:89" ht="12.75" customHeight="1" x14ac:dyDescent="0.3">
      <c r="A88" s="70"/>
      <c r="B88" s="602"/>
      <c r="C88" s="602"/>
      <c r="D88" s="519"/>
      <c r="E88" s="519"/>
      <c r="F88" s="519"/>
      <c r="G88" s="519"/>
      <c r="H88" s="519"/>
      <c r="I88" s="519"/>
      <c r="J88" s="519"/>
      <c r="K88" s="519"/>
      <c r="L88" s="519"/>
      <c r="M88" s="519"/>
      <c r="N88" s="519"/>
      <c r="O88" s="519"/>
      <c r="P88" s="519"/>
      <c r="Q88" s="519"/>
      <c r="R88" s="519"/>
      <c r="S88" s="519"/>
      <c r="T88" s="519"/>
      <c r="U88" s="519"/>
      <c r="V88" s="519"/>
      <c r="W88" s="519"/>
      <c r="X88" s="519"/>
      <c r="Y88" s="519"/>
      <c r="Z88" s="519"/>
      <c r="AA88" s="519"/>
      <c r="AB88" s="70"/>
      <c r="AC88" s="50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514"/>
      <c r="AV88" s="515"/>
      <c r="AW88" s="515"/>
      <c r="AX88" s="515"/>
      <c r="AY88" s="515"/>
      <c r="AZ88" s="515"/>
      <c r="BA88" s="515"/>
      <c r="BB88" s="515"/>
      <c r="BC88" s="515"/>
      <c r="BD88" s="515"/>
      <c r="BE88" s="515"/>
      <c r="BF88" s="515"/>
      <c r="BG88" s="515"/>
      <c r="BH88" s="515"/>
      <c r="BI88" s="515"/>
      <c r="BJ88" s="515"/>
      <c r="BK88" s="515"/>
      <c r="BL88" s="515"/>
      <c r="BM88" s="515"/>
      <c r="BN88" s="515"/>
      <c r="BO88" s="516"/>
      <c r="BP88" s="515"/>
      <c r="BQ88" s="632">
        <f ca="1">AI23</f>
        <v>7.7874917825485765E-7</v>
      </c>
      <c r="BR88" s="543"/>
      <c r="BS88" s="515"/>
      <c r="BT88" s="515"/>
      <c r="BU88" s="543"/>
      <c r="BV88" s="603">
        <f ca="1">AH23</f>
        <v>4.6550129955759397E-10</v>
      </c>
      <c r="BW88" s="515"/>
      <c r="BX88" s="594"/>
      <c r="BY88" s="594"/>
      <c r="BZ88" s="515"/>
      <c r="CA88" s="515"/>
      <c r="CB88" s="515"/>
      <c r="CC88" s="515"/>
      <c r="CD88" s="515"/>
      <c r="CE88" s="515"/>
      <c r="CF88" s="515"/>
      <c r="CG88" s="515"/>
      <c r="CH88" s="515"/>
      <c r="CI88" s="515"/>
      <c r="CJ88" s="500"/>
      <c r="CK88" s="481"/>
    </row>
    <row r="89" spans="1:89" ht="12.75" customHeight="1" x14ac:dyDescent="0.35">
      <c r="A89" s="70"/>
      <c r="B89" s="602"/>
      <c r="C89" s="602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519"/>
      <c r="T89" s="519"/>
      <c r="U89" s="519"/>
      <c r="V89" s="519"/>
      <c r="W89" s="519"/>
      <c r="X89" s="519"/>
      <c r="Y89" s="519"/>
      <c r="Z89" s="519"/>
      <c r="AA89" s="519"/>
      <c r="AB89" s="70"/>
      <c r="AC89" s="50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514"/>
      <c r="AV89" s="515"/>
      <c r="AW89" s="515"/>
      <c r="AX89" s="515"/>
      <c r="AY89" s="515"/>
      <c r="AZ89" s="515"/>
      <c r="BA89" s="515"/>
      <c r="BB89" s="515"/>
      <c r="BC89" s="515"/>
      <c r="BD89" s="515"/>
      <c r="BE89" s="515"/>
      <c r="BF89" s="515"/>
      <c r="BG89" s="515"/>
      <c r="BH89" s="515"/>
      <c r="BI89" s="515"/>
      <c r="BJ89" s="515"/>
      <c r="BK89" s="515"/>
      <c r="BL89" s="515"/>
      <c r="BM89" s="515"/>
      <c r="BN89" s="515"/>
      <c r="BO89" s="516"/>
      <c r="BP89" s="515"/>
      <c r="BQ89" s="632">
        <f ca="1">AI24</f>
        <v>1.0210052068501932E-3</v>
      </c>
      <c r="BR89" s="543"/>
      <c r="BS89" s="632">
        <f ca="1">AH24</f>
        <v>1.0205019180873965E-3</v>
      </c>
      <c r="BT89" s="543"/>
      <c r="BU89" s="543"/>
      <c r="BV89" s="517"/>
      <c r="BW89" s="515"/>
      <c r="BX89" s="515"/>
      <c r="BY89" s="594"/>
      <c r="BZ89" s="602" t="s">
        <v>1751</v>
      </c>
      <c r="CA89" s="515"/>
      <c r="CB89" s="517"/>
      <c r="CC89" s="515"/>
      <c r="CD89" s="515"/>
      <c r="CE89" s="515"/>
      <c r="CF89" s="515"/>
      <c r="CG89" s="636"/>
      <c r="CH89" s="515"/>
      <c r="CI89" s="515"/>
      <c r="CJ89" s="500"/>
      <c r="CK89" s="481"/>
    </row>
    <row r="90" spans="1:89" ht="12.75" customHeight="1" x14ac:dyDescent="0.35">
      <c r="A90" s="70"/>
      <c r="B90" s="602"/>
      <c r="C90" s="602"/>
      <c r="D90" s="519"/>
      <c r="E90" s="519"/>
      <c r="F90" s="519"/>
      <c r="G90" s="519"/>
      <c r="H90" s="519"/>
      <c r="I90" s="519"/>
      <c r="J90" s="519"/>
      <c r="K90" s="519"/>
      <c r="L90" s="519"/>
      <c r="M90" s="519"/>
      <c r="N90" s="519"/>
      <c r="O90" s="519"/>
      <c r="P90" s="519"/>
      <c r="Q90" s="519"/>
      <c r="R90" s="519"/>
      <c r="S90" s="519"/>
      <c r="T90" s="519"/>
      <c r="U90" s="519"/>
      <c r="V90" s="519"/>
      <c r="W90" s="519"/>
      <c r="X90" s="519"/>
      <c r="Y90" s="519"/>
      <c r="Z90" s="519"/>
      <c r="AA90" s="519"/>
      <c r="AB90" s="70"/>
      <c r="AC90" s="50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514"/>
      <c r="AV90" s="515"/>
      <c r="AW90" s="515"/>
      <c r="AX90" s="515"/>
      <c r="AY90" s="515"/>
      <c r="AZ90" s="515"/>
      <c r="BA90" s="515"/>
      <c r="BB90" s="515"/>
      <c r="BC90" s="515"/>
      <c r="BD90" s="515"/>
      <c r="BE90" s="515"/>
      <c r="BF90" s="515"/>
      <c r="BG90" s="515"/>
      <c r="BH90" s="515"/>
      <c r="BI90" s="515"/>
      <c r="BJ90" s="515"/>
      <c r="BK90" s="515"/>
      <c r="BL90" s="515"/>
      <c r="BM90" s="515"/>
      <c r="BN90" s="515"/>
      <c r="BO90" s="516"/>
      <c r="BP90" s="515"/>
      <c r="BQ90" s="515"/>
      <c r="BR90" s="526"/>
      <c r="BS90" s="515"/>
      <c r="BT90" s="515"/>
      <c r="BU90" s="515"/>
      <c r="BV90" s="517"/>
      <c r="BW90" s="515"/>
      <c r="BX90" s="515"/>
      <c r="BY90" s="604">
        <f ca="1">AK22</f>
        <v>1.0152644598920259E-21</v>
      </c>
      <c r="BZ90" s="517">
        <f ca="1">IF(ISERROR(H14),0,H14)</f>
        <v>4.1797040899566796E-6</v>
      </c>
      <c r="CA90" s="515"/>
      <c r="CB90" s="528">
        <f ca="1">AK27</f>
        <v>2.679468679705385E-17</v>
      </c>
      <c r="CC90" s="515"/>
      <c r="CD90" s="615">
        <f ca="1">AK29</f>
        <v>1.963210682050014E-17</v>
      </c>
      <c r="CE90" s="515"/>
      <c r="CF90" s="528">
        <f ca="1">AK28</f>
        <v>6.9292277625657034E-17</v>
      </c>
      <c r="CG90" s="515"/>
      <c r="CH90" s="515"/>
      <c r="CI90" s="515"/>
      <c r="CJ90" s="500"/>
      <c r="CK90" s="481"/>
    </row>
    <row r="91" spans="1:89" ht="12.75" customHeight="1" x14ac:dyDescent="0.3">
      <c r="A91" s="70"/>
      <c r="B91" s="602"/>
      <c r="C91" s="602"/>
      <c r="D91" s="519"/>
      <c r="E91" s="519"/>
      <c r="F91" s="519"/>
      <c r="G91" s="519"/>
      <c r="H91" s="519"/>
      <c r="I91" s="519"/>
      <c r="J91" s="519"/>
      <c r="K91" s="519"/>
      <c r="L91" s="519"/>
      <c r="M91" s="519"/>
      <c r="N91" s="519"/>
      <c r="O91" s="519"/>
      <c r="P91" s="519"/>
      <c r="Q91" s="519"/>
      <c r="R91" s="519"/>
      <c r="S91" s="519"/>
      <c r="T91" s="519"/>
      <c r="U91" s="519"/>
      <c r="V91" s="519"/>
      <c r="W91" s="519"/>
      <c r="X91" s="519"/>
      <c r="Y91" s="519"/>
      <c r="Z91" s="519"/>
      <c r="AA91" s="519"/>
      <c r="AB91" s="70"/>
      <c r="AC91" s="50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514"/>
      <c r="AV91" s="515"/>
      <c r="AW91" s="515"/>
      <c r="AX91" s="515"/>
      <c r="AY91" s="515"/>
      <c r="AZ91" s="515"/>
      <c r="BA91" s="515"/>
      <c r="BB91" s="515"/>
      <c r="BC91" s="515"/>
      <c r="BD91" s="515"/>
      <c r="BE91" s="515"/>
      <c r="BF91" s="515"/>
      <c r="BG91" s="515"/>
      <c r="BH91" s="515"/>
      <c r="BI91" s="515"/>
      <c r="BJ91" s="515"/>
      <c r="BK91" s="515"/>
      <c r="BL91" s="515"/>
      <c r="BM91" s="515"/>
      <c r="BN91" s="515"/>
      <c r="BO91" s="516"/>
      <c r="BP91" s="515"/>
      <c r="BQ91" s="593">
        <f>AG22</f>
        <v>0</v>
      </c>
      <c r="BR91" s="515"/>
      <c r="BS91" s="515"/>
      <c r="BT91" s="515"/>
      <c r="BU91" s="515"/>
      <c r="BV91" s="517"/>
      <c r="BW91" s="515"/>
      <c r="BX91" s="515"/>
      <c r="BY91" s="515"/>
      <c r="BZ91" s="515"/>
      <c r="CA91" s="515"/>
      <c r="CB91" s="517"/>
      <c r="CC91" s="515"/>
      <c r="CD91" s="515"/>
      <c r="CE91" s="515"/>
      <c r="CF91" s="515"/>
      <c r="CG91" s="515"/>
      <c r="CH91" s="515"/>
      <c r="CI91" s="515"/>
      <c r="CJ91" s="500"/>
      <c r="CK91" s="481"/>
    </row>
    <row r="92" spans="1:89" ht="12.75" customHeight="1" x14ac:dyDescent="0.35">
      <c r="A92" s="70"/>
      <c r="B92" s="602"/>
      <c r="C92" s="602"/>
      <c r="D92" s="519"/>
      <c r="E92" s="519"/>
      <c r="F92" s="519"/>
      <c r="G92" s="519"/>
      <c r="H92" s="519"/>
      <c r="I92" s="519"/>
      <c r="J92" s="519"/>
      <c r="K92" s="519"/>
      <c r="L92" s="519"/>
      <c r="M92" s="519"/>
      <c r="N92" s="519"/>
      <c r="O92" s="519"/>
      <c r="P92" s="519"/>
      <c r="Q92" s="519"/>
      <c r="R92" s="519"/>
      <c r="S92" s="519"/>
      <c r="T92" s="519"/>
      <c r="U92" s="519"/>
      <c r="V92" s="519"/>
      <c r="W92" s="519"/>
      <c r="X92" s="519"/>
      <c r="Y92" s="519"/>
      <c r="Z92" s="519"/>
      <c r="AA92" s="519"/>
      <c r="AB92" s="70"/>
      <c r="AC92" s="50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514"/>
      <c r="AV92" s="515"/>
      <c r="AW92" s="515"/>
      <c r="AX92" s="515"/>
      <c r="AY92" s="515"/>
      <c r="AZ92" s="515"/>
      <c r="BA92" s="515"/>
      <c r="BB92" s="515"/>
      <c r="BC92" s="515"/>
      <c r="BD92" s="515"/>
      <c r="BE92" s="515"/>
      <c r="BF92" s="515"/>
      <c r="BG92" s="515"/>
      <c r="BH92" s="515"/>
      <c r="BI92" s="515"/>
      <c r="BJ92" s="515"/>
      <c r="BK92" s="515"/>
      <c r="BL92" s="515"/>
      <c r="BM92" s="515"/>
      <c r="BN92" s="515"/>
      <c r="BO92" s="516"/>
      <c r="BP92" s="515"/>
      <c r="BQ92" s="593">
        <f>AG23</f>
        <v>3.1709791983764589E-7</v>
      </c>
      <c r="BR92" s="515"/>
      <c r="BS92" s="515"/>
      <c r="BT92" s="613"/>
      <c r="BU92" s="515"/>
      <c r="BV92" s="517"/>
      <c r="BW92" s="602" t="s">
        <v>443</v>
      </c>
      <c r="BX92" s="515"/>
      <c r="BY92" s="515"/>
      <c r="BZ92" s="515"/>
      <c r="CA92" s="515"/>
      <c r="CB92" s="517"/>
      <c r="CC92" s="515"/>
      <c r="CD92" s="515"/>
      <c r="CE92" s="515"/>
      <c r="CF92" s="515"/>
      <c r="CG92" s="515"/>
      <c r="CH92" s="515"/>
      <c r="CI92" s="515"/>
      <c r="CJ92" s="500"/>
      <c r="CK92" s="481"/>
    </row>
    <row r="93" spans="1:89" ht="12.75" customHeight="1" x14ac:dyDescent="0.3">
      <c r="A93" s="70"/>
      <c r="B93" s="602"/>
      <c r="C93" s="602"/>
      <c r="D93" s="519"/>
      <c r="E93" s="519"/>
      <c r="F93" s="519"/>
      <c r="G93" s="519"/>
      <c r="H93" s="519"/>
      <c r="I93" s="519"/>
      <c r="J93" s="519"/>
      <c r="K93" s="519"/>
      <c r="L93" s="519"/>
      <c r="M93" s="519"/>
      <c r="N93" s="519"/>
      <c r="O93" s="519"/>
      <c r="P93" s="519"/>
      <c r="Q93" s="519"/>
      <c r="R93" s="519"/>
      <c r="S93" s="519"/>
      <c r="T93" s="519"/>
      <c r="U93" s="519"/>
      <c r="V93" s="519"/>
      <c r="W93" s="519"/>
      <c r="X93" s="519"/>
      <c r="Y93" s="519"/>
      <c r="Z93" s="519"/>
      <c r="AA93" s="519"/>
      <c r="AB93" s="70"/>
      <c r="AC93" s="50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514"/>
      <c r="AV93" s="515"/>
      <c r="AW93" s="515"/>
      <c r="AX93" s="515"/>
      <c r="AY93" s="515"/>
      <c r="AZ93" s="515"/>
      <c r="BA93" s="515"/>
      <c r="BB93" s="515"/>
      <c r="BC93" s="515"/>
      <c r="BD93" s="515"/>
      <c r="BE93" s="515"/>
      <c r="BF93" s="515"/>
      <c r="BG93" s="515"/>
      <c r="BH93" s="515"/>
      <c r="BI93" s="515"/>
      <c r="BJ93" s="515"/>
      <c r="BK93" s="515"/>
      <c r="BL93" s="515"/>
      <c r="BM93" s="515"/>
      <c r="BN93" s="515"/>
      <c r="BO93" s="516"/>
      <c r="BP93" s="515"/>
      <c r="BQ93" s="593">
        <f>AG24</f>
        <v>3.1709791983764589E-7</v>
      </c>
      <c r="BR93" s="515"/>
      <c r="BS93" s="515"/>
      <c r="BT93" s="515"/>
      <c r="BU93" s="515"/>
      <c r="BV93" s="517"/>
      <c r="BW93" s="517">
        <f ca="1">IF(ISERROR(H18),0,H18)</f>
        <v>2.3757178021768091E-4</v>
      </c>
      <c r="BX93" s="515"/>
      <c r="BY93" s="515"/>
      <c r="BZ93" s="515"/>
      <c r="CA93" s="515"/>
      <c r="CB93" s="515"/>
      <c r="CC93" s="515"/>
      <c r="CD93" s="515"/>
      <c r="CE93" s="515"/>
      <c r="CF93" s="515"/>
      <c r="CG93" s="515"/>
      <c r="CH93" s="515"/>
      <c r="CI93" s="515"/>
      <c r="CJ93" s="500"/>
      <c r="CK93" s="481"/>
    </row>
    <row r="94" spans="1:89" ht="12.75" customHeight="1" x14ac:dyDescent="0.3">
      <c r="A94" s="70"/>
      <c r="B94" s="602"/>
      <c r="C94" s="602"/>
      <c r="D94" s="519"/>
      <c r="E94" s="519"/>
      <c r="F94" s="519"/>
      <c r="G94" s="519"/>
      <c r="H94" s="519"/>
      <c r="I94" s="519"/>
      <c r="J94" s="519"/>
      <c r="K94" s="519"/>
      <c r="L94" s="519"/>
      <c r="M94" s="519"/>
      <c r="N94" s="519"/>
      <c r="O94" s="519"/>
      <c r="P94" s="519"/>
      <c r="Q94" s="519"/>
      <c r="R94" s="519"/>
      <c r="S94" s="519"/>
      <c r="T94" s="519"/>
      <c r="U94" s="519"/>
      <c r="V94" s="519"/>
      <c r="W94" s="519"/>
      <c r="X94" s="519"/>
      <c r="Y94" s="519"/>
      <c r="Z94" s="519"/>
      <c r="AA94" s="519"/>
      <c r="AB94" s="70"/>
      <c r="AC94" s="50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514"/>
      <c r="AV94" s="515"/>
      <c r="AW94" s="515"/>
      <c r="AX94" s="515"/>
      <c r="AY94" s="515"/>
      <c r="AZ94" s="515"/>
      <c r="BA94" s="515"/>
      <c r="BB94" s="515"/>
      <c r="BC94" s="515"/>
      <c r="BD94" s="515"/>
      <c r="BE94" s="515"/>
      <c r="BF94" s="515"/>
      <c r="BG94" s="515"/>
      <c r="BH94" s="515"/>
      <c r="BI94" s="515"/>
      <c r="BJ94" s="515"/>
      <c r="BK94" s="515"/>
      <c r="BL94" s="515"/>
      <c r="BM94" s="515"/>
      <c r="BN94" s="515"/>
      <c r="BO94" s="516"/>
      <c r="BP94" s="515"/>
      <c r="BQ94" s="515"/>
      <c r="BR94" s="515"/>
      <c r="BS94" s="515"/>
      <c r="BT94" s="515"/>
      <c r="BU94" s="515"/>
      <c r="BV94" s="607">
        <f ca="1">AK23</f>
        <v>5.2567991503165376E-20</v>
      </c>
      <c r="BW94" s="515"/>
      <c r="BX94" s="515"/>
      <c r="BY94" s="515"/>
      <c r="BZ94" s="515"/>
      <c r="CA94" s="515"/>
      <c r="CB94" s="602" t="s">
        <v>116</v>
      </c>
      <c r="CC94" s="515"/>
      <c r="CD94" s="602" t="s">
        <v>197</v>
      </c>
      <c r="CE94" s="515"/>
      <c r="CF94" s="602" t="s">
        <v>1658</v>
      </c>
      <c r="CG94" s="515"/>
      <c r="CH94" s="515"/>
      <c r="CI94" s="515"/>
      <c r="CJ94" s="500"/>
      <c r="CK94" s="481"/>
    </row>
    <row r="95" spans="1:89" ht="12.75" customHeight="1" x14ac:dyDescent="0.3">
      <c r="A95" s="70"/>
      <c r="B95" s="602"/>
      <c r="C95" s="602"/>
      <c r="D95" s="519"/>
      <c r="E95" s="519"/>
      <c r="F95" s="519"/>
      <c r="G95" s="519"/>
      <c r="H95" s="519"/>
      <c r="I95" s="519"/>
      <c r="J95" s="519"/>
      <c r="K95" s="519"/>
      <c r="L95" s="519"/>
      <c r="M95" s="519"/>
      <c r="N95" s="519"/>
      <c r="O95" s="519"/>
      <c r="P95" s="519"/>
      <c r="Q95" s="519"/>
      <c r="R95" s="519"/>
      <c r="S95" s="519"/>
      <c r="T95" s="519"/>
      <c r="U95" s="519"/>
      <c r="V95" s="519"/>
      <c r="W95" s="519"/>
      <c r="X95" s="519"/>
      <c r="Y95" s="519"/>
      <c r="Z95" s="519"/>
      <c r="AA95" s="519"/>
      <c r="AB95" s="70"/>
      <c r="AC95" s="50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514"/>
      <c r="AV95" s="515"/>
      <c r="AW95" s="515"/>
      <c r="AX95" s="515"/>
      <c r="AY95" s="515"/>
      <c r="AZ95" s="515"/>
      <c r="BA95" s="515"/>
      <c r="BB95" s="515"/>
      <c r="BC95" s="515"/>
      <c r="BD95" s="515"/>
      <c r="BE95" s="515"/>
      <c r="BF95" s="515"/>
      <c r="BG95" s="515"/>
      <c r="BH95" s="515"/>
      <c r="BI95" s="515"/>
      <c r="BJ95" s="515"/>
      <c r="BK95" s="515"/>
      <c r="BL95" s="515"/>
      <c r="BM95" s="515"/>
      <c r="BN95" s="515"/>
      <c r="BO95" s="516"/>
      <c r="BP95" s="515"/>
      <c r="BQ95" s="515"/>
      <c r="BR95" s="515"/>
      <c r="BS95" s="515"/>
      <c r="BT95" s="515"/>
      <c r="BU95" s="515"/>
      <c r="BV95" s="515"/>
      <c r="BW95" s="634">
        <f ca="1">IF(AR25&lt;0,"",AR25)</f>
        <v>8.3679793044024953E-6</v>
      </c>
      <c r="BX95" s="515"/>
      <c r="BY95" s="515"/>
      <c r="BZ95" s="515"/>
      <c r="CA95" s="515"/>
      <c r="CB95" s="606">
        <f ca="1">IF(ISERROR(H38),0,H38)</f>
        <v>0.10994741601356482</v>
      </c>
      <c r="CC95" s="515"/>
      <c r="CD95" s="606">
        <f ca="1">IF(ISERROR(H46),0,H46)</f>
        <v>8.0556993711663957E-2</v>
      </c>
      <c r="CE95" s="515"/>
      <c r="CF95" s="606">
        <f ca="1">IF(ISERROR(H42),0,H42)</f>
        <v>0.28432901389514359</v>
      </c>
      <c r="CG95" s="515"/>
      <c r="CH95" s="515"/>
      <c r="CI95" s="515"/>
      <c r="CJ95" s="500"/>
      <c r="CK95" s="481"/>
    </row>
    <row r="96" spans="1:89" ht="12.75" customHeight="1" x14ac:dyDescent="0.3">
      <c r="A96" s="70"/>
      <c r="B96" s="602"/>
      <c r="C96" s="602"/>
      <c r="D96" s="519"/>
      <c r="E96" s="519"/>
      <c r="F96" s="519"/>
      <c r="G96" s="519"/>
      <c r="H96" s="519"/>
      <c r="I96" s="519"/>
      <c r="J96" s="519"/>
      <c r="K96" s="519"/>
      <c r="L96" s="519"/>
      <c r="M96" s="519"/>
      <c r="N96" s="519"/>
      <c r="O96" s="519"/>
      <c r="P96" s="519"/>
      <c r="Q96" s="519"/>
      <c r="R96" s="519"/>
      <c r="S96" s="519"/>
      <c r="T96" s="519"/>
      <c r="U96" s="519"/>
      <c r="V96" s="519"/>
      <c r="W96" s="519"/>
      <c r="X96" s="519"/>
      <c r="Y96" s="519"/>
      <c r="Z96" s="519"/>
      <c r="AA96" s="519"/>
      <c r="AB96" s="70"/>
      <c r="AC96" s="50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514"/>
      <c r="AV96" s="515"/>
      <c r="AW96" s="515"/>
      <c r="AX96" s="515"/>
      <c r="AY96" s="515"/>
      <c r="AZ96" s="515"/>
      <c r="BA96" s="515"/>
      <c r="BB96" s="515"/>
      <c r="BC96" s="515"/>
      <c r="BD96" s="515"/>
      <c r="BE96" s="515"/>
      <c r="BF96" s="515"/>
      <c r="BG96" s="515"/>
      <c r="BH96" s="515"/>
      <c r="BI96" s="515"/>
      <c r="BJ96" s="515"/>
      <c r="BK96" s="515"/>
      <c r="BL96" s="515"/>
      <c r="BM96" s="515"/>
      <c r="BN96" s="515"/>
      <c r="BO96" s="516"/>
      <c r="BP96" s="515"/>
      <c r="BQ96" s="515"/>
      <c r="BR96" s="612"/>
      <c r="BS96" s="607">
        <f ca="1">AK24</f>
        <v>1.0299937533573408E-16</v>
      </c>
      <c r="BT96" s="515"/>
      <c r="BU96" s="515"/>
      <c r="BV96" s="515"/>
      <c r="BW96" s="634"/>
      <c r="BX96" s="515"/>
      <c r="BY96" s="515"/>
      <c r="BZ96" s="515"/>
      <c r="CA96" s="515"/>
      <c r="CB96" s="515"/>
      <c r="CC96" s="515"/>
      <c r="CD96" s="515"/>
      <c r="CE96" s="515"/>
      <c r="CF96" s="515"/>
      <c r="CG96" s="515"/>
      <c r="CH96" s="515"/>
      <c r="CI96" s="515"/>
      <c r="CJ96" s="500"/>
      <c r="CK96" s="481"/>
    </row>
    <row r="97" spans="1:89" ht="12.75" customHeight="1" x14ac:dyDescent="0.3">
      <c r="A97" s="70"/>
      <c r="B97" s="602"/>
      <c r="C97" s="602"/>
      <c r="D97" s="519"/>
      <c r="E97" s="519"/>
      <c r="F97" s="519"/>
      <c r="G97" s="519"/>
      <c r="H97" s="519"/>
      <c r="I97" s="519"/>
      <c r="J97" s="519"/>
      <c r="K97" s="519"/>
      <c r="L97" s="519"/>
      <c r="M97" s="519"/>
      <c r="N97" s="519"/>
      <c r="O97" s="519"/>
      <c r="P97" s="519"/>
      <c r="Q97" s="519"/>
      <c r="R97" s="519"/>
      <c r="S97" s="519"/>
      <c r="T97" s="519"/>
      <c r="U97" s="519"/>
      <c r="V97" s="519"/>
      <c r="W97" s="519"/>
      <c r="X97" s="519"/>
      <c r="Y97" s="519"/>
      <c r="Z97" s="519"/>
      <c r="AA97" s="519"/>
      <c r="AB97" s="70"/>
      <c r="AC97" s="50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514"/>
      <c r="AV97" s="515"/>
      <c r="AW97" s="515"/>
      <c r="AX97" s="515"/>
      <c r="AY97" s="515"/>
      <c r="AZ97" s="515"/>
      <c r="BA97" s="515"/>
      <c r="BB97" s="515"/>
      <c r="BC97" s="515"/>
      <c r="BD97" s="515"/>
      <c r="BE97" s="515"/>
      <c r="BF97" s="515"/>
      <c r="BG97" s="515"/>
      <c r="BH97" s="515"/>
      <c r="BI97" s="515"/>
      <c r="BJ97" s="515"/>
      <c r="BK97" s="515"/>
      <c r="BL97" s="515"/>
      <c r="BM97" s="515"/>
      <c r="BN97" s="515"/>
      <c r="BO97" s="516"/>
      <c r="BP97" s="515"/>
      <c r="BQ97" s="515"/>
      <c r="BR97" s="515"/>
      <c r="BS97" s="515"/>
      <c r="BT97" s="515"/>
      <c r="BU97" s="515"/>
      <c r="BV97" s="515"/>
      <c r="BW97" s="634">
        <f ca="1">IF(AQ25&lt;0,"",AQ25)</f>
        <v>9.034240016183686E-6</v>
      </c>
      <c r="BX97" s="515"/>
      <c r="BY97" s="515"/>
      <c r="BZ97" s="515"/>
      <c r="CA97" s="515"/>
      <c r="CB97" s="515"/>
      <c r="CC97" s="515"/>
      <c r="CD97" s="515"/>
      <c r="CE97" s="515"/>
      <c r="CF97" s="515"/>
      <c r="CG97" s="515"/>
      <c r="CH97" s="583">
        <f>AG28</f>
        <v>3.1709791983764589E-7</v>
      </c>
      <c r="CI97" s="515"/>
      <c r="CJ97" s="500"/>
      <c r="CK97" s="481"/>
    </row>
    <row r="98" spans="1:89" ht="12.75" customHeight="1" x14ac:dyDescent="0.35">
      <c r="A98" s="70"/>
      <c r="B98" s="602"/>
      <c r="C98" s="602"/>
      <c r="D98" s="513"/>
      <c r="E98" s="513"/>
      <c r="F98" s="513"/>
      <c r="G98" s="513"/>
      <c r="H98" s="513"/>
      <c r="I98" s="513"/>
      <c r="J98" s="513"/>
      <c r="K98" s="513"/>
      <c r="L98" s="513"/>
      <c r="M98" s="513"/>
      <c r="N98" s="513"/>
      <c r="O98" s="513"/>
      <c r="P98" s="513"/>
      <c r="Q98" s="513"/>
      <c r="R98" s="513"/>
      <c r="S98" s="513"/>
      <c r="T98" s="513"/>
      <c r="U98" s="513"/>
      <c r="V98" s="513"/>
      <c r="W98" s="513"/>
      <c r="X98" s="513"/>
      <c r="Y98" s="513"/>
      <c r="Z98" s="513"/>
      <c r="AA98" s="513"/>
      <c r="AB98" s="70"/>
      <c r="AC98" s="50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514"/>
      <c r="AV98" s="515"/>
      <c r="AW98" s="515"/>
      <c r="AX98" s="515"/>
      <c r="AY98" s="515"/>
      <c r="AZ98" s="515"/>
      <c r="BA98" s="515"/>
      <c r="BB98" s="515"/>
      <c r="BC98" s="515"/>
      <c r="BD98" s="515"/>
      <c r="BE98" s="515"/>
      <c r="BF98" s="515"/>
      <c r="BG98" s="515"/>
      <c r="BH98" s="515"/>
      <c r="BI98" s="515"/>
      <c r="BJ98" s="515"/>
      <c r="BK98" s="515"/>
      <c r="BL98" s="515"/>
      <c r="BM98" s="515"/>
      <c r="BN98" s="515"/>
      <c r="BO98" s="516"/>
      <c r="BP98" s="515"/>
      <c r="BQ98" s="515"/>
      <c r="BR98" s="515"/>
      <c r="BS98" s="515"/>
      <c r="BT98" s="515"/>
      <c r="BU98" s="515"/>
      <c r="BV98" s="607">
        <f ca="1">AK25</f>
        <v>9.8549285217067864E-19</v>
      </c>
      <c r="BW98" s="515"/>
      <c r="BX98" s="614"/>
      <c r="BY98" s="515"/>
      <c r="BZ98" s="515"/>
      <c r="CA98" s="515"/>
      <c r="CB98" s="515"/>
      <c r="CC98" s="515"/>
      <c r="CD98" s="515"/>
      <c r="CE98" s="515"/>
      <c r="CF98" s="515"/>
      <c r="CG98" s="515"/>
      <c r="CH98" s="583">
        <f>AG29</f>
        <v>3.1709791983764589E-7</v>
      </c>
      <c r="CI98" s="515"/>
      <c r="CJ98" s="500"/>
      <c r="CK98" s="481"/>
    </row>
    <row r="99" spans="1:89" ht="12.75" customHeight="1" x14ac:dyDescent="0.35">
      <c r="A99" s="70"/>
      <c r="B99" s="602"/>
      <c r="C99" s="602"/>
      <c r="D99" s="513"/>
      <c r="E99" s="513"/>
      <c r="F99" s="513"/>
      <c r="G99" s="513"/>
      <c r="H99" s="513"/>
      <c r="I99" s="513"/>
      <c r="J99" s="513"/>
      <c r="K99" s="513"/>
      <c r="L99" s="513"/>
      <c r="M99" s="513"/>
      <c r="N99" s="513"/>
      <c r="O99" s="513"/>
      <c r="P99" s="513"/>
      <c r="Q99" s="513"/>
      <c r="R99" s="513"/>
      <c r="S99" s="513"/>
      <c r="T99" s="513"/>
      <c r="U99" s="513"/>
      <c r="V99" s="513"/>
      <c r="W99" s="513"/>
      <c r="X99" s="513"/>
      <c r="Y99" s="513"/>
      <c r="Z99" s="513"/>
      <c r="AA99" s="513"/>
      <c r="AB99" s="70"/>
      <c r="AC99" s="50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514"/>
      <c r="AV99" s="515"/>
      <c r="AW99" s="515"/>
      <c r="AX99" s="515"/>
      <c r="AY99" s="515"/>
      <c r="AZ99" s="515"/>
      <c r="BA99" s="515"/>
      <c r="BB99" s="515"/>
      <c r="BC99" s="515"/>
      <c r="BD99" s="515"/>
      <c r="BE99" s="515"/>
      <c r="BF99" s="515"/>
      <c r="BG99" s="515"/>
      <c r="BH99" s="515"/>
      <c r="BI99" s="515"/>
      <c r="BJ99" s="515"/>
      <c r="BK99" s="515"/>
      <c r="BL99" s="515"/>
      <c r="BM99" s="515"/>
      <c r="BN99" s="515"/>
      <c r="BO99" s="516"/>
      <c r="BP99" s="515"/>
      <c r="BQ99" s="515"/>
      <c r="BR99" s="515"/>
      <c r="BS99" s="515"/>
      <c r="BT99" s="602" t="s">
        <v>1745</v>
      </c>
      <c r="BU99" s="526"/>
      <c r="BV99" s="515"/>
      <c r="BW99" s="517" t="s">
        <v>1746</v>
      </c>
      <c r="BX99" s="515"/>
      <c r="BY99" s="515"/>
      <c r="BZ99" s="515"/>
      <c r="CA99" s="515"/>
      <c r="CB99" s="515"/>
      <c r="CC99" s="515"/>
      <c r="CD99" s="515"/>
      <c r="CE99" s="515"/>
      <c r="CF99" s="515"/>
      <c r="CG99" s="515"/>
      <c r="CH99" s="583">
        <f>AG27</f>
        <v>3.1709791983764589E-7</v>
      </c>
      <c r="CI99" s="515"/>
      <c r="CJ99" s="500"/>
      <c r="CK99" s="481"/>
    </row>
    <row r="100" spans="1:89" ht="12.75" customHeight="1" x14ac:dyDescent="0.35">
      <c r="A100" s="70"/>
      <c r="B100" s="602"/>
      <c r="C100" s="602"/>
      <c r="D100" s="513"/>
      <c r="E100" s="513"/>
      <c r="F100" s="513"/>
      <c r="G100" s="513"/>
      <c r="H100" s="513"/>
      <c r="I100" s="513"/>
      <c r="J100" s="513"/>
      <c r="K100" s="513"/>
      <c r="L100" s="513"/>
      <c r="M100" s="513"/>
      <c r="N100" s="513"/>
      <c r="O100" s="513"/>
      <c r="P100" s="513"/>
      <c r="Q100" s="513"/>
      <c r="R100" s="513"/>
      <c r="S100" s="513"/>
      <c r="T100" s="513"/>
      <c r="U100" s="513"/>
      <c r="V100" s="513"/>
      <c r="W100" s="513"/>
      <c r="X100" s="513"/>
      <c r="Y100" s="513"/>
      <c r="Z100" s="513"/>
      <c r="AA100" s="513"/>
      <c r="AB100" s="70"/>
      <c r="AC100" s="50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514"/>
      <c r="AV100" s="515"/>
      <c r="AW100" s="515"/>
      <c r="AX100" s="515"/>
      <c r="AY100" s="515"/>
      <c r="AZ100" s="515"/>
      <c r="BA100" s="515"/>
      <c r="BB100" s="515"/>
      <c r="BC100" s="515"/>
      <c r="BD100" s="515"/>
      <c r="BE100" s="515"/>
      <c r="BF100" s="515"/>
      <c r="BG100" s="515"/>
      <c r="BH100" s="515"/>
      <c r="BI100" s="515"/>
      <c r="BJ100" s="515"/>
      <c r="BK100" s="515"/>
      <c r="BL100" s="515"/>
      <c r="BM100" s="515"/>
      <c r="BN100" s="515"/>
      <c r="BO100" s="516"/>
      <c r="BP100" s="515"/>
      <c r="BQ100" s="515"/>
      <c r="BR100" s="515"/>
      <c r="BS100" s="515"/>
      <c r="BT100" s="602">
        <f ca="1">IF(ISERROR(H26),0,H26)</f>
        <v>0.43884592598665512</v>
      </c>
      <c r="BU100" s="613"/>
      <c r="BV100" s="526"/>
      <c r="BW100" s="519">
        <f ca="1">IF(ISERROR(H22),0,H22)</f>
        <v>4.0438014228969376E-3</v>
      </c>
      <c r="BX100" s="515"/>
      <c r="BY100" s="515"/>
      <c r="BZ100" s="515"/>
      <c r="CA100" s="515"/>
      <c r="CB100" s="515"/>
      <c r="CC100" s="515"/>
      <c r="CD100" s="515"/>
      <c r="CE100" s="515"/>
      <c r="CF100" s="515"/>
      <c r="CG100" s="515"/>
      <c r="CH100" s="515"/>
      <c r="CI100" s="515"/>
      <c r="CJ100" s="500"/>
      <c r="CK100" s="481"/>
    </row>
    <row r="101" spans="1:89" ht="12.75" customHeight="1" x14ac:dyDescent="0.3">
      <c r="A101" s="70"/>
      <c r="B101" s="602"/>
      <c r="C101" s="602"/>
      <c r="D101" s="513"/>
      <c r="E101" s="513"/>
      <c r="F101" s="513"/>
      <c r="G101" s="513"/>
      <c r="H101" s="513"/>
      <c r="I101" s="513"/>
      <c r="J101" s="513"/>
      <c r="K101" s="513"/>
      <c r="L101" s="513"/>
      <c r="M101" s="513"/>
      <c r="N101" s="513"/>
      <c r="O101" s="513"/>
      <c r="P101" s="513"/>
      <c r="Q101" s="513"/>
      <c r="R101" s="513"/>
      <c r="S101" s="513"/>
      <c r="T101" s="513"/>
      <c r="U101" s="513"/>
      <c r="V101" s="513"/>
      <c r="W101" s="513"/>
      <c r="X101" s="513"/>
      <c r="Y101" s="513"/>
      <c r="Z101" s="513"/>
      <c r="AA101" s="513"/>
      <c r="AB101" s="70"/>
      <c r="AC101" s="50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514"/>
      <c r="AV101" s="515"/>
      <c r="AW101" s="515"/>
      <c r="AX101" s="515"/>
      <c r="AY101" s="515"/>
      <c r="AZ101" s="515"/>
      <c r="BA101" s="515"/>
      <c r="BB101" s="515"/>
      <c r="BC101" s="515"/>
      <c r="BD101" s="515"/>
      <c r="BE101" s="515"/>
      <c r="BF101" s="515"/>
      <c r="BG101" s="515"/>
      <c r="BH101" s="515"/>
      <c r="BI101" s="515"/>
      <c r="BJ101" s="515"/>
      <c r="BK101" s="515"/>
      <c r="BL101" s="515"/>
      <c r="BM101" s="515"/>
      <c r="BN101" s="515"/>
      <c r="BO101" s="516"/>
      <c r="BP101" s="515"/>
      <c r="BQ101" s="515"/>
      <c r="BR101" s="517"/>
      <c r="BS101" s="515"/>
      <c r="BT101" s="515"/>
      <c r="BU101" s="515"/>
      <c r="BV101" s="515"/>
      <c r="BW101" s="515"/>
      <c r="BX101" s="515"/>
      <c r="BY101" s="515"/>
      <c r="BZ101" s="515"/>
      <c r="CA101" s="515"/>
      <c r="CB101" s="515"/>
      <c r="CC101" s="515"/>
      <c r="CD101" s="515"/>
      <c r="CE101" s="515"/>
      <c r="CF101" s="515"/>
      <c r="CG101" s="515"/>
      <c r="CH101" s="515"/>
      <c r="CI101" s="515"/>
      <c r="CJ101" s="500"/>
      <c r="CK101" s="481"/>
    </row>
    <row r="102" spans="1:89" ht="12.75" customHeight="1" x14ac:dyDescent="0.3">
      <c r="A102" s="70"/>
      <c r="B102" s="602"/>
      <c r="C102" s="602"/>
      <c r="D102" s="513"/>
      <c r="E102" s="513"/>
      <c r="F102" s="513"/>
      <c r="G102" s="513"/>
      <c r="H102" s="513"/>
      <c r="I102" s="513"/>
      <c r="J102" s="513"/>
      <c r="K102" s="513"/>
      <c r="L102" s="513"/>
      <c r="M102" s="513"/>
      <c r="N102" s="513"/>
      <c r="O102" s="513"/>
      <c r="P102" s="513"/>
      <c r="Q102" s="513"/>
      <c r="R102" s="513"/>
      <c r="S102" s="513"/>
      <c r="T102" s="513"/>
      <c r="U102" s="513"/>
      <c r="V102" s="513"/>
      <c r="W102" s="513"/>
      <c r="X102" s="513"/>
      <c r="Y102" s="513"/>
      <c r="Z102" s="513"/>
      <c r="AA102" s="513"/>
      <c r="AB102" s="70"/>
      <c r="AC102" s="50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514"/>
      <c r="AV102" s="515"/>
      <c r="AW102" s="515"/>
      <c r="AX102" s="515"/>
      <c r="AY102" s="515"/>
      <c r="AZ102" s="515"/>
      <c r="BA102" s="515"/>
      <c r="BB102" s="515"/>
      <c r="BC102" s="515"/>
      <c r="BD102" s="515"/>
      <c r="BE102" s="515"/>
      <c r="BF102" s="515"/>
      <c r="BG102" s="515"/>
      <c r="BH102" s="515"/>
      <c r="BI102" s="515"/>
      <c r="BJ102" s="515"/>
      <c r="BK102" s="515"/>
      <c r="BL102" s="515"/>
      <c r="BM102" s="515"/>
      <c r="BN102" s="515"/>
      <c r="BO102" s="516"/>
      <c r="BP102" s="515"/>
      <c r="BQ102" s="515"/>
      <c r="BR102" s="515"/>
      <c r="BS102" s="515"/>
      <c r="BT102" s="515"/>
      <c r="BU102" s="515"/>
      <c r="BV102" s="515"/>
      <c r="BW102" s="515"/>
      <c r="BX102" s="515"/>
      <c r="BY102" s="515"/>
      <c r="BZ102" s="515"/>
      <c r="CA102" s="515"/>
      <c r="CB102" s="515"/>
      <c r="CC102" s="515"/>
      <c r="CD102" s="515"/>
      <c r="CE102" s="515"/>
      <c r="CF102" s="515"/>
      <c r="CG102" s="515"/>
      <c r="CH102" s="515"/>
      <c r="CI102" s="515"/>
      <c r="CJ102" s="500"/>
      <c r="CK102" s="481"/>
    </row>
    <row r="103" spans="1:89" ht="12.75" customHeight="1" x14ac:dyDescent="0.3">
      <c r="A103" s="70"/>
      <c r="B103" s="602"/>
      <c r="C103" s="602"/>
      <c r="D103" s="513"/>
      <c r="E103" s="513"/>
      <c r="F103" s="513"/>
      <c r="G103" s="513"/>
      <c r="H103" s="513"/>
      <c r="I103" s="513"/>
      <c r="J103" s="513"/>
      <c r="K103" s="513"/>
      <c r="L103" s="513"/>
      <c r="M103" s="513"/>
      <c r="N103" s="513"/>
      <c r="O103" s="513"/>
      <c r="P103" s="513"/>
      <c r="Q103" s="513"/>
      <c r="R103" s="513"/>
      <c r="S103" s="513"/>
      <c r="T103" s="513"/>
      <c r="U103" s="513"/>
      <c r="V103" s="513"/>
      <c r="W103" s="513"/>
      <c r="X103" s="513"/>
      <c r="Y103" s="513"/>
      <c r="Z103" s="513"/>
      <c r="AA103" s="513"/>
      <c r="AB103" s="70"/>
      <c r="AC103" s="50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514"/>
      <c r="AV103" s="515"/>
      <c r="AW103" s="515"/>
      <c r="AX103" s="515"/>
      <c r="AY103" s="515"/>
      <c r="AZ103" s="515"/>
      <c r="BA103" s="515"/>
      <c r="BB103" s="515"/>
      <c r="BC103" s="515"/>
      <c r="BD103" s="515"/>
      <c r="BE103" s="515"/>
      <c r="BF103" s="515"/>
      <c r="BG103" s="515"/>
      <c r="BH103" s="515"/>
      <c r="BI103" s="515"/>
      <c r="BJ103" s="515"/>
      <c r="BK103" s="515"/>
      <c r="BL103" s="515"/>
      <c r="BM103" s="515"/>
      <c r="BN103" s="515"/>
      <c r="BO103" s="516"/>
      <c r="BP103" s="515"/>
      <c r="BQ103" s="515"/>
      <c r="BR103" s="515"/>
      <c r="BS103" s="634">
        <f ca="1">IF(AR26&lt;0,"",AR26)</f>
        <v>1.0982913604472443E-4</v>
      </c>
      <c r="BT103" s="515"/>
      <c r="BU103" s="515"/>
      <c r="BV103" s="515"/>
      <c r="BW103" s="515"/>
      <c r="BX103" s="515"/>
      <c r="BY103" s="515"/>
      <c r="BZ103" s="515"/>
      <c r="CA103" s="515"/>
      <c r="CB103" s="515"/>
      <c r="CC103" s="515"/>
      <c r="CD103" s="515"/>
      <c r="CE103" s="515"/>
      <c r="CF103" s="515"/>
      <c r="CG103" s="515"/>
      <c r="CH103" s="515"/>
      <c r="CI103" s="515"/>
      <c r="CJ103" s="500"/>
      <c r="CK103" s="481"/>
    </row>
    <row r="104" spans="1:89" ht="12.75" customHeight="1" x14ac:dyDescent="0.3">
      <c r="A104" s="70"/>
      <c r="B104" s="602"/>
      <c r="C104" s="602"/>
      <c r="D104" s="513"/>
      <c r="E104" s="513"/>
      <c r="F104" s="513"/>
      <c r="G104" s="513"/>
      <c r="H104" s="513"/>
      <c r="I104" s="513"/>
      <c r="J104" s="513"/>
      <c r="K104" s="513"/>
      <c r="L104" s="513"/>
      <c r="M104" s="513"/>
      <c r="N104" s="513"/>
      <c r="O104" s="513"/>
      <c r="P104" s="513"/>
      <c r="Q104" s="513"/>
      <c r="R104" s="513"/>
      <c r="S104" s="513"/>
      <c r="T104" s="513"/>
      <c r="U104" s="513"/>
      <c r="V104" s="513"/>
      <c r="W104" s="513"/>
      <c r="X104" s="513"/>
      <c r="Y104" s="513"/>
      <c r="Z104" s="513"/>
      <c r="AA104" s="513"/>
      <c r="AB104" s="70"/>
      <c r="AC104" s="50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514"/>
      <c r="AV104" s="515"/>
      <c r="AW104" s="515"/>
      <c r="AX104" s="515"/>
      <c r="AY104" s="515"/>
      <c r="AZ104" s="515"/>
      <c r="BA104" s="515"/>
      <c r="BB104" s="515"/>
      <c r="BC104" s="515"/>
      <c r="BD104" s="515"/>
      <c r="BE104" s="515"/>
      <c r="BF104" s="515"/>
      <c r="BG104" s="515"/>
      <c r="BH104" s="515"/>
      <c r="BI104" s="515"/>
      <c r="BJ104" s="515"/>
      <c r="BK104" s="515"/>
      <c r="BL104" s="515"/>
      <c r="BM104" s="515"/>
      <c r="BN104" s="515"/>
      <c r="BO104" s="516"/>
      <c r="BP104" s="515"/>
      <c r="BQ104" s="515"/>
      <c r="BR104" s="515"/>
      <c r="BS104" s="594"/>
      <c r="BT104" s="515"/>
      <c r="BU104" s="515"/>
      <c r="BV104" s="515"/>
      <c r="BW104" s="515"/>
      <c r="BX104" s="515"/>
      <c r="BY104" s="515"/>
      <c r="BZ104" s="515"/>
      <c r="CA104" s="515"/>
      <c r="CB104" s="515"/>
      <c r="CC104" s="515"/>
      <c r="CD104" s="515"/>
      <c r="CE104" s="515"/>
      <c r="CF104" s="515"/>
      <c r="CG104" s="515"/>
      <c r="CH104" s="515"/>
      <c r="CI104" s="515"/>
      <c r="CJ104" s="500"/>
      <c r="CK104" s="481"/>
    </row>
    <row r="105" spans="1:89" ht="12.75" customHeight="1" x14ac:dyDescent="0.3">
      <c r="A105" s="70"/>
      <c r="B105" s="602"/>
      <c r="C105" s="602"/>
      <c r="D105" s="513"/>
      <c r="E105" s="513"/>
      <c r="F105" s="513"/>
      <c r="G105" s="513"/>
      <c r="H105" s="513"/>
      <c r="I105" s="513"/>
      <c r="J105" s="513"/>
      <c r="K105" s="513"/>
      <c r="L105" s="513"/>
      <c r="M105" s="513"/>
      <c r="N105" s="513"/>
      <c r="O105" s="513"/>
      <c r="P105" s="513"/>
      <c r="Q105" s="513"/>
      <c r="R105" s="513"/>
      <c r="S105" s="513"/>
      <c r="T105" s="513"/>
      <c r="U105" s="513"/>
      <c r="V105" s="513"/>
      <c r="W105" s="513"/>
      <c r="X105" s="513"/>
      <c r="Y105" s="513"/>
      <c r="Z105" s="513"/>
      <c r="AA105" s="513"/>
      <c r="AB105" s="70"/>
      <c r="AC105" s="50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514"/>
      <c r="AV105" s="515"/>
      <c r="AW105" s="515"/>
      <c r="AX105" s="515"/>
      <c r="AY105" s="515"/>
      <c r="AZ105" s="515"/>
      <c r="BA105" s="515"/>
      <c r="BB105" s="515"/>
      <c r="BC105" s="515"/>
      <c r="BD105" s="515"/>
      <c r="BE105" s="515"/>
      <c r="BF105" s="515"/>
      <c r="BG105" s="515"/>
      <c r="BH105" s="515"/>
      <c r="BI105" s="515"/>
      <c r="BJ105" s="515"/>
      <c r="BK105" s="515"/>
      <c r="BL105" s="515"/>
      <c r="BM105" s="515"/>
      <c r="BN105" s="515"/>
      <c r="BO105" s="516"/>
      <c r="BP105" s="515"/>
      <c r="BQ105" s="515"/>
      <c r="BR105" s="515"/>
      <c r="BS105" s="634">
        <f ca="1">IF(AQ26&lt;0,"",AQ26)</f>
        <v>1.0982913604474442E-4</v>
      </c>
      <c r="BT105" s="517" t="s">
        <v>1744</v>
      </c>
      <c r="BU105" s="515"/>
      <c r="BV105" s="515"/>
      <c r="BW105" s="515"/>
      <c r="BX105" s="515"/>
      <c r="BY105" s="515"/>
      <c r="BZ105" s="515"/>
      <c r="CA105" s="515"/>
      <c r="CB105" s="515"/>
      <c r="CC105" s="515"/>
      <c r="CD105" s="515"/>
      <c r="CE105" s="515"/>
      <c r="CF105" s="515"/>
      <c r="CG105" s="515"/>
      <c r="CH105" s="515"/>
      <c r="CI105" s="515"/>
      <c r="CJ105" s="500"/>
      <c r="CK105" s="481"/>
    </row>
    <row r="106" spans="1:89" ht="12.75" customHeight="1" x14ac:dyDescent="0.3">
      <c r="A106" s="70"/>
      <c r="B106" s="602"/>
      <c r="C106" s="602"/>
      <c r="D106" s="513"/>
      <c r="E106" s="513"/>
      <c r="F106" s="513"/>
      <c r="G106" s="513"/>
      <c r="H106" s="513"/>
      <c r="I106" s="513"/>
      <c r="J106" s="513"/>
      <c r="K106" s="513"/>
      <c r="L106" s="513"/>
      <c r="M106" s="513"/>
      <c r="N106" s="513"/>
      <c r="O106" s="513"/>
      <c r="P106" s="513"/>
      <c r="Q106" s="513"/>
      <c r="R106" s="513"/>
      <c r="S106" s="513"/>
      <c r="T106" s="513"/>
      <c r="U106" s="513"/>
      <c r="V106" s="513"/>
      <c r="W106" s="513"/>
      <c r="X106" s="513"/>
      <c r="Y106" s="513"/>
      <c r="Z106" s="513"/>
      <c r="AA106" s="513"/>
      <c r="AB106" s="70"/>
      <c r="AC106" s="50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514"/>
      <c r="AV106" s="515"/>
      <c r="AW106" s="515"/>
      <c r="AX106" s="515"/>
      <c r="AY106" s="515"/>
      <c r="AZ106" s="515"/>
      <c r="BA106" s="515"/>
      <c r="BB106" s="515"/>
      <c r="BC106" s="515"/>
      <c r="BD106" s="515"/>
      <c r="BE106" s="515"/>
      <c r="BF106" s="515"/>
      <c r="BG106" s="515"/>
      <c r="BH106" s="515"/>
      <c r="BI106" s="515"/>
      <c r="BJ106" s="515"/>
      <c r="BK106" s="515"/>
      <c r="BL106" s="515"/>
      <c r="BM106" s="515"/>
      <c r="BN106" s="515"/>
      <c r="BO106" s="516"/>
      <c r="BP106" s="515"/>
      <c r="BQ106" s="515"/>
      <c r="BR106" s="515"/>
      <c r="BS106" s="515"/>
      <c r="BT106" s="519">
        <f ca="1">IF(ISERROR(H34),0,H34)</f>
        <v>8.2034809637133624E-2</v>
      </c>
      <c r="BU106" s="515"/>
      <c r="BV106" s="515"/>
      <c r="BW106" s="515"/>
      <c r="BX106" s="515"/>
      <c r="BY106" s="515"/>
      <c r="BZ106" s="515"/>
      <c r="CA106" s="515"/>
      <c r="CB106" s="515"/>
      <c r="CC106" s="515"/>
      <c r="CD106" s="515"/>
      <c r="CE106" s="515"/>
      <c r="CF106" s="515"/>
      <c r="CG106" s="515"/>
      <c r="CH106" s="515"/>
      <c r="CI106" s="515"/>
      <c r="CJ106" s="500"/>
      <c r="CK106" s="481"/>
    </row>
    <row r="107" spans="1:89" ht="12.75" customHeight="1" x14ac:dyDescent="0.3">
      <c r="A107" s="70"/>
      <c r="B107" s="602"/>
      <c r="C107" s="602"/>
      <c r="D107" s="513"/>
      <c r="E107" s="513"/>
      <c r="F107" s="513"/>
      <c r="G107" s="513"/>
      <c r="H107" s="513"/>
      <c r="I107" s="513"/>
      <c r="J107" s="513"/>
      <c r="K107" s="513"/>
      <c r="L107" s="513"/>
      <c r="M107" s="513"/>
      <c r="N107" s="513"/>
      <c r="O107" s="513"/>
      <c r="P107" s="513"/>
      <c r="Q107" s="513"/>
      <c r="R107" s="513"/>
      <c r="S107" s="513"/>
      <c r="T107" s="513"/>
      <c r="U107" s="513"/>
      <c r="V107" s="513"/>
      <c r="W107" s="513"/>
      <c r="X107" s="513"/>
      <c r="Y107" s="513"/>
      <c r="Z107" s="513"/>
      <c r="AA107" s="513"/>
      <c r="AB107" s="70"/>
      <c r="AC107" s="50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514"/>
      <c r="AV107" s="515"/>
      <c r="AW107" s="515"/>
      <c r="AX107" s="515"/>
      <c r="AY107" s="515"/>
      <c r="AZ107" s="515"/>
      <c r="BA107" s="515"/>
      <c r="BB107" s="515"/>
      <c r="BC107" s="515"/>
      <c r="BD107" s="515"/>
      <c r="BE107" s="515"/>
      <c r="BF107" s="515"/>
      <c r="BG107" s="515"/>
      <c r="BH107" s="515"/>
      <c r="BI107" s="515"/>
      <c r="BJ107" s="515"/>
      <c r="BK107" s="515"/>
      <c r="BL107" s="515"/>
      <c r="BM107" s="515"/>
      <c r="BN107" s="515"/>
      <c r="BO107" s="516"/>
      <c r="BP107" s="515"/>
      <c r="BQ107" s="515"/>
      <c r="BR107" s="515"/>
      <c r="BS107" s="607">
        <f ca="1">AK26</f>
        <v>1.9992257302452099E-17</v>
      </c>
      <c r="BT107" s="515"/>
      <c r="BU107" s="515"/>
      <c r="BV107" s="515"/>
      <c r="BW107" s="515"/>
      <c r="BX107" s="515"/>
      <c r="BY107" s="515"/>
      <c r="BZ107" s="515"/>
      <c r="CA107" s="515"/>
      <c r="CB107" s="515"/>
      <c r="CC107" s="515"/>
      <c r="CD107" s="515"/>
      <c r="CE107" s="515"/>
      <c r="CF107" s="515"/>
      <c r="CG107" s="515"/>
      <c r="CH107" s="515"/>
      <c r="CI107" s="515"/>
      <c r="CJ107" s="500"/>
      <c r="CK107" s="481"/>
    </row>
    <row r="108" spans="1:89" ht="12.75" customHeight="1" x14ac:dyDescent="0.3">
      <c r="A108" s="70"/>
      <c r="B108" s="602"/>
      <c r="C108" s="602"/>
      <c r="D108" s="513"/>
      <c r="E108" s="513"/>
      <c r="F108" s="513"/>
      <c r="G108" s="513"/>
      <c r="H108" s="513"/>
      <c r="I108" s="513"/>
      <c r="J108" s="513"/>
      <c r="K108" s="513"/>
      <c r="L108" s="513"/>
      <c r="M108" s="513"/>
      <c r="N108" s="513"/>
      <c r="O108" s="513"/>
      <c r="P108" s="513"/>
      <c r="Q108" s="513"/>
      <c r="R108" s="513"/>
      <c r="S108" s="513"/>
      <c r="T108" s="513"/>
      <c r="U108" s="513"/>
      <c r="V108" s="513"/>
      <c r="W108" s="513"/>
      <c r="X108" s="513"/>
      <c r="Y108" s="513"/>
      <c r="Z108" s="513"/>
      <c r="AA108" s="513"/>
      <c r="AB108" s="70"/>
      <c r="AC108" s="50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514"/>
      <c r="AV108" s="515"/>
      <c r="AW108" s="515"/>
      <c r="AX108" s="515"/>
      <c r="AY108" s="515"/>
      <c r="AZ108" s="515"/>
      <c r="BA108" s="515"/>
      <c r="BB108" s="515"/>
      <c r="BC108" s="515"/>
      <c r="BD108" s="515"/>
      <c r="BE108" s="515"/>
      <c r="BF108" s="515"/>
      <c r="BG108" s="515"/>
      <c r="BH108" s="515"/>
      <c r="BI108" s="515"/>
      <c r="BJ108" s="515"/>
      <c r="BK108" s="515"/>
      <c r="BL108" s="515"/>
      <c r="BM108" s="515"/>
      <c r="BN108" s="515"/>
      <c r="BO108" s="516"/>
      <c r="BP108" s="515"/>
      <c r="BQ108" s="515"/>
      <c r="BR108" s="515"/>
      <c r="BS108" s="515"/>
      <c r="BT108" s="515"/>
      <c r="BU108" s="515"/>
      <c r="BV108" s="515"/>
      <c r="BW108" s="515"/>
      <c r="BX108" s="515"/>
      <c r="BY108" s="515"/>
      <c r="BZ108" s="515"/>
      <c r="CA108" s="515"/>
      <c r="CB108" s="515"/>
      <c r="CC108" s="515"/>
      <c r="CD108" s="515"/>
      <c r="CE108" s="515"/>
      <c r="CF108" s="515"/>
      <c r="CG108" s="515"/>
      <c r="CH108" s="515"/>
      <c r="CI108" s="515"/>
      <c r="CJ108" s="500"/>
      <c r="CK108" s="481"/>
    </row>
    <row r="109" spans="1:89" ht="12.75" customHeight="1" x14ac:dyDescent="0.3">
      <c r="A109" s="70"/>
      <c r="B109" s="602"/>
      <c r="C109" s="602"/>
      <c r="D109" s="513"/>
      <c r="E109" s="513"/>
      <c r="F109" s="513"/>
      <c r="G109" s="513"/>
      <c r="H109" s="513"/>
      <c r="I109" s="513"/>
      <c r="J109" s="513"/>
      <c r="K109" s="513"/>
      <c r="L109" s="513"/>
      <c r="M109" s="513"/>
      <c r="N109" s="513"/>
      <c r="O109" s="513"/>
      <c r="P109" s="513"/>
      <c r="Q109" s="513"/>
      <c r="R109" s="513"/>
      <c r="S109" s="513"/>
      <c r="T109" s="513"/>
      <c r="U109" s="513"/>
      <c r="V109" s="513"/>
      <c r="W109" s="513"/>
      <c r="X109" s="513"/>
      <c r="Y109" s="513"/>
      <c r="Z109" s="513"/>
      <c r="AA109" s="513"/>
      <c r="AB109" s="70"/>
      <c r="AC109" s="50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514"/>
      <c r="AV109" s="515"/>
      <c r="AW109" s="515"/>
      <c r="AX109" s="515"/>
      <c r="AY109" s="515"/>
      <c r="AZ109" s="515"/>
      <c r="BA109" s="515"/>
      <c r="BB109" s="515"/>
      <c r="BC109" s="515"/>
      <c r="BD109" s="515"/>
      <c r="BE109" s="515"/>
      <c r="BF109" s="515"/>
      <c r="BG109" s="515"/>
      <c r="BH109" s="515"/>
      <c r="BI109" s="515"/>
      <c r="BJ109" s="515"/>
      <c r="BK109" s="515"/>
      <c r="BL109" s="515"/>
      <c r="BM109" s="515"/>
      <c r="BN109" s="515"/>
      <c r="BO109" s="516"/>
      <c r="BP109" s="515"/>
      <c r="BQ109" s="515"/>
      <c r="BR109" s="515"/>
      <c r="BS109" s="515"/>
      <c r="BT109" s="515"/>
      <c r="BU109" s="515"/>
      <c r="BV109" s="515"/>
      <c r="BW109" s="515"/>
      <c r="BX109" s="515"/>
      <c r="BY109" s="515"/>
      <c r="BZ109" s="515"/>
      <c r="CA109" s="515"/>
      <c r="CB109" s="515"/>
      <c r="CC109" s="515"/>
      <c r="CD109" s="515"/>
      <c r="CE109" s="515"/>
      <c r="CF109" s="515"/>
      <c r="CG109" s="515"/>
      <c r="CH109" s="515"/>
      <c r="CI109" s="515"/>
      <c r="CJ109" s="500"/>
      <c r="CK109" s="481"/>
    </row>
    <row r="110" spans="1:89" ht="12.75" customHeight="1" x14ac:dyDescent="0.3">
      <c r="A110" s="70"/>
      <c r="B110" s="602"/>
      <c r="C110" s="602"/>
      <c r="D110" s="513"/>
      <c r="E110" s="513"/>
      <c r="F110" s="513"/>
      <c r="G110" s="513"/>
      <c r="H110" s="513"/>
      <c r="I110" s="513"/>
      <c r="J110" s="513"/>
      <c r="K110" s="513"/>
      <c r="L110" s="513"/>
      <c r="M110" s="513"/>
      <c r="N110" s="513"/>
      <c r="O110" s="513"/>
      <c r="P110" s="513"/>
      <c r="Q110" s="513"/>
      <c r="R110" s="513"/>
      <c r="S110" s="513"/>
      <c r="T110" s="513"/>
      <c r="U110" s="513"/>
      <c r="V110" s="513"/>
      <c r="W110" s="513"/>
      <c r="X110" s="513"/>
      <c r="Y110" s="513"/>
      <c r="Z110" s="513"/>
      <c r="AA110" s="513"/>
      <c r="AB110" s="70"/>
      <c r="AC110" s="50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514"/>
      <c r="AV110" s="515"/>
      <c r="AW110" s="515"/>
      <c r="AX110" s="515"/>
      <c r="AY110" s="515"/>
      <c r="AZ110" s="515"/>
      <c r="BA110" s="515"/>
      <c r="BB110" s="515"/>
      <c r="BC110" s="515"/>
      <c r="BD110" s="515"/>
      <c r="BE110" s="515"/>
      <c r="BF110" s="515"/>
      <c r="BG110" s="515"/>
      <c r="BH110" s="515"/>
      <c r="BI110" s="515"/>
      <c r="BJ110" s="515"/>
      <c r="BK110" s="515"/>
      <c r="BL110" s="515"/>
      <c r="BM110" s="515"/>
      <c r="BN110" s="515"/>
      <c r="BO110" s="516"/>
      <c r="BP110" s="515"/>
      <c r="BQ110" s="515"/>
      <c r="BR110" s="515"/>
      <c r="BS110" s="515"/>
      <c r="BT110" s="528">
        <f ca="1">AJ26</f>
        <v>0</v>
      </c>
      <c r="BU110" s="515"/>
      <c r="BV110" s="607">
        <f ca="1">AJ25</f>
        <v>6.6626071178020541E-7</v>
      </c>
      <c r="BW110" s="515"/>
      <c r="BX110" s="515"/>
      <c r="BY110" s="515"/>
      <c r="BZ110" s="522"/>
      <c r="CA110" s="515"/>
      <c r="CB110" s="528">
        <f ca="1">AJ27</f>
        <v>1.5337290762310494E-9</v>
      </c>
      <c r="CC110" s="522"/>
      <c r="CD110" s="528">
        <f ca="1">AJ29</f>
        <v>3.9246162888099392E-9</v>
      </c>
      <c r="CE110" s="515"/>
      <c r="CF110" s="527">
        <f ca="1">AJ28</f>
        <v>4.1239636321248671E-9</v>
      </c>
      <c r="CG110" s="515"/>
      <c r="CH110" s="515"/>
      <c r="CI110" s="515"/>
      <c r="CJ110" s="500"/>
      <c r="CK110" s="481"/>
    </row>
    <row r="111" spans="1:89" ht="12.75" customHeight="1" x14ac:dyDescent="0.3">
      <c r="A111" s="70"/>
      <c r="B111" s="602"/>
      <c r="C111" s="602"/>
      <c r="D111" s="513"/>
      <c r="E111" s="513"/>
      <c r="F111" s="513"/>
      <c r="G111" s="513"/>
      <c r="H111" s="513"/>
      <c r="I111" s="513"/>
      <c r="J111" s="513"/>
      <c r="K111" s="513"/>
      <c r="L111" s="513"/>
      <c r="M111" s="513"/>
      <c r="N111" s="513"/>
      <c r="O111" s="513"/>
      <c r="P111" s="513"/>
      <c r="Q111" s="513"/>
      <c r="R111" s="513"/>
      <c r="S111" s="513"/>
      <c r="T111" s="513"/>
      <c r="U111" s="513"/>
      <c r="V111" s="513"/>
      <c r="W111" s="513"/>
      <c r="X111" s="513"/>
      <c r="Y111" s="513"/>
      <c r="Z111" s="513"/>
      <c r="AA111" s="513"/>
      <c r="AB111" s="70"/>
      <c r="AC111" s="50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514"/>
      <c r="AV111" s="515"/>
      <c r="AW111" s="515"/>
      <c r="AX111" s="515"/>
      <c r="AY111" s="515"/>
      <c r="AZ111" s="515"/>
      <c r="BA111" s="515"/>
      <c r="BB111" s="515"/>
      <c r="BC111" s="515"/>
      <c r="BD111" s="515"/>
      <c r="BE111" s="515"/>
      <c r="BF111" s="515"/>
      <c r="BG111" s="515"/>
      <c r="BH111" s="515"/>
      <c r="BI111" s="515"/>
      <c r="BJ111" s="515"/>
      <c r="BK111" s="515"/>
      <c r="BL111" s="515"/>
      <c r="BM111" s="515"/>
      <c r="BN111" s="515"/>
      <c r="BO111" s="516"/>
      <c r="BP111" s="515"/>
      <c r="BQ111" s="515"/>
      <c r="BR111" s="515"/>
      <c r="BS111" s="515"/>
      <c r="BT111" s="515"/>
      <c r="BU111" s="515"/>
      <c r="BV111" s="596"/>
      <c r="BW111" s="515"/>
      <c r="BX111" s="515"/>
      <c r="BY111" s="515"/>
      <c r="BZ111" s="522"/>
      <c r="CA111" s="515"/>
      <c r="CB111" s="515"/>
      <c r="CC111" s="522"/>
      <c r="CD111" s="515"/>
      <c r="CE111" s="515"/>
      <c r="CF111" s="515"/>
      <c r="CG111" s="515"/>
      <c r="CH111" s="515"/>
      <c r="CI111" s="515"/>
      <c r="CJ111" s="500"/>
      <c r="CK111" s="481"/>
    </row>
    <row r="112" spans="1:89" ht="12.75" customHeight="1" x14ac:dyDescent="0.3">
      <c r="A112" s="70"/>
      <c r="B112" s="602"/>
      <c r="C112" s="602"/>
      <c r="D112" s="513"/>
      <c r="E112" s="513"/>
      <c r="F112" s="513"/>
      <c r="G112" s="513"/>
      <c r="H112" s="513"/>
      <c r="I112" s="513"/>
      <c r="J112" s="513"/>
      <c r="K112" s="513"/>
      <c r="L112" s="513"/>
      <c r="M112" s="513"/>
      <c r="N112" s="513"/>
      <c r="O112" s="513"/>
      <c r="P112" s="513"/>
      <c r="Q112" s="513"/>
      <c r="R112" s="513"/>
      <c r="S112" s="513"/>
      <c r="T112" s="513"/>
      <c r="U112" s="513"/>
      <c r="V112" s="513"/>
      <c r="W112" s="513"/>
      <c r="X112" s="513"/>
      <c r="Y112" s="513"/>
      <c r="Z112" s="513"/>
      <c r="AA112" s="513"/>
      <c r="AB112" s="70"/>
      <c r="AC112" s="50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514"/>
      <c r="AV112" s="515"/>
      <c r="AW112" s="515"/>
      <c r="AX112" s="515"/>
      <c r="AY112" s="515"/>
      <c r="AZ112" s="515"/>
      <c r="BA112" s="515"/>
      <c r="BB112" s="515"/>
      <c r="BC112" s="515"/>
      <c r="BD112" s="515"/>
      <c r="BE112" s="515"/>
      <c r="BF112" s="515"/>
      <c r="BG112" s="515"/>
      <c r="BH112" s="515"/>
      <c r="BI112" s="515"/>
      <c r="BJ112" s="515"/>
      <c r="BK112" s="515"/>
      <c r="BL112" s="515"/>
      <c r="BM112" s="515"/>
      <c r="BN112" s="515"/>
      <c r="BO112" s="516"/>
      <c r="BP112" s="515"/>
      <c r="BQ112" s="515"/>
      <c r="BR112" s="515"/>
      <c r="BS112" s="515"/>
      <c r="BT112" s="515"/>
      <c r="BU112" s="515"/>
      <c r="BV112" s="515"/>
      <c r="BW112" s="515"/>
      <c r="BX112" s="515"/>
      <c r="BY112" s="522"/>
      <c r="BZ112" s="515"/>
      <c r="CA112" s="515"/>
      <c r="CB112" s="515"/>
      <c r="CC112" s="522"/>
      <c r="CD112" s="515"/>
      <c r="CE112" s="515"/>
      <c r="CF112" s="515"/>
      <c r="CG112" s="515"/>
      <c r="CH112" s="515"/>
      <c r="CI112" s="515"/>
      <c r="CJ112" s="500"/>
      <c r="CK112" s="481"/>
    </row>
    <row r="113" spans="1:89" ht="12.75" customHeight="1" x14ac:dyDescent="0.3">
      <c r="A113" s="70"/>
      <c r="B113" s="602"/>
      <c r="C113" s="602"/>
      <c r="D113" s="513"/>
      <c r="E113" s="513"/>
      <c r="F113" s="513"/>
      <c r="G113" s="513"/>
      <c r="H113" s="513"/>
      <c r="I113" s="513"/>
      <c r="J113" s="513"/>
      <c r="K113" s="513"/>
      <c r="L113" s="513"/>
      <c r="M113" s="513"/>
      <c r="N113" s="513"/>
      <c r="O113" s="513"/>
      <c r="P113" s="513"/>
      <c r="Q113" s="513"/>
      <c r="R113" s="513"/>
      <c r="S113" s="513"/>
      <c r="T113" s="513"/>
      <c r="U113" s="513"/>
      <c r="V113" s="513"/>
      <c r="W113" s="513"/>
      <c r="X113" s="513"/>
      <c r="Y113" s="513"/>
      <c r="Z113" s="513"/>
      <c r="AA113" s="513"/>
      <c r="AB113" s="70"/>
      <c r="AC113" s="50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514"/>
      <c r="AV113" s="515"/>
      <c r="AW113" s="515"/>
      <c r="AX113" s="515"/>
      <c r="AY113" s="515"/>
      <c r="AZ113" s="515"/>
      <c r="BA113" s="515"/>
      <c r="BB113" s="515"/>
      <c r="BC113" s="515"/>
      <c r="BD113" s="515"/>
      <c r="BE113" s="515"/>
      <c r="BF113" s="515"/>
      <c r="BG113" s="515"/>
      <c r="BH113" s="515"/>
      <c r="BI113" s="515"/>
      <c r="BJ113" s="515"/>
      <c r="BK113" s="515"/>
      <c r="BL113" s="515"/>
      <c r="BM113" s="515"/>
      <c r="BN113" s="515"/>
      <c r="BO113" s="516"/>
      <c r="BP113" s="515"/>
      <c r="BQ113" s="515"/>
      <c r="BR113" s="519" t="s">
        <v>1755</v>
      </c>
      <c r="BS113" s="515"/>
      <c r="BT113" s="515"/>
      <c r="BU113" s="515"/>
      <c r="BV113" s="517" t="s">
        <v>768</v>
      </c>
      <c r="BW113" s="515"/>
      <c r="BX113" s="515"/>
      <c r="BY113" s="515"/>
      <c r="BZ113" s="515"/>
      <c r="CA113" s="515"/>
      <c r="CB113" s="515"/>
      <c r="CC113" s="515"/>
      <c r="CD113" s="515"/>
      <c r="CE113" s="515"/>
      <c r="CF113" s="515"/>
      <c r="CG113" s="515"/>
      <c r="CH113" s="515"/>
      <c r="CI113" s="515"/>
      <c r="CJ113" s="500"/>
      <c r="CK113" s="481"/>
    </row>
    <row r="114" spans="1:89" ht="12.75" customHeight="1" x14ac:dyDescent="0.3">
      <c r="A114" s="70"/>
      <c r="B114" s="602"/>
      <c r="C114" s="602"/>
      <c r="D114" s="513"/>
      <c r="E114" s="513"/>
      <c r="F114" s="513"/>
      <c r="G114" s="513"/>
      <c r="H114" s="513"/>
      <c r="I114" s="513"/>
      <c r="J114" s="513"/>
      <c r="K114" s="513"/>
      <c r="L114" s="513"/>
      <c r="M114" s="513"/>
      <c r="N114" s="513"/>
      <c r="O114" s="513"/>
      <c r="P114" s="513"/>
      <c r="Q114" s="513"/>
      <c r="R114" s="513"/>
      <c r="S114" s="513"/>
      <c r="T114" s="513"/>
      <c r="U114" s="513"/>
      <c r="V114" s="513"/>
      <c r="W114" s="513"/>
      <c r="X114" s="513"/>
      <c r="Y114" s="513"/>
      <c r="Z114" s="513"/>
      <c r="AA114" s="513"/>
      <c r="AB114" s="70"/>
      <c r="AC114" s="50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514"/>
      <c r="AV114" s="515"/>
      <c r="AW114" s="515"/>
      <c r="AX114" s="515"/>
      <c r="AY114" s="515"/>
      <c r="AZ114" s="515"/>
      <c r="BA114" s="515"/>
      <c r="BB114" s="515"/>
      <c r="BC114" s="515"/>
      <c r="BD114" s="515"/>
      <c r="BE114" s="515"/>
      <c r="BF114" s="515"/>
      <c r="BG114" s="515"/>
      <c r="BH114" s="515"/>
      <c r="BI114" s="515"/>
      <c r="BJ114" s="515"/>
      <c r="BK114" s="515"/>
      <c r="BL114" s="515"/>
      <c r="BM114" s="515"/>
      <c r="BN114" s="515"/>
      <c r="BO114" s="516"/>
      <c r="BP114" s="515"/>
      <c r="BQ114" s="515"/>
      <c r="BR114" s="515"/>
      <c r="BS114" s="515"/>
      <c r="BT114" s="515"/>
      <c r="BU114" s="515"/>
      <c r="BV114" s="515"/>
      <c r="BW114" s="515"/>
      <c r="BX114" s="515"/>
      <c r="BY114" s="515"/>
      <c r="BZ114" s="515"/>
      <c r="CA114" s="515"/>
      <c r="CB114" s="515"/>
      <c r="CC114" s="515"/>
      <c r="CD114" s="515"/>
      <c r="CE114" s="515"/>
      <c r="CF114" s="515"/>
      <c r="CG114" s="515"/>
      <c r="CH114" s="515"/>
      <c r="CI114" s="515"/>
      <c r="CJ114" s="500"/>
      <c r="CK114" s="481"/>
    </row>
    <row r="115" spans="1:89" ht="12.75" customHeight="1" x14ac:dyDescent="0.3">
      <c r="A115" s="70"/>
      <c r="B115" s="602"/>
      <c r="C115" s="602"/>
      <c r="D115" s="513"/>
      <c r="E115" s="513"/>
      <c r="F115" s="513"/>
      <c r="G115" s="513"/>
      <c r="H115" s="513"/>
      <c r="I115" s="513"/>
      <c r="J115" s="513"/>
      <c r="K115" s="513"/>
      <c r="L115" s="513"/>
      <c r="M115" s="513"/>
      <c r="N115" s="513"/>
      <c r="O115" s="513"/>
      <c r="P115" s="513"/>
      <c r="Q115" s="513"/>
      <c r="R115" s="513"/>
      <c r="S115" s="513"/>
      <c r="T115" s="513"/>
      <c r="U115" s="513"/>
      <c r="V115" s="513"/>
      <c r="W115" s="513"/>
      <c r="X115" s="513"/>
      <c r="Y115" s="513"/>
      <c r="Z115" s="513"/>
      <c r="AA115" s="513"/>
      <c r="AB115" s="70"/>
      <c r="AC115" s="50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514"/>
      <c r="AV115" s="515"/>
      <c r="AW115" s="515"/>
      <c r="AX115" s="515"/>
      <c r="AY115" s="515"/>
      <c r="AZ115" s="515"/>
      <c r="BA115" s="515"/>
      <c r="BB115" s="515"/>
      <c r="BC115" s="515"/>
      <c r="BD115" s="515"/>
      <c r="BE115" s="515"/>
      <c r="BF115" s="515"/>
      <c r="BG115" s="515"/>
      <c r="BH115" s="515"/>
      <c r="BI115" s="515"/>
      <c r="BJ115" s="515"/>
      <c r="BK115" s="515"/>
      <c r="BL115" s="515"/>
      <c r="BM115" s="515"/>
      <c r="BN115" s="515"/>
      <c r="BO115" s="516"/>
      <c r="BP115" s="515"/>
      <c r="BQ115" s="515"/>
      <c r="BR115" s="515"/>
      <c r="BS115" s="515" t="s">
        <v>502</v>
      </c>
      <c r="BT115" s="515"/>
      <c r="BU115" s="515"/>
      <c r="BV115" s="70" t="s">
        <v>198</v>
      </c>
      <c r="BW115" s="70"/>
      <c r="BX115" s="70">
        <f ca="1">Q10</f>
        <v>9.9036763434455724E-15</v>
      </c>
      <c r="BY115" s="70" t="s">
        <v>1520</v>
      </c>
      <c r="BZ115" s="515"/>
      <c r="CA115" s="515"/>
      <c r="CB115" s="515"/>
      <c r="CC115" s="515"/>
      <c r="CD115" s="515"/>
      <c r="CE115" s="515"/>
      <c r="CF115" s="515"/>
      <c r="CG115" s="515"/>
      <c r="CH115" s="515"/>
      <c r="CI115" s="515"/>
      <c r="CJ115" s="500"/>
      <c r="CK115" s="481"/>
    </row>
    <row r="116" spans="1:89" ht="12.75" customHeight="1" x14ac:dyDescent="0.3">
      <c r="A116" s="70"/>
      <c r="B116" s="602"/>
      <c r="C116" s="602"/>
      <c r="D116" s="513"/>
      <c r="E116" s="513"/>
      <c r="F116" s="513"/>
      <c r="G116" s="513"/>
      <c r="H116" s="513"/>
      <c r="I116" s="513"/>
      <c r="J116" s="513"/>
      <c r="K116" s="513"/>
      <c r="L116" s="513"/>
      <c r="M116" s="513"/>
      <c r="N116" s="513"/>
      <c r="O116" s="513"/>
      <c r="P116" s="513"/>
      <c r="Q116" s="513"/>
      <c r="R116" s="513"/>
      <c r="S116" s="513"/>
      <c r="T116" s="513"/>
      <c r="U116" s="513"/>
      <c r="V116" s="513"/>
      <c r="W116" s="513"/>
      <c r="X116" s="513"/>
      <c r="Y116" s="513"/>
      <c r="Z116" s="513"/>
      <c r="AA116" s="513"/>
      <c r="AB116" s="70"/>
      <c r="AC116" s="50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514"/>
      <c r="AV116" s="515"/>
      <c r="AW116" s="515"/>
      <c r="AX116" s="515"/>
      <c r="AY116" s="515"/>
      <c r="AZ116" s="515"/>
      <c r="BA116" s="515"/>
      <c r="BB116" s="515"/>
      <c r="BC116" s="515"/>
      <c r="BD116" s="515"/>
      <c r="BE116" s="515"/>
      <c r="BF116" s="515"/>
      <c r="BG116" s="515"/>
      <c r="BH116" s="515"/>
      <c r="BI116" s="515"/>
      <c r="BJ116" s="515"/>
      <c r="BK116" s="515"/>
      <c r="BL116" s="515"/>
      <c r="BM116" s="515"/>
      <c r="BN116" s="515"/>
      <c r="BO116" s="516"/>
      <c r="BP116" s="515"/>
      <c r="BQ116" s="515"/>
      <c r="BR116" s="515"/>
      <c r="BS116" s="515"/>
      <c r="BT116" s="515"/>
      <c r="BU116" s="515"/>
      <c r="BV116" s="70" t="s">
        <v>1659</v>
      </c>
      <c r="BW116" s="70"/>
      <c r="BX116" s="70">
        <f ca="1">Q14</f>
        <v>2.8977017057621283E-13</v>
      </c>
      <c r="BY116" s="70" t="s">
        <v>1516</v>
      </c>
      <c r="BZ116" s="515"/>
      <c r="CA116" s="515"/>
      <c r="CB116" s="515"/>
      <c r="CC116" s="515"/>
      <c r="CD116" s="515"/>
      <c r="CE116" s="515"/>
      <c r="CF116" s="515"/>
      <c r="CG116" s="515"/>
      <c r="CH116" s="515"/>
      <c r="CI116" s="515"/>
      <c r="CJ116" s="500"/>
      <c r="CK116" s="481"/>
    </row>
    <row r="117" spans="1:89" ht="12.75" customHeight="1" x14ac:dyDescent="0.3">
      <c r="A117" s="70"/>
      <c r="B117" s="602"/>
      <c r="C117" s="602"/>
      <c r="D117" s="513"/>
      <c r="E117" s="513"/>
      <c r="F117" s="513"/>
      <c r="G117" s="513"/>
      <c r="H117" s="513"/>
      <c r="I117" s="513"/>
      <c r="J117" s="513"/>
      <c r="K117" s="513"/>
      <c r="L117" s="513"/>
      <c r="M117" s="513"/>
      <c r="N117" s="513"/>
      <c r="O117" s="513"/>
      <c r="P117" s="513"/>
      <c r="Q117" s="513"/>
      <c r="R117" s="513"/>
      <c r="S117" s="513"/>
      <c r="T117" s="513"/>
      <c r="U117" s="513"/>
      <c r="V117" s="513"/>
      <c r="W117" s="513"/>
      <c r="X117" s="513"/>
      <c r="Y117" s="513"/>
      <c r="Z117" s="513"/>
      <c r="AA117" s="513"/>
      <c r="AB117" s="70"/>
      <c r="AC117" s="50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514"/>
      <c r="AV117" s="515"/>
      <c r="AW117" s="515"/>
      <c r="AX117" s="515"/>
      <c r="AY117" s="515"/>
      <c r="AZ117" s="515"/>
      <c r="BA117" s="515"/>
      <c r="BB117" s="515"/>
      <c r="BC117" s="515"/>
      <c r="BD117" s="515"/>
      <c r="BE117" s="515"/>
      <c r="BF117" s="515"/>
      <c r="BG117" s="515"/>
      <c r="BH117" s="515"/>
      <c r="BI117" s="515"/>
      <c r="BJ117" s="515"/>
      <c r="BK117" s="515"/>
      <c r="BL117" s="515"/>
      <c r="BM117" s="515"/>
      <c r="BN117" s="515"/>
      <c r="BO117" s="516"/>
      <c r="BP117" s="515"/>
      <c r="BQ117" s="515"/>
      <c r="BR117" s="515"/>
      <c r="BS117" s="515" t="s">
        <v>1742</v>
      </c>
      <c r="BT117" s="515"/>
      <c r="BU117" s="515"/>
      <c r="BV117" s="70" t="s">
        <v>199</v>
      </c>
      <c r="BW117" s="70"/>
      <c r="BX117" s="70">
        <f ca="1">Q18</f>
        <v>4.8476402199834507E-11</v>
      </c>
      <c r="BY117" s="70" t="s">
        <v>1516</v>
      </c>
      <c r="BZ117" s="515"/>
      <c r="CA117" s="515"/>
      <c r="CB117" s="515"/>
      <c r="CC117" s="515"/>
      <c r="CD117" s="515"/>
      <c r="CE117" s="515"/>
      <c r="CF117" s="515"/>
      <c r="CG117" s="515"/>
      <c r="CH117" s="515"/>
      <c r="CI117" s="515"/>
      <c r="CJ117" s="500"/>
      <c r="CK117" s="481"/>
    </row>
    <row r="118" spans="1:89" ht="12.75" customHeight="1" x14ac:dyDescent="0.3">
      <c r="A118" s="70"/>
      <c r="B118" s="602"/>
      <c r="C118" s="602"/>
      <c r="D118" s="513"/>
      <c r="E118" s="513"/>
      <c r="F118" s="513"/>
      <c r="G118" s="513"/>
      <c r="H118" s="513"/>
      <c r="I118" s="513"/>
      <c r="J118" s="513"/>
      <c r="K118" s="513"/>
      <c r="L118" s="513"/>
      <c r="M118" s="513"/>
      <c r="N118" s="513"/>
      <c r="O118" s="513"/>
      <c r="P118" s="513"/>
      <c r="Q118" s="513"/>
      <c r="R118" s="513"/>
      <c r="S118" s="513"/>
      <c r="T118" s="513"/>
      <c r="U118" s="513"/>
      <c r="V118" s="513"/>
      <c r="W118" s="513"/>
      <c r="X118" s="513"/>
      <c r="Y118" s="513"/>
      <c r="Z118" s="513"/>
      <c r="AA118" s="513"/>
      <c r="AB118" s="70"/>
      <c r="AC118" s="50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514"/>
      <c r="AV118" s="515"/>
      <c r="AW118" s="515"/>
      <c r="AX118" s="515"/>
      <c r="AY118" s="515"/>
      <c r="AZ118" s="515"/>
      <c r="BA118" s="515"/>
      <c r="BB118" s="515"/>
      <c r="BC118" s="515"/>
      <c r="BD118" s="515"/>
      <c r="BE118" s="515"/>
      <c r="BF118" s="515"/>
      <c r="BG118" s="515"/>
      <c r="BH118" s="515"/>
      <c r="BI118" s="515"/>
      <c r="BJ118" s="515"/>
      <c r="BK118" s="515"/>
      <c r="BL118" s="515"/>
      <c r="BM118" s="515"/>
      <c r="BN118" s="515"/>
      <c r="BO118" s="516"/>
      <c r="BP118" s="515"/>
      <c r="BQ118" s="515"/>
      <c r="BR118" s="515"/>
      <c r="BS118" s="515"/>
      <c r="BT118" s="515"/>
      <c r="BU118" s="515"/>
      <c r="BV118" s="70" t="s">
        <v>1503</v>
      </c>
      <c r="BW118" s="70"/>
      <c r="BX118" s="70">
        <f ca="1">Q26</f>
        <v>3.8032317930065392E-11</v>
      </c>
      <c r="BY118" s="70" t="s">
        <v>1516</v>
      </c>
      <c r="BZ118" s="515"/>
      <c r="CA118" s="515"/>
      <c r="CB118" s="515"/>
      <c r="CC118" s="515"/>
      <c r="CD118" s="515"/>
      <c r="CE118" s="515"/>
      <c r="CF118" s="515"/>
      <c r="CG118" s="515"/>
      <c r="CH118" s="515"/>
      <c r="CI118" s="515"/>
      <c r="CJ118" s="500"/>
      <c r="CK118" s="481"/>
    </row>
    <row r="119" spans="1:89" ht="12.75" customHeight="1" x14ac:dyDescent="0.3">
      <c r="A119" s="70"/>
      <c r="B119" s="602"/>
      <c r="C119" s="602"/>
      <c r="D119" s="513"/>
      <c r="E119" s="513"/>
      <c r="F119" s="513"/>
      <c r="G119" s="513"/>
      <c r="H119" s="513"/>
      <c r="I119" s="513"/>
      <c r="J119" s="513"/>
      <c r="K119" s="513"/>
      <c r="L119" s="513"/>
      <c r="M119" s="513"/>
      <c r="N119" s="513"/>
      <c r="O119" s="513"/>
      <c r="P119" s="513"/>
      <c r="Q119" s="513"/>
      <c r="R119" s="513"/>
      <c r="S119" s="513"/>
      <c r="T119" s="513"/>
      <c r="U119" s="513"/>
      <c r="V119" s="513"/>
      <c r="W119" s="513"/>
      <c r="X119" s="513"/>
      <c r="Y119" s="513"/>
      <c r="Z119" s="513"/>
      <c r="AA119" s="513"/>
      <c r="AB119" s="70"/>
      <c r="AC119" s="50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514"/>
      <c r="AV119" s="515"/>
      <c r="AW119" s="515"/>
      <c r="AX119" s="515"/>
      <c r="AY119" s="515"/>
      <c r="AZ119" s="515"/>
      <c r="BA119" s="515"/>
      <c r="BB119" s="515"/>
      <c r="BC119" s="515"/>
      <c r="BD119" s="515"/>
      <c r="BE119" s="515"/>
      <c r="BF119" s="515"/>
      <c r="BG119" s="515"/>
      <c r="BH119" s="515"/>
      <c r="BI119" s="515"/>
      <c r="BJ119" s="515"/>
      <c r="BK119" s="515"/>
      <c r="BL119" s="515"/>
      <c r="BM119" s="515"/>
      <c r="BN119" s="515"/>
      <c r="BO119" s="516"/>
      <c r="BP119" s="515"/>
      <c r="BQ119" s="515"/>
      <c r="BR119" s="515"/>
      <c r="BS119" s="515" t="s">
        <v>1743</v>
      </c>
      <c r="BT119" s="515"/>
      <c r="BU119" s="515"/>
      <c r="BV119" s="70" t="s">
        <v>200</v>
      </c>
      <c r="BW119" s="70"/>
      <c r="BX119" s="70">
        <f ca="1">Q22</f>
        <v>5.4688198834406661E-8</v>
      </c>
      <c r="BY119" s="70" t="s">
        <v>1522</v>
      </c>
      <c r="BZ119" s="515"/>
      <c r="CA119" s="515"/>
      <c r="CB119" s="515"/>
      <c r="CC119" s="515"/>
      <c r="CD119" s="515"/>
      <c r="CE119" s="515"/>
      <c r="CF119" s="515"/>
      <c r="CG119" s="515"/>
      <c r="CH119" s="515"/>
      <c r="CI119" s="515"/>
      <c r="CJ119" s="500"/>
      <c r="CK119" s="481"/>
    </row>
    <row r="120" spans="1:89" ht="12.75" customHeight="1" x14ac:dyDescent="0.3">
      <c r="A120" s="70"/>
      <c r="B120" s="602"/>
      <c r="C120" s="602"/>
      <c r="D120" s="513"/>
      <c r="E120" s="513"/>
      <c r="F120" s="513"/>
      <c r="G120" s="513"/>
      <c r="H120" s="513"/>
      <c r="I120" s="513"/>
      <c r="J120" s="513"/>
      <c r="K120" s="513"/>
      <c r="L120" s="513"/>
      <c r="M120" s="513"/>
      <c r="N120" s="513"/>
      <c r="O120" s="513"/>
      <c r="P120" s="513"/>
      <c r="Q120" s="513"/>
      <c r="R120" s="513"/>
      <c r="S120" s="513"/>
      <c r="T120" s="513"/>
      <c r="U120" s="513"/>
      <c r="V120" s="513"/>
      <c r="W120" s="513"/>
      <c r="X120" s="513"/>
      <c r="Y120" s="513"/>
      <c r="Z120" s="513"/>
      <c r="AA120" s="513"/>
      <c r="AB120" s="70"/>
      <c r="AC120" s="50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514"/>
      <c r="AV120" s="515"/>
      <c r="AW120" s="515"/>
      <c r="AX120" s="515"/>
      <c r="AY120" s="515"/>
      <c r="AZ120" s="515"/>
      <c r="BA120" s="515"/>
      <c r="BB120" s="515"/>
      <c r="BC120" s="515"/>
      <c r="BD120" s="515"/>
      <c r="BE120" s="515"/>
      <c r="BF120" s="515"/>
      <c r="BG120" s="515"/>
      <c r="BH120" s="515"/>
      <c r="BI120" s="515"/>
      <c r="BJ120" s="515"/>
      <c r="BK120" s="515"/>
      <c r="BL120" s="515"/>
      <c r="BM120" s="515"/>
      <c r="BN120" s="515"/>
      <c r="BO120" s="516"/>
      <c r="BP120" s="515"/>
      <c r="BQ120" s="515"/>
      <c r="BR120" s="515"/>
      <c r="BS120" s="515"/>
      <c r="BT120" s="515"/>
      <c r="BU120" s="515"/>
      <c r="BV120" s="70" t="s">
        <v>1502</v>
      </c>
      <c r="BW120" s="70"/>
      <c r="BX120" s="70">
        <f ca="1">Q34</f>
        <v>2.450030695835083E-8</v>
      </c>
      <c r="BY120" s="70" t="s">
        <v>1522</v>
      </c>
      <c r="BZ120" s="515"/>
      <c r="CA120" s="515"/>
      <c r="CB120" s="515"/>
      <c r="CC120" s="515"/>
      <c r="CD120" s="515"/>
      <c r="CE120" s="515"/>
      <c r="CF120" s="515"/>
      <c r="CG120" s="515"/>
      <c r="CH120" s="515"/>
      <c r="CI120" s="515"/>
      <c r="CJ120" s="500"/>
      <c r="CK120" s="481"/>
    </row>
    <row r="121" spans="1:89" ht="12.75" customHeight="1" x14ac:dyDescent="0.3">
      <c r="A121" s="70"/>
      <c r="B121" s="602"/>
      <c r="C121" s="602"/>
      <c r="D121" s="513"/>
      <c r="E121" s="513"/>
      <c r="F121" s="513"/>
      <c r="G121" s="513"/>
      <c r="H121" s="513"/>
      <c r="I121" s="513"/>
      <c r="J121" s="513"/>
      <c r="K121" s="513"/>
      <c r="L121" s="513"/>
      <c r="M121" s="513"/>
      <c r="N121" s="513"/>
      <c r="O121" s="513"/>
      <c r="P121" s="513"/>
      <c r="Q121" s="513"/>
      <c r="R121" s="513"/>
      <c r="S121" s="513"/>
      <c r="T121" s="513"/>
      <c r="U121" s="513"/>
      <c r="V121" s="513"/>
      <c r="W121" s="513"/>
      <c r="X121" s="513"/>
      <c r="Y121" s="513"/>
      <c r="Z121" s="513"/>
      <c r="AA121" s="513"/>
      <c r="AB121" s="70"/>
      <c r="AC121" s="50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514"/>
      <c r="AV121" s="515"/>
      <c r="AW121" s="515"/>
      <c r="AX121" s="515"/>
      <c r="AY121" s="515"/>
      <c r="AZ121" s="515"/>
      <c r="BA121" s="515"/>
      <c r="BB121" s="515"/>
      <c r="BC121" s="515"/>
      <c r="BD121" s="515"/>
      <c r="BE121" s="515"/>
      <c r="BF121" s="515"/>
      <c r="BG121" s="515"/>
      <c r="BH121" s="515"/>
      <c r="BI121" s="515"/>
      <c r="BJ121" s="515"/>
      <c r="BK121" s="515"/>
      <c r="BL121" s="515"/>
      <c r="BM121" s="515"/>
      <c r="BN121" s="515"/>
      <c r="BO121" s="516"/>
      <c r="BP121" s="515"/>
      <c r="BQ121" s="515"/>
      <c r="BR121" s="515"/>
      <c r="BS121" s="70" t="s">
        <v>1756</v>
      </c>
      <c r="BT121" s="515"/>
      <c r="BU121" s="515"/>
      <c r="BV121" s="70" t="s">
        <v>500</v>
      </c>
      <c r="BW121" s="70"/>
      <c r="BX121" s="70">
        <f ca="1">Q38</f>
        <v>9.0633747322122141E-8</v>
      </c>
      <c r="BY121" s="70" t="s">
        <v>1522</v>
      </c>
      <c r="BZ121" s="515"/>
      <c r="CA121" s="515"/>
      <c r="CB121" s="515"/>
      <c r="CC121" s="515"/>
      <c r="CD121" s="515"/>
      <c r="CE121" s="515"/>
      <c r="CF121" s="515"/>
      <c r="CG121" s="515"/>
      <c r="CH121" s="515"/>
      <c r="CI121" s="515"/>
      <c r="CJ121" s="500"/>
      <c r="CK121" s="481"/>
    </row>
    <row r="122" spans="1:89" ht="12.75" customHeight="1" x14ac:dyDescent="0.3">
      <c r="A122" s="70"/>
      <c r="B122" s="602"/>
      <c r="C122" s="602"/>
      <c r="D122" s="513"/>
      <c r="E122" s="513"/>
      <c r="F122" s="513"/>
      <c r="G122" s="513"/>
      <c r="H122" s="513"/>
      <c r="I122" s="513"/>
      <c r="J122" s="513"/>
      <c r="K122" s="513"/>
      <c r="L122" s="513"/>
      <c r="M122" s="513"/>
      <c r="N122" s="513"/>
      <c r="O122" s="513"/>
      <c r="P122" s="513"/>
      <c r="Q122" s="513"/>
      <c r="R122" s="513"/>
      <c r="S122" s="513"/>
      <c r="T122" s="513"/>
      <c r="U122" s="513"/>
      <c r="V122" s="513"/>
      <c r="W122" s="513"/>
      <c r="X122" s="513"/>
      <c r="Y122" s="513"/>
      <c r="Z122" s="513"/>
      <c r="AA122" s="513"/>
      <c r="AB122" s="70"/>
      <c r="AC122" s="50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514"/>
      <c r="AV122" s="515"/>
      <c r="AW122" s="515"/>
      <c r="AX122" s="515"/>
      <c r="AY122" s="515"/>
      <c r="AZ122" s="515"/>
      <c r="BA122" s="515"/>
      <c r="BB122" s="515"/>
      <c r="BC122" s="515"/>
      <c r="BD122" s="515"/>
      <c r="BE122" s="515"/>
      <c r="BF122" s="515"/>
      <c r="BG122" s="515"/>
      <c r="BH122" s="515"/>
      <c r="BI122" s="515"/>
      <c r="BJ122" s="515"/>
      <c r="BK122" s="515"/>
      <c r="BL122" s="515"/>
      <c r="BM122" s="515"/>
      <c r="BN122" s="515"/>
      <c r="BO122" s="516"/>
      <c r="BP122" s="515"/>
      <c r="BQ122" s="515"/>
      <c r="BR122" s="515"/>
      <c r="BS122" s="515"/>
      <c r="BT122" s="515"/>
      <c r="BU122" s="515"/>
      <c r="BV122" s="70" t="s">
        <v>1445</v>
      </c>
      <c r="BW122" s="70"/>
      <c r="BX122" s="70">
        <f ca="1">Q42</f>
        <v>3.2968973805023558E-8</v>
      </c>
      <c r="BY122" s="70" t="s">
        <v>1522</v>
      </c>
      <c r="BZ122" s="515"/>
      <c r="CA122" s="515"/>
      <c r="CB122" s="515"/>
      <c r="CC122" s="515"/>
      <c r="CD122" s="515"/>
      <c r="CE122" s="515"/>
      <c r="CF122" s="515"/>
      <c r="CG122" s="515"/>
      <c r="CH122" s="515"/>
      <c r="CI122" s="515"/>
      <c r="CJ122" s="500"/>
      <c r="CK122" s="481"/>
    </row>
    <row r="123" spans="1:89" ht="12.75" customHeight="1" x14ac:dyDescent="0.3">
      <c r="A123" s="70"/>
      <c r="B123" s="602"/>
      <c r="C123" s="602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R123" s="513"/>
      <c r="S123" s="513"/>
      <c r="T123" s="513"/>
      <c r="U123" s="513"/>
      <c r="V123" s="513"/>
      <c r="W123" s="513"/>
      <c r="X123" s="513"/>
      <c r="Y123" s="513"/>
      <c r="Z123" s="513"/>
      <c r="AA123" s="513"/>
      <c r="AB123" s="70"/>
      <c r="AC123" s="50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514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6"/>
      <c r="BP123" s="515"/>
      <c r="BQ123" s="515"/>
      <c r="BR123" s="631">
        <v>0.12130000000000001</v>
      </c>
      <c r="BS123" s="515" t="s">
        <v>1741</v>
      </c>
      <c r="BT123" s="515"/>
      <c r="BU123" s="515"/>
      <c r="BV123" s="70" t="s">
        <v>501</v>
      </c>
      <c r="BW123" s="70"/>
      <c r="BX123" s="70">
        <f ca="1">Q46</f>
        <v>2.2357960913805023E-7</v>
      </c>
      <c r="BY123" s="70" t="s">
        <v>1522</v>
      </c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  <c r="CJ123" s="500"/>
      <c r="CK123" s="481"/>
    </row>
    <row r="124" spans="1:89" ht="12.75" customHeight="1" x14ac:dyDescent="0.3">
      <c r="A124" s="70"/>
      <c r="B124" s="602"/>
      <c r="C124" s="602"/>
      <c r="D124" s="513"/>
      <c r="E124" s="513"/>
      <c r="F124" s="513"/>
      <c r="G124" s="513"/>
      <c r="H124" s="513"/>
      <c r="I124" s="513"/>
      <c r="J124" s="513"/>
      <c r="K124" s="513"/>
      <c r="L124" s="513"/>
      <c r="M124" s="513"/>
      <c r="N124" s="513"/>
      <c r="O124" s="513"/>
      <c r="P124" s="513"/>
      <c r="Q124" s="513"/>
      <c r="R124" s="513"/>
      <c r="S124" s="513"/>
      <c r="T124" s="513"/>
      <c r="U124" s="513"/>
      <c r="V124" s="513"/>
      <c r="W124" s="513"/>
      <c r="X124" s="513"/>
      <c r="Y124" s="513"/>
      <c r="Z124" s="513"/>
      <c r="AA124" s="513"/>
      <c r="AB124" s="70"/>
      <c r="AC124" s="50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514"/>
      <c r="AV124" s="515"/>
      <c r="AW124" s="515"/>
      <c r="AX124" s="515"/>
      <c r="AY124" s="515"/>
      <c r="AZ124" s="515"/>
      <c r="BA124" s="515"/>
      <c r="BB124" s="515"/>
      <c r="BC124" s="515"/>
      <c r="BD124" s="515"/>
      <c r="BE124" s="515"/>
      <c r="BF124" s="515"/>
      <c r="BG124" s="515"/>
      <c r="BH124" s="515"/>
      <c r="BI124" s="515"/>
      <c r="BJ124" s="515"/>
      <c r="BK124" s="515"/>
      <c r="BL124" s="515"/>
      <c r="BM124" s="515"/>
      <c r="BN124" s="515"/>
      <c r="BO124" s="516"/>
      <c r="BP124" s="515"/>
      <c r="BQ124" s="515"/>
      <c r="BR124" s="515"/>
      <c r="BS124" s="515"/>
      <c r="BT124" s="515"/>
      <c r="BU124" s="515"/>
      <c r="BV124" s="517"/>
      <c r="BW124" s="515"/>
      <c r="BX124" s="515"/>
      <c r="BY124" s="517"/>
      <c r="BZ124" s="515"/>
      <c r="CA124" s="515"/>
      <c r="CB124" s="515"/>
      <c r="CC124" s="515"/>
      <c r="CD124" s="515"/>
      <c r="CE124" s="515"/>
      <c r="CF124" s="515"/>
      <c r="CG124" s="515"/>
      <c r="CH124" s="515"/>
      <c r="CI124" s="515"/>
      <c r="CJ124" s="500"/>
      <c r="CK124" s="481"/>
    </row>
    <row r="125" spans="1:89" ht="12.75" customHeight="1" x14ac:dyDescent="0.3">
      <c r="A125" s="70"/>
      <c r="B125" s="602"/>
      <c r="C125" s="602"/>
      <c r="D125" s="513"/>
      <c r="E125" s="513"/>
      <c r="F125" s="513"/>
      <c r="G125" s="513"/>
      <c r="H125" s="513"/>
      <c r="I125" s="513"/>
      <c r="J125" s="513"/>
      <c r="K125" s="513"/>
      <c r="L125" s="513"/>
      <c r="M125" s="513"/>
      <c r="N125" s="513"/>
      <c r="O125" s="513"/>
      <c r="P125" s="513"/>
      <c r="Q125" s="513"/>
      <c r="R125" s="513"/>
      <c r="S125" s="513"/>
      <c r="T125" s="513"/>
      <c r="U125" s="513"/>
      <c r="V125" s="513"/>
      <c r="W125" s="513"/>
      <c r="X125" s="513"/>
      <c r="Y125" s="513"/>
      <c r="Z125" s="513"/>
      <c r="AA125" s="513"/>
      <c r="AB125" s="70"/>
      <c r="AC125" s="50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514"/>
      <c r="AV125" s="515"/>
      <c r="AW125" s="515"/>
      <c r="AX125" s="515"/>
      <c r="AY125" s="515"/>
      <c r="AZ125" s="515"/>
      <c r="BA125" s="515"/>
      <c r="BB125" s="515"/>
      <c r="BC125" s="515"/>
      <c r="BD125" s="515"/>
      <c r="BE125" s="515"/>
      <c r="BF125" s="515"/>
      <c r="BG125" s="515"/>
      <c r="BH125" s="515"/>
      <c r="BI125" s="515"/>
      <c r="BJ125" s="515"/>
      <c r="BK125" s="515"/>
      <c r="BL125" s="515"/>
      <c r="BM125" s="515"/>
      <c r="BN125" s="515"/>
      <c r="BO125" s="516"/>
      <c r="BP125" s="515"/>
      <c r="BQ125" s="515"/>
      <c r="BR125" s="515"/>
      <c r="BS125" s="515"/>
      <c r="BT125" s="515"/>
      <c r="BU125" s="515"/>
      <c r="BV125" s="517"/>
      <c r="BW125" s="515"/>
      <c r="BX125" s="515"/>
      <c r="BY125" s="517"/>
      <c r="BZ125" s="515"/>
      <c r="CA125" s="515"/>
      <c r="CB125" s="515"/>
      <c r="CC125" s="515"/>
      <c r="CD125" s="515"/>
      <c r="CE125" s="515"/>
      <c r="CF125" s="515"/>
      <c r="CG125" s="515"/>
      <c r="CH125" s="515"/>
      <c r="CI125" s="515"/>
      <c r="CJ125" s="500"/>
      <c r="CK125" s="481"/>
    </row>
    <row r="126" spans="1:89" ht="12.75" customHeight="1" x14ac:dyDescent="0.3">
      <c r="A126" s="70"/>
      <c r="B126" s="602"/>
      <c r="C126" s="602"/>
      <c r="D126" s="513"/>
      <c r="E126" s="513"/>
      <c r="F126" s="513"/>
      <c r="G126" s="513"/>
      <c r="H126" s="513"/>
      <c r="I126" s="513"/>
      <c r="J126" s="513"/>
      <c r="K126" s="513"/>
      <c r="L126" s="513"/>
      <c r="M126" s="513"/>
      <c r="N126" s="513"/>
      <c r="O126" s="513"/>
      <c r="P126" s="513"/>
      <c r="Q126" s="513"/>
      <c r="R126" s="513"/>
      <c r="S126" s="513"/>
      <c r="T126" s="513"/>
      <c r="U126" s="513"/>
      <c r="V126" s="513"/>
      <c r="W126" s="513"/>
      <c r="X126" s="513"/>
      <c r="Y126" s="513"/>
      <c r="Z126" s="513"/>
      <c r="AA126" s="513"/>
      <c r="AB126" s="70"/>
      <c r="AC126" s="50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514"/>
      <c r="AV126" s="515"/>
      <c r="AW126" s="515"/>
      <c r="AX126" s="515"/>
      <c r="AY126" s="515"/>
      <c r="AZ126" s="515"/>
      <c r="BA126" s="515"/>
      <c r="BB126" s="515"/>
      <c r="BC126" s="515"/>
      <c r="BD126" s="515"/>
      <c r="BE126" s="515"/>
      <c r="BF126" s="515"/>
      <c r="BG126" s="515"/>
      <c r="BH126" s="515"/>
      <c r="BI126" s="515"/>
      <c r="BJ126" s="515"/>
      <c r="BK126" s="515"/>
      <c r="BL126" s="515"/>
      <c r="BM126" s="515"/>
      <c r="BN126" s="515"/>
      <c r="BO126" s="516"/>
      <c r="BP126" s="515"/>
      <c r="BQ126" s="515"/>
      <c r="BR126" s="515"/>
      <c r="BS126" s="515"/>
      <c r="BT126" s="515"/>
      <c r="BU126" s="515"/>
      <c r="BV126" s="596"/>
      <c r="BW126" s="515"/>
      <c r="BX126" s="515"/>
      <c r="BY126" s="515"/>
      <c r="BZ126" s="515"/>
      <c r="CA126" s="515"/>
      <c r="CB126" s="515"/>
      <c r="CC126" s="515"/>
      <c r="CD126" s="515"/>
      <c r="CE126" s="515"/>
      <c r="CF126" s="515"/>
      <c r="CG126" s="515"/>
      <c r="CH126" s="515"/>
      <c r="CI126" s="515"/>
      <c r="CJ126" s="500"/>
      <c r="CK126" s="481"/>
    </row>
    <row r="127" spans="1:89" ht="12.75" customHeight="1" x14ac:dyDescent="0.3">
      <c r="A127" s="70"/>
      <c r="B127" s="602"/>
      <c r="C127" s="602"/>
      <c r="D127" s="513"/>
      <c r="E127" s="513"/>
      <c r="F127" s="513"/>
      <c r="G127" s="513"/>
      <c r="H127" s="513"/>
      <c r="I127" s="513"/>
      <c r="J127" s="513"/>
      <c r="K127" s="513"/>
      <c r="L127" s="513"/>
      <c r="M127" s="513"/>
      <c r="N127" s="513"/>
      <c r="O127" s="513"/>
      <c r="P127" s="513"/>
      <c r="Q127" s="513"/>
      <c r="R127" s="513"/>
      <c r="S127" s="513"/>
      <c r="T127" s="513"/>
      <c r="U127" s="513"/>
      <c r="V127" s="513"/>
      <c r="W127" s="513"/>
      <c r="X127" s="513"/>
      <c r="Y127" s="513"/>
      <c r="Z127" s="513"/>
      <c r="AA127" s="513"/>
      <c r="AB127" s="70"/>
      <c r="AC127" s="50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514"/>
      <c r="AV127" s="515"/>
      <c r="AW127" s="515"/>
      <c r="AX127" s="515"/>
      <c r="AY127" s="515"/>
      <c r="AZ127" s="515"/>
      <c r="BA127" s="515"/>
      <c r="BB127" s="515"/>
      <c r="BC127" s="515"/>
      <c r="BD127" s="515"/>
      <c r="BE127" s="515"/>
      <c r="BF127" s="515"/>
      <c r="BG127" s="515"/>
      <c r="BH127" s="515"/>
      <c r="BI127" s="515"/>
      <c r="BJ127" s="515"/>
      <c r="BK127" s="515"/>
      <c r="BL127" s="515"/>
      <c r="BM127" s="515"/>
      <c r="BN127" s="515"/>
      <c r="BO127" s="516"/>
      <c r="BP127" s="515"/>
      <c r="BQ127" s="515"/>
      <c r="BR127" s="515"/>
      <c r="BS127" s="515"/>
      <c r="BT127" s="515"/>
      <c r="BU127" s="515"/>
      <c r="BV127" s="596"/>
      <c r="BW127" s="515"/>
      <c r="BX127" s="515"/>
      <c r="BY127" s="515"/>
      <c r="BZ127" s="515"/>
      <c r="CA127" s="515"/>
      <c r="CB127" s="515"/>
      <c r="CC127" s="515"/>
      <c r="CD127" s="515"/>
      <c r="CE127" s="515"/>
      <c r="CF127" s="515"/>
      <c r="CG127" s="515"/>
      <c r="CH127" s="515"/>
      <c r="CI127" s="515"/>
      <c r="CJ127" s="500"/>
      <c r="CK127" s="481"/>
    </row>
    <row r="128" spans="1:89" ht="12.75" customHeight="1" x14ac:dyDescent="0.3">
      <c r="A128" s="70"/>
      <c r="B128" s="602"/>
      <c r="C128" s="602"/>
      <c r="D128" s="513"/>
      <c r="E128" s="513"/>
      <c r="F128" s="513"/>
      <c r="G128" s="513"/>
      <c r="H128" s="513"/>
      <c r="I128" s="513"/>
      <c r="J128" s="513"/>
      <c r="K128" s="513"/>
      <c r="L128" s="513"/>
      <c r="M128" s="513"/>
      <c r="N128" s="513"/>
      <c r="O128" s="513"/>
      <c r="P128" s="513"/>
      <c r="Q128" s="513"/>
      <c r="R128" s="513"/>
      <c r="S128" s="513"/>
      <c r="T128" s="513"/>
      <c r="U128" s="513"/>
      <c r="V128" s="513"/>
      <c r="W128" s="513"/>
      <c r="X128" s="513"/>
      <c r="Y128" s="513"/>
      <c r="Z128" s="513"/>
      <c r="AA128" s="513"/>
      <c r="AB128" s="70"/>
      <c r="AC128" s="50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514"/>
      <c r="AV128" s="515"/>
      <c r="AW128" s="515"/>
      <c r="AX128" s="515"/>
      <c r="AY128" s="515"/>
      <c r="AZ128" s="515"/>
      <c r="BA128" s="515"/>
      <c r="BB128" s="515"/>
      <c r="BC128" s="515"/>
      <c r="BD128" s="515"/>
      <c r="BE128" s="515"/>
      <c r="BF128" s="515"/>
      <c r="BG128" s="515"/>
      <c r="BH128" s="515"/>
      <c r="BI128" s="515"/>
      <c r="BJ128" s="515"/>
      <c r="BK128" s="515"/>
      <c r="BL128" s="515"/>
      <c r="BM128" s="515"/>
      <c r="BN128" s="515"/>
      <c r="BO128" s="516"/>
      <c r="BP128" s="515"/>
      <c r="BQ128" s="515"/>
      <c r="BR128" s="515"/>
      <c r="BS128" s="515"/>
      <c r="BT128" s="515"/>
      <c r="BU128" s="515"/>
      <c r="BV128" s="596"/>
      <c r="BW128" s="515"/>
      <c r="BX128" s="515"/>
      <c r="BY128" s="515"/>
      <c r="BZ128" s="515"/>
      <c r="CA128" s="515"/>
      <c r="CB128" s="515"/>
      <c r="CC128" s="515"/>
      <c r="CD128" s="515"/>
      <c r="CE128" s="515"/>
      <c r="CF128" s="515"/>
      <c r="CG128" s="515"/>
      <c r="CH128" s="515"/>
      <c r="CI128" s="515"/>
      <c r="CJ128" s="500"/>
      <c r="CK128" s="481"/>
    </row>
    <row r="129" spans="1:89" ht="12.75" customHeight="1" x14ac:dyDescent="0.3">
      <c r="A129" s="70"/>
      <c r="B129" s="602"/>
      <c r="C129" s="602"/>
      <c r="D129" s="513"/>
      <c r="E129" s="513"/>
      <c r="F129" s="513"/>
      <c r="G129" s="513"/>
      <c r="H129" s="513"/>
      <c r="I129" s="513"/>
      <c r="J129" s="513"/>
      <c r="K129" s="513"/>
      <c r="L129" s="513"/>
      <c r="M129" s="513"/>
      <c r="N129" s="513"/>
      <c r="O129" s="513"/>
      <c r="P129" s="513"/>
      <c r="Q129" s="513"/>
      <c r="R129" s="513"/>
      <c r="S129" s="513"/>
      <c r="T129" s="513"/>
      <c r="U129" s="513"/>
      <c r="V129" s="513"/>
      <c r="W129" s="513"/>
      <c r="X129" s="513"/>
      <c r="Y129" s="513"/>
      <c r="Z129" s="513"/>
      <c r="AA129" s="513"/>
      <c r="AB129" s="70"/>
      <c r="AC129" s="50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514"/>
      <c r="AV129" s="515"/>
      <c r="AW129" s="515"/>
      <c r="AX129" s="515"/>
      <c r="AY129" s="515"/>
      <c r="AZ129" s="515"/>
      <c r="BA129" s="515"/>
      <c r="BB129" s="515"/>
      <c r="BC129" s="515"/>
      <c r="BD129" s="515"/>
      <c r="BE129" s="515"/>
      <c r="BF129" s="515"/>
      <c r="BG129" s="515"/>
      <c r="BH129" s="515"/>
      <c r="BI129" s="515"/>
      <c r="BJ129" s="515"/>
      <c r="BK129" s="515"/>
      <c r="BL129" s="515"/>
      <c r="BM129" s="515"/>
      <c r="BN129" s="515"/>
      <c r="BO129" s="516"/>
      <c r="BP129" s="515"/>
      <c r="BQ129" s="515"/>
      <c r="BR129" s="515"/>
      <c r="BS129" s="515"/>
      <c r="BT129" s="515"/>
      <c r="BU129" s="515"/>
      <c r="BV129" s="515"/>
      <c r="BW129" s="515"/>
      <c r="BX129" s="515"/>
      <c r="BY129" s="515"/>
      <c r="BZ129" s="515"/>
      <c r="CA129" s="515"/>
      <c r="CB129" s="515"/>
      <c r="CC129" s="515"/>
      <c r="CD129" s="515"/>
      <c r="CE129" s="515"/>
      <c r="CF129" s="515"/>
      <c r="CG129" s="515"/>
      <c r="CH129" s="515"/>
      <c r="CI129" s="515"/>
      <c r="CJ129" s="500"/>
      <c r="CK129" s="481"/>
    </row>
    <row r="130" spans="1:89" ht="12.75" customHeight="1" x14ac:dyDescent="0.35">
      <c r="A130" s="70"/>
      <c r="B130" s="602"/>
      <c r="C130" s="602"/>
      <c r="D130" s="513"/>
      <c r="E130" s="513"/>
      <c r="F130" s="513"/>
      <c r="G130" s="513"/>
      <c r="H130" s="513"/>
      <c r="I130" s="513"/>
      <c r="J130" s="513"/>
      <c r="K130" s="513"/>
      <c r="L130" s="513"/>
      <c r="M130" s="513"/>
      <c r="N130" s="513"/>
      <c r="O130" s="513"/>
      <c r="P130" s="513"/>
      <c r="Q130" s="513"/>
      <c r="R130" s="513"/>
      <c r="S130" s="513"/>
      <c r="T130" s="513"/>
      <c r="U130" s="513"/>
      <c r="V130" s="513"/>
      <c r="W130" s="513"/>
      <c r="X130" s="513"/>
      <c r="Y130" s="513"/>
      <c r="Z130" s="513"/>
      <c r="AA130" s="513"/>
      <c r="AB130" s="70"/>
      <c r="AC130" s="50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514"/>
      <c r="AV130" s="515"/>
      <c r="AW130" s="515"/>
      <c r="AX130" s="515"/>
      <c r="AY130" s="515"/>
      <c r="AZ130" s="515"/>
      <c r="BA130" s="515"/>
      <c r="BB130" s="515"/>
      <c r="BC130" s="515"/>
      <c r="BD130" s="515"/>
      <c r="BE130" s="515"/>
      <c r="BF130" s="515"/>
      <c r="BG130" s="515"/>
      <c r="BH130" s="515"/>
      <c r="BI130" s="515"/>
      <c r="BJ130" s="515"/>
      <c r="BK130" s="515"/>
      <c r="BL130" s="515"/>
      <c r="BM130" s="515"/>
      <c r="BN130" s="515"/>
      <c r="BO130" s="516"/>
      <c r="BP130" s="515"/>
      <c r="BQ130" s="512" t="s">
        <v>1757</v>
      </c>
      <c r="BR130" s="517"/>
      <c r="BS130" s="517"/>
      <c r="BT130" s="515"/>
      <c r="BU130" s="515"/>
      <c r="BV130" s="517" t="s">
        <v>1245</v>
      </c>
      <c r="BW130" s="513" t="str">
        <f>CONCATENATE(version!$B$2,", ",version!$B$3)</f>
        <v>SimpleBoxTreat, vs 4DIRECT</v>
      </c>
      <c r="BX130" s="515"/>
      <c r="BY130" s="515"/>
      <c r="BZ130" s="515"/>
      <c r="CA130" s="515"/>
      <c r="CB130" s="515"/>
      <c r="CC130" s="515"/>
      <c r="CD130" s="515"/>
      <c r="CE130" s="515"/>
      <c r="CF130" s="515"/>
      <c r="CG130" s="515"/>
      <c r="CH130" s="515"/>
      <c r="CI130" s="515"/>
      <c r="CJ130" s="500"/>
      <c r="CK130" s="481"/>
    </row>
    <row r="131" spans="1:89" ht="12.75" customHeight="1" x14ac:dyDescent="0.3">
      <c r="A131" s="70"/>
      <c r="B131" s="602"/>
      <c r="C131" s="602"/>
      <c r="D131" s="513"/>
      <c r="E131" s="513"/>
      <c r="F131" s="513"/>
      <c r="G131" s="513"/>
      <c r="H131" s="513"/>
      <c r="I131" s="513"/>
      <c r="J131" s="513"/>
      <c r="K131" s="513"/>
      <c r="L131" s="513"/>
      <c r="M131" s="513"/>
      <c r="N131" s="513"/>
      <c r="O131" s="513"/>
      <c r="P131" s="513"/>
      <c r="Q131" s="513"/>
      <c r="R131" s="513"/>
      <c r="S131" s="513"/>
      <c r="T131" s="513"/>
      <c r="U131" s="513"/>
      <c r="V131" s="513"/>
      <c r="W131" s="513"/>
      <c r="X131" s="513"/>
      <c r="Y131" s="513"/>
      <c r="Z131" s="513"/>
      <c r="AA131" s="513"/>
      <c r="AB131" s="70"/>
      <c r="AC131" s="50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514"/>
      <c r="AV131" s="515"/>
      <c r="AW131" s="515"/>
      <c r="AX131" s="515"/>
      <c r="AY131" s="515"/>
      <c r="AZ131" s="515"/>
      <c r="BA131" s="515"/>
      <c r="BB131" s="515"/>
      <c r="BC131" s="515"/>
      <c r="BD131" s="515"/>
      <c r="BE131" s="515"/>
      <c r="BF131" s="515"/>
      <c r="BG131" s="515"/>
      <c r="BH131" s="515"/>
      <c r="BI131" s="515"/>
      <c r="BJ131" s="515"/>
      <c r="BK131" s="515"/>
      <c r="BL131" s="515"/>
      <c r="BM131" s="515"/>
      <c r="BN131" s="515"/>
      <c r="BO131" s="516"/>
      <c r="BP131" s="515"/>
      <c r="BQ131" s="518" t="s">
        <v>1754</v>
      </c>
      <c r="BR131" s="517"/>
      <c r="BS131" s="515"/>
      <c r="BT131" s="515"/>
      <c r="BU131" s="515"/>
      <c r="BV131" s="517" t="s">
        <v>1355</v>
      </c>
      <c r="BW131" s="515" t="str">
        <f>ChemName</f>
        <v>As(III)</v>
      </c>
      <c r="BX131" s="515"/>
      <c r="BY131" s="517" t="s">
        <v>804</v>
      </c>
      <c r="BZ131" s="513" t="str">
        <f>ScenarioName</f>
        <v>default scenario</v>
      </c>
      <c r="CA131" s="515"/>
      <c r="CB131" s="517" t="s">
        <v>1207</v>
      </c>
      <c r="CC131" s="513" t="str">
        <f>CaseName</f>
        <v>defaults only</v>
      </c>
      <c r="CD131" s="515"/>
      <c r="CE131" s="515"/>
      <c r="CF131" s="515"/>
      <c r="CG131" s="515"/>
      <c r="CH131" s="515"/>
      <c r="CI131" s="515"/>
      <c r="CJ131" s="500"/>
      <c r="CK131" s="481"/>
    </row>
    <row r="132" spans="1:89" ht="12.75" customHeight="1" x14ac:dyDescent="0.35">
      <c r="A132" s="70"/>
      <c r="B132" s="602"/>
      <c r="C132" s="602"/>
      <c r="D132" s="513"/>
      <c r="E132" s="513"/>
      <c r="F132" s="513"/>
      <c r="G132" s="513"/>
      <c r="H132" s="513"/>
      <c r="I132" s="513"/>
      <c r="J132" s="513"/>
      <c r="K132" s="513"/>
      <c r="L132" s="513"/>
      <c r="M132" s="513"/>
      <c r="N132" s="513"/>
      <c r="O132" s="513"/>
      <c r="P132" s="513"/>
      <c r="Q132" s="513"/>
      <c r="R132" s="513"/>
      <c r="S132" s="513"/>
      <c r="T132" s="513"/>
      <c r="U132" s="513"/>
      <c r="V132" s="513"/>
      <c r="W132" s="513"/>
      <c r="X132" s="513"/>
      <c r="Y132" s="513"/>
      <c r="Z132" s="513"/>
      <c r="AA132" s="513"/>
      <c r="AB132" s="70"/>
      <c r="AC132" s="50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514"/>
      <c r="AV132" s="515"/>
      <c r="AW132" s="515"/>
      <c r="AX132" s="515"/>
      <c r="AY132" s="515"/>
      <c r="AZ132" s="515"/>
      <c r="BA132" s="515"/>
      <c r="BB132" s="515"/>
      <c r="BC132" s="515"/>
      <c r="BD132" s="515"/>
      <c r="BE132" s="515"/>
      <c r="BF132" s="515"/>
      <c r="BG132" s="515"/>
      <c r="BH132" s="515"/>
      <c r="BI132" s="515"/>
      <c r="BJ132" s="515"/>
      <c r="BK132" s="515"/>
      <c r="BL132" s="515"/>
      <c r="BM132" s="515"/>
      <c r="BN132" s="515"/>
      <c r="BO132" s="516"/>
      <c r="BP132" s="515"/>
      <c r="BQ132" s="512"/>
      <c r="BR132" s="517"/>
      <c r="BS132" s="517"/>
      <c r="BT132" s="515"/>
      <c r="BU132" s="515"/>
      <c r="BV132" s="515"/>
      <c r="BW132" s="515"/>
      <c r="BX132" s="515"/>
      <c r="BY132" s="515"/>
      <c r="BZ132" s="517"/>
      <c r="CA132" s="515"/>
      <c r="CB132" s="515"/>
      <c r="CC132" s="515"/>
      <c r="CD132" s="515"/>
      <c r="CE132" s="515"/>
      <c r="CF132" s="515"/>
      <c r="CG132" s="515"/>
      <c r="CH132" s="515"/>
      <c r="CI132" s="515"/>
      <c r="CJ132" s="500"/>
      <c r="CK132" s="481"/>
    </row>
    <row r="133" spans="1:89" ht="12.75" customHeight="1" x14ac:dyDescent="0.3">
      <c r="A133" s="70"/>
      <c r="B133" s="602"/>
      <c r="C133" s="602"/>
      <c r="D133" s="513"/>
      <c r="E133" s="513"/>
      <c r="F133" s="513"/>
      <c r="G133" s="513"/>
      <c r="H133" s="513"/>
      <c r="I133" s="513"/>
      <c r="J133" s="513"/>
      <c r="K133" s="513"/>
      <c r="L133" s="513"/>
      <c r="M133" s="513"/>
      <c r="N133" s="513"/>
      <c r="O133" s="513"/>
      <c r="P133" s="513"/>
      <c r="Q133" s="513"/>
      <c r="R133" s="513"/>
      <c r="S133" s="513"/>
      <c r="T133" s="513"/>
      <c r="U133" s="513"/>
      <c r="V133" s="513"/>
      <c r="W133" s="513"/>
      <c r="X133" s="513"/>
      <c r="Y133" s="513"/>
      <c r="Z133" s="513"/>
      <c r="AA133" s="513"/>
      <c r="AB133" s="70"/>
      <c r="AC133" s="50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514"/>
      <c r="AV133" s="515"/>
      <c r="AW133" s="515"/>
      <c r="AX133" s="515"/>
      <c r="AY133" s="515"/>
      <c r="AZ133" s="515"/>
      <c r="BA133" s="515"/>
      <c r="BB133" s="515"/>
      <c r="BC133" s="515"/>
      <c r="BD133" s="515"/>
      <c r="BE133" s="515"/>
      <c r="BF133" s="515"/>
      <c r="BG133" s="515"/>
      <c r="BH133" s="515"/>
      <c r="BI133" s="515"/>
      <c r="BJ133" s="515"/>
      <c r="BK133" s="515"/>
      <c r="BL133" s="515"/>
      <c r="BM133" s="515"/>
      <c r="BN133" s="515"/>
      <c r="BO133" s="516"/>
      <c r="BP133" s="515"/>
      <c r="BQ133" s="518"/>
      <c r="BR133" s="517" t="s">
        <v>1758</v>
      </c>
      <c r="BS133" s="517"/>
      <c r="BT133" s="515"/>
      <c r="BU133" s="515"/>
      <c r="BV133" s="515"/>
      <c r="BW133" s="518"/>
      <c r="BX133" s="517" t="s">
        <v>1759</v>
      </c>
      <c r="BY133" s="515"/>
      <c r="BZ133" s="515"/>
      <c r="CA133" s="515"/>
      <c r="CB133" s="515"/>
      <c r="CC133" s="518"/>
      <c r="CD133" s="517" t="s">
        <v>1760</v>
      </c>
      <c r="CE133" s="515"/>
      <c r="CF133" s="515"/>
      <c r="CG133" s="515"/>
      <c r="CH133" s="515"/>
      <c r="CI133" s="515"/>
      <c r="CJ133" s="500"/>
      <c r="CK133" s="481"/>
    </row>
    <row r="134" spans="1:89" ht="12.75" customHeight="1" x14ac:dyDescent="0.3">
      <c r="A134" s="70"/>
      <c r="B134" s="602"/>
      <c r="C134" s="602"/>
      <c r="D134" s="513"/>
      <c r="E134" s="513"/>
      <c r="F134" s="513"/>
      <c r="G134" s="513"/>
      <c r="H134" s="513"/>
      <c r="I134" s="513"/>
      <c r="J134" s="513"/>
      <c r="K134" s="513"/>
      <c r="L134" s="513"/>
      <c r="M134" s="513"/>
      <c r="N134" s="513"/>
      <c r="O134" s="513"/>
      <c r="P134" s="513"/>
      <c r="Q134" s="513"/>
      <c r="R134" s="513"/>
      <c r="S134" s="513"/>
      <c r="T134" s="513"/>
      <c r="U134" s="513"/>
      <c r="V134" s="513"/>
      <c r="W134" s="513"/>
      <c r="X134" s="513"/>
      <c r="Y134" s="513"/>
      <c r="Z134" s="513"/>
      <c r="AA134" s="513"/>
      <c r="AB134" s="70"/>
      <c r="AC134" s="50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514"/>
      <c r="AV134" s="515"/>
      <c r="AW134" s="515"/>
      <c r="AX134" s="515"/>
      <c r="AY134" s="515"/>
      <c r="AZ134" s="515"/>
      <c r="BA134" s="515"/>
      <c r="BB134" s="515"/>
      <c r="BC134" s="515"/>
      <c r="BD134" s="515"/>
      <c r="BE134" s="515"/>
      <c r="BF134" s="515"/>
      <c r="BG134" s="515"/>
      <c r="BH134" s="515"/>
      <c r="BI134" s="515"/>
      <c r="BJ134" s="515"/>
      <c r="BK134" s="515"/>
      <c r="BL134" s="515"/>
      <c r="BM134" s="515"/>
      <c r="BN134" s="515"/>
      <c r="BO134" s="516"/>
      <c r="BP134" s="515"/>
      <c r="BQ134" s="515"/>
      <c r="BR134" s="515"/>
      <c r="BS134" s="515"/>
      <c r="BT134" s="515"/>
      <c r="BU134" s="612"/>
      <c r="BV134" s="515"/>
      <c r="BW134" s="515"/>
      <c r="BX134" s="515"/>
      <c r="BY134" s="515"/>
      <c r="BZ134" s="515"/>
      <c r="CA134" s="612"/>
      <c r="CB134" s="515"/>
      <c r="CC134" s="515"/>
      <c r="CD134" s="515"/>
      <c r="CE134" s="515"/>
      <c r="CF134" s="515"/>
      <c r="CG134" s="612"/>
      <c r="CH134" s="515"/>
      <c r="CI134" s="515"/>
      <c r="CJ134" s="500"/>
      <c r="CK134" s="481"/>
    </row>
    <row r="135" spans="1:89" ht="12.75" customHeight="1" x14ac:dyDescent="0.3">
      <c r="A135" s="70"/>
      <c r="B135" s="602"/>
      <c r="C135" s="602"/>
      <c r="D135" s="513"/>
      <c r="E135" s="513"/>
      <c r="F135" s="513"/>
      <c r="G135" s="513"/>
      <c r="H135" s="513"/>
      <c r="I135" s="513"/>
      <c r="J135" s="513"/>
      <c r="K135" s="513"/>
      <c r="L135" s="513"/>
      <c r="M135" s="513"/>
      <c r="N135" s="513"/>
      <c r="O135" s="513"/>
      <c r="P135" s="513"/>
      <c r="Q135" s="513"/>
      <c r="R135" s="513"/>
      <c r="S135" s="513"/>
      <c r="T135" s="513"/>
      <c r="U135" s="513"/>
      <c r="V135" s="513"/>
      <c r="W135" s="513"/>
      <c r="X135" s="513"/>
      <c r="Y135" s="513"/>
      <c r="Z135" s="513"/>
      <c r="AA135" s="513"/>
      <c r="AB135" s="70"/>
      <c r="AC135" s="50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514"/>
      <c r="AV135" s="515"/>
      <c r="AW135" s="515"/>
      <c r="AX135" s="515"/>
      <c r="AY135" s="515"/>
      <c r="AZ135" s="515"/>
      <c r="BA135" s="515"/>
      <c r="BB135" s="515"/>
      <c r="BC135" s="515"/>
      <c r="BD135" s="515"/>
      <c r="BE135" s="515"/>
      <c r="BF135" s="515"/>
      <c r="BG135" s="515"/>
      <c r="BH135" s="515"/>
      <c r="BI135" s="515"/>
      <c r="BJ135" s="515"/>
      <c r="BK135" s="515"/>
      <c r="BL135" s="515"/>
      <c r="BM135" s="515"/>
      <c r="BN135" s="515"/>
      <c r="BO135" s="516"/>
      <c r="BP135" s="515"/>
      <c r="BQ135" s="632">
        <f ca="1">AI31</f>
        <v>5.2775231395060943E-9</v>
      </c>
      <c r="BR135" s="543">
        <f ca="1">AH31</f>
        <v>5.4286996987270409E-8</v>
      </c>
      <c r="BS135" s="527">
        <f ca="1">AJ31</f>
        <v>2.2503126104294153E-12</v>
      </c>
      <c r="BT135" s="515"/>
      <c r="BU135" s="515"/>
      <c r="BV135" s="515"/>
      <c r="BW135" s="632">
        <f ca="1">AI37</f>
        <v>1.0722462194853851E-10</v>
      </c>
      <c r="BX135" s="635">
        <f ca="1">AH37</f>
        <v>1.7713097420785841E-9</v>
      </c>
      <c r="BY135" s="527">
        <f ca="1">AJ37</f>
        <v>7.5645008914957229E-14</v>
      </c>
      <c r="BZ135" s="515"/>
      <c r="CA135" s="515"/>
      <c r="CB135" s="515"/>
      <c r="CC135" s="632">
        <f ca="1">AI43</f>
        <v>1.0933594355636263E-10</v>
      </c>
      <c r="CD135" s="635">
        <f ca="1">AH43</f>
        <v>3.0679984692218308E-9</v>
      </c>
      <c r="CE135" s="527">
        <f ca="1">AJ43</f>
        <v>1.3360088631649881E-13</v>
      </c>
      <c r="CF135" s="515"/>
      <c r="CG135" s="515"/>
      <c r="CH135" s="515"/>
      <c r="CI135" s="515"/>
      <c r="CJ135" s="500"/>
      <c r="CK135" s="481"/>
    </row>
    <row r="136" spans="1:89" ht="12.75" customHeight="1" x14ac:dyDescent="0.3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50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514"/>
      <c r="AV136" s="515"/>
      <c r="AW136" s="515"/>
      <c r="AX136" s="515"/>
      <c r="AY136" s="515"/>
      <c r="AZ136" s="515"/>
      <c r="BA136" s="515"/>
      <c r="BB136" s="515"/>
      <c r="BC136" s="515"/>
      <c r="BD136" s="515"/>
      <c r="BE136" s="515"/>
      <c r="BF136" s="515"/>
      <c r="BG136" s="515"/>
      <c r="BH136" s="515"/>
      <c r="BI136" s="515"/>
      <c r="BJ136" s="515"/>
      <c r="BK136" s="515"/>
      <c r="BL136" s="515"/>
      <c r="BM136" s="515"/>
      <c r="BN136" s="515"/>
      <c r="BO136" s="516"/>
      <c r="BP136" s="515"/>
      <c r="BQ136" s="515"/>
      <c r="BR136" s="560"/>
      <c r="BS136" s="515"/>
      <c r="BT136" s="515"/>
      <c r="BU136" s="515"/>
      <c r="BV136" s="515"/>
      <c r="BW136" s="515"/>
      <c r="BX136" s="515"/>
      <c r="BY136" s="515"/>
      <c r="BZ136" s="515"/>
      <c r="CA136" s="515"/>
      <c r="CB136" s="515"/>
      <c r="CC136" s="515"/>
      <c r="CD136" s="515"/>
      <c r="CE136" s="515"/>
      <c r="CF136" s="515"/>
      <c r="CG136" s="515"/>
      <c r="CH136" s="515"/>
      <c r="CI136" s="515"/>
      <c r="CJ136" s="500"/>
      <c r="CK136" s="481"/>
    </row>
    <row r="137" spans="1:89" ht="12.75" customHeight="1" x14ac:dyDescent="0.3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50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514"/>
      <c r="AV137" s="515"/>
      <c r="AW137" s="515"/>
      <c r="AX137" s="515"/>
      <c r="AY137" s="515"/>
      <c r="AZ137" s="515"/>
      <c r="BA137" s="515"/>
      <c r="BB137" s="515"/>
      <c r="BC137" s="515"/>
      <c r="BD137" s="515"/>
      <c r="BE137" s="515"/>
      <c r="BF137" s="515"/>
      <c r="BG137" s="515"/>
      <c r="BH137" s="515"/>
      <c r="BI137" s="515"/>
      <c r="BJ137" s="515"/>
      <c r="BK137" s="515"/>
      <c r="BL137" s="515"/>
      <c r="BM137" s="515"/>
      <c r="BN137" s="515"/>
      <c r="BO137" s="516"/>
      <c r="BP137" s="515"/>
      <c r="BQ137" s="515"/>
      <c r="BR137" s="637">
        <f>AG31</f>
        <v>0</v>
      </c>
      <c r="BS137" s="515"/>
      <c r="BT137" s="515"/>
      <c r="BU137" s="515"/>
      <c r="BV137" s="515"/>
      <c r="BW137" s="515"/>
      <c r="BX137" s="637">
        <f>AG37</f>
        <v>0</v>
      </c>
      <c r="BY137" s="515"/>
      <c r="BZ137" s="515"/>
      <c r="CA137" s="515"/>
      <c r="CB137" s="515"/>
      <c r="CC137" s="515"/>
      <c r="CD137" s="637">
        <f>AG43</f>
        <v>0</v>
      </c>
      <c r="CE137" s="515"/>
      <c r="CF137" s="515"/>
      <c r="CG137" s="515"/>
      <c r="CH137" s="515"/>
      <c r="CI137" s="515"/>
      <c r="CJ137" s="500"/>
      <c r="CK137" s="481"/>
    </row>
    <row r="138" spans="1:89" ht="12.75" customHeight="1" x14ac:dyDescent="0.3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50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514"/>
      <c r="AV138" s="515"/>
      <c r="AW138" s="515"/>
      <c r="AX138" s="515"/>
      <c r="AY138" s="515"/>
      <c r="AZ138" s="515"/>
      <c r="BA138" s="515"/>
      <c r="BB138" s="515"/>
      <c r="BC138" s="515"/>
      <c r="BD138" s="515"/>
      <c r="BE138" s="515"/>
      <c r="BF138" s="515"/>
      <c r="BG138" s="515"/>
      <c r="BH138" s="515"/>
      <c r="BI138" s="515"/>
      <c r="BJ138" s="515"/>
      <c r="BK138" s="515"/>
      <c r="BL138" s="515"/>
      <c r="BM138" s="515"/>
      <c r="BN138" s="515"/>
      <c r="BO138" s="516"/>
      <c r="BP138" s="515"/>
      <c r="BQ138" s="515"/>
      <c r="BR138" s="560"/>
      <c r="BS138" s="515"/>
      <c r="BT138" s="515"/>
      <c r="BU138" s="515"/>
      <c r="BV138" s="515"/>
      <c r="BW138" s="515"/>
      <c r="BX138" s="560"/>
      <c r="BY138" s="515"/>
      <c r="BZ138" s="515"/>
      <c r="CA138" s="515"/>
      <c r="CB138" s="515"/>
      <c r="CC138" s="515"/>
      <c r="CD138" s="515"/>
      <c r="CE138" s="515"/>
      <c r="CF138" s="515"/>
      <c r="CG138" s="515"/>
      <c r="CH138" s="515"/>
      <c r="CI138" s="515"/>
      <c r="CJ138" s="500"/>
      <c r="CK138" s="481"/>
    </row>
    <row r="139" spans="1:89" ht="12.75" customHeight="1" x14ac:dyDescent="0.3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50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514"/>
      <c r="AV139" s="515"/>
      <c r="AW139" s="515"/>
      <c r="AX139" s="515"/>
      <c r="AY139" s="515"/>
      <c r="AZ139" s="515"/>
      <c r="BA139" s="515"/>
      <c r="BB139" s="515"/>
      <c r="BC139" s="515"/>
      <c r="BD139" s="515"/>
      <c r="BE139" s="515"/>
      <c r="BF139" s="515"/>
      <c r="BG139" s="515"/>
      <c r="BH139" s="515"/>
      <c r="BI139" s="515"/>
      <c r="BJ139" s="515"/>
      <c r="BK139" s="515"/>
      <c r="BL139" s="515"/>
      <c r="BM139" s="515"/>
      <c r="BN139" s="515"/>
      <c r="BO139" s="516"/>
      <c r="BP139" s="515"/>
      <c r="BQ139" s="515"/>
      <c r="BR139" s="560"/>
      <c r="BS139" s="515"/>
      <c r="BT139" s="515"/>
      <c r="BU139" s="515"/>
      <c r="BV139" s="515"/>
      <c r="BW139" s="515"/>
      <c r="BX139" s="560"/>
      <c r="BY139" s="515"/>
      <c r="BZ139" s="515"/>
      <c r="CA139" s="515"/>
      <c r="CB139" s="515"/>
      <c r="CC139" s="515"/>
      <c r="CD139" s="560"/>
      <c r="CE139" s="515"/>
      <c r="CF139" s="602"/>
      <c r="CG139" s="515"/>
      <c r="CH139" s="515"/>
      <c r="CI139" s="515"/>
      <c r="CJ139" s="500"/>
      <c r="CK139" s="481"/>
    </row>
    <row r="140" spans="1:89" ht="12.75" customHeight="1" x14ac:dyDescent="0.3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50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514"/>
      <c r="AV140" s="515"/>
      <c r="AW140" s="515"/>
      <c r="AX140" s="515"/>
      <c r="AY140" s="515"/>
      <c r="AZ140" s="515"/>
      <c r="BA140" s="515"/>
      <c r="BB140" s="515"/>
      <c r="BC140" s="515"/>
      <c r="BD140" s="515"/>
      <c r="BE140" s="515"/>
      <c r="BF140" s="515"/>
      <c r="BG140" s="515"/>
      <c r="BH140" s="515"/>
      <c r="BI140" s="515"/>
      <c r="BJ140" s="515"/>
      <c r="BK140" s="515"/>
      <c r="BL140" s="515"/>
      <c r="BM140" s="515"/>
      <c r="BN140" s="515"/>
      <c r="BO140" s="516"/>
      <c r="BP140" s="515"/>
      <c r="BQ140" s="515"/>
      <c r="BR140" s="515"/>
      <c r="BS140" s="607">
        <f ca="1">AK31</f>
        <v>4.9789179164048412E-33</v>
      </c>
      <c r="BT140" s="602" t="s">
        <v>442</v>
      </c>
      <c r="BU140" s="515"/>
      <c r="BV140" s="515"/>
      <c r="BW140" s="515"/>
      <c r="BX140" s="560"/>
      <c r="BY140" s="607">
        <f ca="1">AK37</f>
        <v>1.3996743297070405E-34</v>
      </c>
      <c r="BZ140" s="602" t="s">
        <v>442</v>
      </c>
      <c r="CA140" s="515"/>
      <c r="CB140" s="515"/>
      <c r="CC140" s="515"/>
      <c r="CD140" s="560"/>
      <c r="CE140" s="607">
        <f ca="1">AK43</f>
        <v>8.1407144836179673E-34</v>
      </c>
      <c r="CF140" s="602" t="s">
        <v>442</v>
      </c>
      <c r="CG140" s="515"/>
      <c r="CH140" s="515"/>
      <c r="CI140" s="515"/>
      <c r="CJ140" s="500"/>
      <c r="CK140" s="481"/>
    </row>
    <row r="141" spans="1:89" ht="12.75" customHeight="1" x14ac:dyDescent="0.3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50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514"/>
      <c r="AV141" s="515"/>
      <c r="AW141" s="515"/>
      <c r="AX141" s="515"/>
      <c r="AY141" s="515"/>
      <c r="AZ141" s="515"/>
      <c r="BA141" s="515"/>
      <c r="BB141" s="515"/>
      <c r="BC141" s="515"/>
      <c r="BD141" s="515"/>
      <c r="BE141" s="515"/>
      <c r="BF141" s="515"/>
      <c r="BG141" s="515"/>
      <c r="BH141" s="515"/>
      <c r="BI141" s="515"/>
      <c r="BJ141" s="515"/>
      <c r="BK141" s="515"/>
      <c r="BL141" s="515"/>
      <c r="BM141" s="515"/>
      <c r="BN141" s="515"/>
      <c r="BO141" s="516"/>
      <c r="BP141" s="515"/>
      <c r="BQ141" s="515"/>
      <c r="BR141" s="515"/>
      <c r="BS141" s="515"/>
      <c r="BT141" s="606">
        <f ca="1">IF(ISERROR(J10),0,J10)</f>
        <v>1.322801551131597E-9</v>
      </c>
      <c r="BU141" s="515"/>
      <c r="BV141" s="515"/>
      <c r="BW141" s="632"/>
      <c r="BX141" s="560"/>
      <c r="BY141" s="515"/>
      <c r="BZ141" s="606">
        <f ca="1">IF(ISERROR(L10),0,L10)</f>
        <v>6.6280317687313481E-11</v>
      </c>
      <c r="CA141" s="515"/>
      <c r="CB141" s="515"/>
      <c r="CC141" s="632"/>
      <c r="CD141" s="515"/>
      <c r="CE141" s="515"/>
      <c r="CF141" s="606">
        <f ca="1">IF(ISERROR(N10),0,N10)</f>
        <v>3.1427046257249089E-11</v>
      </c>
      <c r="CG141" s="515"/>
      <c r="CH141" s="515"/>
      <c r="CI141" s="515"/>
      <c r="CJ141" s="500"/>
      <c r="CK141" s="481"/>
    </row>
    <row r="142" spans="1:89" ht="12.75" customHeight="1" x14ac:dyDescent="0.3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50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514"/>
      <c r="AV142" s="515"/>
      <c r="AW142" s="515"/>
      <c r="AX142" s="515"/>
      <c r="AY142" s="515"/>
      <c r="AZ142" s="515"/>
      <c r="BA142" s="515"/>
      <c r="BB142" s="515"/>
      <c r="BC142" s="515"/>
      <c r="BD142" s="515"/>
      <c r="BE142" s="515"/>
      <c r="BF142" s="515"/>
      <c r="BG142" s="515"/>
      <c r="BH142" s="515"/>
      <c r="BI142" s="515"/>
      <c r="BJ142" s="515"/>
      <c r="BK142" s="515"/>
      <c r="BL142" s="515"/>
      <c r="BM142" s="515"/>
      <c r="BN142" s="515"/>
      <c r="BO142" s="516"/>
      <c r="BP142" s="515"/>
      <c r="BQ142" s="515"/>
      <c r="BR142" s="515"/>
      <c r="BS142" s="515"/>
      <c r="BT142" s="515"/>
      <c r="BU142" s="515"/>
      <c r="BV142" s="515"/>
      <c r="BW142" s="632"/>
      <c r="BX142" s="635"/>
      <c r="BY142" s="515"/>
      <c r="BZ142" s="515"/>
      <c r="CA142" s="515"/>
      <c r="CB142" s="515"/>
      <c r="CC142" s="632"/>
      <c r="CD142" s="635"/>
      <c r="CE142" s="515"/>
      <c r="CF142" s="515"/>
      <c r="CG142" s="515"/>
      <c r="CH142" s="515"/>
      <c r="CI142" s="515"/>
      <c r="CJ142" s="500"/>
      <c r="CK142" s="481"/>
    </row>
    <row r="143" spans="1:89" ht="12.75" customHeight="1" x14ac:dyDescent="0.3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50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514"/>
      <c r="AV143" s="515"/>
      <c r="AW143" s="515"/>
      <c r="AX143" s="515"/>
      <c r="AY143" s="515"/>
      <c r="AZ143" s="515"/>
      <c r="BA143" s="515"/>
      <c r="BB143" s="515"/>
      <c r="BC143" s="515"/>
      <c r="BD143" s="515"/>
      <c r="BE143" s="515"/>
      <c r="BF143" s="515"/>
      <c r="BG143" s="515"/>
      <c r="BH143" s="515"/>
      <c r="BI143" s="515"/>
      <c r="BJ143" s="515"/>
      <c r="BK143" s="515"/>
      <c r="BL143" s="515"/>
      <c r="BM143" s="515"/>
      <c r="BN143" s="515"/>
      <c r="BO143" s="516"/>
      <c r="BP143" s="515"/>
      <c r="BQ143" s="515"/>
      <c r="BR143" s="515"/>
      <c r="BS143" s="515"/>
      <c r="BT143" s="515"/>
      <c r="BU143" s="515"/>
      <c r="BV143" s="633">
        <f ca="1">k.sM.aM*M.sM*Molweight</f>
        <v>7.9410302015418861E-24</v>
      </c>
      <c r="BW143" s="515"/>
      <c r="BX143" s="515"/>
      <c r="BY143" s="515"/>
      <c r="BZ143" s="515"/>
      <c r="CA143" s="515"/>
      <c r="CB143" s="633">
        <f ca="1">k.sA.aA*M.sA*Molweight</f>
        <v>2.499821056700397E-26</v>
      </c>
      <c r="CC143" s="515"/>
      <c r="CD143" s="515"/>
      <c r="CE143" s="515"/>
      <c r="CF143" s="515"/>
      <c r="CG143" s="515"/>
      <c r="CH143" s="633">
        <f ca="1">k.sT.aT*M.sT*Molweight</f>
        <v>7.5672683941733267E-25</v>
      </c>
      <c r="CI143" s="515"/>
      <c r="CJ143" s="500"/>
      <c r="CK143" s="481"/>
    </row>
    <row r="144" spans="1:89" ht="12.75" customHeight="1" x14ac:dyDescent="0.3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50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514"/>
      <c r="AV144" s="515"/>
      <c r="AW144" s="515"/>
      <c r="AX144" s="515"/>
      <c r="AY144" s="515"/>
      <c r="AZ144" s="515"/>
      <c r="BA144" s="515"/>
      <c r="BB144" s="515"/>
      <c r="BC144" s="515"/>
      <c r="BD144" s="515"/>
      <c r="BE144" s="515"/>
      <c r="BF144" s="515"/>
      <c r="BG144" s="515"/>
      <c r="BH144" s="515"/>
      <c r="BI144" s="515"/>
      <c r="BJ144" s="515"/>
      <c r="BK144" s="515"/>
      <c r="BL144" s="515"/>
      <c r="BM144" s="515"/>
      <c r="BN144" s="515"/>
      <c r="BO144" s="516"/>
      <c r="BP144" s="515"/>
      <c r="BQ144" s="515"/>
      <c r="BR144" s="515"/>
      <c r="BS144" s="633">
        <f ca="1">k.w2M.aM*M.w2M*Molweight</f>
        <v>1.8221424004916688E-20</v>
      </c>
      <c r="BT144" s="515"/>
      <c r="BU144" s="515"/>
      <c r="BV144" s="515"/>
      <c r="BW144" s="515"/>
      <c r="BX144" s="515"/>
      <c r="BY144" s="633">
        <f ca="1">k.w2A.aA*M.w2A*Molweight</f>
        <v>8.9358102787683731E-22</v>
      </c>
      <c r="BZ144" s="515"/>
      <c r="CA144" s="515"/>
      <c r="CB144" s="515"/>
      <c r="CC144" s="515"/>
      <c r="CD144" s="515"/>
      <c r="CE144" s="633">
        <f ca="1">k.w2T.aT*M.w2T*Molweight</f>
        <v>1.8316012240646205E-19</v>
      </c>
      <c r="CF144" s="515"/>
      <c r="CG144" s="515"/>
      <c r="CH144" s="515"/>
      <c r="CI144" s="515"/>
      <c r="CJ144" s="500"/>
      <c r="CK144" s="481"/>
    </row>
    <row r="145" spans="1:89" ht="12.75" customHeight="1" x14ac:dyDescent="0.3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50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514"/>
      <c r="AV145" s="515"/>
      <c r="AW145" s="515"/>
      <c r="AX145" s="515"/>
      <c r="AY145" s="515"/>
      <c r="AZ145" s="515"/>
      <c r="BA145" s="515"/>
      <c r="BB145" s="515"/>
      <c r="BC145" s="515"/>
      <c r="BD145" s="515"/>
      <c r="BE145" s="515"/>
      <c r="BF145" s="515"/>
      <c r="BG145" s="515"/>
      <c r="BH145" s="515"/>
      <c r="BI145" s="515"/>
      <c r="BJ145" s="515"/>
      <c r="BK145" s="515"/>
      <c r="BL145" s="515"/>
      <c r="BM145" s="515"/>
      <c r="BN145" s="515"/>
      <c r="BO145" s="516"/>
      <c r="BP145" s="515"/>
      <c r="BQ145" s="515"/>
      <c r="BR145" s="515"/>
      <c r="BS145" s="515"/>
      <c r="BT145" s="515"/>
      <c r="BU145" s="515"/>
      <c r="BV145" s="633">
        <f ca="1">IF(AN35&lt;0,"",AN35)</f>
        <v>2.4503611766958837E-8</v>
      </c>
      <c r="BW145" s="515"/>
      <c r="BX145" s="515"/>
      <c r="BY145" s="515"/>
      <c r="BZ145" s="515"/>
      <c r="CA145" s="515"/>
      <c r="CB145" s="633">
        <f ca="1">IF(AN41&lt;0,"",AN41)</f>
        <v>6.6560379002856812E-10</v>
      </c>
      <c r="CC145" s="515"/>
      <c r="CD145" s="515"/>
      <c r="CE145" s="515"/>
      <c r="CF145" s="515"/>
      <c r="CG145" s="515"/>
      <c r="CH145" s="633">
        <f ca="1">IF(AN47&lt;0,"",AN47)</f>
        <v>8.87558677411184E-10</v>
      </c>
      <c r="CI145" s="515"/>
      <c r="CJ145" s="500"/>
      <c r="CK145" s="481"/>
    </row>
    <row r="146" spans="1:89" ht="12.75" customHeight="1" x14ac:dyDescent="0.3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50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514"/>
      <c r="AV146" s="515"/>
      <c r="AW146" s="515"/>
      <c r="AX146" s="515"/>
      <c r="AY146" s="515"/>
      <c r="AZ146" s="515"/>
      <c r="BA146" s="515"/>
      <c r="BB146" s="515"/>
      <c r="BC146" s="515"/>
      <c r="BD146" s="515"/>
      <c r="BE146" s="515"/>
      <c r="BF146" s="515"/>
      <c r="BG146" s="515"/>
      <c r="BH146" s="515"/>
      <c r="BI146" s="515"/>
      <c r="BJ146" s="515"/>
      <c r="BK146" s="515"/>
      <c r="BL146" s="515"/>
      <c r="BM146" s="515"/>
      <c r="BN146" s="515"/>
      <c r="BO146" s="516"/>
      <c r="BP146" s="515"/>
      <c r="BQ146" s="632">
        <f ca="1">AI32</f>
        <v>4.3003246576299857E-2</v>
      </c>
      <c r="BR146" s="543">
        <f ca="1">AH32</f>
        <v>4.3003197691228616E-2</v>
      </c>
      <c r="BS146" s="633">
        <f ca="1">IF(AL32&lt;0,"",AL32)</f>
        <v>2.4503611768213306E-8</v>
      </c>
      <c r="BT146" s="638">
        <f ca="1">AP32</f>
        <v>2.4381460054195096E-8</v>
      </c>
      <c r="BU146" s="515"/>
      <c r="BV146" s="515"/>
      <c r="BW146" s="632">
        <f ca="1">AI38</f>
        <v>3.177767678792337E-2</v>
      </c>
      <c r="BX146" s="635">
        <f ca="1">AH38</f>
        <v>3.1777675126187725E-2</v>
      </c>
      <c r="BY146" s="633">
        <f ca="1">IF(AL38&lt;0,"",AL38)</f>
        <v>9.9840568509345546E-10</v>
      </c>
      <c r="BZ146" s="638">
        <f ca="1">AP38</f>
        <v>6.633300546273856E-10</v>
      </c>
      <c r="CA146" s="515"/>
      <c r="CB146" s="515"/>
      <c r="CC146" s="632">
        <f ca="1">AI44</f>
        <v>8.2724740453601647E-2</v>
      </c>
      <c r="CD146" s="635">
        <f ca="1">AH44</f>
        <v>8.2724737500091183E-2</v>
      </c>
      <c r="CE146" s="633">
        <f ca="1">IF(AL44&lt;0,"",AL44)</f>
        <v>2.0709702475511285E-9</v>
      </c>
      <c r="CF146" s="638">
        <f ca="1">AP44</f>
        <v>8.8254351911503162E-10</v>
      </c>
      <c r="CG146" s="515"/>
      <c r="CH146" s="515"/>
      <c r="CI146" s="515"/>
      <c r="CJ146" s="500"/>
      <c r="CK146" s="481"/>
    </row>
    <row r="147" spans="1:89" ht="12.75" customHeight="1" x14ac:dyDescent="0.3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50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514"/>
      <c r="AV147" s="515"/>
      <c r="AW147" s="515"/>
      <c r="AX147" s="515"/>
      <c r="AY147" s="515"/>
      <c r="AZ147" s="515"/>
      <c r="BA147" s="515"/>
      <c r="BB147" s="515"/>
      <c r="BC147" s="515"/>
      <c r="BD147" s="515"/>
      <c r="BE147" s="515"/>
      <c r="BF147" s="515"/>
      <c r="BG147" s="515"/>
      <c r="BH147" s="515"/>
      <c r="BI147" s="515"/>
      <c r="BJ147" s="515"/>
      <c r="BK147" s="515"/>
      <c r="BL147" s="515"/>
      <c r="BM147" s="515"/>
      <c r="BN147" s="515"/>
      <c r="BO147" s="516"/>
      <c r="BP147" s="515"/>
      <c r="BQ147" s="515"/>
      <c r="BR147" s="515"/>
      <c r="BS147" s="515"/>
      <c r="BT147" s="515"/>
      <c r="BU147" s="515"/>
      <c r="BV147" s="515"/>
      <c r="BW147" s="515"/>
      <c r="BX147" s="515"/>
      <c r="BY147" s="515"/>
      <c r="BZ147" s="515"/>
      <c r="CA147" s="515"/>
      <c r="CB147" s="515"/>
      <c r="CC147" s="515"/>
      <c r="CD147" s="515"/>
      <c r="CE147" s="515"/>
      <c r="CF147" s="515"/>
      <c r="CG147" s="515"/>
      <c r="CH147" s="515"/>
      <c r="CI147" s="515"/>
      <c r="CJ147" s="500"/>
      <c r="CK147" s="481"/>
    </row>
    <row r="148" spans="1:89" ht="12.75" customHeight="1" x14ac:dyDescent="0.3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50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514"/>
      <c r="AV148" s="515"/>
      <c r="AW148" s="515"/>
      <c r="AX148" s="515"/>
      <c r="AY148" s="515"/>
      <c r="AZ148" s="515"/>
      <c r="BA148" s="515"/>
      <c r="BB148" s="515"/>
      <c r="BC148" s="515"/>
      <c r="BD148" s="515"/>
      <c r="BE148" s="515"/>
      <c r="BF148" s="515"/>
      <c r="BG148" s="515"/>
      <c r="BH148" s="515"/>
      <c r="BI148" s="515"/>
      <c r="BJ148" s="515"/>
      <c r="BK148" s="515"/>
      <c r="BL148" s="515"/>
      <c r="BM148" s="515"/>
      <c r="BN148" s="515"/>
      <c r="BO148" s="516"/>
      <c r="BP148" s="515"/>
      <c r="BQ148" s="515"/>
      <c r="BR148" s="637">
        <f>AG32</f>
        <v>0</v>
      </c>
      <c r="BS148" s="515"/>
      <c r="BT148" s="602" t="s">
        <v>1745</v>
      </c>
      <c r="BU148" s="515"/>
      <c r="BV148" s="515"/>
      <c r="BW148" s="515"/>
      <c r="BX148" s="637">
        <f>AG38</f>
        <v>0</v>
      </c>
      <c r="BY148" s="515"/>
      <c r="BZ148" s="602" t="s">
        <v>1745</v>
      </c>
      <c r="CA148" s="515"/>
      <c r="CB148" s="515"/>
      <c r="CC148" s="515"/>
      <c r="CD148" s="637">
        <f>AG44</f>
        <v>0</v>
      </c>
      <c r="CE148" s="515"/>
      <c r="CF148" s="602" t="s">
        <v>1745</v>
      </c>
      <c r="CG148" s="515"/>
      <c r="CH148" s="515"/>
      <c r="CI148" s="515"/>
      <c r="CJ148" s="500"/>
      <c r="CK148" s="481"/>
    </row>
    <row r="149" spans="1:89" ht="12.75" customHeight="1" x14ac:dyDescent="0.35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50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514"/>
      <c r="AV149" s="515"/>
      <c r="AW149" s="515"/>
      <c r="AX149" s="515"/>
      <c r="AY149" s="515"/>
      <c r="AZ149" s="515"/>
      <c r="BA149" s="515"/>
      <c r="BB149" s="515"/>
      <c r="BC149" s="515"/>
      <c r="BD149" s="515"/>
      <c r="BE149" s="515"/>
      <c r="BF149" s="515"/>
      <c r="BG149" s="515"/>
      <c r="BH149" s="515"/>
      <c r="BI149" s="515"/>
      <c r="BJ149" s="515"/>
      <c r="BK149" s="515"/>
      <c r="BL149" s="515"/>
      <c r="BM149" s="515"/>
      <c r="BN149" s="515"/>
      <c r="BO149" s="516"/>
      <c r="BP149" s="515"/>
      <c r="BQ149" s="515"/>
      <c r="BR149" s="515"/>
      <c r="BS149" s="515"/>
      <c r="BT149" s="602">
        <f ca="1">IF(ISERROR(J26),0,J26)</f>
        <v>3.130032647185637E-2</v>
      </c>
      <c r="BU149" s="515"/>
      <c r="BV149" s="515"/>
      <c r="BW149" s="515"/>
      <c r="BX149" s="515"/>
      <c r="BY149" s="639"/>
      <c r="BZ149" s="602">
        <f ca="1">IF(ISERROR(L26),0,L26)</f>
        <v>3.7880893043646599E-2</v>
      </c>
      <c r="CA149" s="515"/>
      <c r="CB149" s="515"/>
      <c r="CC149" s="515"/>
      <c r="CD149" s="515"/>
      <c r="CE149" s="639"/>
      <c r="CF149" s="602">
        <f ca="1">IF(ISERROR(N26),0,N26)</f>
        <v>2.9208978811314706E-2</v>
      </c>
      <c r="CG149" s="515"/>
      <c r="CH149" s="515"/>
      <c r="CI149" s="515"/>
      <c r="CJ149" s="500"/>
      <c r="CK149" s="481"/>
    </row>
    <row r="150" spans="1:89" ht="12.75" customHeight="1" x14ac:dyDescent="0.35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50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514"/>
      <c r="AV150" s="515"/>
      <c r="AW150" s="515"/>
      <c r="AX150" s="515"/>
      <c r="AY150" s="515"/>
      <c r="AZ150" s="515"/>
      <c r="BA150" s="515"/>
      <c r="BB150" s="515"/>
      <c r="BC150" s="515"/>
      <c r="BD150" s="515"/>
      <c r="BE150" s="515"/>
      <c r="BF150" s="515"/>
      <c r="BG150" s="515"/>
      <c r="BH150" s="515"/>
      <c r="BI150" s="515"/>
      <c r="BJ150" s="515"/>
      <c r="BK150" s="515"/>
      <c r="BL150" s="515"/>
      <c r="BM150" s="515"/>
      <c r="BN150" s="515"/>
      <c r="BO150" s="516"/>
      <c r="BP150" s="515"/>
      <c r="BQ150" s="515"/>
      <c r="BR150" s="515"/>
      <c r="BS150" s="639"/>
      <c r="BT150" s="515"/>
      <c r="BU150" s="515"/>
      <c r="BV150" s="528">
        <f ca="1">AK35</f>
        <v>1.0503006603539156E-18</v>
      </c>
      <c r="BW150" s="515"/>
      <c r="BX150" s="515"/>
      <c r="BY150" s="639"/>
      <c r="BZ150" s="599"/>
      <c r="CA150" s="515"/>
      <c r="CB150" s="528">
        <f ca="1">AN41</f>
        <v>6.6560379002856812E-10</v>
      </c>
      <c r="CC150" s="515"/>
      <c r="CD150" s="515"/>
      <c r="CE150" s="639"/>
      <c r="CF150" s="639"/>
      <c r="CG150" s="515"/>
      <c r="CH150" s="528">
        <f ca="1">AK47</f>
        <v>5.7173187295844651E-20</v>
      </c>
      <c r="CI150" s="515"/>
      <c r="CJ150" s="500"/>
      <c r="CK150" s="481"/>
    </row>
    <row r="151" spans="1:89" ht="12.75" customHeight="1" x14ac:dyDescent="0.35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50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514"/>
      <c r="AV151" s="515"/>
      <c r="AW151" s="515"/>
      <c r="AX151" s="515"/>
      <c r="AY151" s="515"/>
      <c r="AZ151" s="515"/>
      <c r="BA151" s="515"/>
      <c r="BB151" s="515"/>
      <c r="BC151" s="515"/>
      <c r="BD151" s="515"/>
      <c r="BE151" s="515"/>
      <c r="BF151" s="515"/>
      <c r="BG151" s="515"/>
      <c r="BH151" s="515"/>
      <c r="BI151" s="515"/>
      <c r="BJ151" s="515"/>
      <c r="BK151" s="515"/>
      <c r="BL151" s="515"/>
      <c r="BM151" s="515"/>
      <c r="BN151" s="515"/>
      <c r="BO151" s="516"/>
      <c r="BP151" s="515"/>
      <c r="BQ151" s="515"/>
      <c r="BR151" s="515"/>
      <c r="BS151" s="639"/>
      <c r="BT151" s="615">
        <f ca="1">AK32</f>
        <v>5.714804384634439E-16</v>
      </c>
      <c r="BU151" s="515"/>
      <c r="BV151" s="515"/>
      <c r="BW151" s="515"/>
      <c r="BX151" s="515"/>
      <c r="BY151" s="639"/>
      <c r="BZ151" s="615">
        <f ca="1">AK38</f>
        <v>1.0098439291814631E-16</v>
      </c>
      <c r="CA151" s="515"/>
      <c r="CB151" s="515"/>
      <c r="CC151" s="515"/>
      <c r="CD151" s="515"/>
      <c r="CE151" s="639"/>
      <c r="CF151" s="615">
        <f ca="1">AK44</f>
        <v>3.2814476937809221E-15</v>
      </c>
      <c r="CG151" s="515"/>
      <c r="CH151" s="515"/>
      <c r="CI151" s="515"/>
      <c r="CJ151" s="500"/>
      <c r="CK151" s="481"/>
    </row>
    <row r="152" spans="1:89" ht="12.75" customHeight="1" x14ac:dyDescent="0.35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50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514"/>
      <c r="AV152" s="515"/>
      <c r="AW152" s="515"/>
      <c r="AX152" s="515"/>
      <c r="AY152" s="515"/>
      <c r="AZ152" s="515"/>
      <c r="BA152" s="515"/>
      <c r="BB152" s="515"/>
      <c r="BC152" s="515"/>
      <c r="BD152" s="515"/>
      <c r="BE152" s="515"/>
      <c r="BF152" s="515"/>
      <c r="BG152" s="515"/>
      <c r="BH152" s="515"/>
      <c r="BI152" s="515"/>
      <c r="BJ152" s="515"/>
      <c r="BK152" s="515"/>
      <c r="BL152" s="515"/>
      <c r="BM152" s="515"/>
      <c r="BN152" s="515"/>
      <c r="BO152" s="516"/>
      <c r="BP152" s="515"/>
      <c r="BQ152" s="515"/>
      <c r="BR152" s="640">
        <f ca="1">k.w3M.w2M*M.w3M*Molweight</f>
        <v>3.6285307652431834E-2</v>
      </c>
      <c r="BS152" s="639"/>
      <c r="BT152" s="599"/>
      <c r="BU152" s="515"/>
      <c r="BV152" s="515"/>
      <c r="BW152" s="515"/>
      <c r="BX152" s="640">
        <f ca="1">k.w3A.w2A*M.w3A*Molweight</f>
        <v>2.6079980635012882E-2</v>
      </c>
      <c r="BY152" s="639"/>
      <c r="BZ152" s="599"/>
      <c r="CA152" s="515"/>
      <c r="CB152" s="515"/>
      <c r="CC152" s="515"/>
      <c r="CD152" s="640">
        <f ca="1">k.w3T.w2T*M.w3T*Molweight</f>
        <v>8.2724737500091183E-2</v>
      </c>
      <c r="CE152" s="639"/>
      <c r="CF152" s="599"/>
      <c r="CG152" s="515"/>
      <c r="CH152" s="515"/>
      <c r="CI152" s="515"/>
      <c r="CJ152" s="500"/>
      <c r="CK152" s="481"/>
    </row>
    <row r="153" spans="1:89" ht="12.75" customHeight="1" x14ac:dyDescent="0.35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50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514"/>
      <c r="AV153" s="515"/>
      <c r="AW153" s="515"/>
      <c r="AX153" s="515"/>
      <c r="AY153" s="515"/>
      <c r="AZ153" s="515"/>
      <c r="BA153" s="515"/>
      <c r="BB153" s="515"/>
      <c r="BC153" s="515"/>
      <c r="BD153" s="515"/>
      <c r="BE153" s="515"/>
      <c r="BF153" s="515"/>
      <c r="BG153" s="515"/>
      <c r="BH153" s="515"/>
      <c r="BI153" s="515"/>
      <c r="BJ153" s="515"/>
      <c r="BK153" s="515"/>
      <c r="BL153" s="515"/>
      <c r="BM153" s="515"/>
      <c r="BN153" s="515"/>
      <c r="BO153" s="516"/>
      <c r="BP153" s="515"/>
      <c r="BQ153" s="515"/>
      <c r="BR153" s="515"/>
      <c r="BS153" s="515"/>
      <c r="BT153" s="515"/>
      <c r="BU153" s="515"/>
      <c r="BV153" s="641" t="s">
        <v>1753</v>
      </c>
      <c r="BW153" s="515"/>
      <c r="BX153" s="515"/>
      <c r="BY153" s="515"/>
      <c r="BZ153" s="515"/>
      <c r="CA153" s="515"/>
      <c r="CB153" s="641" t="s">
        <v>1753</v>
      </c>
      <c r="CC153" s="515"/>
      <c r="CD153" s="515"/>
      <c r="CE153" s="639"/>
      <c r="CF153" s="515"/>
      <c r="CG153" s="515"/>
      <c r="CH153" s="641" t="s">
        <v>1753</v>
      </c>
      <c r="CI153" s="515"/>
      <c r="CJ153" s="500"/>
      <c r="CK153" s="481"/>
    </row>
    <row r="154" spans="1:89" ht="12.75" customHeight="1" x14ac:dyDescent="0.3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50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514"/>
      <c r="AV154" s="515"/>
      <c r="AW154" s="515"/>
      <c r="AX154" s="515"/>
      <c r="AY154" s="515"/>
      <c r="AZ154" s="515"/>
      <c r="BA154" s="515"/>
      <c r="BB154" s="515"/>
      <c r="BC154" s="515"/>
      <c r="BD154" s="515"/>
      <c r="BE154" s="515"/>
      <c r="BF154" s="515"/>
      <c r="BG154" s="515"/>
      <c r="BH154" s="515"/>
      <c r="BI154" s="515"/>
      <c r="BJ154" s="515"/>
      <c r="BK154" s="515"/>
      <c r="BL154" s="515"/>
      <c r="BM154" s="515"/>
      <c r="BN154" s="515"/>
      <c r="BO154" s="516"/>
      <c r="BP154" s="515"/>
      <c r="BQ154" s="515"/>
      <c r="BR154" s="640">
        <f ca="1">k.w2M.w3M*M.w2M*Molweight</f>
        <v>3.6285828916215873E-2</v>
      </c>
      <c r="BS154" s="515"/>
      <c r="BT154" s="602" t="s">
        <v>1752</v>
      </c>
      <c r="BU154" s="515"/>
      <c r="BV154" s="641">
        <f ca="1">IF(ISERROR(J46),0,J46)</f>
        <v>5.5689340938416051E-5</v>
      </c>
      <c r="BW154" s="515"/>
      <c r="BX154" s="640">
        <f ca="1">k.w2A.w3A*M.w2A*Molweight</f>
        <v>3.177767678792337E-2</v>
      </c>
      <c r="BY154" s="515"/>
      <c r="BZ154" s="602" t="s">
        <v>1752</v>
      </c>
      <c r="CA154" s="602"/>
      <c r="CB154" s="641">
        <f ca="1">IF(ISERROR(L46),0,L46)</f>
        <v>4.3263627948791941E-6</v>
      </c>
      <c r="CC154" s="515"/>
      <c r="CD154" s="640">
        <f ca="1">k.w2T.w3T*M.w2T*Molweight</f>
        <v>7.7027853800139323E-2</v>
      </c>
      <c r="CE154" s="515"/>
      <c r="CF154" s="602" t="s">
        <v>1752</v>
      </c>
      <c r="CG154" s="602"/>
      <c r="CH154" s="641">
        <f ca="1">IF(ISERROR(N46),0,N46)</f>
        <v>4.9266786216732337E-7</v>
      </c>
      <c r="CI154" s="515"/>
      <c r="CJ154" s="500"/>
      <c r="CK154" s="481"/>
    </row>
    <row r="155" spans="1:89" ht="12.75" customHeight="1" x14ac:dyDescent="0.3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50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514"/>
      <c r="AV155" s="515"/>
      <c r="AW155" s="515"/>
      <c r="AX155" s="515"/>
      <c r="AY155" s="515"/>
      <c r="AZ155" s="515"/>
      <c r="BA155" s="515"/>
      <c r="BB155" s="515"/>
      <c r="BC155" s="515"/>
      <c r="BD155" s="515"/>
      <c r="BE155" s="515"/>
      <c r="BF155" s="515"/>
      <c r="BG155" s="515"/>
      <c r="BH155" s="515"/>
      <c r="BI155" s="515"/>
      <c r="BJ155" s="515"/>
      <c r="BK155" s="515"/>
      <c r="BL155" s="515"/>
      <c r="BM155" s="515"/>
      <c r="BN155" s="515"/>
      <c r="BO155" s="516"/>
      <c r="BP155" s="515"/>
      <c r="BQ155" s="515"/>
      <c r="BR155" s="515"/>
      <c r="BS155" s="515"/>
      <c r="BT155" s="602">
        <f ca="1">IF(ISERROR(J30),0,J30)</f>
        <v>0.93899630481803065</v>
      </c>
      <c r="BU155" s="515"/>
      <c r="BV155" s="515"/>
      <c r="BW155" s="632"/>
      <c r="BX155" s="515"/>
      <c r="BY155" s="515"/>
      <c r="BZ155" s="602">
        <f ca="1">IF(ISERROR(L30),0,L30)</f>
        <v>0.93266694441685527</v>
      </c>
      <c r="CA155" s="515"/>
      <c r="CB155" s="515"/>
      <c r="CC155" s="632"/>
      <c r="CD155" s="515"/>
      <c r="CE155" s="515"/>
      <c r="CF155" s="602">
        <f ca="1">IF(ISERROR(N30),0,N30)</f>
        <v>0.94107715025315863</v>
      </c>
      <c r="CG155" s="515"/>
      <c r="CH155" s="515"/>
      <c r="CI155" s="515"/>
      <c r="CJ155" s="500"/>
      <c r="CK155" s="481"/>
    </row>
    <row r="156" spans="1:89" ht="12.75" customHeight="1" x14ac:dyDescent="0.35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50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514"/>
      <c r="AV156" s="515"/>
      <c r="AW156" s="515"/>
      <c r="AX156" s="515"/>
      <c r="AY156" s="515"/>
      <c r="AZ156" s="515"/>
      <c r="BA156" s="515"/>
      <c r="BB156" s="515"/>
      <c r="BC156" s="515"/>
      <c r="BD156" s="515"/>
      <c r="BE156" s="515"/>
      <c r="BF156" s="515"/>
      <c r="BG156" s="515"/>
      <c r="BH156" s="515"/>
      <c r="BI156" s="515"/>
      <c r="BJ156" s="515"/>
      <c r="BK156" s="515"/>
      <c r="BL156" s="515"/>
      <c r="BM156" s="515"/>
      <c r="BN156" s="515"/>
      <c r="BO156" s="516"/>
      <c r="BP156" s="515"/>
      <c r="BQ156" s="632">
        <f ca="1">AI33</f>
        <v>4.1982920293422196E-2</v>
      </c>
      <c r="BR156" s="635">
        <f ca="1">AH33</f>
        <v>4.1983331121878853E-2</v>
      </c>
      <c r="BS156" s="515"/>
      <c r="BT156" s="599"/>
      <c r="BU156" s="522"/>
      <c r="BV156" s="515"/>
      <c r="BW156" s="632">
        <f ca="1">AI39</f>
        <v>3.1777482840675865E-2</v>
      </c>
      <c r="BX156" s="635">
        <f ca="1">AH39</f>
        <v>3.177767678792337E-2</v>
      </c>
      <c r="BY156" s="515"/>
      <c r="BZ156" s="515"/>
      <c r="CA156" s="522"/>
      <c r="CB156" s="515"/>
      <c r="CC156" s="632">
        <f ca="1">AI45</f>
        <v>8.2724737500091183E-2</v>
      </c>
      <c r="CD156" s="635">
        <f ca="1">AH45</f>
        <v>8.2725466441129672E-2</v>
      </c>
      <c r="CE156" s="515"/>
      <c r="CF156" s="515"/>
      <c r="CG156" s="522"/>
      <c r="CH156" s="515"/>
      <c r="CI156" s="515"/>
      <c r="CJ156" s="500"/>
      <c r="CK156" s="481"/>
    </row>
    <row r="157" spans="1:89" ht="12.75" customHeight="1" x14ac:dyDescent="0.3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50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514"/>
      <c r="AV157" s="515"/>
      <c r="AW157" s="515"/>
      <c r="AX157" s="515"/>
      <c r="AY157" s="515"/>
      <c r="AZ157" s="515"/>
      <c r="BA157" s="515"/>
      <c r="BB157" s="515"/>
      <c r="BC157" s="515"/>
      <c r="BD157" s="515"/>
      <c r="BE157" s="515"/>
      <c r="BF157" s="515"/>
      <c r="BG157" s="515"/>
      <c r="BH157" s="515"/>
      <c r="BI157" s="515"/>
      <c r="BJ157" s="515"/>
      <c r="BK157" s="515"/>
      <c r="BL157" s="515"/>
      <c r="BM157" s="515"/>
      <c r="BN157" s="515"/>
      <c r="BO157" s="516"/>
      <c r="BP157" s="515"/>
      <c r="BQ157" s="515"/>
      <c r="BR157" s="515"/>
      <c r="BS157" s="515"/>
      <c r="BT157" s="528">
        <f ca="1">AK33</f>
        <v>1.714416686597377E-14</v>
      </c>
      <c r="BU157" s="522"/>
      <c r="BV157" s="515"/>
      <c r="BW157" s="515"/>
      <c r="BX157" s="515"/>
      <c r="BY157" s="515"/>
      <c r="BZ157" s="528">
        <f ca="1">AK39</f>
        <v>2.4863406749212148E-15</v>
      </c>
      <c r="CA157" s="515"/>
      <c r="CB157" s="515"/>
      <c r="CC157" s="515"/>
      <c r="CD157" s="515"/>
      <c r="CE157" s="515"/>
      <c r="CF157" s="528">
        <f ca="1">AK45</f>
        <v>1.0572418379693273E-13</v>
      </c>
      <c r="CG157" s="522"/>
      <c r="CH157" s="515"/>
      <c r="CI157" s="515"/>
      <c r="CJ157" s="500"/>
      <c r="CK157" s="481"/>
    </row>
    <row r="158" spans="1:89" ht="12.75" customHeight="1" x14ac:dyDescent="0.3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50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514"/>
      <c r="AV158" s="515"/>
      <c r="AW158" s="515"/>
      <c r="AX158" s="515"/>
      <c r="AY158" s="515"/>
      <c r="AZ158" s="515"/>
      <c r="BA158" s="515"/>
      <c r="BB158" s="515"/>
      <c r="BC158" s="515"/>
      <c r="BD158" s="515"/>
      <c r="BE158" s="515"/>
      <c r="BF158" s="515"/>
      <c r="BG158" s="515"/>
      <c r="BH158" s="515"/>
      <c r="BI158" s="515"/>
      <c r="BJ158" s="515"/>
      <c r="BK158" s="515"/>
      <c r="BL158" s="515"/>
      <c r="BM158" s="515"/>
      <c r="BN158" s="515"/>
      <c r="BO158" s="516"/>
      <c r="BP158" s="515"/>
      <c r="BQ158" s="515"/>
      <c r="BR158" s="638">
        <f ca="1">k.sdM.w3M*M.sdM*Molweight</f>
        <v>1.3807774632049053E-3</v>
      </c>
      <c r="BS158" s="515"/>
      <c r="BT158" s="515"/>
      <c r="BU158" s="522"/>
      <c r="BV158" s="515"/>
      <c r="BW158" s="515"/>
      <c r="BX158" s="638">
        <f ca="1">k.sdA.w3A*M.sdA*Molweight</f>
        <v>9.2017748155282788E-4</v>
      </c>
      <c r="BY158" s="515"/>
      <c r="BZ158" s="515"/>
      <c r="CA158" s="515"/>
      <c r="CB158" s="515"/>
      <c r="CC158" s="515"/>
      <c r="CD158" s="640">
        <f ca="1">k.sdT.w3T*M.sdT*Molweight</f>
        <v>3.4584406123971644E-3</v>
      </c>
      <c r="CE158" s="515"/>
      <c r="CF158" s="515"/>
      <c r="CG158" s="515"/>
      <c r="CH158" s="515"/>
      <c r="CI158" s="515"/>
      <c r="CJ158" s="500"/>
      <c r="CK158" s="481"/>
    </row>
    <row r="159" spans="1:89" ht="12.75" customHeight="1" x14ac:dyDescent="0.35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50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514"/>
      <c r="AV159" s="515"/>
      <c r="AW159" s="515"/>
      <c r="AX159" s="515"/>
      <c r="AY159" s="515"/>
      <c r="AZ159" s="515"/>
      <c r="BA159" s="515"/>
      <c r="BB159" s="515"/>
      <c r="BC159" s="515"/>
      <c r="BD159" s="515"/>
      <c r="BE159" s="515"/>
      <c r="BF159" s="515"/>
      <c r="BG159" s="515"/>
      <c r="BH159" s="515"/>
      <c r="BI159" s="515"/>
      <c r="BJ159" s="515"/>
      <c r="BK159" s="515"/>
      <c r="BL159" s="515"/>
      <c r="BM159" s="515"/>
      <c r="BN159" s="515"/>
      <c r="BO159" s="516"/>
      <c r="BP159" s="515"/>
      <c r="BQ159" s="515"/>
      <c r="BR159" s="560"/>
      <c r="BS159" s="515"/>
      <c r="BT159" s="515"/>
      <c r="BU159" s="599"/>
      <c r="BV159" s="515"/>
      <c r="BW159" s="515"/>
      <c r="BX159" s="560"/>
      <c r="BY159" s="515"/>
      <c r="BZ159" s="515"/>
      <c r="CA159" s="599"/>
      <c r="CB159" s="515"/>
      <c r="CC159" s="515"/>
      <c r="CD159" s="560"/>
      <c r="CE159" s="515"/>
      <c r="CF159" s="515"/>
      <c r="CG159" s="599"/>
      <c r="CH159" s="515"/>
      <c r="CI159" s="515"/>
      <c r="CJ159" s="500"/>
      <c r="CK159" s="481"/>
    </row>
    <row r="160" spans="1:89" ht="12.75" customHeight="1" x14ac:dyDescent="0.35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50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514"/>
      <c r="AV160" s="515"/>
      <c r="AW160" s="515"/>
      <c r="AX160" s="515"/>
      <c r="AY160" s="515"/>
      <c r="AZ160" s="515"/>
      <c r="BA160" s="515"/>
      <c r="BB160" s="515"/>
      <c r="BC160" s="515"/>
      <c r="BD160" s="515"/>
      <c r="BE160" s="515"/>
      <c r="BF160" s="515"/>
      <c r="BG160" s="515"/>
      <c r="BH160" s="515"/>
      <c r="BI160" s="515"/>
      <c r="BJ160" s="515"/>
      <c r="BK160" s="515"/>
      <c r="BL160" s="515"/>
      <c r="BM160" s="515"/>
      <c r="BN160" s="515"/>
      <c r="BO160" s="516"/>
      <c r="BP160" s="515"/>
      <c r="BQ160" s="515"/>
      <c r="BR160" s="638">
        <f ca="1">IF(AQ34&lt;0,"",AQ34)</f>
        <v>1.3811882916444243E-3</v>
      </c>
      <c r="BS160" s="515"/>
      <c r="BT160" s="519" t="s">
        <v>1744</v>
      </c>
      <c r="BU160" s="599"/>
      <c r="BV160" s="583">
        <f>AG35</f>
        <v>0</v>
      </c>
      <c r="BW160" s="515"/>
      <c r="BX160" s="638">
        <f ca="1">IF(AQ40&lt;0,"",AQ40)</f>
        <v>9.2037142879784544E-4</v>
      </c>
      <c r="BY160" s="515"/>
      <c r="BZ160" s="519" t="s">
        <v>1744</v>
      </c>
      <c r="CA160" s="515"/>
      <c r="CB160" s="583">
        <f>AG41</f>
        <v>0</v>
      </c>
      <c r="CC160" s="515"/>
      <c r="CD160" s="640">
        <f ca="1">IF(AQ46&lt;0,"",AQ46)</f>
        <v>3.4591695533299424E-3</v>
      </c>
      <c r="CE160" s="515"/>
      <c r="CF160" s="519" t="s">
        <v>1744</v>
      </c>
      <c r="CG160" s="599"/>
      <c r="CH160" s="583">
        <f>AG47</f>
        <v>0</v>
      </c>
      <c r="CI160" s="515"/>
      <c r="CJ160" s="500"/>
      <c r="CK160" s="481"/>
    </row>
    <row r="161" spans="1:89" ht="12.75" customHeight="1" x14ac:dyDescent="0.3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50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514"/>
      <c r="AV161" s="515"/>
      <c r="AW161" s="515"/>
      <c r="AX161" s="515"/>
      <c r="AY161" s="515"/>
      <c r="AZ161" s="515"/>
      <c r="BA161" s="515"/>
      <c r="BB161" s="515"/>
      <c r="BC161" s="515"/>
      <c r="BD161" s="515"/>
      <c r="BE161" s="515"/>
      <c r="BF161" s="515"/>
      <c r="BG161" s="515"/>
      <c r="BH161" s="515"/>
      <c r="BI161" s="515"/>
      <c r="BJ161" s="515"/>
      <c r="BK161" s="515"/>
      <c r="BL161" s="515"/>
      <c r="BM161" s="515"/>
      <c r="BN161" s="515"/>
      <c r="BO161" s="516"/>
      <c r="BP161" s="515"/>
      <c r="BQ161" s="515"/>
      <c r="BR161" s="515"/>
      <c r="BS161" s="515"/>
      <c r="BT161" s="519">
        <f ca="1">IF(ISERROR(J34),0,J34)</f>
        <v>2.9647678046373031E-2</v>
      </c>
      <c r="BU161" s="515"/>
      <c r="BV161" s="515"/>
      <c r="BW161" s="515"/>
      <c r="BX161" s="515"/>
      <c r="BY161" s="602"/>
      <c r="BZ161" s="519">
        <f ca="1">IF(ISERROR(L34),0,L34)</f>
        <v>2.9447836110423016E-2</v>
      </c>
      <c r="CA161" s="515"/>
      <c r="CB161" s="515"/>
      <c r="CC161" s="515"/>
      <c r="CD161" s="515"/>
      <c r="CE161" s="602"/>
      <c r="CF161" s="519">
        <f ca="1">IF(ISERROR(N34),0,N34)</f>
        <v>2.971337823623733E-2</v>
      </c>
      <c r="CG161" s="515"/>
      <c r="CH161" s="515"/>
      <c r="CI161" s="515"/>
      <c r="CJ161" s="500"/>
      <c r="CK161" s="481"/>
    </row>
    <row r="162" spans="1:89" ht="12.75" customHeight="1" x14ac:dyDescent="0.3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50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514"/>
      <c r="AV162" s="515"/>
      <c r="AW162" s="515"/>
      <c r="AX162" s="515"/>
      <c r="AY162" s="515"/>
      <c r="AZ162" s="515"/>
      <c r="BA162" s="515"/>
      <c r="BB162" s="515"/>
      <c r="BC162" s="515"/>
      <c r="BD162" s="515"/>
      <c r="BE162" s="515"/>
      <c r="BF162" s="515"/>
      <c r="BG162" s="515"/>
      <c r="BH162" s="515"/>
      <c r="BI162" s="515"/>
      <c r="BJ162" s="515"/>
      <c r="BK162" s="515"/>
      <c r="BL162" s="515"/>
      <c r="BM162" s="515"/>
      <c r="BN162" s="515"/>
      <c r="BO162" s="516"/>
      <c r="BP162" s="515"/>
      <c r="BQ162" s="515"/>
      <c r="BR162" s="515"/>
      <c r="BS162" s="515"/>
      <c r="BT162" s="515"/>
      <c r="BU162" s="515"/>
      <c r="BV162" s="515"/>
      <c r="BW162" s="515"/>
      <c r="BX162" s="515"/>
      <c r="BY162" s="602"/>
      <c r="BZ162" s="515"/>
      <c r="CA162" s="515"/>
      <c r="CB162" s="515"/>
      <c r="CC162" s="515"/>
      <c r="CD162" s="515"/>
      <c r="CE162" s="602"/>
      <c r="CF162" s="515"/>
      <c r="CG162" s="515"/>
      <c r="CH162" s="515"/>
      <c r="CI162" s="515"/>
      <c r="CJ162" s="500"/>
      <c r="CK162" s="481"/>
    </row>
    <row r="163" spans="1:89" ht="12.75" customHeight="1" x14ac:dyDescent="0.3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50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514"/>
      <c r="AV163" s="515"/>
      <c r="AW163" s="515"/>
      <c r="AX163" s="515"/>
      <c r="AY163" s="515"/>
      <c r="AZ163" s="515"/>
      <c r="BA163" s="515"/>
      <c r="BB163" s="515"/>
      <c r="BC163" s="515"/>
      <c r="BD163" s="515"/>
      <c r="BE163" s="515"/>
      <c r="BF163" s="515"/>
      <c r="BG163" s="515"/>
      <c r="BH163" s="515"/>
      <c r="BI163" s="515"/>
      <c r="BJ163" s="515"/>
      <c r="BK163" s="515"/>
      <c r="BL163" s="515"/>
      <c r="BM163" s="515"/>
      <c r="BN163" s="515"/>
      <c r="BO163" s="516"/>
      <c r="BP163" s="515"/>
      <c r="BQ163" s="515"/>
      <c r="BR163" s="515"/>
      <c r="BS163" s="607">
        <f ca="1">AK34</f>
        <v>5.5915504305394563E-16</v>
      </c>
      <c r="BT163" s="607">
        <f ca="1">AJ34</f>
        <v>4.1082843895974209E-7</v>
      </c>
      <c r="BU163" s="515"/>
      <c r="BV163" s="528">
        <f ca="1">AJ35</f>
        <v>1.2215171171342852E-10</v>
      </c>
      <c r="BW163" s="515"/>
      <c r="BX163" s="515"/>
      <c r="BY163" s="607">
        <f ca="1">AK40</f>
        <v>8.1091716967129735E-17</v>
      </c>
      <c r="BZ163" s="607">
        <f ca="1">AJ40</f>
        <v>1.9394724493663804E-7</v>
      </c>
      <c r="CA163" s="515"/>
      <c r="CB163" s="528">
        <f ca="1">AJ41</f>
        <v>2.2737353892689998E-12</v>
      </c>
      <c r="CC163" s="515"/>
      <c r="CD163" s="515"/>
      <c r="CE163" s="607">
        <f ca="1">AK46</f>
        <v>3.4481821721013941E-15</v>
      </c>
      <c r="CF163" s="607">
        <f ca="1">AJ46</f>
        <v>7.2894092932974182E-7</v>
      </c>
      <c r="CG163" s="515"/>
      <c r="CH163" s="528">
        <f ca="1">AJ47</f>
        <v>5.0151582389782998E-12</v>
      </c>
      <c r="CI163" s="515"/>
      <c r="CJ163" s="500"/>
      <c r="CK163" s="481"/>
    </row>
    <row r="164" spans="1:89" ht="12.75" customHeight="1" x14ac:dyDescent="0.3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50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514"/>
      <c r="AV164" s="515"/>
      <c r="AW164" s="515"/>
      <c r="AX164" s="515"/>
      <c r="AY164" s="515"/>
      <c r="AZ164" s="515"/>
      <c r="BA164" s="515"/>
      <c r="BB164" s="515"/>
      <c r="BC164" s="515"/>
      <c r="BD164" s="515"/>
      <c r="BE164" s="515"/>
      <c r="BF164" s="515"/>
      <c r="BG164" s="515"/>
      <c r="BH164" s="515"/>
      <c r="BI164" s="515"/>
      <c r="BJ164" s="515"/>
      <c r="BK164" s="515"/>
      <c r="BL164" s="515"/>
      <c r="BM164" s="515"/>
      <c r="BN164" s="515"/>
      <c r="BO164" s="516"/>
      <c r="BP164" s="515"/>
      <c r="BQ164" s="515"/>
      <c r="BR164" s="515"/>
      <c r="BS164" s="515"/>
      <c r="BT164" s="515"/>
      <c r="BU164" s="515"/>
      <c r="BV164" s="515"/>
      <c r="BW164" s="515"/>
      <c r="BX164" s="515"/>
      <c r="BY164" s="515"/>
      <c r="BZ164" s="515"/>
      <c r="CA164" s="515"/>
      <c r="CB164" s="515"/>
      <c r="CC164" s="515"/>
      <c r="CD164" s="515"/>
      <c r="CE164" s="515"/>
      <c r="CF164" s="515"/>
      <c r="CG164" s="515"/>
      <c r="CH164" s="515"/>
      <c r="CI164" s="515"/>
      <c r="CJ164" s="500"/>
      <c r="CK164" s="481"/>
    </row>
    <row r="165" spans="1:89" ht="12.75" customHeight="1" x14ac:dyDescent="0.3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50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514"/>
      <c r="AV165" s="515"/>
      <c r="AW165" s="515"/>
      <c r="AX165" s="515"/>
      <c r="AY165" s="515"/>
      <c r="AZ165" s="515"/>
      <c r="BA165" s="515"/>
      <c r="BB165" s="515"/>
      <c r="BC165" s="515"/>
      <c r="BD165" s="515"/>
      <c r="BE165" s="515"/>
      <c r="BF165" s="515"/>
      <c r="BG165" s="515"/>
      <c r="BH165" s="515"/>
      <c r="BI165" s="515"/>
      <c r="BJ165" s="515"/>
      <c r="BK165" s="515"/>
      <c r="BL165" s="515"/>
      <c r="BM165" s="515"/>
      <c r="BN165" s="515"/>
      <c r="BO165" s="516"/>
      <c r="BP165" s="515"/>
      <c r="BQ165" s="515"/>
      <c r="BR165" s="515"/>
      <c r="BS165" s="515"/>
      <c r="BT165" s="515"/>
      <c r="BU165" s="515"/>
      <c r="BV165" s="515"/>
      <c r="BW165" s="515"/>
      <c r="BX165" s="515"/>
      <c r="BY165" s="515"/>
      <c r="BZ165" s="515"/>
      <c r="CA165" s="515"/>
      <c r="CB165" s="515"/>
      <c r="CC165" s="515"/>
      <c r="CD165" s="515"/>
      <c r="CE165" s="515"/>
      <c r="CF165" s="515"/>
      <c r="CG165" s="515"/>
      <c r="CH165" s="515"/>
      <c r="CI165" s="515"/>
      <c r="CJ165" s="500"/>
      <c r="CK165" s="481"/>
    </row>
    <row r="166" spans="1:89" ht="12.75" customHeight="1" x14ac:dyDescent="0.3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50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514"/>
      <c r="AV166" s="515"/>
      <c r="AW166" s="515"/>
      <c r="AX166" s="515"/>
      <c r="AY166" s="515"/>
      <c r="AZ166" s="515"/>
      <c r="BA166" s="515"/>
      <c r="BB166" s="515"/>
      <c r="BC166" s="515"/>
      <c r="BD166" s="515"/>
      <c r="BE166" s="515"/>
      <c r="BF166" s="515"/>
      <c r="BG166" s="515"/>
      <c r="BH166" s="515"/>
      <c r="BI166" s="515"/>
      <c r="BJ166" s="515"/>
      <c r="BK166" s="515"/>
      <c r="BL166" s="515"/>
      <c r="BM166" s="515"/>
      <c r="BN166" s="515"/>
      <c r="BO166" s="516"/>
      <c r="BP166" s="515"/>
      <c r="BQ166" s="515"/>
      <c r="BR166" s="515"/>
      <c r="BS166" s="515"/>
      <c r="BT166" s="515"/>
      <c r="BU166" s="515"/>
      <c r="BV166" s="515"/>
      <c r="BW166" s="515"/>
      <c r="BX166" s="515"/>
      <c r="BY166" s="515"/>
      <c r="BZ166" s="515"/>
      <c r="CA166" s="515"/>
      <c r="CB166" s="515"/>
      <c r="CC166" s="515"/>
      <c r="CD166" s="515"/>
      <c r="CE166" s="515"/>
      <c r="CF166" s="515"/>
      <c r="CG166" s="515"/>
      <c r="CH166" s="515"/>
      <c r="CI166" s="515"/>
      <c r="CJ166" s="500"/>
      <c r="CK166" s="481"/>
    </row>
    <row r="167" spans="1:89" ht="12.75" customHeight="1" x14ac:dyDescent="0.3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50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514"/>
      <c r="AV167" s="515"/>
      <c r="AW167" s="515"/>
      <c r="AX167" s="515"/>
      <c r="AY167" s="515"/>
      <c r="AZ167" s="515"/>
      <c r="BA167" s="515"/>
      <c r="BB167" s="515"/>
      <c r="BC167" s="515"/>
      <c r="BD167" s="515"/>
      <c r="BE167" s="515"/>
      <c r="BF167" s="515"/>
      <c r="BG167" s="515"/>
      <c r="BH167" s="515"/>
      <c r="BI167" s="515"/>
      <c r="BJ167" s="515"/>
      <c r="BK167" s="515"/>
      <c r="BL167" s="515"/>
      <c r="BM167" s="515"/>
      <c r="BN167" s="515"/>
      <c r="BO167" s="516"/>
      <c r="BP167" s="515"/>
      <c r="BQ167" s="515"/>
      <c r="BR167" s="515"/>
      <c r="BS167" s="515"/>
      <c r="BT167" s="515"/>
      <c r="BU167" s="515"/>
      <c r="BV167" s="515"/>
      <c r="BW167" s="515"/>
      <c r="BX167" s="515"/>
      <c r="BY167" s="515"/>
      <c r="BZ167" s="515"/>
      <c r="CA167" s="515"/>
      <c r="CB167" s="515"/>
      <c r="CC167" s="515"/>
      <c r="CD167" s="515"/>
      <c r="CE167" s="515"/>
      <c r="CF167" s="515"/>
      <c r="CG167" s="515"/>
      <c r="CH167" s="515"/>
      <c r="CI167" s="515"/>
      <c r="CJ167" s="500"/>
      <c r="CK167" s="481"/>
    </row>
    <row r="168" spans="1:89" ht="12.75" customHeight="1" x14ac:dyDescent="0.3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50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514"/>
      <c r="AV168" s="515"/>
      <c r="AW168" s="515"/>
      <c r="AX168" s="515"/>
      <c r="AY168" s="515"/>
      <c r="AZ168" s="515"/>
      <c r="BA168" s="515"/>
      <c r="BB168" s="515"/>
      <c r="BC168" s="515"/>
      <c r="BD168" s="515"/>
      <c r="BE168" s="515"/>
      <c r="BF168" s="515"/>
      <c r="BG168" s="515"/>
      <c r="BH168" s="515"/>
      <c r="BI168" s="515"/>
      <c r="BJ168" s="515"/>
      <c r="BK168" s="515"/>
      <c r="BL168" s="515"/>
      <c r="BM168" s="515"/>
      <c r="BN168" s="515"/>
      <c r="BO168" s="516"/>
      <c r="BP168" s="515"/>
      <c r="BQ168" s="515"/>
      <c r="BR168" s="515"/>
      <c r="BS168" s="515"/>
      <c r="BT168" s="515"/>
      <c r="BU168" s="515"/>
      <c r="BV168" s="515"/>
      <c r="BW168" s="515"/>
      <c r="BX168" s="515"/>
      <c r="BY168" s="515"/>
      <c r="BZ168" s="515"/>
      <c r="CA168" s="642"/>
      <c r="CB168" s="515"/>
      <c r="CC168" s="515"/>
      <c r="CD168" s="515"/>
      <c r="CE168" s="515"/>
      <c r="CF168" s="515"/>
      <c r="CG168" s="515"/>
      <c r="CH168" s="515"/>
      <c r="CI168" s="515"/>
      <c r="CJ168" s="500"/>
      <c r="CK168" s="481"/>
    </row>
    <row r="169" spans="1:89" ht="12.75" customHeight="1" x14ac:dyDescent="0.3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50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514"/>
      <c r="AV169" s="515"/>
      <c r="AW169" s="515"/>
      <c r="AX169" s="515"/>
      <c r="AY169" s="515"/>
      <c r="AZ169" s="515"/>
      <c r="BA169" s="515"/>
      <c r="BB169" s="515"/>
      <c r="BC169" s="515"/>
      <c r="BD169" s="515"/>
      <c r="BE169" s="515"/>
      <c r="BF169" s="515"/>
      <c r="BG169" s="515"/>
      <c r="BH169" s="515"/>
      <c r="BI169" s="515"/>
      <c r="BJ169" s="515"/>
      <c r="BK169" s="515"/>
      <c r="BL169" s="515"/>
      <c r="BM169" s="515"/>
      <c r="BN169" s="515"/>
      <c r="BO169" s="516"/>
      <c r="BP169" s="515"/>
      <c r="BQ169" s="515"/>
      <c r="BR169" s="519" t="s">
        <v>1755</v>
      </c>
      <c r="BS169" s="515"/>
      <c r="BT169" s="515"/>
      <c r="BU169" s="515"/>
      <c r="BV169" s="517" t="s">
        <v>768</v>
      </c>
      <c r="BW169" s="113"/>
      <c r="BX169" s="517"/>
      <c r="BY169" s="517"/>
      <c r="BZ169" s="517"/>
      <c r="CA169" s="517"/>
      <c r="CB169" s="515"/>
      <c r="CC169" s="515"/>
      <c r="CD169" s="515"/>
      <c r="CE169" s="515"/>
      <c r="CF169" s="515"/>
      <c r="CG169" s="515"/>
      <c r="CH169" s="515"/>
      <c r="CI169" s="515"/>
      <c r="CJ169" s="500"/>
      <c r="CK169" s="481"/>
    </row>
    <row r="170" spans="1:89" ht="12.75" customHeight="1" x14ac:dyDescent="0.3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50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514"/>
      <c r="AV170" s="515"/>
      <c r="AW170" s="515"/>
      <c r="AX170" s="515"/>
      <c r="AY170" s="515"/>
      <c r="AZ170" s="515"/>
      <c r="BA170" s="515"/>
      <c r="BB170" s="515"/>
      <c r="BC170" s="515"/>
      <c r="BD170" s="515"/>
      <c r="BE170" s="515"/>
      <c r="BF170" s="515"/>
      <c r="BG170" s="515"/>
      <c r="BH170" s="515"/>
      <c r="BI170" s="515"/>
      <c r="BJ170" s="515"/>
      <c r="BK170" s="515"/>
      <c r="BL170" s="515"/>
      <c r="BM170" s="515"/>
      <c r="BN170" s="515"/>
      <c r="BO170" s="516"/>
      <c r="BP170" s="515"/>
      <c r="BQ170" s="515"/>
      <c r="BR170" s="515"/>
      <c r="BS170" s="515"/>
      <c r="BT170" s="515"/>
      <c r="BU170" s="515"/>
      <c r="BV170" s="515"/>
      <c r="BW170" s="513"/>
      <c r="BX170" s="643" t="s">
        <v>1761</v>
      </c>
      <c r="BY170" s="643" t="s">
        <v>1762</v>
      </c>
      <c r="BZ170" s="643" t="s">
        <v>1763</v>
      </c>
      <c r="CA170" s="644"/>
      <c r="CB170" s="515"/>
      <c r="CC170" s="515"/>
      <c r="CD170" s="515"/>
      <c r="CE170" s="515"/>
      <c r="CF170" s="515"/>
      <c r="CG170" s="515"/>
      <c r="CH170" s="515"/>
      <c r="CI170" s="515"/>
      <c r="CJ170" s="500"/>
      <c r="CK170" s="481"/>
    </row>
    <row r="171" spans="1:89" ht="12.75" customHeight="1" x14ac:dyDescent="0.3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50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514"/>
      <c r="AV171" s="515"/>
      <c r="AW171" s="515"/>
      <c r="AX171" s="515"/>
      <c r="AY171" s="515"/>
      <c r="AZ171" s="515"/>
      <c r="BA171" s="515"/>
      <c r="BB171" s="515"/>
      <c r="BC171" s="515"/>
      <c r="BD171" s="515"/>
      <c r="BE171" s="515"/>
      <c r="BF171" s="515"/>
      <c r="BG171" s="515"/>
      <c r="BH171" s="515"/>
      <c r="BI171" s="515"/>
      <c r="BJ171" s="515"/>
      <c r="BK171" s="515"/>
      <c r="BL171" s="515"/>
      <c r="BM171" s="515"/>
      <c r="BN171" s="515"/>
      <c r="BO171" s="516"/>
      <c r="BP171" s="515"/>
      <c r="BQ171" s="515"/>
      <c r="BR171" s="515"/>
      <c r="BS171" s="515" t="s">
        <v>502</v>
      </c>
      <c r="BT171" s="515"/>
      <c r="BU171" s="515"/>
      <c r="BV171" s="582" t="s">
        <v>198</v>
      </c>
      <c r="BW171" s="522"/>
      <c r="BX171" s="70">
        <f ca="1">I10</f>
        <v>6.1429255263080202E-3</v>
      </c>
      <c r="BY171" s="70">
        <f ca="1">K10</f>
        <v>2.0649649033109923E-4</v>
      </c>
      <c r="BZ171" s="70">
        <f ca="1">M10</f>
        <v>3.6470501524425377E-4</v>
      </c>
      <c r="CA171" s="515" t="s">
        <v>1520</v>
      </c>
      <c r="CB171" s="515"/>
      <c r="CC171" s="515"/>
      <c r="CD171" s="515"/>
      <c r="CE171" s="515"/>
      <c r="CF171" s="515"/>
      <c r="CG171" s="515"/>
      <c r="CH171" s="515"/>
      <c r="CI171" s="515"/>
      <c r="CJ171" s="500"/>
      <c r="CK171" s="481"/>
    </row>
    <row r="172" spans="1:89" ht="12.75" customHeight="1" x14ac:dyDescent="0.3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50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514"/>
      <c r="AV172" s="515"/>
      <c r="AW172" s="515"/>
      <c r="AX172" s="515"/>
      <c r="AY172" s="515"/>
      <c r="AZ172" s="515"/>
      <c r="BA172" s="515"/>
      <c r="BB172" s="515"/>
      <c r="BC172" s="515"/>
      <c r="BD172" s="515"/>
      <c r="BE172" s="515"/>
      <c r="BF172" s="515"/>
      <c r="BG172" s="515"/>
      <c r="BH172" s="515"/>
      <c r="BI172" s="515"/>
      <c r="BJ172" s="515"/>
      <c r="BK172" s="515"/>
      <c r="BL172" s="515"/>
      <c r="BM172" s="515"/>
      <c r="BN172" s="515"/>
      <c r="BO172" s="516"/>
      <c r="BP172" s="515"/>
      <c r="BQ172" s="515"/>
      <c r="BR172" s="515"/>
      <c r="BS172" s="515"/>
      <c r="BT172" s="515"/>
      <c r="BU172" s="515"/>
      <c r="BV172" s="582" t="s">
        <v>1660</v>
      </c>
      <c r="BW172" s="113"/>
      <c r="BX172" s="70">
        <f ca="1">I26</f>
        <v>145354.81478779495</v>
      </c>
      <c r="BY172" s="70">
        <f ca="1">K26</f>
        <v>118018.01405091955</v>
      </c>
      <c r="BZ172" s="70">
        <f ca="1">M26</f>
        <v>338964.75588100904</v>
      </c>
      <c r="CA172" s="515" t="s">
        <v>1516</v>
      </c>
      <c r="CB172" s="515"/>
      <c r="CC172" s="515"/>
      <c r="CD172" s="515"/>
      <c r="CE172" s="515"/>
      <c r="CF172" s="515"/>
      <c r="CG172" s="515"/>
      <c r="CH172" s="515"/>
      <c r="CI172" s="515"/>
      <c r="CJ172" s="500"/>
      <c r="CK172" s="481"/>
    </row>
    <row r="173" spans="1:89" ht="12.75" customHeight="1" x14ac:dyDescent="0.3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50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514"/>
      <c r="AV173" s="515"/>
      <c r="AW173" s="515"/>
      <c r="AX173" s="515"/>
      <c r="AY173" s="515"/>
      <c r="AZ173" s="515"/>
      <c r="BA173" s="515"/>
      <c r="BB173" s="515"/>
      <c r="BC173" s="515"/>
      <c r="BD173" s="515"/>
      <c r="BE173" s="515"/>
      <c r="BF173" s="515"/>
      <c r="BG173" s="515"/>
      <c r="BH173" s="515"/>
      <c r="BI173" s="515"/>
      <c r="BJ173" s="515"/>
      <c r="BK173" s="515"/>
      <c r="BL173" s="515"/>
      <c r="BM173" s="515"/>
      <c r="BN173" s="515"/>
      <c r="BO173" s="516"/>
      <c r="BP173" s="515"/>
      <c r="BQ173" s="515"/>
      <c r="BR173" s="515"/>
      <c r="BS173" s="515" t="s">
        <v>1742</v>
      </c>
      <c r="BT173" s="515"/>
      <c r="BU173" s="515"/>
      <c r="BV173" s="582" t="s">
        <v>1661</v>
      </c>
      <c r="BW173" s="515"/>
      <c r="BX173" s="70">
        <f ca="1">I30</f>
        <v>4360581.8008310962</v>
      </c>
      <c r="BY173" s="70">
        <f ca="1">K30</f>
        <v>2905726.1248881216</v>
      </c>
      <c r="BZ173" s="70">
        <f ca="1">M30</f>
        <v>10921024.954737185</v>
      </c>
      <c r="CA173" s="70" t="s">
        <v>1516</v>
      </c>
      <c r="CB173" s="515"/>
      <c r="CC173" s="515"/>
      <c r="CD173" s="515"/>
      <c r="CE173" s="515"/>
      <c r="CF173" s="515"/>
      <c r="CG173" s="515"/>
      <c r="CH173" s="515"/>
      <c r="CI173" s="515"/>
      <c r="CJ173" s="500"/>
      <c r="CK173" s="481"/>
    </row>
    <row r="174" spans="1:89" ht="12.75" customHeight="1" x14ac:dyDescent="0.3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50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514"/>
      <c r="AV174" s="515"/>
      <c r="AW174" s="515"/>
      <c r="AX174" s="515"/>
      <c r="AY174" s="515"/>
      <c r="AZ174" s="515"/>
      <c r="BA174" s="515"/>
      <c r="BB174" s="515"/>
      <c r="BC174" s="515"/>
      <c r="BD174" s="515"/>
      <c r="BE174" s="515"/>
      <c r="BF174" s="515"/>
      <c r="BG174" s="515"/>
      <c r="BH174" s="515"/>
      <c r="BI174" s="515"/>
      <c r="BJ174" s="515"/>
      <c r="BK174" s="515"/>
      <c r="BL174" s="515"/>
      <c r="BM174" s="515"/>
      <c r="BN174" s="515"/>
      <c r="BO174" s="516"/>
      <c r="BP174" s="515"/>
      <c r="BQ174" s="515"/>
      <c r="BR174" s="515"/>
      <c r="BS174" s="515"/>
      <c r="BT174" s="515"/>
      <c r="BU174" s="515"/>
      <c r="BV174" s="582" t="s">
        <v>1502</v>
      </c>
      <c r="BW174" s="515"/>
      <c r="BX174" s="70">
        <f ca="1">I34</f>
        <v>137680.12148990025</v>
      </c>
      <c r="BY174" s="70">
        <f ca="1">K34</f>
        <v>91744.804744828245</v>
      </c>
      <c r="BZ174" s="70">
        <f ca="1">M34</f>
        <v>344818.21721013938</v>
      </c>
      <c r="CA174" s="515" t="s">
        <v>1516</v>
      </c>
      <c r="CB174" s="515"/>
      <c r="CC174" s="515"/>
      <c r="CD174" s="515"/>
      <c r="CE174" s="515"/>
      <c r="CF174" s="515"/>
      <c r="CG174" s="515"/>
      <c r="CH174" s="515"/>
      <c r="CI174" s="515"/>
      <c r="CJ174" s="500"/>
      <c r="CK174" s="481"/>
    </row>
    <row r="175" spans="1:89" ht="12.75" customHeight="1" x14ac:dyDescent="0.3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50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514"/>
      <c r="AV175" s="515"/>
      <c r="AW175" s="515"/>
      <c r="AX175" s="515"/>
      <c r="AY175" s="515"/>
      <c r="AZ175" s="515"/>
      <c r="BA175" s="515"/>
      <c r="BB175" s="515"/>
      <c r="BC175" s="515"/>
      <c r="BD175" s="515"/>
      <c r="BE175" s="515"/>
      <c r="BF175" s="515"/>
      <c r="BG175" s="515"/>
      <c r="BH175" s="515"/>
      <c r="BI175" s="515"/>
      <c r="BJ175" s="515"/>
      <c r="BK175" s="515"/>
      <c r="BL175" s="515"/>
      <c r="BM175" s="515"/>
      <c r="BN175" s="515"/>
      <c r="BO175" s="516"/>
      <c r="BP175" s="515"/>
      <c r="BQ175" s="515"/>
      <c r="BR175" s="515"/>
      <c r="BS175" s="515" t="s">
        <v>1743</v>
      </c>
      <c r="BT175" s="515"/>
      <c r="BU175" s="515"/>
      <c r="BV175" s="70" t="s">
        <v>1504</v>
      </c>
      <c r="BW175" s="515"/>
      <c r="BX175" s="70">
        <f ca="1">I46</f>
        <v>258.61435806543994</v>
      </c>
      <c r="BY175" s="70">
        <f ca="1">K46</f>
        <v>13.478793768856631</v>
      </c>
      <c r="BZ175" s="70">
        <f ca="1">M46</f>
        <v>5.7173187295844654</v>
      </c>
      <c r="CA175" s="515" t="s">
        <v>1522</v>
      </c>
      <c r="CB175" s="515"/>
      <c r="CC175" s="515"/>
      <c r="CD175" s="515"/>
      <c r="CE175" s="515"/>
      <c r="CF175" s="515"/>
      <c r="CG175" s="515"/>
      <c r="CH175" s="515"/>
      <c r="CI175" s="515"/>
      <c r="CJ175" s="500"/>
      <c r="CK175" s="481"/>
    </row>
    <row r="176" spans="1:89" ht="12.75" customHeight="1" x14ac:dyDescent="0.3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50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514"/>
      <c r="AV176" s="500"/>
      <c r="AW176" s="514"/>
      <c r="AX176" s="514"/>
      <c r="AY176" s="514"/>
      <c r="AZ176" s="514"/>
      <c r="BA176" s="514"/>
      <c r="BB176" s="514"/>
      <c r="BC176" s="514"/>
      <c r="BD176" s="514"/>
      <c r="BE176" s="514"/>
      <c r="BF176" s="514"/>
      <c r="BG176" s="514"/>
      <c r="BH176" s="514"/>
      <c r="BI176" s="514"/>
      <c r="BJ176" s="514"/>
      <c r="BK176" s="514"/>
      <c r="BL176" s="514"/>
      <c r="BM176" s="514"/>
      <c r="BN176" s="514"/>
      <c r="BO176" s="500"/>
      <c r="BP176" s="515"/>
      <c r="BQ176" s="515"/>
      <c r="BR176" s="515"/>
      <c r="BS176" s="515"/>
      <c r="BT176" s="515"/>
      <c r="BU176" s="515"/>
      <c r="BV176" s="515"/>
      <c r="BW176" s="515"/>
      <c r="BX176" s="515"/>
      <c r="BY176" s="515"/>
      <c r="BZ176" s="515"/>
      <c r="CA176" s="515"/>
      <c r="CB176" s="515"/>
      <c r="CC176" s="515"/>
      <c r="CD176" s="515"/>
      <c r="CE176" s="515"/>
      <c r="CF176" s="515"/>
      <c r="CG176" s="515"/>
      <c r="CH176" s="515"/>
      <c r="CI176" s="515"/>
      <c r="CJ176" s="500"/>
      <c r="CK176" s="481"/>
    </row>
    <row r="177" spans="1:89" ht="12.75" customHeight="1" x14ac:dyDescent="0.3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50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514"/>
      <c r="BP177" s="515"/>
      <c r="BQ177" s="515"/>
      <c r="BR177" s="515"/>
      <c r="BS177" s="70" t="s">
        <v>1756</v>
      </c>
      <c r="BT177" s="515"/>
      <c r="BU177" s="515"/>
      <c r="BV177" s="515"/>
      <c r="BW177" s="515"/>
      <c r="BX177" s="515"/>
      <c r="BY177" s="515"/>
      <c r="BZ177" s="515"/>
      <c r="CA177" s="515"/>
      <c r="CB177" s="515"/>
      <c r="CC177" s="515"/>
      <c r="CD177" s="515"/>
      <c r="CE177" s="515"/>
      <c r="CF177" s="515"/>
      <c r="CG177" s="515"/>
      <c r="CH177" s="515"/>
      <c r="CI177" s="515"/>
      <c r="CJ177" s="500"/>
      <c r="CK177" s="481"/>
    </row>
    <row r="178" spans="1:89" ht="12.75" customHeight="1" x14ac:dyDescent="0.3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50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514"/>
      <c r="BP178" s="515"/>
      <c r="BQ178" s="515"/>
      <c r="BR178" s="515"/>
      <c r="BS178" s="515"/>
      <c r="BT178" s="515"/>
      <c r="BU178" s="515"/>
      <c r="BV178" s="515"/>
      <c r="BW178" s="515"/>
      <c r="BX178" s="515"/>
      <c r="BY178" s="515"/>
      <c r="BZ178" s="515"/>
      <c r="CA178" s="515"/>
      <c r="CB178" s="515"/>
      <c r="CC178" s="515"/>
      <c r="CD178" s="515"/>
      <c r="CE178" s="515"/>
      <c r="CF178" s="515"/>
      <c r="CG178" s="515"/>
      <c r="CH178" s="515"/>
      <c r="CI178" s="515"/>
      <c r="CJ178" s="500"/>
      <c r="CK178" s="481"/>
    </row>
    <row r="179" spans="1:89" ht="12.75" customHeight="1" x14ac:dyDescent="0.3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50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514"/>
      <c r="BP179" s="515"/>
      <c r="BQ179" s="515"/>
      <c r="BR179" s="631">
        <v>0.12130000000000001</v>
      </c>
      <c r="BS179" s="515" t="s">
        <v>1741</v>
      </c>
      <c r="BT179" s="515"/>
      <c r="BU179" s="515"/>
      <c r="BV179" s="515"/>
      <c r="BW179" s="515"/>
      <c r="BX179" s="515"/>
      <c r="BY179" s="515"/>
      <c r="BZ179" s="515"/>
      <c r="CA179" s="515"/>
      <c r="CB179" s="515"/>
      <c r="CC179" s="515"/>
      <c r="CD179" s="515"/>
      <c r="CE179" s="515"/>
      <c r="CF179" s="515"/>
      <c r="CG179" s="515"/>
      <c r="CH179" s="515"/>
      <c r="CI179" s="515"/>
      <c r="CJ179" s="500"/>
      <c r="CK179" s="481"/>
    </row>
    <row r="180" spans="1:89" ht="12.75" customHeight="1" x14ac:dyDescent="0.3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50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514"/>
      <c r="BP180" s="515"/>
      <c r="BQ180" s="515"/>
      <c r="BR180" s="515"/>
      <c r="BS180" s="515"/>
      <c r="BT180" s="515"/>
      <c r="BU180" s="515"/>
      <c r="BV180" s="515"/>
      <c r="BW180" s="515"/>
      <c r="BX180" s="515"/>
      <c r="BY180" s="515"/>
      <c r="BZ180" s="515"/>
      <c r="CA180" s="515"/>
      <c r="CB180" s="515"/>
      <c r="CC180" s="515"/>
      <c r="CD180" s="515"/>
      <c r="CE180" s="515"/>
      <c r="CF180" s="515"/>
      <c r="CG180" s="515"/>
      <c r="CH180" s="515"/>
      <c r="CI180" s="515"/>
      <c r="CJ180" s="500"/>
      <c r="CK180" s="481"/>
    </row>
    <row r="181" spans="1:89" ht="12.75" customHeight="1" x14ac:dyDescent="0.3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50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514"/>
      <c r="BP181" s="515"/>
      <c r="BQ181" s="515"/>
      <c r="BR181" s="515"/>
      <c r="BS181" s="515"/>
      <c r="BT181" s="515"/>
      <c r="BU181" s="515"/>
      <c r="BV181" s="515"/>
      <c r="BW181" s="515"/>
      <c r="BX181" s="515"/>
      <c r="BY181" s="515"/>
      <c r="BZ181" s="515"/>
      <c r="CA181" s="515"/>
      <c r="CB181" s="515"/>
      <c r="CC181" s="515"/>
      <c r="CD181" s="515"/>
      <c r="CE181" s="515"/>
      <c r="CF181" s="515"/>
      <c r="CG181" s="515"/>
      <c r="CH181" s="515"/>
      <c r="CI181" s="515"/>
      <c r="CJ181" s="500"/>
      <c r="CK181" s="481"/>
    </row>
    <row r="182" spans="1:89" ht="12.75" customHeight="1" x14ac:dyDescent="0.3">
      <c r="CK182" s="481"/>
    </row>
    <row r="183" spans="1:89" ht="12.75" customHeight="1" x14ac:dyDescent="0.3">
      <c r="CK183" s="481"/>
    </row>
    <row r="184" spans="1:89" ht="12.75" customHeight="1" x14ac:dyDescent="0.3">
      <c r="CK184" s="481"/>
    </row>
    <row r="185" spans="1:89" ht="12.75" customHeight="1" x14ac:dyDescent="0.3">
      <c r="CK185" s="481"/>
    </row>
    <row r="186" spans="1:89" ht="12.75" customHeight="1" x14ac:dyDescent="0.3">
      <c r="CK186" s="481"/>
    </row>
    <row r="187" spans="1:89" ht="12.75" customHeight="1" x14ac:dyDescent="0.3">
      <c r="CK187" s="481"/>
    </row>
    <row r="188" spans="1:89" ht="12.75" customHeight="1" x14ac:dyDescent="0.3">
      <c r="CK188" s="481"/>
    </row>
    <row r="189" spans="1:89" ht="12.75" customHeight="1" x14ac:dyDescent="0.3">
      <c r="CK189" s="481"/>
    </row>
    <row r="190" spans="1:89" ht="12.75" customHeight="1" x14ac:dyDescent="0.3">
      <c r="CK190" s="481"/>
    </row>
    <row r="191" spans="1:89" ht="12.75" customHeight="1" x14ac:dyDescent="0.3">
      <c r="CK191" s="481"/>
    </row>
    <row r="192" spans="1:89" ht="12.75" customHeight="1" x14ac:dyDescent="0.3">
      <c r="CK192" s="481"/>
    </row>
    <row r="193" spans="89:89" s="299" customFormat="1" ht="12.75" customHeight="1" x14ac:dyDescent="0.3">
      <c r="CK193" s="481"/>
    </row>
    <row r="194" spans="89:89" s="299" customFormat="1" ht="12.75" customHeight="1" x14ac:dyDescent="0.3">
      <c r="CK194" s="481"/>
    </row>
    <row r="195" spans="89:89" s="299" customFormat="1" ht="12.75" customHeight="1" x14ac:dyDescent="0.3">
      <c r="CK195" s="481"/>
    </row>
    <row r="196" spans="89:89" s="299" customFormat="1" ht="12.75" customHeight="1" x14ac:dyDescent="0.3">
      <c r="CK196" s="481"/>
    </row>
    <row r="197" spans="89:89" s="299" customFormat="1" ht="12.75" customHeight="1" x14ac:dyDescent="0.3">
      <c r="CK197" s="481"/>
    </row>
    <row r="198" spans="89:89" s="299" customFormat="1" ht="12.75" customHeight="1" x14ac:dyDescent="0.3">
      <c r="CK198" s="481"/>
    </row>
    <row r="199" spans="89:89" s="299" customFormat="1" ht="12.75" customHeight="1" x14ac:dyDescent="0.3">
      <c r="CK199" s="481"/>
    </row>
    <row r="200" spans="89:89" s="299" customFormat="1" ht="12.75" customHeight="1" x14ac:dyDescent="0.3">
      <c r="CK200" s="481"/>
    </row>
    <row r="201" spans="89:89" s="299" customFormat="1" ht="12.75" customHeight="1" x14ac:dyDescent="0.3">
      <c r="CK201" s="481"/>
    </row>
    <row r="202" spans="89:89" s="299" customFormat="1" ht="12.75" customHeight="1" x14ac:dyDescent="0.3">
      <c r="CK202" s="481"/>
    </row>
    <row r="203" spans="89:89" s="299" customFormat="1" ht="12.75" customHeight="1" x14ac:dyDescent="0.3">
      <c r="CK203" s="481"/>
    </row>
    <row r="204" spans="89:89" s="299" customFormat="1" ht="12.75" customHeight="1" x14ac:dyDescent="0.3">
      <c r="CK204" s="481"/>
    </row>
    <row r="205" spans="89:89" s="299" customFormat="1" ht="12.75" customHeight="1" x14ac:dyDescent="0.3">
      <c r="CK205" s="481"/>
    </row>
    <row r="206" spans="89:89" s="299" customFormat="1" ht="12.75" customHeight="1" x14ac:dyDescent="0.3">
      <c r="CK206" s="481"/>
    </row>
    <row r="207" spans="89:89" s="299" customFormat="1" ht="12.75" customHeight="1" x14ac:dyDescent="0.3">
      <c r="CK207" s="481"/>
    </row>
    <row r="208" spans="89:89" s="299" customFormat="1" ht="12.75" customHeight="1" x14ac:dyDescent="0.3">
      <c r="CK208" s="481"/>
    </row>
    <row r="209" spans="89:89" s="299" customFormat="1" ht="12.75" customHeight="1" x14ac:dyDescent="0.3">
      <c r="CK209" s="481"/>
    </row>
    <row r="210" spans="89:89" s="299" customFormat="1" ht="12.75" customHeight="1" x14ac:dyDescent="0.3">
      <c r="CK210" s="481"/>
    </row>
    <row r="211" spans="89:89" s="299" customFormat="1" ht="12.75" customHeight="1" x14ac:dyDescent="0.3">
      <c r="CK211" s="481"/>
    </row>
    <row r="212" spans="89:89" s="299" customFormat="1" ht="12.75" customHeight="1" x14ac:dyDescent="0.3">
      <c r="CK212" s="481"/>
    </row>
    <row r="213" spans="89:89" s="299" customFormat="1" ht="12.75" customHeight="1" x14ac:dyDescent="0.3">
      <c r="CK213" s="481"/>
    </row>
    <row r="214" spans="89:89" s="299" customFormat="1" ht="12.75" customHeight="1" x14ac:dyDescent="0.3">
      <c r="CK214" s="481"/>
    </row>
    <row r="215" spans="89:89" s="299" customFormat="1" ht="12.75" customHeight="1" x14ac:dyDescent="0.3">
      <c r="CK215" s="481"/>
    </row>
    <row r="216" spans="89:89" s="299" customFormat="1" ht="12.75" customHeight="1" x14ac:dyDescent="0.3">
      <c r="CK216" s="481"/>
    </row>
    <row r="217" spans="89:89" s="299" customFormat="1" ht="12.75" customHeight="1" x14ac:dyDescent="0.3">
      <c r="CK217" s="481"/>
    </row>
    <row r="218" spans="89:89" s="299" customFormat="1" ht="12.75" customHeight="1" x14ac:dyDescent="0.3">
      <c r="CK218" s="481"/>
    </row>
    <row r="219" spans="89:89" s="299" customFormat="1" ht="12.75" customHeight="1" x14ac:dyDescent="0.3">
      <c r="CK219" s="481"/>
    </row>
    <row r="220" spans="89:89" s="299" customFormat="1" ht="12.75" customHeight="1" x14ac:dyDescent="0.3">
      <c r="CK220" s="481"/>
    </row>
    <row r="221" spans="89:89" s="299" customFormat="1" ht="12.75" customHeight="1" x14ac:dyDescent="0.3">
      <c r="CK221" s="481"/>
    </row>
    <row r="222" spans="89:89" s="299" customFormat="1" ht="12.75" customHeight="1" x14ac:dyDescent="0.3">
      <c r="CK222" s="481"/>
    </row>
    <row r="223" spans="89:89" s="299" customFormat="1" ht="12.75" customHeight="1" x14ac:dyDescent="0.3">
      <c r="CK223" s="481"/>
    </row>
    <row r="224" spans="89:89" s="299" customFormat="1" ht="12.75" customHeight="1" x14ac:dyDescent="0.3">
      <c r="CK224" s="481"/>
    </row>
    <row r="225" spans="89:89" s="299" customFormat="1" ht="12.75" customHeight="1" x14ac:dyDescent="0.3">
      <c r="CK225" s="481"/>
    </row>
    <row r="226" spans="89:89" s="299" customFormat="1" ht="12.75" customHeight="1" x14ac:dyDescent="0.3">
      <c r="CK226" s="481"/>
    </row>
    <row r="227" spans="89:89" s="299" customFormat="1" ht="12.75" customHeight="1" x14ac:dyDescent="0.3">
      <c r="CK227" s="481"/>
    </row>
    <row r="228" spans="89:89" s="299" customFormat="1" ht="12.75" customHeight="1" x14ac:dyDescent="0.3">
      <c r="CK228" s="481"/>
    </row>
    <row r="229" spans="89:89" s="299" customFormat="1" ht="12.75" customHeight="1" x14ac:dyDescent="0.3">
      <c r="CK229" s="481"/>
    </row>
    <row r="230" spans="89:89" s="299" customFormat="1" ht="12.75" customHeight="1" x14ac:dyDescent="0.3">
      <c r="CK230" s="481"/>
    </row>
    <row r="231" spans="89:89" s="299" customFormat="1" ht="12.75" customHeight="1" x14ac:dyDescent="0.3">
      <c r="CK231" s="481"/>
    </row>
    <row r="232" spans="89:89" s="299" customFormat="1" ht="12.75" customHeight="1" x14ac:dyDescent="0.3">
      <c r="CK232" s="481"/>
    </row>
    <row r="233" spans="89:89" s="299" customFormat="1" ht="12.75" customHeight="1" x14ac:dyDescent="0.3">
      <c r="CK233" s="481"/>
    </row>
    <row r="234" spans="89:89" s="299" customFormat="1" ht="12.75" customHeight="1" x14ac:dyDescent="0.3">
      <c r="CK234" s="481"/>
    </row>
    <row r="235" spans="89:89" s="299" customFormat="1" ht="12.75" customHeight="1" x14ac:dyDescent="0.3">
      <c r="CK235" s="481"/>
    </row>
    <row r="236" spans="89:89" s="299" customFormat="1" ht="12.75" customHeight="1" x14ac:dyDescent="0.3">
      <c r="CK236" s="481"/>
    </row>
    <row r="237" spans="89:89" s="299" customFormat="1" ht="12.75" customHeight="1" x14ac:dyDescent="0.3">
      <c r="CK237" s="481"/>
    </row>
    <row r="238" spans="89:89" s="299" customFormat="1" ht="12.75" customHeight="1" x14ac:dyDescent="0.3">
      <c r="CK238" s="481"/>
    </row>
    <row r="239" spans="89:89" s="299" customFormat="1" ht="12.75" customHeight="1" x14ac:dyDescent="0.3">
      <c r="CK239" s="481"/>
    </row>
    <row r="240" spans="89:89" s="299" customFormat="1" ht="12.75" customHeight="1" x14ac:dyDescent="0.3">
      <c r="CK240" s="481"/>
    </row>
    <row r="241" spans="89:89" s="299" customFormat="1" ht="12.75" customHeight="1" x14ac:dyDescent="0.3">
      <c r="CK241" s="481"/>
    </row>
    <row r="242" spans="89:89" s="299" customFormat="1" ht="12.75" customHeight="1" x14ac:dyDescent="0.3">
      <c r="CK242" s="481"/>
    </row>
    <row r="243" spans="89:89" s="299" customFormat="1" ht="12.75" customHeight="1" x14ac:dyDescent="0.3">
      <c r="CK243" s="481"/>
    </row>
    <row r="244" spans="89:89" s="299" customFormat="1" ht="12.75" customHeight="1" x14ac:dyDescent="0.3">
      <c r="CK244" s="481"/>
    </row>
    <row r="245" spans="89:89" s="299" customFormat="1" ht="12.75" customHeight="1" x14ac:dyDescent="0.3">
      <c r="CK245" s="481"/>
    </row>
    <row r="246" spans="89:89" s="299" customFormat="1" ht="12.75" customHeight="1" x14ac:dyDescent="0.3">
      <c r="CK246" s="481"/>
    </row>
    <row r="247" spans="89:89" s="299" customFormat="1" ht="12.75" customHeight="1" x14ac:dyDescent="0.3">
      <c r="CK247" s="481"/>
    </row>
    <row r="248" spans="89:89" s="299" customFormat="1" ht="12.75" customHeight="1" x14ac:dyDescent="0.3">
      <c r="CK248" s="481"/>
    </row>
    <row r="249" spans="89:89" s="299" customFormat="1" ht="12.75" customHeight="1" x14ac:dyDescent="0.3">
      <c r="CK249" s="481"/>
    </row>
    <row r="250" spans="89:89" s="299" customFormat="1" ht="12.75" customHeight="1" x14ac:dyDescent="0.3">
      <c r="CK250" s="481"/>
    </row>
    <row r="251" spans="89:89" s="299" customFormat="1" ht="12.75" customHeight="1" x14ac:dyDescent="0.3">
      <c r="CK251" s="481"/>
    </row>
    <row r="252" spans="89:89" s="299" customFormat="1" ht="12.75" customHeight="1" x14ac:dyDescent="0.3">
      <c r="CK252" s="481"/>
    </row>
    <row r="253" spans="89:89" s="299" customFormat="1" ht="12.75" customHeight="1" x14ac:dyDescent="0.3">
      <c r="CK253" s="481"/>
    </row>
    <row r="254" spans="89:89" s="299" customFormat="1" ht="12.75" customHeight="1" x14ac:dyDescent="0.3">
      <c r="CK254" s="481"/>
    </row>
    <row r="255" spans="89:89" s="299" customFormat="1" ht="12.75" customHeight="1" x14ac:dyDescent="0.3">
      <c r="CK255" s="481"/>
    </row>
    <row r="256" spans="89:89" s="299" customFormat="1" ht="12.75" customHeight="1" x14ac:dyDescent="0.3">
      <c r="CK256" s="481"/>
    </row>
    <row r="257" spans="89:89" s="299" customFormat="1" ht="12.75" customHeight="1" x14ac:dyDescent="0.3">
      <c r="CK257" s="481"/>
    </row>
    <row r="258" spans="89:89" s="299" customFormat="1" ht="12.75" customHeight="1" x14ac:dyDescent="0.3">
      <c r="CK258" s="481"/>
    </row>
    <row r="259" spans="89:89" s="299" customFormat="1" ht="12.75" customHeight="1" x14ac:dyDescent="0.3">
      <c r="CK259" s="481"/>
    </row>
    <row r="260" spans="89:89" s="299" customFormat="1" ht="12.75" customHeight="1" x14ac:dyDescent="0.3">
      <c r="CK260" s="481"/>
    </row>
    <row r="261" spans="89:89" s="299" customFormat="1" ht="12.75" customHeight="1" x14ac:dyDescent="0.3">
      <c r="CK261" s="481"/>
    </row>
    <row r="262" spans="89:89" s="299" customFormat="1" ht="12.75" customHeight="1" x14ac:dyDescent="0.3">
      <c r="CK262" s="481"/>
    </row>
    <row r="263" spans="89:89" s="299" customFormat="1" ht="12.75" customHeight="1" x14ac:dyDescent="0.3">
      <c r="CK263" s="481"/>
    </row>
    <row r="264" spans="89:89" s="299" customFormat="1" ht="12.75" customHeight="1" x14ac:dyDescent="0.3">
      <c r="CK264" s="481"/>
    </row>
    <row r="265" spans="89:89" s="299" customFormat="1" ht="12.75" customHeight="1" x14ac:dyDescent="0.3">
      <c r="CK265" s="481"/>
    </row>
    <row r="266" spans="89:89" s="299" customFormat="1" ht="12.75" customHeight="1" x14ac:dyDescent="0.3">
      <c r="CK266" s="481"/>
    </row>
    <row r="267" spans="89:89" s="299" customFormat="1" ht="12.75" customHeight="1" x14ac:dyDescent="0.3">
      <c r="CK267" s="481"/>
    </row>
    <row r="268" spans="89:89" s="299" customFormat="1" ht="12.75" customHeight="1" x14ac:dyDescent="0.3">
      <c r="CK268" s="481"/>
    </row>
    <row r="269" spans="89:89" s="299" customFormat="1" ht="12.75" customHeight="1" x14ac:dyDescent="0.3">
      <c r="CK269" s="481"/>
    </row>
    <row r="270" spans="89:89" s="299" customFormat="1" ht="12.75" customHeight="1" x14ac:dyDescent="0.3">
      <c r="CK270" s="481"/>
    </row>
    <row r="271" spans="89:89" s="299" customFormat="1" ht="12.75" customHeight="1" x14ac:dyDescent="0.3">
      <c r="CK271" s="481"/>
    </row>
    <row r="272" spans="89:89" s="299" customFormat="1" ht="12.75" customHeight="1" x14ac:dyDescent="0.3">
      <c r="CK272" s="481"/>
    </row>
    <row r="273" spans="89:89" s="299" customFormat="1" ht="12.75" customHeight="1" x14ac:dyDescent="0.3">
      <c r="CK273" s="481"/>
    </row>
    <row r="274" spans="89:89" s="299" customFormat="1" ht="12.75" customHeight="1" x14ac:dyDescent="0.3">
      <c r="CK274" s="481"/>
    </row>
    <row r="275" spans="89:89" s="299" customFormat="1" ht="12.75" customHeight="1" x14ac:dyDescent="0.3">
      <c r="CK275" s="481"/>
    </row>
    <row r="276" spans="89:89" s="299" customFormat="1" ht="12.75" customHeight="1" x14ac:dyDescent="0.3">
      <c r="CK276" s="481"/>
    </row>
    <row r="277" spans="89:89" s="299" customFormat="1" ht="12.75" customHeight="1" x14ac:dyDescent="0.3">
      <c r="CK277" s="481"/>
    </row>
    <row r="278" spans="89:89" s="299" customFormat="1" ht="12.75" customHeight="1" x14ac:dyDescent="0.3">
      <c r="CK278" s="481"/>
    </row>
    <row r="279" spans="89:89" s="299" customFormat="1" ht="12.75" customHeight="1" x14ac:dyDescent="0.3">
      <c r="CK279" s="481"/>
    </row>
    <row r="280" spans="89:89" s="299" customFormat="1" ht="12.75" customHeight="1" x14ac:dyDescent="0.3">
      <c r="CK280" s="481"/>
    </row>
    <row r="281" spans="89:89" s="299" customFormat="1" ht="12.75" customHeight="1" x14ac:dyDescent="0.3">
      <c r="CK281" s="481"/>
    </row>
    <row r="282" spans="89:89" s="299" customFormat="1" ht="12.75" customHeight="1" x14ac:dyDescent="0.3">
      <c r="CK282" s="481"/>
    </row>
    <row r="283" spans="89:89" s="299" customFormat="1" ht="12.75" customHeight="1" x14ac:dyDescent="0.3">
      <c r="CK283" s="481"/>
    </row>
    <row r="284" spans="89:89" s="299" customFormat="1" ht="12.75" customHeight="1" x14ac:dyDescent="0.3">
      <c r="CK284" s="481"/>
    </row>
    <row r="285" spans="89:89" s="299" customFormat="1" ht="12.75" customHeight="1" x14ac:dyDescent="0.3">
      <c r="CK285" s="481"/>
    </row>
    <row r="286" spans="89:89" s="299" customFormat="1" ht="12.75" customHeight="1" x14ac:dyDescent="0.3">
      <c r="CK286" s="481"/>
    </row>
    <row r="287" spans="89:89" s="299" customFormat="1" ht="12.75" customHeight="1" x14ac:dyDescent="0.3">
      <c r="CK287" s="481"/>
    </row>
    <row r="288" spans="89:89" s="299" customFormat="1" ht="12.75" customHeight="1" x14ac:dyDescent="0.3">
      <c r="CK288" s="481"/>
    </row>
    <row r="289" spans="89:89" s="299" customFormat="1" ht="12.75" customHeight="1" x14ac:dyDescent="0.3">
      <c r="CK289" s="481"/>
    </row>
    <row r="290" spans="89:89" s="299" customFormat="1" ht="12.75" customHeight="1" x14ac:dyDescent="0.3">
      <c r="CK290" s="481"/>
    </row>
    <row r="291" spans="89:89" s="299" customFormat="1" ht="12.75" customHeight="1" x14ac:dyDescent="0.3">
      <c r="CK291" s="481"/>
    </row>
    <row r="292" spans="89:89" s="299" customFormat="1" ht="12.75" customHeight="1" x14ac:dyDescent="0.3">
      <c r="CK292" s="481"/>
    </row>
    <row r="293" spans="89:89" s="299" customFormat="1" ht="12.75" customHeight="1" x14ac:dyDescent="0.3">
      <c r="CK293" s="481"/>
    </row>
    <row r="294" spans="89:89" s="299" customFormat="1" ht="12.75" customHeight="1" x14ac:dyDescent="0.3">
      <c r="CK294" s="481"/>
    </row>
    <row r="295" spans="89:89" s="299" customFormat="1" ht="12.75" customHeight="1" x14ac:dyDescent="0.3">
      <c r="CK295" s="481"/>
    </row>
    <row r="296" spans="89:89" s="299" customFormat="1" ht="12.75" customHeight="1" x14ac:dyDescent="0.3">
      <c r="CK296" s="481"/>
    </row>
    <row r="297" spans="89:89" s="299" customFormat="1" ht="12.75" customHeight="1" x14ac:dyDescent="0.3">
      <c r="CK297" s="481"/>
    </row>
    <row r="298" spans="89:89" s="299" customFormat="1" ht="12.75" customHeight="1" x14ac:dyDescent="0.3">
      <c r="CK298" s="481"/>
    </row>
    <row r="299" spans="89:89" s="299" customFormat="1" ht="12.75" customHeight="1" x14ac:dyDescent="0.3">
      <c r="CK299" s="481"/>
    </row>
    <row r="300" spans="89:89" s="299" customFormat="1" ht="12.75" customHeight="1" x14ac:dyDescent="0.3">
      <c r="CK300" s="481"/>
    </row>
    <row r="301" spans="89:89" s="299" customFormat="1" ht="12.75" customHeight="1" x14ac:dyDescent="0.3">
      <c r="CK301" s="481"/>
    </row>
    <row r="302" spans="89:89" s="299" customFormat="1" ht="12.75" customHeight="1" x14ac:dyDescent="0.3">
      <c r="CK302" s="481"/>
    </row>
    <row r="303" spans="89:89" s="299" customFormat="1" ht="12.75" customHeight="1" x14ac:dyDescent="0.3">
      <c r="CK303" s="481"/>
    </row>
    <row r="304" spans="89:89" s="299" customFormat="1" ht="12.75" customHeight="1" x14ac:dyDescent="0.3">
      <c r="CK304" s="481"/>
    </row>
    <row r="305" spans="89:89" s="299" customFormat="1" ht="12.75" customHeight="1" x14ac:dyDescent="0.3">
      <c r="CK305" s="481"/>
    </row>
    <row r="306" spans="89:89" s="299" customFormat="1" ht="12.75" customHeight="1" x14ac:dyDescent="0.3">
      <c r="CK306" s="481"/>
    </row>
    <row r="307" spans="89:89" s="299" customFormat="1" ht="12.75" customHeight="1" x14ac:dyDescent="0.3">
      <c r="CK307" s="481"/>
    </row>
    <row r="308" spans="89:89" s="299" customFormat="1" ht="12.75" customHeight="1" x14ac:dyDescent="0.3">
      <c r="CK308" s="481"/>
    </row>
    <row r="309" spans="89:89" s="299" customFormat="1" ht="12.75" customHeight="1" x14ac:dyDescent="0.3">
      <c r="CK309" s="481"/>
    </row>
    <row r="310" spans="89:89" s="299" customFormat="1" ht="12.75" customHeight="1" x14ac:dyDescent="0.3">
      <c r="CK310" s="481"/>
    </row>
    <row r="311" spans="89:89" s="299" customFormat="1" ht="12.75" customHeight="1" x14ac:dyDescent="0.3">
      <c r="CK311" s="481"/>
    </row>
    <row r="312" spans="89:89" s="299" customFormat="1" ht="12.75" customHeight="1" x14ac:dyDescent="0.3">
      <c r="CK312" s="481"/>
    </row>
    <row r="313" spans="89:89" s="299" customFormat="1" ht="12.75" customHeight="1" x14ac:dyDescent="0.3">
      <c r="CK313" s="481"/>
    </row>
    <row r="314" spans="89:89" s="299" customFormat="1" ht="12.75" customHeight="1" x14ac:dyDescent="0.3">
      <c r="CK314" s="481"/>
    </row>
    <row r="315" spans="89:89" s="299" customFormat="1" ht="12.75" customHeight="1" x14ac:dyDescent="0.3">
      <c r="CK315" s="481"/>
    </row>
    <row r="316" spans="89:89" s="299" customFormat="1" ht="12.75" customHeight="1" x14ac:dyDescent="0.3">
      <c r="CK316" s="481"/>
    </row>
    <row r="317" spans="89:89" s="299" customFormat="1" ht="12.75" customHeight="1" x14ac:dyDescent="0.3">
      <c r="CK317" s="481"/>
    </row>
    <row r="318" spans="89:89" s="299" customFormat="1" ht="12.75" customHeight="1" x14ac:dyDescent="0.3">
      <c r="CK318" s="481"/>
    </row>
    <row r="319" spans="89:89" s="299" customFormat="1" ht="12.75" customHeight="1" x14ac:dyDescent="0.3">
      <c r="CK319" s="481"/>
    </row>
    <row r="320" spans="89:89" s="299" customFormat="1" ht="12.75" customHeight="1" x14ac:dyDescent="0.3">
      <c r="CK320" s="481"/>
    </row>
    <row r="321" spans="89:89" s="299" customFormat="1" ht="12.75" customHeight="1" x14ac:dyDescent="0.3">
      <c r="CK321" s="481"/>
    </row>
    <row r="322" spans="89:89" s="299" customFormat="1" ht="12.75" customHeight="1" x14ac:dyDescent="0.3">
      <c r="CK322" s="481"/>
    </row>
    <row r="323" spans="89:89" s="299" customFormat="1" ht="12.75" customHeight="1" x14ac:dyDescent="0.3">
      <c r="CK323" s="481"/>
    </row>
    <row r="324" spans="89:89" s="299" customFormat="1" ht="12.75" customHeight="1" x14ac:dyDescent="0.3">
      <c r="CK324" s="481"/>
    </row>
    <row r="325" spans="89:89" s="299" customFormat="1" ht="12.75" customHeight="1" x14ac:dyDescent="0.3">
      <c r="CK325" s="481"/>
    </row>
    <row r="326" spans="89:89" s="299" customFormat="1" ht="12.75" customHeight="1" x14ac:dyDescent="0.3">
      <c r="CK326" s="481"/>
    </row>
    <row r="327" spans="89:89" s="299" customFormat="1" ht="12.75" customHeight="1" x14ac:dyDescent="0.3">
      <c r="CK327" s="481"/>
    </row>
    <row r="328" spans="89:89" s="299" customFormat="1" ht="12.75" customHeight="1" x14ac:dyDescent="0.3">
      <c r="CK328" s="481"/>
    </row>
    <row r="329" spans="89:89" s="299" customFormat="1" ht="12.75" customHeight="1" x14ac:dyDescent="0.3">
      <c r="CK329" s="481"/>
    </row>
    <row r="330" spans="89:89" s="299" customFormat="1" ht="12.75" customHeight="1" x14ac:dyDescent="0.3">
      <c r="CK330" s="481"/>
    </row>
    <row r="331" spans="89:89" s="299" customFormat="1" ht="12.75" customHeight="1" x14ac:dyDescent="0.3">
      <c r="CK331" s="481"/>
    </row>
    <row r="332" spans="89:89" s="299" customFormat="1" ht="12.75" customHeight="1" x14ac:dyDescent="0.3">
      <c r="CK332" s="481"/>
    </row>
    <row r="333" spans="89:89" s="299" customFormat="1" ht="12.75" customHeight="1" x14ac:dyDescent="0.3">
      <c r="CK333" s="481"/>
    </row>
    <row r="334" spans="89:89" s="299" customFormat="1" ht="12.75" customHeight="1" x14ac:dyDescent="0.3">
      <c r="CK334" s="481"/>
    </row>
    <row r="335" spans="89:89" s="299" customFormat="1" ht="12.75" customHeight="1" x14ac:dyDescent="0.3">
      <c r="CK335" s="481"/>
    </row>
    <row r="336" spans="89:89" s="299" customFormat="1" ht="12.75" customHeight="1" x14ac:dyDescent="0.3">
      <c r="CK336" s="481"/>
    </row>
    <row r="337" spans="89:89" s="299" customFormat="1" ht="12.75" customHeight="1" x14ac:dyDescent="0.3">
      <c r="CK337" s="481"/>
    </row>
    <row r="338" spans="89:89" s="299" customFormat="1" ht="12.75" customHeight="1" x14ac:dyDescent="0.3">
      <c r="CK338" s="481"/>
    </row>
    <row r="339" spans="89:89" s="299" customFormat="1" ht="12.75" customHeight="1" x14ac:dyDescent="0.3">
      <c r="CK339" s="481"/>
    </row>
    <row r="340" spans="89:89" s="299" customFormat="1" ht="12.75" customHeight="1" x14ac:dyDescent="0.3">
      <c r="CK340" s="481"/>
    </row>
    <row r="341" spans="89:89" s="299" customFormat="1" ht="12.75" customHeight="1" x14ac:dyDescent="0.3">
      <c r="CK341" s="481"/>
    </row>
    <row r="342" spans="89:89" s="299" customFormat="1" ht="12.75" customHeight="1" x14ac:dyDescent="0.3">
      <c r="CK342" s="481"/>
    </row>
    <row r="343" spans="89:89" s="299" customFormat="1" ht="12.75" customHeight="1" x14ac:dyDescent="0.3">
      <c r="CK343" s="481"/>
    </row>
    <row r="344" spans="89:89" s="299" customFormat="1" ht="12.75" customHeight="1" x14ac:dyDescent="0.3">
      <c r="CK344" s="481"/>
    </row>
    <row r="345" spans="89:89" s="299" customFormat="1" ht="12.75" customHeight="1" x14ac:dyDescent="0.3">
      <c r="CK345" s="481"/>
    </row>
    <row r="346" spans="89:89" s="299" customFormat="1" ht="12.75" customHeight="1" x14ac:dyDescent="0.3">
      <c r="CK346" s="481"/>
    </row>
    <row r="347" spans="89:89" s="299" customFormat="1" ht="12.75" customHeight="1" x14ac:dyDescent="0.3">
      <c r="CK347" s="481"/>
    </row>
    <row r="348" spans="89:89" s="299" customFormat="1" ht="12.75" customHeight="1" x14ac:dyDescent="0.3">
      <c r="CK348" s="481"/>
    </row>
    <row r="349" spans="89:89" s="299" customFormat="1" ht="12.75" customHeight="1" x14ac:dyDescent="0.3">
      <c r="CK349" s="481"/>
    </row>
    <row r="350" spans="89:89" s="299" customFormat="1" ht="12.75" customHeight="1" x14ac:dyDescent="0.3">
      <c r="CK350" s="481"/>
    </row>
    <row r="351" spans="89:89" s="299" customFormat="1" ht="12.75" customHeight="1" x14ac:dyDescent="0.3">
      <c r="CK351" s="481"/>
    </row>
    <row r="352" spans="89:89" s="299" customFormat="1" ht="12.75" customHeight="1" x14ac:dyDescent="0.3">
      <c r="CK352" s="481"/>
    </row>
    <row r="353" spans="89:89" s="299" customFormat="1" ht="12.75" customHeight="1" x14ac:dyDescent="0.3">
      <c r="CK353" s="481"/>
    </row>
    <row r="354" spans="89:89" s="299" customFormat="1" ht="12.75" customHeight="1" x14ac:dyDescent="0.3">
      <c r="CK354" s="481"/>
    </row>
    <row r="355" spans="89:89" s="299" customFormat="1" ht="12.75" customHeight="1" x14ac:dyDescent="0.3">
      <c r="CK355" s="481"/>
    </row>
    <row r="356" spans="89:89" s="299" customFormat="1" ht="12.75" customHeight="1" x14ac:dyDescent="0.3">
      <c r="CK356" s="481"/>
    </row>
    <row r="357" spans="89:89" s="299" customFormat="1" ht="12.75" customHeight="1" x14ac:dyDescent="0.3">
      <c r="CK357" s="481"/>
    </row>
    <row r="358" spans="89:89" s="299" customFormat="1" ht="12.75" customHeight="1" x14ac:dyDescent="0.3">
      <c r="CK358" s="481"/>
    </row>
    <row r="359" spans="89:89" s="299" customFormat="1" ht="12.75" customHeight="1" x14ac:dyDescent="0.3">
      <c r="CK359" s="481"/>
    </row>
    <row r="360" spans="89:89" s="299" customFormat="1" ht="12.75" customHeight="1" x14ac:dyDescent="0.3">
      <c r="CK360" s="481"/>
    </row>
    <row r="361" spans="89:89" s="299" customFormat="1" ht="12.75" customHeight="1" x14ac:dyDescent="0.3">
      <c r="CK361" s="481"/>
    </row>
    <row r="362" spans="89:89" s="299" customFormat="1" ht="12.75" customHeight="1" x14ac:dyDescent="0.3">
      <c r="CK362" s="481"/>
    </row>
    <row r="363" spans="89:89" s="299" customFormat="1" ht="12.75" customHeight="1" x14ac:dyDescent="0.3">
      <c r="CK363" s="481"/>
    </row>
    <row r="364" spans="89:89" s="299" customFormat="1" ht="12.75" customHeight="1" x14ac:dyDescent="0.3">
      <c r="CK364" s="481"/>
    </row>
    <row r="365" spans="89:89" s="299" customFormat="1" ht="12.75" customHeight="1" x14ac:dyDescent="0.3">
      <c r="CK365" s="481"/>
    </row>
    <row r="366" spans="89:89" s="299" customFormat="1" ht="12.75" customHeight="1" x14ac:dyDescent="0.3">
      <c r="CK366" s="481"/>
    </row>
    <row r="367" spans="89:89" s="299" customFormat="1" ht="12.75" customHeight="1" x14ac:dyDescent="0.3">
      <c r="CK367" s="481"/>
    </row>
    <row r="368" spans="89:89" s="299" customFormat="1" ht="12.75" customHeight="1" x14ac:dyDescent="0.3">
      <c r="CK368" s="481"/>
    </row>
    <row r="369" spans="89:89" s="299" customFormat="1" ht="12.75" customHeight="1" x14ac:dyDescent="0.3">
      <c r="CK369" s="481"/>
    </row>
    <row r="370" spans="89:89" s="299" customFormat="1" ht="12.75" customHeight="1" x14ac:dyDescent="0.3">
      <c r="CK370" s="481"/>
    </row>
    <row r="371" spans="89:89" s="299" customFormat="1" ht="12.75" customHeight="1" x14ac:dyDescent="0.3">
      <c r="CK371" s="481"/>
    </row>
    <row r="372" spans="89:89" s="299" customFormat="1" ht="12.75" customHeight="1" x14ac:dyDescent="0.3">
      <c r="CK372" s="481"/>
    </row>
    <row r="373" spans="89:89" s="299" customFormat="1" ht="12.75" customHeight="1" x14ac:dyDescent="0.3">
      <c r="CK373" s="481"/>
    </row>
    <row r="374" spans="89:89" s="299" customFormat="1" ht="12.75" customHeight="1" x14ac:dyDescent="0.3">
      <c r="CK374" s="481"/>
    </row>
    <row r="375" spans="89:89" s="299" customFormat="1" ht="12.75" customHeight="1" x14ac:dyDescent="0.3">
      <c r="CK375" s="481"/>
    </row>
    <row r="376" spans="89:89" s="299" customFormat="1" ht="12.75" customHeight="1" x14ac:dyDescent="0.3">
      <c r="CK376" s="481"/>
    </row>
    <row r="377" spans="89:89" s="299" customFormat="1" ht="12.75" customHeight="1" x14ac:dyDescent="0.3">
      <c r="CK377" s="481"/>
    </row>
    <row r="378" spans="89:89" s="299" customFormat="1" ht="12.75" customHeight="1" x14ac:dyDescent="0.3">
      <c r="CK378" s="481"/>
    </row>
    <row r="379" spans="89:89" s="299" customFormat="1" ht="12.75" customHeight="1" x14ac:dyDescent="0.3">
      <c r="CK379" s="481"/>
    </row>
    <row r="380" spans="89:89" s="299" customFormat="1" ht="12.75" customHeight="1" x14ac:dyDescent="0.3">
      <c r="CK380" s="481"/>
    </row>
    <row r="381" spans="89:89" s="299" customFormat="1" ht="12.75" customHeight="1" x14ac:dyDescent="0.3">
      <c r="CK381" s="481"/>
    </row>
    <row r="382" spans="89:89" s="299" customFormat="1" ht="12.75" customHeight="1" x14ac:dyDescent="0.3">
      <c r="CK382" s="481"/>
    </row>
    <row r="383" spans="89:89" s="299" customFormat="1" ht="12.75" customHeight="1" x14ac:dyDescent="0.3">
      <c r="CK383" s="481"/>
    </row>
    <row r="384" spans="89:89" s="299" customFormat="1" ht="12.75" customHeight="1" x14ac:dyDescent="0.3">
      <c r="CK384" s="481"/>
    </row>
    <row r="385" spans="89:89" s="299" customFormat="1" ht="12.75" customHeight="1" x14ac:dyDescent="0.3">
      <c r="CK385" s="481"/>
    </row>
    <row r="386" spans="89:89" s="299" customFormat="1" ht="12.75" customHeight="1" x14ac:dyDescent="0.3">
      <c r="CK386" s="481"/>
    </row>
    <row r="387" spans="89:89" s="299" customFormat="1" ht="12.75" customHeight="1" x14ac:dyDescent="0.3">
      <c r="CK387" s="481"/>
    </row>
    <row r="388" spans="89:89" s="299" customFormat="1" ht="12.75" customHeight="1" x14ac:dyDescent="0.3">
      <c r="CK388" s="481"/>
    </row>
    <row r="389" spans="89:89" s="299" customFormat="1" ht="12.75" customHeight="1" x14ac:dyDescent="0.3">
      <c r="CK389" s="481"/>
    </row>
    <row r="390" spans="89:89" s="299" customFormat="1" ht="12.75" customHeight="1" x14ac:dyDescent="0.3">
      <c r="CK390" s="481"/>
    </row>
    <row r="391" spans="89:89" s="299" customFormat="1" ht="12.75" customHeight="1" x14ac:dyDescent="0.3">
      <c r="CK391" s="481"/>
    </row>
    <row r="392" spans="89:89" s="299" customFormat="1" ht="12.75" customHeight="1" x14ac:dyDescent="0.3">
      <c r="CK392" s="481"/>
    </row>
    <row r="393" spans="89:89" s="299" customFormat="1" ht="12.75" customHeight="1" x14ac:dyDescent="0.3">
      <c r="CK393" s="481"/>
    </row>
    <row r="394" spans="89:89" s="299" customFormat="1" ht="12.75" customHeight="1" x14ac:dyDescent="0.3">
      <c r="CK394" s="481"/>
    </row>
    <row r="395" spans="89:89" s="299" customFormat="1" ht="12.75" customHeight="1" x14ac:dyDescent="0.3">
      <c r="CK395" s="481"/>
    </row>
    <row r="396" spans="89:89" s="299" customFormat="1" ht="12.75" customHeight="1" x14ac:dyDescent="0.3">
      <c r="CK396" s="481"/>
    </row>
    <row r="397" spans="89:89" s="299" customFormat="1" ht="12.75" customHeight="1" x14ac:dyDescent="0.3">
      <c r="CK397" s="481"/>
    </row>
    <row r="398" spans="89:89" s="299" customFormat="1" ht="12.75" customHeight="1" x14ac:dyDescent="0.3">
      <c r="CK398" s="481"/>
    </row>
    <row r="399" spans="89:89" s="299" customFormat="1" ht="12.75" customHeight="1" x14ac:dyDescent="0.3">
      <c r="CK399" s="481"/>
    </row>
    <row r="400" spans="89:89" s="299" customFormat="1" ht="12.75" customHeight="1" x14ac:dyDescent="0.3">
      <c r="CK400" s="481"/>
    </row>
    <row r="401" spans="89:89" s="299" customFormat="1" ht="12.75" customHeight="1" x14ac:dyDescent="0.3">
      <c r="CK401" s="481"/>
    </row>
    <row r="402" spans="89:89" s="299" customFormat="1" ht="12.75" customHeight="1" x14ac:dyDescent="0.3">
      <c r="CK402" s="481"/>
    </row>
    <row r="403" spans="89:89" s="299" customFormat="1" ht="12.75" customHeight="1" x14ac:dyDescent="0.3">
      <c r="CK403" s="481"/>
    </row>
    <row r="404" spans="89:89" s="299" customFormat="1" ht="12.75" customHeight="1" x14ac:dyDescent="0.3">
      <c r="CK404" s="481"/>
    </row>
    <row r="405" spans="89:89" s="299" customFormat="1" ht="12.75" customHeight="1" x14ac:dyDescent="0.3">
      <c r="CK405" s="481"/>
    </row>
    <row r="406" spans="89:89" s="299" customFormat="1" ht="12.75" customHeight="1" x14ac:dyDescent="0.3">
      <c r="CK406" s="481"/>
    </row>
    <row r="407" spans="89:89" s="299" customFormat="1" ht="12.75" customHeight="1" x14ac:dyDescent="0.3">
      <c r="CK407" s="481"/>
    </row>
    <row r="408" spans="89:89" s="299" customFormat="1" ht="12.75" customHeight="1" x14ac:dyDescent="0.3">
      <c r="CK408" s="481"/>
    </row>
    <row r="409" spans="89:89" s="299" customFormat="1" ht="12.75" customHeight="1" x14ac:dyDescent="0.3">
      <c r="CK409" s="481"/>
    </row>
    <row r="410" spans="89:89" s="299" customFormat="1" ht="12.75" customHeight="1" x14ac:dyDescent="0.3">
      <c r="CK410" s="481"/>
    </row>
    <row r="411" spans="89:89" s="299" customFormat="1" ht="12.75" customHeight="1" x14ac:dyDescent="0.3">
      <c r="CK411" s="481"/>
    </row>
    <row r="412" spans="89:89" s="299" customFormat="1" ht="12.75" customHeight="1" x14ac:dyDescent="0.3">
      <c r="CK412" s="481"/>
    </row>
    <row r="413" spans="89:89" s="299" customFormat="1" ht="12.75" customHeight="1" x14ac:dyDescent="0.3">
      <c r="CK413" s="481"/>
    </row>
    <row r="414" spans="89:89" s="299" customFormat="1" ht="12.75" customHeight="1" x14ac:dyDescent="0.3">
      <c r="CK414" s="481"/>
    </row>
    <row r="415" spans="89:89" s="299" customFormat="1" ht="12.75" customHeight="1" x14ac:dyDescent="0.3">
      <c r="CK415" s="481"/>
    </row>
    <row r="416" spans="89:89" s="299" customFormat="1" ht="12.75" customHeight="1" x14ac:dyDescent="0.3">
      <c r="CK416" s="481"/>
    </row>
    <row r="417" spans="89:89" s="299" customFormat="1" ht="12.75" customHeight="1" x14ac:dyDescent="0.3">
      <c r="CK417" s="481"/>
    </row>
    <row r="418" spans="89:89" s="299" customFormat="1" ht="12.75" customHeight="1" x14ac:dyDescent="0.3">
      <c r="CK418" s="481"/>
    </row>
    <row r="419" spans="89:89" s="299" customFormat="1" ht="12.75" customHeight="1" x14ac:dyDescent="0.3">
      <c r="CK419" s="481"/>
    </row>
    <row r="420" spans="89:89" s="299" customFormat="1" ht="12.75" customHeight="1" x14ac:dyDescent="0.3">
      <c r="CK420" s="481"/>
    </row>
    <row r="421" spans="89:89" s="299" customFormat="1" ht="12.75" customHeight="1" x14ac:dyDescent="0.3">
      <c r="CK421" s="481"/>
    </row>
    <row r="422" spans="89:89" s="299" customFormat="1" ht="12.75" customHeight="1" x14ac:dyDescent="0.3">
      <c r="CK422" s="481"/>
    </row>
    <row r="423" spans="89:89" s="299" customFormat="1" ht="12.75" customHeight="1" x14ac:dyDescent="0.3">
      <c r="CK423" s="481"/>
    </row>
    <row r="424" spans="89:89" s="299" customFormat="1" ht="12.75" customHeight="1" x14ac:dyDescent="0.3">
      <c r="CK424" s="481"/>
    </row>
    <row r="425" spans="89:89" s="299" customFormat="1" ht="12.75" customHeight="1" x14ac:dyDescent="0.3">
      <c r="CK425" s="481"/>
    </row>
    <row r="426" spans="89:89" s="299" customFormat="1" ht="12.75" customHeight="1" x14ac:dyDescent="0.3">
      <c r="CK426" s="481"/>
    </row>
    <row r="427" spans="89:89" s="299" customFormat="1" ht="12.75" customHeight="1" x14ac:dyDescent="0.3">
      <c r="CK427" s="481"/>
    </row>
    <row r="428" spans="89:89" s="299" customFormat="1" ht="12.75" customHeight="1" x14ac:dyDescent="0.3">
      <c r="CK428" s="481"/>
    </row>
    <row r="429" spans="89:89" s="299" customFormat="1" ht="12.75" customHeight="1" x14ac:dyDescent="0.3">
      <c r="CK429" s="481"/>
    </row>
    <row r="430" spans="89:89" s="299" customFormat="1" ht="12.75" customHeight="1" x14ac:dyDescent="0.3">
      <c r="CK430" s="481"/>
    </row>
    <row r="431" spans="89:89" s="299" customFormat="1" ht="12.75" customHeight="1" x14ac:dyDescent="0.3">
      <c r="CK431" s="481"/>
    </row>
    <row r="432" spans="89:89" s="299" customFormat="1" ht="12.75" customHeight="1" x14ac:dyDescent="0.3">
      <c r="CK432" s="481"/>
    </row>
    <row r="433" spans="89:89" s="299" customFormat="1" ht="12.75" customHeight="1" x14ac:dyDescent="0.3">
      <c r="CK433" s="481"/>
    </row>
    <row r="434" spans="89:89" s="299" customFormat="1" ht="12.75" customHeight="1" x14ac:dyDescent="0.3">
      <c r="CK434" s="481"/>
    </row>
    <row r="435" spans="89:89" s="299" customFormat="1" ht="12.75" customHeight="1" x14ac:dyDescent="0.3">
      <c r="CK435" s="481"/>
    </row>
    <row r="436" spans="89:89" s="299" customFormat="1" ht="12.75" customHeight="1" x14ac:dyDescent="0.3">
      <c r="CK436" s="481"/>
    </row>
    <row r="437" spans="89:89" s="299" customFormat="1" ht="12.75" customHeight="1" x14ac:dyDescent="0.3">
      <c r="CK437" s="481"/>
    </row>
    <row r="438" spans="89:89" s="299" customFormat="1" ht="12.75" customHeight="1" x14ac:dyDescent="0.3">
      <c r="CK438" s="481"/>
    </row>
    <row r="439" spans="89:89" s="299" customFormat="1" ht="12.75" customHeight="1" x14ac:dyDescent="0.3">
      <c r="CK439" s="481"/>
    </row>
    <row r="440" spans="89:89" s="299" customFormat="1" ht="12.75" customHeight="1" x14ac:dyDescent="0.3">
      <c r="CK440" s="481"/>
    </row>
    <row r="441" spans="89:89" s="299" customFormat="1" ht="12.75" customHeight="1" x14ac:dyDescent="0.3">
      <c r="CK441" s="481"/>
    </row>
    <row r="442" spans="89:89" s="299" customFormat="1" ht="12.75" customHeight="1" x14ac:dyDescent="0.3">
      <c r="CK442" s="481"/>
    </row>
    <row r="443" spans="89:89" s="299" customFormat="1" ht="12.75" customHeight="1" x14ac:dyDescent="0.3">
      <c r="CK443" s="481"/>
    </row>
    <row r="444" spans="89:89" s="299" customFormat="1" ht="12.75" customHeight="1" x14ac:dyDescent="0.3">
      <c r="CK444" s="481"/>
    </row>
    <row r="445" spans="89:89" s="299" customFormat="1" ht="12.75" customHeight="1" x14ac:dyDescent="0.3">
      <c r="CK445" s="481"/>
    </row>
    <row r="446" spans="89:89" s="299" customFormat="1" ht="12.75" customHeight="1" x14ac:dyDescent="0.3">
      <c r="CK446" s="481"/>
    </row>
    <row r="447" spans="89:89" s="299" customFormat="1" ht="12.75" customHeight="1" x14ac:dyDescent="0.3">
      <c r="CK447" s="481"/>
    </row>
    <row r="448" spans="89:89" s="299" customFormat="1" ht="12.75" customHeight="1" x14ac:dyDescent="0.3">
      <c r="CK448" s="481"/>
    </row>
    <row r="449" spans="89:89" s="299" customFormat="1" ht="12.75" customHeight="1" x14ac:dyDescent="0.3">
      <c r="CK449" s="481"/>
    </row>
    <row r="450" spans="89:89" s="299" customFormat="1" ht="12.75" customHeight="1" x14ac:dyDescent="0.3">
      <c r="CK450" s="481"/>
    </row>
    <row r="451" spans="89:89" s="299" customFormat="1" ht="12.75" customHeight="1" x14ac:dyDescent="0.3">
      <c r="CK451" s="481"/>
    </row>
    <row r="452" spans="89:89" s="299" customFormat="1" ht="12.75" customHeight="1" x14ac:dyDescent="0.3">
      <c r="CK452" s="481"/>
    </row>
    <row r="453" spans="89:89" s="299" customFormat="1" ht="12.75" customHeight="1" x14ac:dyDescent="0.3">
      <c r="CK453" s="481"/>
    </row>
    <row r="454" spans="89:89" s="299" customFormat="1" ht="12.75" customHeight="1" x14ac:dyDescent="0.3">
      <c r="CK454" s="481"/>
    </row>
    <row r="455" spans="89:89" s="299" customFormat="1" ht="12.75" customHeight="1" x14ac:dyDescent="0.3">
      <c r="CK455" s="481"/>
    </row>
    <row r="456" spans="89:89" s="299" customFormat="1" ht="12.75" customHeight="1" x14ac:dyDescent="0.3">
      <c r="CK456" s="481"/>
    </row>
    <row r="457" spans="89:89" s="299" customFormat="1" ht="12.75" customHeight="1" x14ac:dyDescent="0.3">
      <c r="CK457" s="481"/>
    </row>
    <row r="458" spans="89:89" s="299" customFormat="1" ht="12.75" customHeight="1" x14ac:dyDescent="0.3">
      <c r="CK458" s="481"/>
    </row>
    <row r="459" spans="89:89" s="299" customFormat="1" ht="12.75" customHeight="1" x14ac:dyDescent="0.3">
      <c r="CK459" s="481"/>
    </row>
    <row r="460" spans="89:89" s="299" customFormat="1" ht="12.75" customHeight="1" x14ac:dyDescent="0.3">
      <c r="CK460" s="481"/>
    </row>
    <row r="461" spans="89:89" s="299" customFormat="1" ht="12.75" customHeight="1" x14ac:dyDescent="0.3">
      <c r="CK461" s="481"/>
    </row>
    <row r="462" spans="89:89" s="299" customFormat="1" ht="12.75" customHeight="1" x14ac:dyDescent="0.3">
      <c r="CK462" s="481"/>
    </row>
    <row r="463" spans="89:89" s="299" customFormat="1" ht="12.75" customHeight="1" x14ac:dyDescent="0.3">
      <c r="CK463" s="481"/>
    </row>
    <row r="464" spans="89:89" s="299" customFormat="1" ht="12.75" customHeight="1" x14ac:dyDescent="0.3">
      <c r="CK464" s="481"/>
    </row>
    <row r="465" spans="89:89" s="299" customFormat="1" ht="12.75" customHeight="1" x14ac:dyDescent="0.3">
      <c r="CK465" s="481"/>
    </row>
    <row r="466" spans="89:89" s="299" customFormat="1" ht="12.75" customHeight="1" x14ac:dyDescent="0.3">
      <c r="CK466" s="481"/>
    </row>
    <row r="467" spans="89:89" s="299" customFormat="1" ht="12.75" customHeight="1" x14ac:dyDescent="0.3">
      <c r="CK467" s="481"/>
    </row>
    <row r="468" spans="89:89" s="299" customFormat="1" ht="12.75" customHeight="1" x14ac:dyDescent="0.3">
      <c r="CK468" s="481"/>
    </row>
    <row r="469" spans="89:89" s="299" customFormat="1" ht="12.75" customHeight="1" x14ac:dyDescent="0.3">
      <c r="CK469" s="481"/>
    </row>
    <row r="470" spans="89:89" s="299" customFormat="1" ht="12.75" customHeight="1" x14ac:dyDescent="0.3">
      <c r="CK470" s="481"/>
    </row>
    <row r="471" spans="89:89" s="299" customFormat="1" ht="12.75" customHeight="1" x14ac:dyDescent="0.3">
      <c r="CK471" s="481"/>
    </row>
    <row r="472" spans="89:89" s="299" customFormat="1" ht="12.75" customHeight="1" x14ac:dyDescent="0.3">
      <c r="CK472" s="481"/>
    </row>
    <row r="473" spans="89:89" s="299" customFormat="1" ht="12.75" customHeight="1" x14ac:dyDescent="0.3">
      <c r="CK473" s="481"/>
    </row>
    <row r="474" spans="89:89" s="299" customFormat="1" ht="12.75" customHeight="1" x14ac:dyDescent="0.3">
      <c r="CK474" s="481"/>
    </row>
    <row r="475" spans="89:89" s="299" customFormat="1" ht="12.75" customHeight="1" x14ac:dyDescent="0.3">
      <c r="CK475" s="481"/>
    </row>
    <row r="476" spans="89:89" s="299" customFormat="1" ht="12.75" customHeight="1" x14ac:dyDescent="0.3">
      <c r="CK476" s="481"/>
    </row>
    <row r="477" spans="89:89" s="299" customFormat="1" ht="12.75" customHeight="1" x14ac:dyDescent="0.3">
      <c r="CK477" s="481"/>
    </row>
    <row r="478" spans="89:89" s="299" customFormat="1" ht="12.75" customHeight="1" x14ac:dyDescent="0.3">
      <c r="CK478" s="481"/>
    </row>
    <row r="479" spans="89:89" s="299" customFormat="1" ht="12.75" customHeight="1" x14ac:dyDescent="0.3">
      <c r="CK479" s="481"/>
    </row>
    <row r="480" spans="89:89" s="299" customFormat="1" ht="12.75" customHeight="1" x14ac:dyDescent="0.3">
      <c r="CK480" s="481"/>
    </row>
    <row r="481" spans="89:89" s="299" customFormat="1" ht="12.75" customHeight="1" x14ac:dyDescent="0.3">
      <c r="CK481" s="481"/>
    </row>
    <row r="482" spans="89:89" s="299" customFormat="1" ht="12.75" customHeight="1" x14ac:dyDescent="0.3">
      <c r="CK482" s="481"/>
    </row>
    <row r="483" spans="89:89" s="299" customFormat="1" ht="12.75" customHeight="1" x14ac:dyDescent="0.3">
      <c r="CK483" s="481"/>
    </row>
    <row r="484" spans="89:89" s="299" customFormat="1" ht="12.75" customHeight="1" x14ac:dyDescent="0.3">
      <c r="CK484" s="481"/>
    </row>
    <row r="485" spans="89:89" s="299" customFormat="1" ht="12.75" customHeight="1" x14ac:dyDescent="0.3">
      <c r="CK485" s="481"/>
    </row>
    <row r="486" spans="89:89" s="299" customFormat="1" ht="12.75" customHeight="1" x14ac:dyDescent="0.3">
      <c r="CK486" s="481"/>
    </row>
    <row r="487" spans="89:89" s="299" customFormat="1" ht="12.75" customHeight="1" x14ac:dyDescent="0.3">
      <c r="CK487" s="481"/>
    </row>
    <row r="488" spans="89:89" s="299" customFormat="1" ht="12.75" customHeight="1" x14ac:dyDescent="0.3">
      <c r="CK488" s="481"/>
    </row>
    <row r="489" spans="89:89" s="299" customFormat="1" ht="12.75" customHeight="1" x14ac:dyDescent="0.3">
      <c r="CK489" s="481"/>
    </row>
    <row r="490" spans="89:89" s="299" customFormat="1" ht="12.75" customHeight="1" x14ac:dyDescent="0.3">
      <c r="CK490" s="481"/>
    </row>
    <row r="491" spans="89:89" s="299" customFormat="1" ht="12.75" customHeight="1" x14ac:dyDescent="0.3">
      <c r="CK491" s="481"/>
    </row>
    <row r="492" spans="89:89" s="299" customFormat="1" ht="12.75" customHeight="1" x14ac:dyDescent="0.3">
      <c r="CK492" s="481"/>
    </row>
    <row r="493" spans="89:89" s="299" customFormat="1" ht="12.75" customHeight="1" x14ac:dyDescent="0.3">
      <c r="CK493" s="481"/>
    </row>
    <row r="494" spans="89:89" s="299" customFormat="1" ht="12.75" customHeight="1" x14ac:dyDescent="0.3">
      <c r="CK494" s="481"/>
    </row>
    <row r="495" spans="89:89" s="299" customFormat="1" ht="12.75" customHeight="1" x14ac:dyDescent="0.3">
      <c r="CK495" s="481"/>
    </row>
    <row r="496" spans="89:89" s="299" customFormat="1" ht="12.75" customHeight="1" x14ac:dyDescent="0.3">
      <c r="CK496" s="481"/>
    </row>
    <row r="497" spans="89:89" s="299" customFormat="1" ht="12.75" customHeight="1" x14ac:dyDescent="0.3">
      <c r="CK497" s="481"/>
    </row>
    <row r="498" spans="89:89" s="299" customFormat="1" ht="12.75" customHeight="1" x14ac:dyDescent="0.3">
      <c r="CK498" s="481"/>
    </row>
    <row r="499" spans="89:89" s="299" customFormat="1" ht="12.75" customHeight="1" x14ac:dyDescent="0.3">
      <c r="CK499" s="481"/>
    </row>
    <row r="500" spans="89:89" s="299" customFormat="1" ht="12.75" customHeight="1" x14ac:dyDescent="0.3">
      <c r="CK500" s="481"/>
    </row>
    <row r="501" spans="89:89" s="299" customFormat="1" ht="12.75" customHeight="1" x14ac:dyDescent="0.3">
      <c r="CK501" s="481"/>
    </row>
    <row r="502" spans="89:89" s="299" customFormat="1" ht="12.75" customHeight="1" x14ac:dyDescent="0.3">
      <c r="CK502" s="481"/>
    </row>
    <row r="503" spans="89:89" s="299" customFormat="1" ht="12.75" customHeight="1" x14ac:dyDescent="0.3">
      <c r="CK503" s="481"/>
    </row>
    <row r="504" spans="89:89" s="299" customFormat="1" ht="12.75" customHeight="1" x14ac:dyDescent="0.3">
      <c r="CK504" s="481"/>
    </row>
    <row r="505" spans="89:89" s="299" customFormat="1" ht="12.75" customHeight="1" x14ac:dyDescent="0.3">
      <c r="CK505" s="481"/>
    </row>
    <row r="506" spans="89:89" s="299" customFormat="1" ht="12.75" customHeight="1" x14ac:dyDescent="0.3">
      <c r="CK506" s="481"/>
    </row>
    <row r="507" spans="89:89" s="299" customFormat="1" ht="12.75" customHeight="1" x14ac:dyDescent="0.3">
      <c r="CK507" s="481"/>
    </row>
    <row r="508" spans="89:89" s="299" customFormat="1" ht="12.75" customHeight="1" x14ac:dyDescent="0.3">
      <c r="CK508" s="481"/>
    </row>
    <row r="509" spans="89:89" s="299" customFormat="1" ht="12.75" customHeight="1" x14ac:dyDescent="0.3">
      <c r="CK509" s="481"/>
    </row>
    <row r="510" spans="89:89" s="299" customFormat="1" ht="12.75" customHeight="1" x14ac:dyDescent="0.3">
      <c r="CK510" s="481"/>
    </row>
    <row r="511" spans="89:89" s="299" customFormat="1" ht="12.75" customHeight="1" x14ac:dyDescent="0.3">
      <c r="CK511" s="481"/>
    </row>
    <row r="512" spans="89:89" s="299" customFormat="1" ht="12.75" customHeight="1" x14ac:dyDescent="0.3">
      <c r="CK512" s="481"/>
    </row>
    <row r="513" spans="89:89" s="299" customFormat="1" ht="12.75" customHeight="1" x14ac:dyDescent="0.3">
      <c r="CK513" s="481"/>
    </row>
    <row r="514" spans="89:89" s="299" customFormat="1" ht="12.75" customHeight="1" x14ac:dyDescent="0.3">
      <c r="CK514" s="481"/>
    </row>
    <row r="515" spans="89:89" s="299" customFormat="1" ht="12.75" customHeight="1" x14ac:dyDescent="0.3">
      <c r="CK515" s="481"/>
    </row>
    <row r="516" spans="89:89" s="299" customFormat="1" ht="12.75" customHeight="1" x14ac:dyDescent="0.3">
      <c r="CK516" s="481"/>
    </row>
    <row r="517" spans="89:89" s="299" customFormat="1" ht="12.75" customHeight="1" x14ac:dyDescent="0.3">
      <c r="CK517" s="481"/>
    </row>
    <row r="518" spans="89:89" s="299" customFormat="1" ht="12.75" customHeight="1" x14ac:dyDescent="0.3">
      <c r="CK518" s="481"/>
    </row>
    <row r="519" spans="89:89" s="299" customFormat="1" ht="12.75" customHeight="1" x14ac:dyDescent="0.3">
      <c r="CK519" s="481"/>
    </row>
    <row r="520" spans="89:89" s="299" customFormat="1" ht="12.75" customHeight="1" x14ac:dyDescent="0.3">
      <c r="CK520" s="481"/>
    </row>
    <row r="521" spans="89:89" s="299" customFormat="1" ht="12.75" customHeight="1" x14ac:dyDescent="0.3">
      <c r="CK521" s="481"/>
    </row>
    <row r="522" spans="89:89" s="299" customFormat="1" ht="12.75" customHeight="1" x14ac:dyDescent="0.3">
      <c r="CK522" s="481"/>
    </row>
    <row r="523" spans="89:89" s="299" customFormat="1" ht="12.75" customHeight="1" x14ac:dyDescent="0.3">
      <c r="CK523" s="481"/>
    </row>
    <row r="524" spans="89:89" s="299" customFormat="1" ht="12.75" customHeight="1" x14ac:dyDescent="0.3">
      <c r="CK524" s="481"/>
    </row>
    <row r="525" spans="89:89" s="299" customFormat="1" ht="12.75" customHeight="1" x14ac:dyDescent="0.3">
      <c r="CK525" s="481"/>
    </row>
    <row r="526" spans="89:89" s="299" customFormat="1" ht="12.75" customHeight="1" x14ac:dyDescent="0.3">
      <c r="CK526" s="481"/>
    </row>
    <row r="527" spans="89:89" s="299" customFormat="1" ht="12.75" customHeight="1" x14ac:dyDescent="0.3">
      <c r="CK527" s="481"/>
    </row>
    <row r="528" spans="89:89" s="299" customFormat="1" ht="12.75" customHeight="1" x14ac:dyDescent="0.3">
      <c r="CK528" s="481"/>
    </row>
    <row r="529" spans="89:89" s="299" customFormat="1" ht="12.75" customHeight="1" x14ac:dyDescent="0.3">
      <c r="CK529" s="481"/>
    </row>
    <row r="530" spans="89:89" s="299" customFormat="1" ht="12.75" customHeight="1" x14ac:dyDescent="0.3">
      <c r="CK530" s="481"/>
    </row>
    <row r="531" spans="89:89" s="299" customFormat="1" ht="12.75" customHeight="1" x14ac:dyDescent="0.3">
      <c r="CK531" s="481"/>
    </row>
    <row r="532" spans="89:89" s="299" customFormat="1" ht="12.75" customHeight="1" x14ac:dyDescent="0.3">
      <c r="CK532" s="481"/>
    </row>
    <row r="533" spans="89:89" s="299" customFormat="1" ht="12.75" customHeight="1" x14ac:dyDescent="0.3">
      <c r="CK533" s="481"/>
    </row>
    <row r="534" spans="89:89" s="299" customFormat="1" ht="12.75" customHeight="1" x14ac:dyDescent="0.3">
      <c r="CK534" s="481"/>
    </row>
    <row r="535" spans="89:89" s="299" customFormat="1" ht="12.75" customHeight="1" x14ac:dyDescent="0.3">
      <c r="CK535" s="481"/>
    </row>
    <row r="536" spans="89:89" s="299" customFormat="1" ht="12.75" customHeight="1" x14ac:dyDescent="0.3">
      <c r="CK536" s="481"/>
    </row>
    <row r="537" spans="89:89" s="299" customFormat="1" ht="12.75" customHeight="1" x14ac:dyDescent="0.3">
      <c r="CK537" s="481"/>
    </row>
    <row r="538" spans="89:89" s="299" customFormat="1" ht="12.75" customHeight="1" x14ac:dyDescent="0.3">
      <c r="CK538" s="481"/>
    </row>
    <row r="539" spans="89:89" s="299" customFormat="1" ht="12.75" customHeight="1" x14ac:dyDescent="0.3">
      <c r="CK539" s="481"/>
    </row>
    <row r="540" spans="89:89" s="299" customFormat="1" ht="12.75" customHeight="1" x14ac:dyDescent="0.3">
      <c r="CK540" s="481"/>
    </row>
    <row r="541" spans="89:89" s="299" customFormat="1" ht="12.75" customHeight="1" x14ac:dyDescent="0.3">
      <c r="CK541" s="481"/>
    </row>
    <row r="542" spans="89:89" s="299" customFormat="1" ht="12.75" customHeight="1" x14ac:dyDescent="0.3">
      <c r="CK542" s="481"/>
    </row>
    <row r="543" spans="89:89" s="299" customFormat="1" ht="12.75" customHeight="1" x14ac:dyDescent="0.3">
      <c r="CK543" s="481"/>
    </row>
    <row r="544" spans="89:89" s="299" customFormat="1" ht="12.75" customHeight="1" x14ac:dyDescent="0.3">
      <c r="CK544" s="481"/>
    </row>
    <row r="545" spans="89:89" s="299" customFormat="1" ht="12.75" customHeight="1" x14ac:dyDescent="0.3">
      <c r="CK545" s="481"/>
    </row>
    <row r="546" spans="89:89" s="299" customFormat="1" ht="12.75" customHeight="1" x14ac:dyDescent="0.3">
      <c r="CK546" s="481"/>
    </row>
    <row r="547" spans="89:89" s="299" customFormat="1" ht="12.75" customHeight="1" x14ac:dyDescent="0.3">
      <c r="CK547" s="481"/>
    </row>
    <row r="548" spans="89:89" s="299" customFormat="1" ht="12.75" customHeight="1" x14ac:dyDescent="0.3">
      <c r="CK548" s="481"/>
    </row>
    <row r="549" spans="89:89" s="299" customFormat="1" ht="12.75" customHeight="1" x14ac:dyDescent="0.3">
      <c r="CK549" s="481"/>
    </row>
    <row r="550" spans="89:89" s="299" customFormat="1" ht="12.75" customHeight="1" x14ac:dyDescent="0.3">
      <c r="CK550" s="481"/>
    </row>
    <row r="551" spans="89:89" s="299" customFormat="1" ht="12.75" customHeight="1" x14ac:dyDescent="0.3">
      <c r="CK551" s="481"/>
    </row>
    <row r="552" spans="89:89" s="299" customFormat="1" ht="12.75" customHeight="1" x14ac:dyDescent="0.3">
      <c r="CK552" s="481"/>
    </row>
    <row r="553" spans="89:89" s="299" customFormat="1" ht="12.75" customHeight="1" x14ac:dyDescent="0.3">
      <c r="CK553" s="481"/>
    </row>
    <row r="554" spans="89:89" s="299" customFormat="1" ht="12.75" customHeight="1" x14ac:dyDescent="0.3">
      <c r="CK554" s="481"/>
    </row>
    <row r="555" spans="89:89" s="299" customFormat="1" ht="12.75" customHeight="1" x14ac:dyDescent="0.3">
      <c r="CK555" s="481"/>
    </row>
    <row r="556" spans="89:89" s="299" customFormat="1" ht="12.75" customHeight="1" x14ac:dyDescent="0.3">
      <c r="CK556" s="481"/>
    </row>
    <row r="557" spans="89:89" s="299" customFormat="1" ht="12.75" customHeight="1" x14ac:dyDescent="0.3">
      <c r="CK557" s="481"/>
    </row>
    <row r="558" spans="89:89" s="299" customFormat="1" ht="12.75" customHeight="1" x14ac:dyDescent="0.3">
      <c r="CK558" s="481"/>
    </row>
    <row r="559" spans="89:89" s="299" customFormat="1" ht="12.75" customHeight="1" x14ac:dyDescent="0.3">
      <c r="CK559" s="481"/>
    </row>
    <row r="560" spans="89:89" s="299" customFormat="1" ht="12.75" customHeight="1" x14ac:dyDescent="0.3">
      <c r="CK560" s="481"/>
    </row>
    <row r="561" spans="89:89" s="299" customFormat="1" ht="12.75" customHeight="1" x14ac:dyDescent="0.3">
      <c r="CK561" s="481"/>
    </row>
    <row r="562" spans="89:89" s="299" customFormat="1" ht="12.75" customHeight="1" x14ac:dyDescent="0.3">
      <c r="CK562" s="481"/>
    </row>
    <row r="563" spans="89:89" s="299" customFormat="1" ht="12.75" customHeight="1" x14ac:dyDescent="0.3">
      <c r="CK563" s="481"/>
    </row>
    <row r="564" spans="89:89" s="299" customFormat="1" ht="12.75" customHeight="1" x14ac:dyDescent="0.3">
      <c r="CK564" s="481"/>
    </row>
    <row r="565" spans="89:89" s="299" customFormat="1" ht="12.75" customHeight="1" x14ac:dyDescent="0.3">
      <c r="CK565" s="481"/>
    </row>
    <row r="566" spans="89:89" s="299" customFormat="1" ht="12.75" customHeight="1" x14ac:dyDescent="0.3">
      <c r="CK566" s="481"/>
    </row>
    <row r="567" spans="89:89" s="299" customFormat="1" ht="12.75" customHeight="1" x14ac:dyDescent="0.3">
      <c r="CK567" s="481"/>
    </row>
    <row r="568" spans="89:89" s="299" customFormat="1" ht="12.75" customHeight="1" x14ac:dyDescent="0.3">
      <c r="CK568" s="481"/>
    </row>
    <row r="569" spans="89:89" s="299" customFormat="1" ht="12.75" customHeight="1" x14ac:dyDescent="0.3">
      <c r="CK569" s="481"/>
    </row>
    <row r="570" spans="89:89" s="299" customFormat="1" ht="12.75" customHeight="1" x14ac:dyDescent="0.3">
      <c r="CK570" s="481"/>
    </row>
    <row r="571" spans="89:89" s="299" customFormat="1" ht="12.75" customHeight="1" x14ac:dyDescent="0.3">
      <c r="CK571" s="481"/>
    </row>
    <row r="572" spans="89:89" s="299" customFormat="1" ht="12.75" customHeight="1" x14ac:dyDescent="0.3">
      <c r="CK572" s="481"/>
    </row>
    <row r="573" spans="89:89" s="299" customFormat="1" ht="12.75" customHeight="1" x14ac:dyDescent="0.3">
      <c r="CK573" s="481"/>
    </row>
    <row r="574" spans="89:89" s="299" customFormat="1" ht="12.75" customHeight="1" x14ac:dyDescent="0.3">
      <c r="CK574" s="481"/>
    </row>
    <row r="575" spans="89:89" s="299" customFormat="1" ht="12.75" customHeight="1" x14ac:dyDescent="0.3">
      <c r="CK575" s="481"/>
    </row>
    <row r="576" spans="89:89" s="299" customFormat="1" ht="12.75" customHeight="1" x14ac:dyDescent="0.3">
      <c r="CK576" s="481"/>
    </row>
    <row r="577" spans="89:89" s="299" customFormat="1" ht="12.75" customHeight="1" x14ac:dyDescent="0.3">
      <c r="CK577" s="481"/>
    </row>
    <row r="578" spans="89:89" s="299" customFormat="1" ht="12.75" customHeight="1" x14ac:dyDescent="0.3">
      <c r="CK578" s="481"/>
    </row>
    <row r="579" spans="89:89" s="299" customFormat="1" ht="12.75" customHeight="1" x14ac:dyDescent="0.3">
      <c r="CK579" s="481"/>
    </row>
    <row r="580" spans="89:89" s="299" customFormat="1" ht="12.75" customHeight="1" x14ac:dyDescent="0.3">
      <c r="CK580" s="481"/>
    </row>
    <row r="581" spans="89:89" s="299" customFormat="1" ht="12.75" customHeight="1" x14ac:dyDescent="0.3">
      <c r="CK581" s="481"/>
    </row>
    <row r="582" spans="89:89" s="299" customFormat="1" ht="12.75" customHeight="1" x14ac:dyDescent="0.3">
      <c r="CK582" s="481"/>
    </row>
    <row r="583" spans="89:89" s="299" customFormat="1" ht="12.75" customHeight="1" x14ac:dyDescent="0.3">
      <c r="CK583" s="481"/>
    </row>
    <row r="584" spans="89:89" s="299" customFormat="1" ht="12.75" customHeight="1" x14ac:dyDescent="0.3">
      <c r="CK584" s="481"/>
    </row>
    <row r="585" spans="89:89" s="299" customFormat="1" ht="12.75" customHeight="1" x14ac:dyDescent="0.3">
      <c r="CK585" s="481"/>
    </row>
    <row r="586" spans="89:89" s="299" customFormat="1" ht="12.75" customHeight="1" x14ac:dyDescent="0.3">
      <c r="CK586" s="481"/>
    </row>
    <row r="587" spans="89:89" s="299" customFormat="1" ht="12.75" customHeight="1" x14ac:dyDescent="0.3">
      <c r="CK587" s="481"/>
    </row>
    <row r="588" spans="89:89" s="299" customFormat="1" ht="12.75" customHeight="1" x14ac:dyDescent="0.3">
      <c r="CK588" s="481"/>
    </row>
    <row r="589" spans="89:89" s="299" customFormat="1" ht="12.75" customHeight="1" x14ac:dyDescent="0.3">
      <c r="CK589" s="481"/>
    </row>
    <row r="590" spans="89:89" s="299" customFormat="1" ht="12.75" customHeight="1" x14ac:dyDescent="0.3">
      <c r="CK590" s="481"/>
    </row>
    <row r="591" spans="89:89" s="299" customFormat="1" ht="12.75" customHeight="1" x14ac:dyDescent="0.3">
      <c r="CK591" s="481"/>
    </row>
    <row r="592" spans="89:89" s="299" customFormat="1" ht="12.75" customHeight="1" x14ac:dyDescent="0.3">
      <c r="CK592" s="481"/>
    </row>
    <row r="593" spans="89:89" s="299" customFormat="1" ht="12.75" customHeight="1" x14ac:dyDescent="0.3">
      <c r="CK593" s="481"/>
    </row>
    <row r="594" spans="89:89" s="299" customFormat="1" ht="12.75" customHeight="1" x14ac:dyDescent="0.3">
      <c r="CK594" s="481"/>
    </row>
    <row r="595" spans="89:89" s="299" customFormat="1" ht="12.75" customHeight="1" x14ac:dyDescent="0.3">
      <c r="CK595" s="481"/>
    </row>
    <row r="596" spans="89:89" s="299" customFormat="1" ht="12.75" customHeight="1" x14ac:dyDescent="0.3">
      <c r="CK596" s="481"/>
    </row>
    <row r="597" spans="89:89" s="299" customFormat="1" ht="12.75" customHeight="1" x14ac:dyDescent="0.3">
      <c r="CK597" s="481"/>
    </row>
    <row r="598" spans="89:89" s="299" customFormat="1" ht="12.75" customHeight="1" x14ac:dyDescent="0.3">
      <c r="CK598" s="481"/>
    </row>
    <row r="599" spans="89:89" s="299" customFormat="1" ht="12.75" customHeight="1" x14ac:dyDescent="0.3">
      <c r="CK599" s="481"/>
    </row>
    <row r="600" spans="89:89" s="299" customFormat="1" ht="12.75" customHeight="1" x14ac:dyDescent="0.3">
      <c r="CK600" s="481"/>
    </row>
    <row r="601" spans="89:89" s="299" customFormat="1" ht="12.75" customHeight="1" x14ac:dyDescent="0.3">
      <c r="CK601" s="481"/>
    </row>
    <row r="602" spans="89:89" s="299" customFormat="1" ht="12.75" customHeight="1" x14ac:dyDescent="0.3">
      <c r="CK602" s="481"/>
    </row>
    <row r="603" spans="89:89" s="299" customFormat="1" ht="12.75" customHeight="1" x14ac:dyDescent="0.3">
      <c r="CK603" s="481"/>
    </row>
    <row r="604" spans="89:89" s="299" customFormat="1" ht="12.75" customHeight="1" x14ac:dyDescent="0.3">
      <c r="CK604" s="481"/>
    </row>
    <row r="605" spans="89:89" s="299" customFormat="1" ht="12.75" customHeight="1" x14ac:dyDescent="0.3">
      <c r="CK605" s="481"/>
    </row>
    <row r="606" spans="89:89" s="299" customFormat="1" ht="12.75" customHeight="1" x14ac:dyDescent="0.3">
      <c r="CK606" s="481"/>
    </row>
    <row r="607" spans="89:89" s="299" customFormat="1" ht="12.75" customHeight="1" x14ac:dyDescent="0.3">
      <c r="CK607" s="481"/>
    </row>
    <row r="608" spans="89:89" s="299" customFormat="1" ht="12.75" customHeight="1" x14ac:dyDescent="0.3">
      <c r="CK608" s="481"/>
    </row>
    <row r="609" spans="89:89" s="299" customFormat="1" ht="12.75" customHeight="1" x14ac:dyDescent="0.3">
      <c r="CK609" s="481"/>
    </row>
    <row r="610" spans="89:89" s="299" customFormat="1" ht="12.75" customHeight="1" x14ac:dyDescent="0.3">
      <c r="CK610" s="481"/>
    </row>
    <row r="611" spans="89:89" s="299" customFormat="1" ht="12.75" customHeight="1" x14ac:dyDescent="0.3">
      <c r="CK611" s="481"/>
    </row>
    <row r="612" spans="89:89" s="299" customFormat="1" ht="12.75" customHeight="1" x14ac:dyDescent="0.3">
      <c r="CK612" s="481"/>
    </row>
    <row r="613" spans="89:89" s="299" customFormat="1" ht="12.75" customHeight="1" x14ac:dyDescent="0.3">
      <c r="CK613" s="481"/>
    </row>
    <row r="614" spans="89:89" s="299" customFormat="1" ht="12.75" customHeight="1" x14ac:dyDescent="0.3">
      <c r="CK614" s="481"/>
    </row>
    <row r="615" spans="89:89" s="299" customFormat="1" ht="12.75" customHeight="1" x14ac:dyDescent="0.3">
      <c r="CK615" s="481"/>
    </row>
    <row r="616" spans="89:89" s="299" customFormat="1" ht="12.75" customHeight="1" x14ac:dyDescent="0.3">
      <c r="CK616" s="481"/>
    </row>
    <row r="617" spans="89:89" s="299" customFormat="1" ht="12.75" customHeight="1" x14ac:dyDescent="0.3">
      <c r="CK617" s="481"/>
    </row>
    <row r="618" spans="89:89" s="299" customFormat="1" ht="12.75" customHeight="1" x14ac:dyDescent="0.3">
      <c r="CK618" s="481"/>
    </row>
    <row r="619" spans="89:89" s="299" customFormat="1" ht="12.75" customHeight="1" x14ac:dyDescent="0.3">
      <c r="CK619" s="481"/>
    </row>
    <row r="620" spans="89:89" s="299" customFormat="1" ht="12.75" customHeight="1" x14ac:dyDescent="0.3">
      <c r="CK620" s="481"/>
    </row>
    <row r="621" spans="89:89" s="299" customFormat="1" ht="12.75" customHeight="1" x14ac:dyDescent="0.3">
      <c r="CK621" s="481"/>
    </row>
    <row r="622" spans="89:89" s="299" customFormat="1" ht="12.75" customHeight="1" x14ac:dyDescent="0.3">
      <c r="CK622" s="481"/>
    </row>
    <row r="623" spans="89:89" s="299" customFormat="1" ht="12.75" customHeight="1" x14ac:dyDescent="0.3">
      <c r="CK623" s="481"/>
    </row>
    <row r="624" spans="89:89" s="299" customFormat="1" ht="12.75" customHeight="1" x14ac:dyDescent="0.3">
      <c r="CK624" s="481"/>
    </row>
    <row r="625" spans="89:89" s="299" customFormat="1" ht="12.75" customHeight="1" x14ac:dyDescent="0.3">
      <c r="CK625" s="481"/>
    </row>
    <row r="626" spans="89:89" s="299" customFormat="1" ht="12.75" customHeight="1" x14ac:dyDescent="0.3">
      <c r="CK626" s="481"/>
    </row>
    <row r="627" spans="89:89" s="299" customFormat="1" ht="12.75" customHeight="1" x14ac:dyDescent="0.3">
      <c r="CK627" s="481"/>
    </row>
    <row r="628" spans="89:89" s="299" customFormat="1" ht="12.75" customHeight="1" x14ac:dyDescent="0.3">
      <c r="CK628" s="481"/>
    </row>
    <row r="629" spans="89:89" s="299" customFormat="1" ht="12.75" customHeight="1" x14ac:dyDescent="0.3">
      <c r="CK629" s="481"/>
    </row>
    <row r="630" spans="89:89" s="299" customFormat="1" ht="12.75" customHeight="1" x14ac:dyDescent="0.3">
      <c r="CK630" s="481"/>
    </row>
    <row r="631" spans="89:89" s="299" customFormat="1" ht="12.75" customHeight="1" x14ac:dyDescent="0.3">
      <c r="CK631" s="481"/>
    </row>
    <row r="632" spans="89:89" s="299" customFormat="1" ht="12.75" customHeight="1" x14ac:dyDescent="0.3">
      <c r="CK632" s="481"/>
    </row>
    <row r="633" spans="89:89" s="299" customFormat="1" ht="12.75" customHeight="1" x14ac:dyDescent="0.3">
      <c r="CK633" s="481"/>
    </row>
    <row r="634" spans="89:89" s="299" customFormat="1" ht="12.75" customHeight="1" x14ac:dyDescent="0.3">
      <c r="CK634" s="481"/>
    </row>
    <row r="635" spans="89:89" s="299" customFormat="1" ht="12.75" customHeight="1" x14ac:dyDescent="0.3">
      <c r="CK635" s="481"/>
    </row>
    <row r="636" spans="89:89" s="299" customFormat="1" ht="12.75" customHeight="1" x14ac:dyDescent="0.3">
      <c r="CK636" s="481"/>
    </row>
    <row r="637" spans="89:89" s="299" customFormat="1" ht="12.75" customHeight="1" x14ac:dyDescent="0.3">
      <c r="CK637" s="481"/>
    </row>
    <row r="638" spans="89:89" s="299" customFormat="1" ht="12.75" customHeight="1" x14ac:dyDescent="0.3">
      <c r="CK638" s="481"/>
    </row>
    <row r="639" spans="89:89" s="299" customFormat="1" ht="12.75" customHeight="1" x14ac:dyDescent="0.3">
      <c r="CK639" s="481"/>
    </row>
    <row r="640" spans="89:89" s="299" customFormat="1" ht="12.75" customHeight="1" x14ac:dyDescent="0.3">
      <c r="CK640" s="481"/>
    </row>
    <row r="641" spans="89:89" s="299" customFormat="1" ht="12.75" customHeight="1" x14ac:dyDescent="0.3">
      <c r="CK641" s="481"/>
    </row>
    <row r="642" spans="89:89" s="299" customFormat="1" ht="12.75" customHeight="1" x14ac:dyDescent="0.3">
      <c r="CK642" s="481"/>
    </row>
    <row r="643" spans="89:89" s="299" customFormat="1" ht="12.75" customHeight="1" x14ac:dyDescent="0.3">
      <c r="CK643" s="481"/>
    </row>
    <row r="644" spans="89:89" s="299" customFormat="1" ht="12.75" customHeight="1" x14ac:dyDescent="0.3">
      <c r="CK644" s="481"/>
    </row>
    <row r="645" spans="89:89" s="299" customFormat="1" ht="12.75" customHeight="1" x14ac:dyDescent="0.3">
      <c r="CK645" s="481"/>
    </row>
    <row r="646" spans="89:89" s="299" customFormat="1" ht="12.75" customHeight="1" x14ac:dyDescent="0.3">
      <c r="CK646" s="481"/>
    </row>
    <row r="647" spans="89:89" s="299" customFormat="1" ht="12.75" customHeight="1" x14ac:dyDescent="0.3">
      <c r="CK647" s="481"/>
    </row>
    <row r="648" spans="89:89" s="299" customFormat="1" ht="12.75" customHeight="1" x14ac:dyDescent="0.3">
      <c r="CK648" s="481"/>
    </row>
    <row r="649" spans="89:89" s="299" customFormat="1" ht="12.75" customHeight="1" x14ac:dyDescent="0.3">
      <c r="CK649" s="481"/>
    </row>
    <row r="650" spans="89:89" s="299" customFormat="1" ht="12.75" customHeight="1" x14ac:dyDescent="0.3">
      <c r="CK650" s="481"/>
    </row>
    <row r="651" spans="89:89" s="299" customFormat="1" ht="12.75" customHeight="1" x14ac:dyDescent="0.3">
      <c r="CK651" s="481"/>
    </row>
    <row r="652" spans="89:89" s="299" customFormat="1" ht="12.75" customHeight="1" x14ac:dyDescent="0.3">
      <c r="CK652" s="481"/>
    </row>
    <row r="653" spans="89:89" s="299" customFormat="1" ht="12.75" customHeight="1" x14ac:dyDescent="0.3">
      <c r="CK653" s="481"/>
    </row>
    <row r="654" spans="89:89" s="299" customFormat="1" ht="12.75" customHeight="1" x14ac:dyDescent="0.3">
      <c r="CK654" s="481"/>
    </row>
    <row r="655" spans="89:89" s="299" customFormat="1" ht="12.75" customHeight="1" x14ac:dyDescent="0.3">
      <c r="CK655" s="481"/>
    </row>
    <row r="656" spans="89:89" s="299" customFormat="1" ht="12.75" customHeight="1" x14ac:dyDescent="0.3">
      <c r="CK656" s="481"/>
    </row>
    <row r="657" spans="89:89" s="299" customFormat="1" ht="12.75" customHeight="1" x14ac:dyDescent="0.3">
      <c r="CK657" s="481"/>
    </row>
    <row r="658" spans="89:89" s="299" customFormat="1" ht="12.75" customHeight="1" x14ac:dyDescent="0.3">
      <c r="CK658" s="481"/>
    </row>
    <row r="659" spans="89:89" s="299" customFormat="1" ht="12.75" customHeight="1" x14ac:dyDescent="0.3">
      <c r="CK659" s="481"/>
    </row>
    <row r="660" spans="89:89" s="299" customFormat="1" ht="12.75" customHeight="1" x14ac:dyDescent="0.3">
      <c r="CK660" s="481"/>
    </row>
    <row r="661" spans="89:89" s="299" customFormat="1" ht="12.75" customHeight="1" x14ac:dyDescent="0.3">
      <c r="CK661" s="481"/>
    </row>
    <row r="662" spans="89:89" s="299" customFormat="1" ht="12.75" customHeight="1" x14ac:dyDescent="0.3">
      <c r="CK662" s="481"/>
    </row>
    <row r="663" spans="89:89" s="299" customFormat="1" ht="12.75" customHeight="1" x14ac:dyDescent="0.3">
      <c r="CK663" s="481"/>
    </row>
    <row r="664" spans="89:89" s="299" customFormat="1" ht="12.75" customHeight="1" x14ac:dyDescent="0.3">
      <c r="CK664" s="481"/>
    </row>
    <row r="665" spans="89:89" s="299" customFormat="1" ht="12.75" customHeight="1" x14ac:dyDescent="0.3">
      <c r="CK665" s="481"/>
    </row>
    <row r="666" spans="89:89" s="299" customFormat="1" ht="12.75" customHeight="1" x14ac:dyDescent="0.3">
      <c r="CK666" s="481"/>
    </row>
    <row r="667" spans="89:89" s="299" customFormat="1" ht="12.75" customHeight="1" x14ac:dyDescent="0.3">
      <c r="CK667" s="481"/>
    </row>
    <row r="668" spans="89:89" s="299" customFormat="1" ht="12.75" customHeight="1" x14ac:dyDescent="0.3">
      <c r="CK668" s="481"/>
    </row>
    <row r="669" spans="89:89" s="299" customFormat="1" ht="12.75" customHeight="1" x14ac:dyDescent="0.3">
      <c r="CK669" s="481"/>
    </row>
    <row r="670" spans="89:89" s="299" customFormat="1" ht="12.75" customHeight="1" x14ac:dyDescent="0.3">
      <c r="CK670" s="481"/>
    </row>
    <row r="671" spans="89:89" s="299" customFormat="1" ht="12.75" customHeight="1" x14ac:dyDescent="0.3">
      <c r="CK671" s="481"/>
    </row>
    <row r="672" spans="89:89" s="299" customFormat="1" ht="12.75" customHeight="1" x14ac:dyDescent="0.3">
      <c r="CK672" s="481"/>
    </row>
    <row r="673" spans="89:89" s="299" customFormat="1" ht="12.75" customHeight="1" x14ac:dyDescent="0.3">
      <c r="CK673" s="481"/>
    </row>
    <row r="674" spans="89:89" s="299" customFormat="1" ht="12.75" customHeight="1" x14ac:dyDescent="0.3">
      <c r="CK674" s="481"/>
    </row>
    <row r="675" spans="89:89" s="299" customFormat="1" ht="12.75" customHeight="1" x14ac:dyDescent="0.3">
      <c r="CK675" s="481"/>
    </row>
    <row r="676" spans="89:89" s="299" customFormat="1" ht="12.75" customHeight="1" x14ac:dyDescent="0.3">
      <c r="CK676" s="481"/>
    </row>
    <row r="677" spans="89:89" s="299" customFormat="1" ht="12.75" customHeight="1" x14ac:dyDescent="0.3">
      <c r="CK677" s="481"/>
    </row>
    <row r="678" spans="89:89" s="299" customFormat="1" ht="12.75" customHeight="1" x14ac:dyDescent="0.3">
      <c r="CK678" s="481"/>
    </row>
    <row r="679" spans="89:89" s="299" customFormat="1" ht="12.75" customHeight="1" x14ac:dyDescent="0.3">
      <c r="CK679" s="481"/>
    </row>
    <row r="680" spans="89:89" s="299" customFormat="1" ht="12.75" customHeight="1" x14ac:dyDescent="0.3">
      <c r="CK680" s="481"/>
    </row>
    <row r="681" spans="89:89" s="299" customFormat="1" ht="12.75" customHeight="1" x14ac:dyDescent="0.3">
      <c r="CK681" s="481"/>
    </row>
    <row r="682" spans="89:89" s="299" customFormat="1" ht="12.75" customHeight="1" x14ac:dyDescent="0.3">
      <c r="CK682" s="481"/>
    </row>
    <row r="683" spans="89:89" s="299" customFormat="1" ht="12.75" customHeight="1" x14ac:dyDescent="0.3">
      <c r="CK683" s="481"/>
    </row>
    <row r="684" spans="89:89" s="299" customFormat="1" ht="12.75" customHeight="1" x14ac:dyDescent="0.3">
      <c r="CK684" s="481"/>
    </row>
    <row r="685" spans="89:89" s="299" customFormat="1" ht="12.75" customHeight="1" x14ac:dyDescent="0.3">
      <c r="CK685" s="481"/>
    </row>
    <row r="686" spans="89:89" s="299" customFormat="1" ht="12.75" customHeight="1" x14ac:dyDescent="0.3">
      <c r="CK686" s="481"/>
    </row>
    <row r="687" spans="89:89" s="299" customFormat="1" ht="12.75" customHeight="1" x14ac:dyDescent="0.3">
      <c r="CK687" s="481"/>
    </row>
    <row r="688" spans="89:89" s="299" customFormat="1" ht="12.75" customHeight="1" x14ac:dyDescent="0.3">
      <c r="CK688" s="481"/>
    </row>
    <row r="689" spans="89:89" s="299" customFormat="1" ht="12.75" customHeight="1" x14ac:dyDescent="0.3">
      <c r="CK689" s="481"/>
    </row>
    <row r="690" spans="89:89" s="299" customFormat="1" ht="12.75" customHeight="1" x14ac:dyDescent="0.3">
      <c r="CK690" s="481"/>
    </row>
    <row r="691" spans="89:89" s="299" customFormat="1" ht="12.75" customHeight="1" x14ac:dyDescent="0.3">
      <c r="CK691" s="481"/>
    </row>
    <row r="692" spans="89:89" s="299" customFormat="1" ht="12.75" customHeight="1" x14ac:dyDescent="0.3">
      <c r="CK692" s="481"/>
    </row>
    <row r="693" spans="89:89" s="299" customFormat="1" ht="12.75" customHeight="1" x14ac:dyDescent="0.3">
      <c r="CK693" s="481"/>
    </row>
    <row r="694" spans="89:89" s="299" customFormat="1" ht="12.75" customHeight="1" x14ac:dyDescent="0.3">
      <c r="CK694" s="481"/>
    </row>
    <row r="695" spans="89:89" s="299" customFormat="1" ht="12.75" customHeight="1" x14ac:dyDescent="0.3">
      <c r="CK695" s="481"/>
    </row>
    <row r="696" spans="89:89" s="299" customFormat="1" ht="12.75" customHeight="1" x14ac:dyDescent="0.3">
      <c r="CK696" s="481"/>
    </row>
    <row r="697" spans="89:89" s="299" customFormat="1" ht="12.75" customHeight="1" x14ac:dyDescent="0.3">
      <c r="CK697" s="481"/>
    </row>
    <row r="698" spans="89:89" s="299" customFormat="1" ht="12.75" customHeight="1" x14ac:dyDescent="0.3">
      <c r="CK698" s="481"/>
    </row>
    <row r="699" spans="89:89" s="299" customFormat="1" ht="12.75" customHeight="1" x14ac:dyDescent="0.3">
      <c r="CK699" s="481"/>
    </row>
    <row r="700" spans="89:89" s="299" customFormat="1" ht="12.75" customHeight="1" x14ac:dyDescent="0.3">
      <c r="CK700" s="481"/>
    </row>
    <row r="701" spans="89:89" s="299" customFormat="1" ht="12.75" customHeight="1" x14ac:dyDescent="0.3">
      <c r="CK701" s="481"/>
    </row>
    <row r="702" spans="89:89" s="299" customFormat="1" ht="12.75" customHeight="1" x14ac:dyDescent="0.3">
      <c r="CK702" s="481"/>
    </row>
    <row r="703" spans="89:89" s="299" customFormat="1" ht="12.75" customHeight="1" x14ac:dyDescent="0.3">
      <c r="CK703" s="481"/>
    </row>
    <row r="704" spans="89:89" s="299" customFormat="1" ht="12.75" customHeight="1" x14ac:dyDescent="0.3">
      <c r="CK704" s="481"/>
    </row>
    <row r="705" spans="89:89" s="299" customFormat="1" ht="12.75" customHeight="1" x14ac:dyDescent="0.3">
      <c r="CK705" s="481"/>
    </row>
    <row r="706" spans="89:89" s="299" customFormat="1" ht="12.75" customHeight="1" x14ac:dyDescent="0.3">
      <c r="CK706" s="481"/>
    </row>
    <row r="707" spans="89:89" s="299" customFormat="1" ht="12.75" customHeight="1" x14ac:dyDescent="0.3">
      <c r="CK707" s="481"/>
    </row>
    <row r="708" spans="89:89" s="299" customFormat="1" ht="12.75" customHeight="1" x14ac:dyDescent="0.3">
      <c r="CK708" s="481"/>
    </row>
    <row r="709" spans="89:89" s="299" customFormat="1" ht="12.75" customHeight="1" x14ac:dyDescent="0.3">
      <c r="CK709" s="481"/>
    </row>
    <row r="710" spans="89:89" s="299" customFormat="1" ht="12.75" customHeight="1" x14ac:dyDescent="0.3">
      <c r="CK710" s="481"/>
    </row>
    <row r="711" spans="89:89" s="299" customFormat="1" ht="12.75" customHeight="1" x14ac:dyDescent="0.3">
      <c r="CK711" s="481"/>
    </row>
    <row r="712" spans="89:89" s="299" customFormat="1" ht="12.75" customHeight="1" x14ac:dyDescent="0.3">
      <c r="CK712" s="481"/>
    </row>
    <row r="713" spans="89:89" s="299" customFormat="1" ht="12.75" customHeight="1" x14ac:dyDescent="0.3">
      <c r="CK713" s="481"/>
    </row>
    <row r="714" spans="89:89" s="299" customFormat="1" ht="12.75" customHeight="1" x14ac:dyDescent="0.3">
      <c r="CK714" s="481"/>
    </row>
    <row r="715" spans="89:89" s="299" customFormat="1" ht="12.75" customHeight="1" x14ac:dyDescent="0.3">
      <c r="CK715" s="481"/>
    </row>
    <row r="716" spans="89:89" s="299" customFormat="1" ht="12.75" customHeight="1" x14ac:dyDescent="0.3">
      <c r="CK716" s="481"/>
    </row>
    <row r="717" spans="89:89" s="299" customFormat="1" ht="12.75" customHeight="1" x14ac:dyDescent="0.3">
      <c r="CK717" s="481"/>
    </row>
    <row r="718" spans="89:89" s="299" customFormat="1" ht="12.75" customHeight="1" x14ac:dyDescent="0.3">
      <c r="CK718" s="481"/>
    </row>
    <row r="719" spans="89:89" s="299" customFormat="1" ht="12.75" customHeight="1" x14ac:dyDescent="0.3">
      <c r="CK719" s="481"/>
    </row>
    <row r="720" spans="89:89" s="299" customFormat="1" ht="12.75" customHeight="1" x14ac:dyDescent="0.3">
      <c r="CK720" s="481"/>
    </row>
    <row r="721" spans="89:89" s="299" customFormat="1" ht="12.75" customHeight="1" x14ac:dyDescent="0.3">
      <c r="CK721" s="481"/>
    </row>
    <row r="722" spans="89:89" s="299" customFormat="1" ht="12.75" customHeight="1" x14ac:dyDescent="0.3">
      <c r="CK722" s="481"/>
    </row>
    <row r="723" spans="89:89" s="299" customFormat="1" ht="12.75" customHeight="1" x14ac:dyDescent="0.3">
      <c r="CK723" s="481"/>
    </row>
    <row r="724" spans="89:89" s="299" customFormat="1" ht="12.75" customHeight="1" x14ac:dyDescent="0.3">
      <c r="CK724" s="481"/>
    </row>
    <row r="725" spans="89:89" s="299" customFormat="1" ht="12.75" customHeight="1" x14ac:dyDescent="0.3">
      <c r="CK725" s="481"/>
    </row>
    <row r="726" spans="89:89" s="299" customFormat="1" ht="12.75" customHeight="1" x14ac:dyDescent="0.3">
      <c r="CK726" s="481"/>
    </row>
    <row r="727" spans="89:89" s="299" customFormat="1" ht="12.75" customHeight="1" x14ac:dyDescent="0.3">
      <c r="CK727" s="481"/>
    </row>
    <row r="728" spans="89:89" s="299" customFormat="1" ht="12.75" customHeight="1" x14ac:dyDescent="0.3">
      <c r="CK728" s="481"/>
    </row>
    <row r="729" spans="89:89" s="299" customFormat="1" ht="12.75" customHeight="1" x14ac:dyDescent="0.3">
      <c r="CK729" s="481"/>
    </row>
    <row r="730" spans="89:89" s="299" customFormat="1" ht="12.75" customHeight="1" x14ac:dyDescent="0.3">
      <c r="CK730" s="481"/>
    </row>
    <row r="731" spans="89:89" s="299" customFormat="1" ht="12.75" customHeight="1" x14ac:dyDescent="0.3">
      <c r="CK731" s="481"/>
    </row>
    <row r="732" spans="89:89" s="299" customFormat="1" ht="12.75" customHeight="1" x14ac:dyDescent="0.3">
      <c r="CK732" s="481"/>
    </row>
    <row r="733" spans="89:89" s="299" customFormat="1" ht="12.75" customHeight="1" x14ac:dyDescent="0.3">
      <c r="CK733" s="481"/>
    </row>
    <row r="734" spans="89:89" s="299" customFormat="1" ht="12.75" customHeight="1" x14ac:dyDescent="0.3">
      <c r="CK734" s="481"/>
    </row>
    <row r="735" spans="89:89" s="299" customFormat="1" ht="12.75" customHeight="1" x14ac:dyDescent="0.3">
      <c r="CK735" s="481"/>
    </row>
    <row r="736" spans="89:89" s="299" customFormat="1" ht="12.75" customHeight="1" x14ac:dyDescent="0.3">
      <c r="CK736" s="481"/>
    </row>
    <row r="737" spans="89:89" s="299" customFormat="1" ht="12.75" customHeight="1" x14ac:dyDescent="0.3">
      <c r="CK737" s="481"/>
    </row>
    <row r="738" spans="89:89" s="299" customFormat="1" ht="12.75" customHeight="1" x14ac:dyDescent="0.3">
      <c r="CK738" s="481"/>
    </row>
    <row r="739" spans="89:89" s="299" customFormat="1" ht="12.75" customHeight="1" x14ac:dyDescent="0.3">
      <c r="CK739" s="481"/>
    </row>
    <row r="740" spans="89:89" s="299" customFormat="1" ht="12.75" customHeight="1" x14ac:dyDescent="0.3">
      <c r="CK740" s="481"/>
    </row>
    <row r="741" spans="89:89" s="299" customFormat="1" ht="12.75" customHeight="1" x14ac:dyDescent="0.3">
      <c r="CK741" s="481"/>
    </row>
    <row r="742" spans="89:89" s="299" customFormat="1" ht="12.75" customHeight="1" x14ac:dyDescent="0.3">
      <c r="CK742" s="481"/>
    </row>
    <row r="743" spans="89:89" s="299" customFormat="1" ht="12.75" customHeight="1" x14ac:dyDescent="0.3">
      <c r="CK743" s="481"/>
    </row>
    <row r="744" spans="89:89" s="299" customFormat="1" ht="12.75" customHeight="1" x14ac:dyDescent="0.3">
      <c r="CK744" s="481"/>
    </row>
    <row r="745" spans="89:89" s="299" customFormat="1" ht="12.75" customHeight="1" x14ac:dyDescent="0.3">
      <c r="CK745" s="481"/>
    </row>
    <row r="746" spans="89:89" s="299" customFormat="1" ht="12.75" customHeight="1" x14ac:dyDescent="0.3">
      <c r="CK746" s="481"/>
    </row>
    <row r="747" spans="89:89" s="299" customFormat="1" ht="12.75" customHeight="1" x14ac:dyDescent="0.3">
      <c r="CK747" s="481"/>
    </row>
    <row r="748" spans="89:89" s="299" customFormat="1" ht="12.75" customHeight="1" x14ac:dyDescent="0.3">
      <c r="CK748" s="481"/>
    </row>
    <row r="749" spans="89:89" s="299" customFormat="1" ht="12.75" customHeight="1" x14ac:dyDescent="0.3">
      <c r="CK749" s="481"/>
    </row>
    <row r="750" spans="89:89" s="299" customFormat="1" ht="12.75" customHeight="1" x14ac:dyDescent="0.3">
      <c r="CK750" s="481"/>
    </row>
    <row r="751" spans="89:89" s="299" customFormat="1" ht="12.75" customHeight="1" x14ac:dyDescent="0.3">
      <c r="CK751" s="481"/>
    </row>
    <row r="752" spans="89:89" s="299" customFormat="1" ht="12.75" customHeight="1" x14ac:dyDescent="0.3">
      <c r="CK752" s="481"/>
    </row>
    <row r="753" spans="89:89" s="299" customFormat="1" ht="12.75" customHeight="1" x14ac:dyDescent="0.3">
      <c r="CK753" s="481"/>
    </row>
    <row r="754" spans="89:89" s="299" customFormat="1" ht="12.75" customHeight="1" x14ac:dyDescent="0.3">
      <c r="CK754" s="481"/>
    </row>
    <row r="755" spans="89:89" s="299" customFormat="1" ht="12.75" customHeight="1" x14ac:dyDescent="0.3">
      <c r="CK755" s="481"/>
    </row>
    <row r="756" spans="89:89" s="299" customFormat="1" ht="12.75" customHeight="1" x14ac:dyDescent="0.3">
      <c r="CK756" s="481"/>
    </row>
    <row r="757" spans="89:89" s="299" customFormat="1" ht="12.75" customHeight="1" x14ac:dyDescent="0.3">
      <c r="CK757" s="481"/>
    </row>
    <row r="758" spans="89:89" s="299" customFormat="1" ht="12.75" customHeight="1" x14ac:dyDescent="0.3">
      <c r="CK758" s="481"/>
    </row>
    <row r="759" spans="89:89" s="299" customFormat="1" ht="12.75" customHeight="1" x14ac:dyDescent="0.3">
      <c r="CK759" s="481"/>
    </row>
    <row r="760" spans="89:89" s="299" customFormat="1" ht="12.75" customHeight="1" x14ac:dyDescent="0.3">
      <c r="CK760" s="481"/>
    </row>
    <row r="761" spans="89:89" s="299" customFormat="1" ht="12.75" customHeight="1" x14ac:dyDescent="0.3">
      <c r="CK761" s="481"/>
    </row>
    <row r="762" spans="89:89" s="299" customFormat="1" ht="12.75" customHeight="1" x14ac:dyDescent="0.3">
      <c r="CK762" s="481"/>
    </row>
    <row r="763" spans="89:89" s="299" customFormat="1" ht="12.75" customHeight="1" x14ac:dyDescent="0.3">
      <c r="CK763" s="481"/>
    </row>
    <row r="764" spans="89:89" s="299" customFormat="1" ht="12.75" customHeight="1" x14ac:dyDescent="0.3">
      <c r="CK764" s="481"/>
    </row>
    <row r="765" spans="89:89" s="299" customFormat="1" ht="12.75" customHeight="1" x14ac:dyDescent="0.3">
      <c r="CK765" s="481"/>
    </row>
    <row r="766" spans="89:89" s="299" customFormat="1" ht="12.75" customHeight="1" x14ac:dyDescent="0.3">
      <c r="CK766" s="481"/>
    </row>
    <row r="767" spans="89:89" s="299" customFormat="1" ht="12.75" customHeight="1" x14ac:dyDescent="0.3">
      <c r="CK767" s="481"/>
    </row>
    <row r="768" spans="89:89" s="299" customFormat="1" ht="12.75" customHeight="1" x14ac:dyDescent="0.3">
      <c r="CK768" s="481"/>
    </row>
    <row r="769" spans="89:89" s="299" customFormat="1" ht="12.75" customHeight="1" x14ac:dyDescent="0.3">
      <c r="CK769" s="481"/>
    </row>
    <row r="770" spans="89:89" s="299" customFormat="1" ht="12.75" customHeight="1" x14ac:dyDescent="0.3">
      <c r="CK770" s="481"/>
    </row>
    <row r="771" spans="89:89" s="299" customFormat="1" ht="12.75" customHeight="1" x14ac:dyDescent="0.3">
      <c r="CK771" s="481"/>
    </row>
    <row r="772" spans="89:89" s="299" customFormat="1" ht="12.75" customHeight="1" x14ac:dyDescent="0.3">
      <c r="CK772" s="481"/>
    </row>
    <row r="773" spans="89:89" s="299" customFormat="1" ht="12.75" customHeight="1" x14ac:dyDescent="0.3">
      <c r="CK773" s="481"/>
    </row>
    <row r="774" spans="89:89" s="299" customFormat="1" ht="12.75" customHeight="1" x14ac:dyDescent="0.3">
      <c r="CK774" s="481"/>
    </row>
    <row r="775" spans="89:89" s="299" customFormat="1" ht="12.75" customHeight="1" x14ac:dyDescent="0.3">
      <c r="CK775" s="481"/>
    </row>
    <row r="776" spans="89:89" s="299" customFormat="1" ht="12.75" customHeight="1" x14ac:dyDescent="0.3">
      <c r="CK776" s="481"/>
    </row>
    <row r="777" spans="89:89" s="299" customFormat="1" ht="12.75" customHeight="1" x14ac:dyDescent="0.3">
      <c r="CK777" s="481"/>
    </row>
    <row r="778" spans="89:89" s="299" customFormat="1" ht="12.75" customHeight="1" x14ac:dyDescent="0.3">
      <c r="CK778" s="481"/>
    </row>
    <row r="779" spans="89:89" s="299" customFormat="1" ht="12.75" customHeight="1" x14ac:dyDescent="0.3">
      <c r="CK779" s="481"/>
    </row>
    <row r="780" spans="89:89" s="299" customFormat="1" ht="12.75" customHeight="1" x14ac:dyDescent="0.3">
      <c r="CK780" s="481"/>
    </row>
    <row r="781" spans="89:89" s="299" customFormat="1" ht="12.75" customHeight="1" x14ac:dyDescent="0.3">
      <c r="CK781" s="481"/>
    </row>
    <row r="782" spans="89:89" s="299" customFormat="1" ht="12.75" customHeight="1" x14ac:dyDescent="0.3">
      <c r="CK782" s="481"/>
    </row>
    <row r="783" spans="89:89" s="299" customFormat="1" ht="12.75" customHeight="1" x14ac:dyDescent="0.3">
      <c r="CK783" s="481"/>
    </row>
    <row r="784" spans="89:89" s="299" customFormat="1" ht="12.75" customHeight="1" x14ac:dyDescent="0.3">
      <c r="CK784" s="481"/>
    </row>
    <row r="785" spans="89:89" s="299" customFormat="1" ht="12.75" customHeight="1" x14ac:dyDescent="0.3">
      <c r="CK785" s="481"/>
    </row>
    <row r="786" spans="89:89" s="299" customFormat="1" ht="12.75" customHeight="1" x14ac:dyDescent="0.3">
      <c r="CK786" s="481"/>
    </row>
    <row r="787" spans="89:89" s="299" customFormat="1" ht="12.75" customHeight="1" x14ac:dyDescent="0.3">
      <c r="CK787" s="481"/>
    </row>
    <row r="788" spans="89:89" s="299" customFormat="1" ht="12.75" customHeight="1" x14ac:dyDescent="0.3">
      <c r="CK788" s="481"/>
    </row>
    <row r="789" spans="89:89" s="299" customFormat="1" ht="12.75" customHeight="1" x14ac:dyDescent="0.3">
      <c r="CK789" s="481"/>
    </row>
    <row r="790" spans="89:89" s="299" customFormat="1" ht="12.75" customHeight="1" x14ac:dyDescent="0.3">
      <c r="CK790" s="481"/>
    </row>
    <row r="791" spans="89:89" s="299" customFormat="1" ht="12.75" customHeight="1" x14ac:dyDescent="0.3">
      <c r="CK791" s="481"/>
    </row>
    <row r="792" spans="89:89" s="299" customFormat="1" ht="12.75" customHeight="1" x14ac:dyDescent="0.3">
      <c r="CK792" s="481"/>
    </row>
    <row r="793" spans="89:89" s="299" customFormat="1" ht="12.75" customHeight="1" x14ac:dyDescent="0.3">
      <c r="CK793" s="481"/>
    </row>
    <row r="794" spans="89:89" s="299" customFormat="1" ht="12.75" customHeight="1" x14ac:dyDescent="0.3">
      <c r="CK794" s="481"/>
    </row>
    <row r="795" spans="89:89" s="299" customFormat="1" ht="12.75" customHeight="1" x14ac:dyDescent="0.3">
      <c r="CK795" s="481"/>
    </row>
    <row r="796" spans="89:89" s="299" customFormat="1" ht="12.75" customHeight="1" x14ac:dyDescent="0.3">
      <c r="CK796" s="481"/>
    </row>
    <row r="797" spans="89:89" s="299" customFormat="1" ht="12.75" customHeight="1" x14ac:dyDescent="0.3">
      <c r="CK797" s="481"/>
    </row>
    <row r="798" spans="89:89" s="299" customFormat="1" ht="12.75" customHeight="1" x14ac:dyDescent="0.3">
      <c r="CK798" s="481"/>
    </row>
    <row r="799" spans="89:89" s="299" customFormat="1" ht="12.75" customHeight="1" x14ac:dyDescent="0.3">
      <c r="CK799" s="481"/>
    </row>
    <row r="800" spans="89:89" s="299" customFormat="1" ht="12.75" customHeight="1" x14ac:dyDescent="0.3">
      <c r="CK800" s="481"/>
    </row>
    <row r="801" spans="89:89" s="299" customFormat="1" ht="12.75" customHeight="1" x14ac:dyDescent="0.3">
      <c r="CK801" s="481"/>
    </row>
    <row r="802" spans="89:89" s="299" customFormat="1" ht="12.75" customHeight="1" x14ac:dyDescent="0.3">
      <c r="CK802" s="481"/>
    </row>
    <row r="803" spans="89:89" s="299" customFormat="1" ht="12.75" customHeight="1" x14ac:dyDescent="0.3">
      <c r="CK803" s="481"/>
    </row>
    <row r="804" spans="89:89" s="299" customFormat="1" ht="12.75" customHeight="1" x14ac:dyDescent="0.3">
      <c r="CK804" s="481"/>
    </row>
    <row r="805" spans="89:89" s="299" customFormat="1" ht="12.75" customHeight="1" x14ac:dyDescent="0.3">
      <c r="CK805" s="481"/>
    </row>
    <row r="806" spans="89:89" s="299" customFormat="1" ht="12.75" customHeight="1" x14ac:dyDescent="0.3">
      <c r="CK806" s="481"/>
    </row>
    <row r="807" spans="89:89" s="299" customFormat="1" ht="12.75" customHeight="1" x14ac:dyDescent="0.3">
      <c r="CK807" s="481"/>
    </row>
    <row r="808" spans="89:89" s="299" customFormat="1" ht="12.75" customHeight="1" x14ac:dyDescent="0.3">
      <c r="CK808" s="481"/>
    </row>
    <row r="809" spans="89:89" s="299" customFormat="1" ht="12.75" customHeight="1" x14ac:dyDescent="0.3">
      <c r="CK809" s="481"/>
    </row>
    <row r="810" spans="89:89" s="299" customFormat="1" ht="12.75" customHeight="1" x14ac:dyDescent="0.3">
      <c r="CK810" s="481"/>
    </row>
    <row r="811" spans="89:89" s="299" customFormat="1" ht="12.75" customHeight="1" x14ac:dyDescent="0.3">
      <c r="CK811" s="481"/>
    </row>
    <row r="812" spans="89:89" s="299" customFormat="1" ht="12.75" customHeight="1" x14ac:dyDescent="0.3">
      <c r="CK812" s="481"/>
    </row>
    <row r="813" spans="89:89" s="299" customFormat="1" ht="12.75" customHeight="1" x14ac:dyDescent="0.3">
      <c r="CK813" s="481"/>
    </row>
    <row r="814" spans="89:89" s="299" customFormat="1" ht="12.75" customHeight="1" x14ac:dyDescent="0.3">
      <c r="CK814" s="481"/>
    </row>
    <row r="815" spans="89:89" s="299" customFormat="1" ht="12.75" customHeight="1" x14ac:dyDescent="0.3">
      <c r="CK815" s="481"/>
    </row>
    <row r="816" spans="89:89" s="299" customFormat="1" ht="12.75" customHeight="1" x14ac:dyDescent="0.3">
      <c r="CK816" s="481"/>
    </row>
    <row r="817" spans="89:89" s="299" customFormat="1" ht="12.75" customHeight="1" x14ac:dyDescent="0.3">
      <c r="CK817" s="481"/>
    </row>
    <row r="818" spans="89:89" s="299" customFormat="1" ht="12.75" customHeight="1" x14ac:dyDescent="0.3">
      <c r="CK818" s="481"/>
    </row>
    <row r="819" spans="89:89" s="299" customFormat="1" ht="12.75" customHeight="1" x14ac:dyDescent="0.3">
      <c r="CK819" s="481"/>
    </row>
    <row r="820" spans="89:89" s="299" customFormat="1" ht="12.75" customHeight="1" x14ac:dyDescent="0.3">
      <c r="CK820" s="481"/>
    </row>
    <row r="821" spans="89:89" s="299" customFormat="1" ht="12.75" customHeight="1" x14ac:dyDescent="0.3">
      <c r="CK821" s="481"/>
    </row>
    <row r="822" spans="89:89" s="299" customFormat="1" ht="12.75" customHeight="1" x14ac:dyDescent="0.3">
      <c r="CK822" s="481"/>
    </row>
    <row r="823" spans="89:89" s="299" customFormat="1" ht="12.75" customHeight="1" x14ac:dyDescent="0.3">
      <c r="CK823" s="481"/>
    </row>
    <row r="824" spans="89:89" s="299" customFormat="1" ht="12.75" customHeight="1" x14ac:dyDescent="0.3">
      <c r="CK824" s="481"/>
    </row>
    <row r="825" spans="89:89" s="299" customFormat="1" ht="12.75" customHeight="1" x14ac:dyDescent="0.3">
      <c r="CK825" s="481"/>
    </row>
    <row r="826" spans="89:89" s="299" customFormat="1" ht="12.75" customHeight="1" x14ac:dyDescent="0.3">
      <c r="CK826" s="481"/>
    </row>
    <row r="827" spans="89:89" s="299" customFormat="1" ht="12.75" customHeight="1" x14ac:dyDescent="0.3">
      <c r="CK827" s="481"/>
    </row>
    <row r="828" spans="89:89" s="299" customFormat="1" ht="12.75" customHeight="1" x14ac:dyDescent="0.3">
      <c r="CK828" s="481"/>
    </row>
    <row r="829" spans="89:89" s="299" customFormat="1" ht="12.75" customHeight="1" x14ac:dyDescent="0.3">
      <c r="CK829" s="481"/>
    </row>
    <row r="830" spans="89:89" s="299" customFormat="1" ht="12.75" customHeight="1" x14ac:dyDescent="0.3">
      <c r="CK830" s="481"/>
    </row>
    <row r="831" spans="89:89" s="299" customFormat="1" ht="12.75" customHeight="1" x14ac:dyDescent="0.3">
      <c r="CK831" s="481"/>
    </row>
    <row r="832" spans="89:89" s="299" customFormat="1" ht="12.75" customHeight="1" x14ac:dyDescent="0.3">
      <c r="CK832" s="481"/>
    </row>
    <row r="833" spans="89:89" s="299" customFormat="1" ht="12.75" customHeight="1" x14ac:dyDescent="0.3">
      <c r="CK833" s="481"/>
    </row>
    <row r="834" spans="89:89" s="299" customFormat="1" ht="12.75" customHeight="1" x14ac:dyDescent="0.3">
      <c r="CK834" s="481"/>
    </row>
    <row r="835" spans="89:89" s="299" customFormat="1" ht="12.75" customHeight="1" x14ac:dyDescent="0.3">
      <c r="CK835" s="481"/>
    </row>
    <row r="836" spans="89:89" s="299" customFormat="1" ht="12.75" customHeight="1" x14ac:dyDescent="0.3">
      <c r="CK836" s="481"/>
    </row>
    <row r="837" spans="89:89" s="299" customFormat="1" ht="12.75" customHeight="1" x14ac:dyDescent="0.3">
      <c r="CK837" s="481"/>
    </row>
    <row r="838" spans="89:89" s="299" customFormat="1" ht="12.75" customHeight="1" x14ac:dyDescent="0.3">
      <c r="CK838" s="481"/>
    </row>
    <row r="839" spans="89:89" s="299" customFormat="1" ht="12.75" customHeight="1" x14ac:dyDescent="0.3">
      <c r="CK839" s="481"/>
    </row>
    <row r="840" spans="89:89" s="299" customFormat="1" ht="12.75" customHeight="1" x14ac:dyDescent="0.3">
      <c r="CK840" s="481"/>
    </row>
    <row r="841" spans="89:89" s="299" customFormat="1" ht="12.75" customHeight="1" x14ac:dyDescent="0.3">
      <c r="CK841" s="481"/>
    </row>
    <row r="842" spans="89:89" s="299" customFormat="1" ht="12.75" customHeight="1" x14ac:dyDescent="0.3">
      <c r="CK842" s="481"/>
    </row>
    <row r="843" spans="89:89" s="299" customFormat="1" ht="12.75" customHeight="1" x14ac:dyDescent="0.3">
      <c r="CK843" s="481"/>
    </row>
    <row r="844" spans="89:89" s="299" customFormat="1" ht="12.75" customHeight="1" x14ac:dyDescent="0.3">
      <c r="CK844" s="481"/>
    </row>
    <row r="845" spans="89:89" s="299" customFormat="1" ht="12.75" customHeight="1" x14ac:dyDescent="0.3">
      <c r="CK845" s="481"/>
    </row>
    <row r="846" spans="89:89" s="299" customFormat="1" ht="12.75" customHeight="1" x14ac:dyDescent="0.3">
      <c r="CK846" s="481"/>
    </row>
    <row r="847" spans="89:89" s="299" customFormat="1" ht="12.75" customHeight="1" x14ac:dyDescent="0.3">
      <c r="CK847" s="481"/>
    </row>
    <row r="848" spans="89:89" s="299" customFormat="1" ht="12.75" customHeight="1" x14ac:dyDescent="0.3">
      <c r="CK848" s="481"/>
    </row>
    <row r="849" spans="89:89" s="299" customFormat="1" ht="12.75" customHeight="1" x14ac:dyDescent="0.3">
      <c r="CK849" s="481"/>
    </row>
    <row r="850" spans="89:89" s="299" customFormat="1" ht="12.75" customHeight="1" x14ac:dyDescent="0.3">
      <c r="CK850" s="481"/>
    </row>
    <row r="851" spans="89:89" s="299" customFormat="1" ht="12.75" customHeight="1" x14ac:dyDescent="0.3">
      <c r="CK851" s="481"/>
    </row>
    <row r="852" spans="89:89" s="299" customFormat="1" ht="12.75" customHeight="1" x14ac:dyDescent="0.3">
      <c r="CK852" s="481"/>
    </row>
    <row r="853" spans="89:89" s="299" customFormat="1" ht="12.75" customHeight="1" x14ac:dyDescent="0.3">
      <c r="CK853" s="481"/>
    </row>
    <row r="854" spans="89:89" s="299" customFormat="1" ht="12.75" customHeight="1" x14ac:dyDescent="0.3">
      <c r="CK854" s="481"/>
    </row>
    <row r="855" spans="89:89" s="299" customFormat="1" ht="12.75" customHeight="1" x14ac:dyDescent="0.3">
      <c r="CK855" s="481"/>
    </row>
    <row r="856" spans="89:89" s="299" customFormat="1" ht="12.75" customHeight="1" x14ac:dyDescent="0.3">
      <c r="CK856" s="481"/>
    </row>
    <row r="857" spans="89:89" s="299" customFormat="1" ht="12.75" customHeight="1" x14ac:dyDescent="0.3">
      <c r="CK857" s="481"/>
    </row>
    <row r="858" spans="89:89" s="299" customFormat="1" ht="12.75" customHeight="1" x14ac:dyDescent="0.3">
      <c r="CK858" s="481"/>
    </row>
    <row r="859" spans="89:89" s="299" customFormat="1" ht="12.75" customHeight="1" x14ac:dyDescent="0.3">
      <c r="CK859" s="481"/>
    </row>
    <row r="860" spans="89:89" s="299" customFormat="1" ht="12.75" customHeight="1" x14ac:dyDescent="0.3">
      <c r="CK860" s="481"/>
    </row>
    <row r="861" spans="89:89" s="299" customFormat="1" ht="12.75" customHeight="1" x14ac:dyDescent="0.3">
      <c r="CK861" s="481"/>
    </row>
    <row r="862" spans="89:89" s="299" customFormat="1" ht="12.75" customHeight="1" x14ac:dyDescent="0.3">
      <c r="CK862" s="481"/>
    </row>
    <row r="863" spans="89:89" s="299" customFormat="1" ht="12.75" customHeight="1" x14ac:dyDescent="0.3">
      <c r="CK863" s="481"/>
    </row>
    <row r="864" spans="89:89" s="299" customFormat="1" ht="12.75" customHeight="1" x14ac:dyDescent="0.3">
      <c r="CK864" s="481"/>
    </row>
    <row r="865" spans="89:89" s="299" customFormat="1" ht="12.75" customHeight="1" x14ac:dyDescent="0.3">
      <c r="CK865" s="481"/>
    </row>
    <row r="866" spans="89:89" s="299" customFormat="1" ht="12.75" customHeight="1" x14ac:dyDescent="0.3">
      <c r="CK866" s="481"/>
    </row>
    <row r="867" spans="89:89" s="299" customFormat="1" ht="12.75" customHeight="1" x14ac:dyDescent="0.3">
      <c r="CK867" s="481"/>
    </row>
    <row r="868" spans="89:89" s="299" customFormat="1" ht="12.75" customHeight="1" x14ac:dyDescent="0.3">
      <c r="CK868" s="481"/>
    </row>
    <row r="869" spans="89:89" s="299" customFormat="1" ht="12.75" customHeight="1" x14ac:dyDescent="0.3">
      <c r="CK869" s="481"/>
    </row>
    <row r="870" spans="89:89" s="299" customFormat="1" ht="12.75" customHeight="1" x14ac:dyDescent="0.3">
      <c r="CK870" s="481"/>
    </row>
    <row r="871" spans="89:89" s="299" customFormat="1" ht="12.75" customHeight="1" x14ac:dyDescent="0.3">
      <c r="CK871" s="481"/>
    </row>
    <row r="872" spans="89:89" s="299" customFormat="1" ht="12.75" customHeight="1" x14ac:dyDescent="0.3">
      <c r="CK872" s="481"/>
    </row>
    <row r="873" spans="89:89" s="299" customFormat="1" ht="12.75" customHeight="1" x14ac:dyDescent="0.3">
      <c r="CK873" s="481"/>
    </row>
    <row r="874" spans="89:89" s="299" customFormat="1" ht="12.75" customHeight="1" x14ac:dyDescent="0.3">
      <c r="CK874" s="481"/>
    </row>
    <row r="875" spans="89:89" s="299" customFormat="1" ht="12.75" customHeight="1" x14ac:dyDescent="0.3">
      <c r="CK875" s="481"/>
    </row>
    <row r="876" spans="89:89" s="299" customFormat="1" ht="12.75" customHeight="1" x14ac:dyDescent="0.3">
      <c r="CK876" s="481"/>
    </row>
    <row r="877" spans="89:89" s="299" customFormat="1" ht="12.75" customHeight="1" x14ac:dyDescent="0.3">
      <c r="CK877" s="481"/>
    </row>
    <row r="878" spans="89:89" s="299" customFormat="1" ht="12.75" customHeight="1" x14ac:dyDescent="0.3">
      <c r="CK878" s="481"/>
    </row>
    <row r="879" spans="89:89" s="299" customFormat="1" ht="12.75" customHeight="1" x14ac:dyDescent="0.3">
      <c r="CK879" s="481"/>
    </row>
    <row r="880" spans="89:89" s="299" customFormat="1" ht="12.75" customHeight="1" x14ac:dyDescent="0.3">
      <c r="CK880" s="481"/>
    </row>
    <row r="881" spans="89:89" s="299" customFormat="1" ht="12.75" customHeight="1" x14ac:dyDescent="0.3">
      <c r="CK881" s="481"/>
    </row>
    <row r="882" spans="89:89" s="299" customFormat="1" ht="12.75" customHeight="1" x14ac:dyDescent="0.3">
      <c r="CK882" s="481"/>
    </row>
    <row r="883" spans="89:89" s="299" customFormat="1" ht="12.75" customHeight="1" x14ac:dyDescent="0.3">
      <c r="CK883" s="481"/>
    </row>
    <row r="884" spans="89:89" s="299" customFormat="1" ht="12.75" customHeight="1" x14ac:dyDescent="0.3">
      <c r="CK884" s="481"/>
    </row>
    <row r="885" spans="89:89" s="299" customFormat="1" ht="12.75" customHeight="1" x14ac:dyDescent="0.3">
      <c r="CK885" s="481"/>
    </row>
    <row r="886" spans="89:89" s="299" customFormat="1" ht="12.75" customHeight="1" x14ac:dyDescent="0.3">
      <c r="CK886" s="481"/>
    </row>
    <row r="887" spans="89:89" s="299" customFormat="1" ht="12.75" customHeight="1" x14ac:dyDescent="0.3">
      <c r="CK887" s="481"/>
    </row>
    <row r="888" spans="89:89" s="299" customFormat="1" ht="12.75" customHeight="1" x14ac:dyDescent="0.3">
      <c r="CK888" s="481"/>
    </row>
    <row r="889" spans="89:89" s="299" customFormat="1" ht="12.75" customHeight="1" x14ac:dyDescent="0.3">
      <c r="CK889" s="481"/>
    </row>
    <row r="890" spans="89:89" s="299" customFormat="1" ht="12.75" customHeight="1" x14ac:dyDescent="0.3">
      <c r="CK890" s="481"/>
    </row>
    <row r="891" spans="89:89" s="299" customFormat="1" ht="12.75" customHeight="1" x14ac:dyDescent="0.3">
      <c r="CK891" s="481"/>
    </row>
    <row r="892" spans="89:89" s="299" customFormat="1" ht="12.75" customHeight="1" x14ac:dyDescent="0.3">
      <c r="CK892" s="481"/>
    </row>
    <row r="893" spans="89:89" s="299" customFormat="1" ht="12.75" customHeight="1" x14ac:dyDescent="0.3">
      <c r="CK893" s="481"/>
    </row>
    <row r="894" spans="89:89" s="299" customFormat="1" ht="12.75" customHeight="1" x14ac:dyDescent="0.3">
      <c r="CK894" s="481"/>
    </row>
    <row r="895" spans="89:89" s="299" customFormat="1" ht="12.75" customHeight="1" x14ac:dyDescent="0.3">
      <c r="CK895" s="481"/>
    </row>
    <row r="896" spans="89:89" s="299" customFormat="1" ht="12.75" customHeight="1" x14ac:dyDescent="0.3">
      <c r="CK896" s="481"/>
    </row>
    <row r="897" spans="89:89" s="299" customFormat="1" ht="12.75" customHeight="1" x14ac:dyDescent="0.3">
      <c r="CK897" s="481"/>
    </row>
    <row r="898" spans="89:89" s="299" customFormat="1" ht="12.75" customHeight="1" x14ac:dyDescent="0.3">
      <c r="CK898" s="481"/>
    </row>
    <row r="899" spans="89:89" s="299" customFormat="1" ht="12.75" customHeight="1" x14ac:dyDescent="0.3">
      <c r="CK899" s="481"/>
    </row>
    <row r="900" spans="89:89" s="299" customFormat="1" ht="12.75" customHeight="1" x14ac:dyDescent="0.3">
      <c r="CK900" s="481"/>
    </row>
    <row r="901" spans="89:89" s="299" customFormat="1" ht="12.75" customHeight="1" x14ac:dyDescent="0.3">
      <c r="CK901" s="481"/>
    </row>
    <row r="902" spans="89:89" s="299" customFormat="1" ht="12.75" customHeight="1" x14ac:dyDescent="0.3">
      <c r="CK902" s="481"/>
    </row>
    <row r="903" spans="89:89" s="299" customFormat="1" ht="12.75" customHeight="1" x14ac:dyDescent="0.3">
      <c r="CK903" s="481"/>
    </row>
    <row r="904" spans="89:89" s="299" customFormat="1" ht="12.75" customHeight="1" x14ac:dyDescent="0.3">
      <c r="CK904" s="481"/>
    </row>
    <row r="905" spans="89:89" s="299" customFormat="1" ht="12.75" customHeight="1" x14ac:dyDescent="0.3">
      <c r="CK905" s="481"/>
    </row>
    <row r="906" spans="89:89" s="299" customFormat="1" ht="12.75" customHeight="1" x14ac:dyDescent="0.3">
      <c r="CK906" s="481"/>
    </row>
    <row r="907" spans="89:89" s="299" customFormat="1" ht="12.75" customHeight="1" x14ac:dyDescent="0.3">
      <c r="CK907" s="481"/>
    </row>
    <row r="908" spans="89:89" s="299" customFormat="1" ht="12.75" customHeight="1" x14ac:dyDescent="0.3">
      <c r="CK908" s="481"/>
    </row>
    <row r="909" spans="89:89" s="299" customFormat="1" ht="12.75" customHeight="1" x14ac:dyDescent="0.3">
      <c r="CK909" s="481"/>
    </row>
    <row r="910" spans="89:89" s="299" customFormat="1" ht="12.75" customHeight="1" x14ac:dyDescent="0.3">
      <c r="CK910" s="481"/>
    </row>
    <row r="911" spans="89:89" s="299" customFormat="1" ht="12.75" customHeight="1" x14ac:dyDescent="0.3">
      <c r="CK911" s="481"/>
    </row>
    <row r="912" spans="89:89" s="299" customFormat="1" ht="12.75" customHeight="1" x14ac:dyDescent="0.3">
      <c r="CK912" s="481"/>
    </row>
    <row r="913" spans="89:89" s="299" customFormat="1" ht="12.75" customHeight="1" x14ac:dyDescent="0.3">
      <c r="CK913" s="481"/>
    </row>
    <row r="914" spans="89:89" s="299" customFormat="1" ht="12.75" customHeight="1" x14ac:dyDescent="0.3">
      <c r="CK914" s="481"/>
    </row>
    <row r="915" spans="89:89" s="299" customFormat="1" ht="12.75" customHeight="1" x14ac:dyDescent="0.3">
      <c r="CK915" s="481"/>
    </row>
    <row r="916" spans="89:89" s="299" customFormat="1" ht="12.75" customHeight="1" x14ac:dyDescent="0.3">
      <c r="CK916" s="481"/>
    </row>
    <row r="917" spans="89:89" s="299" customFormat="1" ht="12.75" customHeight="1" x14ac:dyDescent="0.3">
      <c r="CK917" s="481"/>
    </row>
    <row r="918" spans="89:89" s="299" customFormat="1" ht="12.75" customHeight="1" x14ac:dyDescent="0.3">
      <c r="CK918" s="481"/>
    </row>
    <row r="919" spans="89:89" s="299" customFormat="1" ht="12.75" customHeight="1" x14ac:dyDescent="0.3">
      <c r="CK919" s="481"/>
    </row>
    <row r="920" spans="89:89" s="299" customFormat="1" ht="12.75" customHeight="1" x14ac:dyDescent="0.3">
      <c r="CK920" s="481"/>
    </row>
    <row r="921" spans="89:89" s="299" customFormat="1" ht="12.75" customHeight="1" x14ac:dyDescent="0.3">
      <c r="CK921" s="481"/>
    </row>
    <row r="922" spans="89:89" s="299" customFormat="1" ht="12.75" customHeight="1" x14ac:dyDescent="0.3">
      <c r="CK922" s="481"/>
    </row>
    <row r="923" spans="89:89" s="299" customFormat="1" ht="12.75" customHeight="1" x14ac:dyDescent="0.3">
      <c r="CK923" s="481"/>
    </row>
    <row r="924" spans="89:89" s="299" customFormat="1" ht="12.75" customHeight="1" x14ac:dyDescent="0.3">
      <c r="CK924" s="481"/>
    </row>
    <row r="925" spans="89:89" s="299" customFormat="1" ht="12.75" customHeight="1" x14ac:dyDescent="0.3">
      <c r="CK925" s="481"/>
    </row>
    <row r="926" spans="89:89" s="299" customFormat="1" ht="12.75" customHeight="1" x14ac:dyDescent="0.3">
      <c r="CK926" s="481"/>
    </row>
    <row r="927" spans="89:89" s="299" customFormat="1" ht="12.75" customHeight="1" x14ac:dyDescent="0.3">
      <c r="CK927" s="481"/>
    </row>
    <row r="928" spans="89:89" s="299" customFormat="1" ht="12.75" customHeight="1" x14ac:dyDescent="0.3">
      <c r="CK928" s="481"/>
    </row>
    <row r="929" spans="89:89" s="299" customFormat="1" ht="12.75" customHeight="1" x14ac:dyDescent="0.3">
      <c r="CK929" s="481"/>
    </row>
    <row r="930" spans="89:89" s="299" customFormat="1" ht="12.75" customHeight="1" x14ac:dyDescent="0.3">
      <c r="CK930" s="481"/>
    </row>
    <row r="931" spans="89:89" s="299" customFormat="1" ht="12.75" customHeight="1" x14ac:dyDescent="0.3">
      <c r="CK931" s="481"/>
    </row>
    <row r="932" spans="89:89" s="299" customFormat="1" ht="12.75" customHeight="1" x14ac:dyDescent="0.3">
      <c r="CK932" s="481"/>
    </row>
    <row r="933" spans="89:89" s="299" customFormat="1" ht="12.75" customHeight="1" x14ac:dyDescent="0.3">
      <c r="CK933" s="481"/>
    </row>
    <row r="934" spans="89:89" s="299" customFormat="1" ht="12.75" customHeight="1" x14ac:dyDescent="0.3">
      <c r="CK934" s="481"/>
    </row>
    <row r="935" spans="89:89" s="299" customFormat="1" ht="12.75" customHeight="1" x14ac:dyDescent="0.3">
      <c r="CK935" s="481"/>
    </row>
    <row r="936" spans="89:89" s="299" customFormat="1" ht="12.75" customHeight="1" x14ac:dyDescent="0.3">
      <c r="CK936" s="481"/>
    </row>
    <row r="937" spans="89:89" s="299" customFormat="1" ht="12.75" customHeight="1" x14ac:dyDescent="0.3">
      <c r="CK937" s="481"/>
    </row>
    <row r="938" spans="89:89" s="299" customFormat="1" ht="12.75" customHeight="1" x14ac:dyDescent="0.3">
      <c r="CK938" s="481"/>
    </row>
    <row r="939" spans="89:89" s="299" customFormat="1" ht="12.75" customHeight="1" x14ac:dyDescent="0.3">
      <c r="CK939" s="481"/>
    </row>
    <row r="940" spans="89:89" s="299" customFormat="1" ht="12.75" customHeight="1" x14ac:dyDescent="0.3">
      <c r="CK940" s="481"/>
    </row>
    <row r="941" spans="89:89" s="299" customFormat="1" ht="12.75" customHeight="1" x14ac:dyDescent="0.3">
      <c r="CK941" s="481"/>
    </row>
    <row r="942" spans="89:89" s="299" customFormat="1" ht="12.75" customHeight="1" x14ac:dyDescent="0.3">
      <c r="CK942" s="481"/>
    </row>
    <row r="943" spans="89:89" s="299" customFormat="1" ht="12.75" customHeight="1" x14ac:dyDescent="0.3">
      <c r="CK943" s="481"/>
    </row>
    <row r="944" spans="89:89" s="299" customFormat="1" ht="12.75" customHeight="1" x14ac:dyDescent="0.3">
      <c r="CK944" s="481"/>
    </row>
    <row r="945" spans="89:89" s="299" customFormat="1" ht="12.75" customHeight="1" x14ac:dyDescent="0.3">
      <c r="CK945" s="481"/>
    </row>
    <row r="946" spans="89:89" s="299" customFormat="1" ht="12.75" customHeight="1" x14ac:dyDescent="0.3">
      <c r="CK946" s="481"/>
    </row>
    <row r="947" spans="89:89" s="299" customFormat="1" ht="12.75" customHeight="1" x14ac:dyDescent="0.3">
      <c r="CK947" s="481"/>
    </row>
    <row r="948" spans="89:89" s="299" customFormat="1" ht="12.75" customHeight="1" x14ac:dyDescent="0.3">
      <c r="CK948" s="481"/>
    </row>
    <row r="949" spans="89:89" s="299" customFormat="1" ht="12.75" customHeight="1" x14ac:dyDescent="0.3">
      <c r="CK949" s="481"/>
    </row>
    <row r="950" spans="89:89" s="299" customFormat="1" ht="12.75" customHeight="1" x14ac:dyDescent="0.3">
      <c r="CK950" s="481"/>
    </row>
    <row r="951" spans="89:89" s="299" customFormat="1" ht="12.75" customHeight="1" x14ac:dyDescent="0.3">
      <c r="CK951" s="481"/>
    </row>
    <row r="952" spans="89:89" s="299" customFormat="1" ht="12.75" customHeight="1" x14ac:dyDescent="0.3">
      <c r="CK952" s="481"/>
    </row>
    <row r="953" spans="89:89" s="299" customFormat="1" ht="12.75" customHeight="1" x14ac:dyDescent="0.3">
      <c r="CK953" s="481"/>
    </row>
    <row r="954" spans="89:89" s="299" customFormat="1" ht="12.75" customHeight="1" x14ac:dyDescent="0.3">
      <c r="CK954" s="481"/>
    </row>
    <row r="955" spans="89:89" s="299" customFormat="1" ht="12.75" customHeight="1" x14ac:dyDescent="0.3">
      <c r="CK955" s="481"/>
    </row>
    <row r="956" spans="89:89" s="299" customFormat="1" ht="12.75" customHeight="1" x14ac:dyDescent="0.3">
      <c r="CK956" s="481"/>
    </row>
    <row r="957" spans="89:89" s="299" customFormat="1" ht="12.75" customHeight="1" x14ac:dyDescent="0.3">
      <c r="CK957" s="481"/>
    </row>
    <row r="958" spans="89:89" s="299" customFormat="1" ht="12.75" customHeight="1" x14ac:dyDescent="0.3">
      <c r="CK958" s="481"/>
    </row>
    <row r="959" spans="89:89" s="299" customFormat="1" ht="12.75" customHeight="1" x14ac:dyDescent="0.3">
      <c r="CK959" s="481"/>
    </row>
    <row r="960" spans="89:89" s="299" customFormat="1" ht="12.75" customHeight="1" x14ac:dyDescent="0.3">
      <c r="CK960" s="481"/>
    </row>
    <row r="961" spans="89:89" s="299" customFormat="1" ht="12.75" customHeight="1" x14ac:dyDescent="0.3">
      <c r="CK961" s="481"/>
    </row>
    <row r="962" spans="89:89" s="299" customFormat="1" ht="12.75" customHeight="1" x14ac:dyDescent="0.3">
      <c r="CK962" s="481"/>
    </row>
    <row r="963" spans="89:89" s="299" customFormat="1" ht="12.75" customHeight="1" x14ac:dyDescent="0.3">
      <c r="CK963" s="481"/>
    </row>
    <row r="964" spans="89:89" s="299" customFormat="1" ht="12.75" customHeight="1" x14ac:dyDescent="0.3">
      <c r="CK964" s="481"/>
    </row>
    <row r="965" spans="89:89" s="299" customFormat="1" ht="12.75" customHeight="1" x14ac:dyDescent="0.3">
      <c r="CK965" s="481"/>
    </row>
    <row r="966" spans="89:89" s="299" customFormat="1" ht="12.75" customHeight="1" x14ac:dyDescent="0.3">
      <c r="CK966" s="481"/>
    </row>
    <row r="967" spans="89:89" s="299" customFormat="1" ht="12.75" customHeight="1" x14ac:dyDescent="0.3">
      <c r="CK967" s="481"/>
    </row>
    <row r="968" spans="89:89" s="299" customFormat="1" ht="12.75" customHeight="1" x14ac:dyDescent="0.3">
      <c r="CK968" s="481"/>
    </row>
    <row r="969" spans="89:89" s="299" customFormat="1" ht="12.75" customHeight="1" x14ac:dyDescent="0.3">
      <c r="CK969" s="481"/>
    </row>
    <row r="970" spans="89:89" s="299" customFormat="1" ht="12.75" customHeight="1" x14ac:dyDescent="0.3">
      <c r="CK970" s="481"/>
    </row>
    <row r="971" spans="89:89" s="299" customFormat="1" ht="12.75" customHeight="1" x14ac:dyDescent="0.3">
      <c r="CK971" s="481"/>
    </row>
    <row r="972" spans="89:89" s="299" customFormat="1" ht="12.75" customHeight="1" x14ac:dyDescent="0.3">
      <c r="CK972" s="481"/>
    </row>
    <row r="973" spans="89:89" s="299" customFormat="1" ht="12.75" customHeight="1" x14ac:dyDescent="0.3">
      <c r="CK973" s="481"/>
    </row>
    <row r="974" spans="89:89" s="299" customFormat="1" ht="12.75" customHeight="1" x14ac:dyDescent="0.3">
      <c r="CK974" s="481"/>
    </row>
    <row r="975" spans="89:89" s="299" customFormat="1" ht="12.75" customHeight="1" x14ac:dyDescent="0.3">
      <c r="CK975" s="481"/>
    </row>
    <row r="976" spans="89:89" s="299" customFormat="1" ht="12.75" customHeight="1" x14ac:dyDescent="0.3">
      <c r="CK976" s="481"/>
    </row>
    <row r="977" spans="89:89" s="299" customFormat="1" ht="12.75" customHeight="1" x14ac:dyDescent="0.3">
      <c r="CK977" s="481"/>
    </row>
    <row r="978" spans="89:89" s="299" customFormat="1" ht="12.75" customHeight="1" x14ac:dyDescent="0.3">
      <c r="CK978" s="481"/>
    </row>
    <row r="979" spans="89:89" s="299" customFormat="1" ht="12.75" customHeight="1" x14ac:dyDescent="0.3">
      <c r="CK979" s="481"/>
    </row>
    <row r="980" spans="89:89" s="299" customFormat="1" ht="12.75" customHeight="1" x14ac:dyDescent="0.3">
      <c r="CK980" s="481"/>
    </row>
    <row r="981" spans="89:89" s="299" customFormat="1" ht="12.75" customHeight="1" x14ac:dyDescent="0.3">
      <c r="CK981" s="481"/>
    </row>
    <row r="982" spans="89:89" s="299" customFormat="1" ht="12.75" customHeight="1" x14ac:dyDescent="0.3">
      <c r="CK982" s="481"/>
    </row>
    <row r="983" spans="89:89" s="299" customFormat="1" ht="12.75" customHeight="1" x14ac:dyDescent="0.3">
      <c r="CK983" s="481"/>
    </row>
    <row r="984" spans="89:89" s="299" customFormat="1" ht="12.75" customHeight="1" x14ac:dyDescent="0.3">
      <c r="CK984" s="481"/>
    </row>
    <row r="985" spans="89:89" s="299" customFormat="1" ht="12.75" customHeight="1" x14ac:dyDescent="0.3">
      <c r="CK985" s="481"/>
    </row>
    <row r="986" spans="89:89" s="299" customFormat="1" ht="12.75" customHeight="1" x14ac:dyDescent="0.3">
      <c r="CK986" s="481"/>
    </row>
    <row r="987" spans="89:89" s="299" customFormat="1" ht="12.75" customHeight="1" x14ac:dyDescent="0.3">
      <c r="CK987" s="481"/>
    </row>
    <row r="988" spans="89:89" s="299" customFormat="1" ht="12.75" customHeight="1" x14ac:dyDescent="0.3">
      <c r="CK988" s="481"/>
    </row>
    <row r="989" spans="89:89" s="299" customFormat="1" ht="12.75" customHeight="1" x14ac:dyDescent="0.3">
      <c r="CK989" s="481"/>
    </row>
    <row r="990" spans="89:89" s="299" customFormat="1" ht="12.75" customHeight="1" x14ac:dyDescent="0.3">
      <c r="CK990" s="481"/>
    </row>
    <row r="991" spans="89:89" s="299" customFormat="1" ht="12.75" customHeight="1" x14ac:dyDescent="0.3">
      <c r="CK991" s="481"/>
    </row>
    <row r="992" spans="89:89" s="299" customFormat="1" ht="12.75" customHeight="1" x14ac:dyDescent="0.3">
      <c r="CK992" s="481"/>
    </row>
    <row r="993" spans="89:89" s="299" customFormat="1" ht="12.75" customHeight="1" x14ac:dyDescent="0.3">
      <c r="CK993" s="481"/>
    </row>
    <row r="994" spans="89:89" s="299" customFormat="1" ht="12.75" customHeight="1" x14ac:dyDescent="0.3">
      <c r="CK994" s="481"/>
    </row>
    <row r="995" spans="89:89" s="299" customFormat="1" ht="12.75" customHeight="1" x14ac:dyDescent="0.3">
      <c r="CK995" s="481"/>
    </row>
    <row r="996" spans="89:89" s="299" customFormat="1" ht="12.75" customHeight="1" x14ac:dyDescent="0.3">
      <c r="CK996" s="481"/>
    </row>
    <row r="997" spans="89:89" s="299" customFormat="1" ht="12.75" customHeight="1" x14ac:dyDescent="0.3">
      <c r="CK997" s="481"/>
    </row>
    <row r="998" spans="89:89" s="299" customFormat="1" ht="12.75" customHeight="1" x14ac:dyDescent="0.3">
      <c r="CK998" s="481"/>
    </row>
    <row r="999" spans="89:89" s="299" customFormat="1" ht="12.75" customHeight="1" x14ac:dyDescent="0.3">
      <c r="CK999" s="481"/>
    </row>
    <row r="1000" spans="89:89" s="299" customFormat="1" ht="12.75" customHeight="1" x14ac:dyDescent="0.3">
      <c r="CK1000" s="481"/>
    </row>
    <row r="1001" spans="89:89" s="299" customFormat="1" ht="12.75" customHeight="1" x14ac:dyDescent="0.3">
      <c r="CK1001" s="481"/>
    </row>
    <row r="1002" spans="89:89" s="299" customFormat="1" ht="12.75" customHeight="1" x14ac:dyDescent="0.3">
      <c r="CK1002" s="481"/>
    </row>
    <row r="1003" spans="89:89" s="299" customFormat="1" ht="12.75" customHeight="1" x14ac:dyDescent="0.3">
      <c r="CK1003" s="481"/>
    </row>
    <row r="1004" spans="89:89" s="299" customFormat="1" ht="12.75" customHeight="1" x14ac:dyDescent="0.3">
      <c r="CK1004" s="481"/>
    </row>
    <row r="1005" spans="89:89" s="299" customFormat="1" ht="12.75" customHeight="1" x14ac:dyDescent="0.3">
      <c r="CK1005" s="481"/>
    </row>
    <row r="1006" spans="89:89" s="299" customFormat="1" ht="12.75" customHeight="1" x14ac:dyDescent="0.3">
      <c r="CK1006" s="481"/>
    </row>
    <row r="1007" spans="89:89" s="299" customFormat="1" ht="12.75" customHeight="1" x14ac:dyDescent="0.3">
      <c r="CK1007" s="481"/>
    </row>
    <row r="1008" spans="89:89" s="299" customFormat="1" ht="12.75" customHeight="1" x14ac:dyDescent="0.3">
      <c r="CK1008" s="481"/>
    </row>
    <row r="1009" spans="89:89" s="299" customFormat="1" ht="12.75" customHeight="1" x14ac:dyDescent="0.3">
      <c r="CK1009" s="481"/>
    </row>
    <row r="1010" spans="89:89" s="299" customFormat="1" ht="12.75" customHeight="1" x14ac:dyDescent="0.3">
      <c r="CK1010" s="481"/>
    </row>
    <row r="1011" spans="89:89" s="299" customFormat="1" ht="12.75" customHeight="1" x14ac:dyDescent="0.3">
      <c r="CK1011" s="481"/>
    </row>
    <row r="1012" spans="89:89" s="299" customFormat="1" ht="12.75" customHeight="1" x14ac:dyDescent="0.3">
      <c r="CK1012" s="481"/>
    </row>
    <row r="1013" spans="89:89" s="299" customFormat="1" ht="12.75" customHeight="1" x14ac:dyDescent="0.3">
      <c r="CK1013" s="481"/>
    </row>
    <row r="1014" spans="89:89" s="299" customFormat="1" ht="12.75" customHeight="1" x14ac:dyDescent="0.3">
      <c r="CK1014" s="481"/>
    </row>
    <row r="1015" spans="89:89" s="299" customFormat="1" ht="12.75" customHeight="1" x14ac:dyDescent="0.3">
      <c r="CK1015" s="481"/>
    </row>
    <row r="1016" spans="89:89" s="299" customFormat="1" ht="12.75" customHeight="1" x14ac:dyDescent="0.3">
      <c r="CK1016" s="481"/>
    </row>
    <row r="1017" spans="89:89" s="299" customFormat="1" ht="12.75" customHeight="1" x14ac:dyDescent="0.3">
      <c r="CK1017" s="481"/>
    </row>
    <row r="1018" spans="89:89" s="299" customFormat="1" ht="12.75" customHeight="1" x14ac:dyDescent="0.3">
      <c r="CK1018" s="481"/>
    </row>
    <row r="1019" spans="89:89" s="299" customFormat="1" ht="12.75" customHeight="1" x14ac:dyDescent="0.3">
      <c r="CK1019" s="481"/>
    </row>
    <row r="1020" spans="89:89" s="299" customFormat="1" ht="12.75" customHeight="1" x14ac:dyDescent="0.3">
      <c r="CK1020" s="481"/>
    </row>
    <row r="1021" spans="89:89" s="299" customFormat="1" ht="12.75" customHeight="1" x14ac:dyDescent="0.3">
      <c r="CK1021" s="481"/>
    </row>
    <row r="1022" spans="89:89" s="299" customFormat="1" ht="12.75" customHeight="1" x14ac:dyDescent="0.3">
      <c r="CK1022" s="481"/>
    </row>
    <row r="1023" spans="89:89" s="299" customFormat="1" ht="12.75" customHeight="1" x14ac:dyDescent="0.3">
      <c r="CK1023" s="481"/>
    </row>
    <row r="1024" spans="89:89" s="299" customFormat="1" ht="12.75" customHeight="1" x14ac:dyDescent="0.3">
      <c r="CK1024" s="481"/>
    </row>
    <row r="1025" spans="89:89" s="299" customFormat="1" ht="12.75" customHeight="1" x14ac:dyDescent="0.3">
      <c r="CK1025" s="481"/>
    </row>
    <row r="1026" spans="89:89" s="299" customFormat="1" ht="12.75" customHeight="1" x14ac:dyDescent="0.3">
      <c r="CK1026" s="481"/>
    </row>
    <row r="1027" spans="89:89" s="299" customFormat="1" ht="12.75" customHeight="1" x14ac:dyDescent="0.3">
      <c r="CK1027" s="481"/>
    </row>
    <row r="1028" spans="89:89" s="299" customFormat="1" ht="12.75" customHeight="1" x14ac:dyDescent="0.3">
      <c r="CK1028" s="481"/>
    </row>
    <row r="1029" spans="89:89" s="299" customFormat="1" ht="12.75" customHeight="1" x14ac:dyDescent="0.3">
      <c r="CK1029" s="481"/>
    </row>
    <row r="1030" spans="89:89" s="299" customFormat="1" ht="12.75" customHeight="1" x14ac:dyDescent="0.3">
      <c r="CK1030" s="481"/>
    </row>
    <row r="1031" spans="89:89" s="299" customFormat="1" ht="12.75" customHeight="1" x14ac:dyDescent="0.3">
      <c r="CK1031" s="481"/>
    </row>
    <row r="1032" spans="89:89" s="299" customFormat="1" ht="12.75" customHeight="1" x14ac:dyDescent="0.3">
      <c r="CK1032" s="481"/>
    </row>
    <row r="1033" spans="89:89" s="299" customFormat="1" ht="12.75" customHeight="1" x14ac:dyDescent="0.3">
      <c r="CK1033" s="481"/>
    </row>
    <row r="1034" spans="89:89" s="299" customFormat="1" ht="12.75" customHeight="1" x14ac:dyDescent="0.3">
      <c r="CK1034" s="481"/>
    </row>
    <row r="1035" spans="89:89" s="299" customFormat="1" ht="12.75" customHeight="1" x14ac:dyDescent="0.3">
      <c r="CK1035" s="481"/>
    </row>
    <row r="1036" spans="89:89" s="299" customFormat="1" ht="12.75" customHeight="1" x14ac:dyDescent="0.3">
      <c r="CK1036" s="481"/>
    </row>
    <row r="1037" spans="89:89" s="299" customFormat="1" ht="12.75" customHeight="1" x14ac:dyDescent="0.3">
      <c r="CK1037" s="481"/>
    </row>
    <row r="1038" spans="89:89" s="299" customFormat="1" ht="12.75" customHeight="1" x14ac:dyDescent="0.3">
      <c r="CK1038" s="481"/>
    </row>
    <row r="1039" spans="89:89" s="299" customFormat="1" ht="12.75" customHeight="1" x14ac:dyDescent="0.3">
      <c r="CK1039" s="481"/>
    </row>
    <row r="1040" spans="89:89" s="299" customFormat="1" ht="12.75" customHeight="1" x14ac:dyDescent="0.3">
      <c r="CK1040" s="481"/>
    </row>
    <row r="1041" spans="89:89" s="299" customFormat="1" ht="12.75" customHeight="1" x14ac:dyDescent="0.3">
      <c r="CK1041" s="481"/>
    </row>
    <row r="1042" spans="89:89" s="299" customFormat="1" ht="12.75" customHeight="1" x14ac:dyDescent="0.3">
      <c r="CK1042" s="481"/>
    </row>
    <row r="1043" spans="89:89" s="299" customFormat="1" ht="12.75" customHeight="1" x14ac:dyDescent="0.3">
      <c r="CK1043" s="481"/>
    </row>
    <row r="1044" spans="89:89" s="299" customFormat="1" ht="12.75" customHeight="1" x14ac:dyDescent="0.3">
      <c r="CK1044" s="481"/>
    </row>
    <row r="1045" spans="89:89" s="299" customFormat="1" ht="12.75" customHeight="1" x14ac:dyDescent="0.3">
      <c r="CK1045" s="481"/>
    </row>
    <row r="1046" spans="89:89" s="299" customFormat="1" ht="12.75" customHeight="1" x14ac:dyDescent="0.3">
      <c r="CK1046" s="481"/>
    </row>
    <row r="1047" spans="89:89" s="299" customFormat="1" ht="12.75" customHeight="1" x14ac:dyDescent="0.3">
      <c r="CK1047" s="481"/>
    </row>
    <row r="1048" spans="89:89" s="299" customFormat="1" ht="12.75" customHeight="1" x14ac:dyDescent="0.3">
      <c r="CK1048" s="481"/>
    </row>
    <row r="1049" spans="89:89" s="299" customFormat="1" ht="12.75" customHeight="1" x14ac:dyDescent="0.3">
      <c r="CK1049" s="481"/>
    </row>
    <row r="1050" spans="89:89" s="299" customFormat="1" ht="12.75" customHeight="1" x14ac:dyDescent="0.3">
      <c r="CK1050" s="481"/>
    </row>
    <row r="1051" spans="89:89" s="299" customFormat="1" ht="12.75" customHeight="1" x14ac:dyDescent="0.3">
      <c r="CK1051" s="481"/>
    </row>
    <row r="1052" spans="89:89" s="299" customFormat="1" ht="12.75" customHeight="1" x14ac:dyDescent="0.3">
      <c r="CK1052" s="481"/>
    </row>
    <row r="1053" spans="89:89" s="299" customFormat="1" ht="12.75" customHeight="1" x14ac:dyDescent="0.3">
      <c r="CK1053" s="481"/>
    </row>
    <row r="1054" spans="89:89" s="299" customFormat="1" ht="12.75" customHeight="1" x14ac:dyDescent="0.3">
      <c r="CK1054" s="481"/>
    </row>
    <row r="1055" spans="89:89" s="299" customFormat="1" ht="12.75" customHeight="1" x14ac:dyDescent="0.3">
      <c r="CK1055" s="481"/>
    </row>
    <row r="1056" spans="89:89" s="299" customFormat="1" ht="12.75" customHeight="1" x14ac:dyDescent="0.3">
      <c r="CK1056" s="481"/>
    </row>
    <row r="1057" spans="89:89" s="299" customFormat="1" ht="12.75" customHeight="1" x14ac:dyDescent="0.3">
      <c r="CK1057" s="481"/>
    </row>
    <row r="1058" spans="89:89" s="299" customFormat="1" ht="12.75" customHeight="1" x14ac:dyDescent="0.3">
      <c r="CK1058" s="481"/>
    </row>
    <row r="1059" spans="89:89" s="299" customFormat="1" ht="12.75" customHeight="1" x14ac:dyDescent="0.3">
      <c r="CK1059" s="481"/>
    </row>
    <row r="1060" spans="89:89" s="299" customFormat="1" ht="12.75" customHeight="1" x14ac:dyDescent="0.3">
      <c r="CK1060" s="481"/>
    </row>
    <row r="1061" spans="89:89" s="299" customFormat="1" ht="12.75" customHeight="1" x14ac:dyDescent="0.3">
      <c r="CK1061" s="481"/>
    </row>
    <row r="1062" spans="89:89" s="299" customFormat="1" ht="12.75" customHeight="1" x14ac:dyDescent="0.3">
      <c r="CK1062" s="481"/>
    </row>
    <row r="1063" spans="89:89" s="299" customFormat="1" ht="12.75" customHeight="1" x14ac:dyDescent="0.3">
      <c r="CK1063" s="481"/>
    </row>
    <row r="1064" spans="89:89" s="299" customFormat="1" ht="12.75" customHeight="1" x14ac:dyDescent="0.3">
      <c r="CK1064" s="481"/>
    </row>
    <row r="1065" spans="89:89" s="299" customFormat="1" ht="12.75" customHeight="1" x14ac:dyDescent="0.3">
      <c r="CK1065" s="481"/>
    </row>
    <row r="1066" spans="89:89" s="299" customFormat="1" ht="12.75" customHeight="1" x14ac:dyDescent="0.3">
      <c r="CK1066" s="481"/>
    </row>
    <row r="1067" spans="89:89" s="299" customFormat="1" ht="12.75" customHeight="1" x14ac:dyDescent="0.3">
      <c r="CK1067" s="481"/>
    </row>
    <row r="1068" spans="89:89" s="299" customFormat="1" ht="12.75" customHeight="1" x14ac:dyDescent="0.3">
      <c r="CK1068" s="481"/>
    </row>
    <row r="1069" spans="89:89" s="299" customFormat="1" ht="12.75" customHeight="1" x14ac:dyDescent="0.3">
      <c r="CK1069" s="481"/>
    </row>
    <row r="1070" spans="89:89" s="299" customFormat="1" ht="12.75" customHeight="1" x14ac:dyDescent="0.3">
      <c r="CK1070" s="481"/>
    </row>
    <row r="1071" spans="89:89" s="299" customFormat="1" ht="12.75" customHeight="1" x14ac:dyDescent="0.3">
      <c r="CK1071" s="481"/>
    </row>
    <row r="1072" spans="89:89" s="299" customFormat="1" ht="12.75" customHeight="1" x14ac:dyDescent="0.3">
      <c r="CK1072" s="481"/>
    </row>
    <row r="1073" spans="89:89" s="299" customFormat="1" ht="12.75" customHeight="1" x14ac:dyDescent="0.3">
      <c r="CK1073" s="481"/>
    </row>
    <row r="1074" spans="89:89" s="299" customFormat="1" ht="12.75" customHeight="1" x14ac:dyDescent="0.3">
      <c r="CK1074" s="481"/>
    </row>
    <row r="1075" spans="89:89" s="299" customFormat="1" ht="12.75" customHeight="1" x14ac:dyDescent="0.3">
      <c r="CK1075" s="481"/>
    </row>
    <row r="1076" spans="89:89" s="299" customFormat="1" ht="12.75" customHeight="1" x14ac:dyDescent="0.3">
      <c r="CK1076" s="481"/>
    </row>
    <row r="1077" spans="89:89" s="299" customFormat="1" ht="12.75" customHeight="1" x14ac:dyDescent="0.3">
      <c r="CK1077" s="481"/>
    </row>
    <row r="1078" spans="89:89" s="299" customFormat="1" ht="12.75" customHeight="1" x14ac:dyDescent="0.3">
      <c r="CK1078" s="481"/>
    </row>
    <row r="1079" spans="89:89" s="299" customFormat="1" ht="12.75" customHeight="1" x14ac:dyDescent="0.3">
      <c r="CK1079" s="481"/>
    </row>
    <row r="1080" spans="89:89" s="299" customFormat="1" ht="12.75" customHeight="1" x14ac:dyDescent="0.3">
      <c r="CK1080" s="481"/>
    </row>
    <row r="1081" spans="89:89" s="299" customFormat="1" ht="12.75" customHeight="1" x14ac:dyDescent="0.3">
      <c r="CK1081" s="481"/>
    </row>
    <row r="1082" spans="89:89" s="299" customFormat="1" ht="12.75" customHeight="1" x14ac:dyDescent="0.3">
      <c r="CK1082" s="481"/>
    </row>
    <row r="1083" spans="89:89" s="299" customFormat="1" ht="12.75" customHeight="1" x14ac:dyDescent="0.3">
      <c r="CK1083" s="481"/>
    </row>
    <row r="1084" spans="89:89" s="299" customFormat="1" ht="12.75" customHeight="1" x14ac:dyDescent="0.3">
      <c r="CK1084" s="481"/>
    </row>
    <row r="1085" spans="89:89" s="299" customFormat="1" ht="12.75" customHeight="1" x14ac:dyDescent="0.3">
      <c r="CK1085" s="481"/>
    </row>
    <row r="1086" spans="89:89" s="299" customFormat="1" ht="12.75" customHeight="1" x14ac:dyDescent="0.3">
      <c r="CK1086" s="481"/>
    </row>
    <row r="1087" spans="89:89" s="299" customFormat="1" ht="12.75" customHeight="1" x14ac:dyDescent="0.3">
      <c r="CK1087" s="481"/>
    </row>
    <row r="1088" spans="89:89" s="299" customFormat="1" ht="12.75" customHeight="1" x14ac:dyDescent="0.3">
      <c r="CK1088" s="481"/>
    </row>
    <row r="1089" spans="89:89" s="299" customFormat="1" ht="12.75" customHeight="1" x14ac:dyDescent="0.3">
      <c r="CK1089" s="481"/>
    </row>
    <row r="1090" spans="89:89" s="299" customFormat="1" ht="12.75" customHeight="1" x14ac:dyDescent="0.3">
      <c r="CK1090" s="481"/>
    </row>
    <row r="1091" spans="89:89" s="299" customFormat="1" ht="12.75" customHeight="1" x14ac:dyDescent="0.3">
      <c r="CK1091" s="481"/>
    </row>
    <row r="1092" spans="89:89" s="299" customFormat="1" ht="12.75" customHeight="1" x14ac:dyDescent="0.3">
      <c r="CK1092" s="481"/>
    </row>
    <row r="1093" spans="89:89" s="299" customFormat="1" ht="12.75" customHeight="1" x14ac:dyDescent="0.3">
      <c r="CK1093" s="481"/>
    </row>
    <row r="1094" spans="89:89" s="299" customFormat="1" ht="12.75" customHeight="1" x14ac:dyDescent="0.3">
      <c r="CK1094" s="481"/>
    </row>
    <row r="1095" spans="89:89" s="299" customFormat="1" ht="12.75" customHeight="1" x14ac:dyDescent="0.3">
      <c r="CK1095" s="481"/>
    </row>
    <row r="1096" spans="89:89" s="299" customFormat="1" ht="12.75" customHeight="1" x14ac:dyDescent="0.3">
      <c r="CK1096" s="481"/>
    </row>
    <row r="1097" spans="89:89" s="299" customFormat="1" ht="12.75" customHeight="1" x14ac:dyDescent="0.3">
      <c r="CK1097" s="481"/>
    </row>
    <row r="1098" spans="89:89" s="299" customFormat="1" ht="12.75" customHeight="1" x14ac:dyDescent="0.3">
      <c r="CK1098" s="481"/>
    </row>
    <row r="1099" spans="89:89" s="299" customFormat="1" ht="12.75" customHeight="1" x14ac:dyDescent="0.3">
      <c r="CK1099" s="481"/>
    </row>
    <row r="1100" spans="89:89" s="299" customFormat="1" ht="12.75" customHeight="1" x14ac:dyDescent="0.3">
      <c r="CK1100" s="481"/>
    </row>
    <row r="1101" spans="89:89" s="299" customFormat="1" ht="12.75" customHeight="1" x14ac:dyDescent="0.3">
      <c r="CK1101" s="481"/>
    </row>
    <row r="1102" spans="89:89" s="299" customFormat="1" ht="12.75" customHeight="1" x14ac:dyDescent="0.3">
      <c r="CK1102" s="481"/>
    </row>
    <row r="1103" spans="89:89" s="299" customFormat="1" ht="12.75" customHeight="1" x14ac:dyDescent="0.3">
      <c r="CK1103" s="481"/>
    </row>
    <row r="1104" spans="89:89" s="299" customFormat="1" ht="12.75" customHeight="1" x14ac:dyDescent="0.3">
      <c r="CK1104" s="481"/>
    </row>
    <row r="1105" spans="89:89" s="299" customFormat="1" ht="12.75" customHeight="1" x14ac:dyDescent="0.3">
      <c r="CK1105" s="481"/>
    </row>
    <row r="1106" spans="89:89" s="299" customFormat="1" ht="12.75" customHeight="1" x14ac:dyDescent="0.3">
      <c r="CK1106" s="481"/>
    </row>
    <row r="1107" spans="89:89" s="299" customFormat="1" ht="12.75" customHeight="1" x14ac:dyDescent="0.3">
      <c r="CK1107" s="481"/>
    </row>
    <row r="1108" spans="89:89" s="299" customFormat="1" ht="12.75" customHeight="1" x14ac:dyDescent="0.3">
      <c r="CK1108" s="481"/>
    </row>
    <row r="1109" spans="89:89" s="299" customFormat="1" ht="12.75" customHeight="1" x14ac:dyDescent="0.3">
      <c r="CK1109" s="481"/>
    </row>
    <row r="1110" spans="89:89" s="299" customFormat="1" ht="12.75" customHeight="1" x14ac:dyDescent="0.3">
      <c r="CK1110" s="481"/>
    </row>
    <row r="1111" spans="89:89" s="299" customFormat="1" ht="12.75" customHeight="1" x14ac:dyDescent="0.3">
      <c r="CK1111" s="481"/>
    </row>
    <row r="1112" spans="89:89" s="299" customFormat="1" ht="12.75" customHeight="1" x14ac:dyDescent="0.3">
      <c r="CK1112" s="481"/>
    </row>
    <row r="1113" spans="89:89" s="299" customFormat="1" ht="12.75" customHeight="1" x14ac:dyDescent="0.3">
      <c r="CK1113" s="481"/>
    </row>
    <row r="1114" spans="89:89" s="299" customFormat="1" ht="12.75" customHeight="1" x14ac:dyDescent="0.3">
      <c r="CK1114" s="481"/>
    </row>
    <row r="1115" spans="89:89" s="299" customFormat="1" ht="12.75" customHeight="1" x14ac:dyDescent="0.3">
      <c r="CK1115" s="481"/>
    </row>
    <row r="1116" spans="89:89" s="299" customFormat="1" ht="12.75" customHeight="1" x14ac:dyDescent="0.3">
      <c r="CK1116" s="481"/>
    </row>
    <row r="1117" spans="89:89" s="299" customFormat="1" ht="12.75" customHeight="1" x14ac:dyDescent="0.3">
      <c r="CK1117" s="481"/>
    </row>
    <row r="1118" spans="89:89" s="299" customFormat="1" ht="12.75" customHeight="1" x14ac:dyDescent="0.3">
      <c r="CK1118" s="481"/>
    </row>
    <row r="1119" spans="89:89" s="299" customFormat="1" ht="12.75" customHeight="1" x14ac:dyDescent="0.3">
      <c r="CK1119" s="481"/>
    </row>
    <row r="1120" spans="89:89" s="299" customFormat="1" ht="12.75" customHeight="1" x14ac:dyDescent="0.3">
      <c r="CK1120" s="481"/>
    </row>
    <row r="1121" spans="89:89" s="299" customFormat="1" ht="12.75" customHeight="1" x14ac:dyDescent="0.3">
      <c r="CK1121" s="481"/>
    </row>
    <row r="1122" spans="89:89" s="299" customFormat="1" ht="12.75" customHeight="1" x14ac:dyDescent="0.3">
      <c r="CK1122" s="481"/>
    </row>
    <row r="1123" spans="89:89" s="299" customFormat="1" ht="12.75" customHeight="1" x14ac:dyDescent="0.3">
      <c r="CK1123" s="481"/>
    </row>
    <row r="1124" spans="89:89" s="299" customFormat="1" ht="12.75" customHeight="1" x14ac:dyDescent="0.3">
      <c r="CK1124" s="481"/>
    </row>
    <row r="1125" spans="89:89" s="299" customFormat="1" ht="12.75" customHeight="1" x14ac:dyDescent="0.3">
      <c r="CK1125" s="481"/>
    </row>
    <row r="1126" spans="89:89" s="299" customFormat="1" ht="12.75" customHeight="1" x14ac:dyDescent="0.3">
      <c r="CK1126" s="481"/>
    </row>
    <row r="1127" spans="89:89" s="299" customFormat="1" ht="12.75" customHeight="1" x14ac:dyDescent="0.3">
      <c r="CK1127" s="481"/>
    </row>
    <row r="1128" spans="89:89" s="299" customFormat="1" ht="12.75" customHeight="1" x14ac:dyDescent="0.3">
      <c r="CK1128" s="481"/>
    </row>
    <row r="1129" spans="89:89" s="299" customFormat="1" ht="12.75" customHeight="1" x14ac:dyDescent="0.3">
      <c r="CK1129" s="481"/>
    </row>
    <row r="1130" spans="89:89" s="299" customFormat="1" ht="12.75" customHeight="1" x14ac:dyDescent="0.3">
      <c r="CK1130" s="481"/>
    </row>
    <row r="1131" spans="89:89" s="299" customFormat="1" ht="12.75" customHeight="1" x14ac:dyDescent="0.3">
      <c r="CK1131" s="481"/>
    </row>
    <row r="1132" spans="89:89" s="299" customFormat="1" ht="12.75" customHeight="1" x14ac:dyDescent="0.3">
      <c r="CK1132" s="481"/>
    </row>
    <row r="1133" spans="89:89" s="299" customFormat="1" ht="12.75" customHeight="1" x14ac:dyDescent="0.3">
      <c r="CK1133" s="481"/>
    </row>
    <row r="1134" spans="89:89" s="299" customFormat="1" ht="12.75" customHeight="1" x14ac:dyDescent="0.3">
      <c r="CK1134" s="481"/>
    </row>
    <row r="1135" spans="89:89" s="299" customFormat="1" ht="12.75" customHeight="1" x14ac:dyDescent="0.3">
      <c r="CK1135" s="481"/>
    </row>
    <row r="1136" spans="89:89" s="299" customFormat="1" ht="12.75" customHeight="1" x14ac:dyDescent="0.3">
      <c r="CK1136" s="481"/>
    </row>
    <row r="1137" spans="89:89" s="299" customFormat="1" ht="12.75" customHeight="1" x14ac:dyDescent="0.3">
      <c r="CK1137" s="481"/>
    </row>
    <row r="1138" spans="89:89" s="299" customFormat="1" ht="12.75" customHeight="1" x14ac:dyDescent="0.3">
      <c r="CK1138" s="481"/>
    </row>
    <row r="1139" spans="89:89" s="299" customFormat="1" ht="12.75" customHeight="1" x14ac:dyDescent="0.3">
      <c r="CK1139" s="481"/>
    </row>
    <row r="1140" spans="89:89" s="299" customFormat="1" ht="12.75" customHeight="1" x14ac:dyDescent="0.3">
      <c r="CK1140" s="481"/>
    </row>
    <row r="1141" spans="89:89" s="299" customFormat="1" ht="12.75" customHeight="1" x14ac:dyDescent="0.3">
      <c r="CK1141" s="481"/>
    </row>
    <row r="1142" spans="89:89" s="299" customFormat="1" ht="12.75" customHeight="1" x14ac:dyDescent="0.3">
      <c r="CK1142" s="481"/>
    </row>
    <row r="1143" spans="89:89" s="299" customFormat="1" ht="12.75" customHeight="1" x14ac:dyDescent="0.3">
      <c r="CK1143" s="481"/>
    </row>
    <row r="1144" spans="89:89" s="299" customFormat="1" ht="12.75" customHeight="1" x14ac:dyDescent="0.3">
      <c r="CK1144" s="481"/>
    </row>
    <row r="1145" spans="89:89" s="299" customFormat="1" ht="12.75" customHeight="1" x14ac:dyDescent="0.3">
      <c r="CK1145" s="481"/>
    </row>
    <row r="1146" spans="89:89" s="299" customFormat="1" ht="12.75" customHeight="1" x14ac:dyDescent="0.3">
      <c r="CK1146" s="481"/>
    </row>
    <row r="1147" spans="89:89" s="299" customFormat="1" ht="12.75" customHeight="1" x14ac:dyDescent="0.3">
      <c r="CK1147" s="481"/>
    </row>
    <row r="1148" spans="89:89" s="299" customFormat="1" ht="12.75" customHeight="1" x14ac:dyDescent="0.3">
      <c r="CK1148" s="481"/>
    </row>
    <row r="1149" spans="89:89" s="299" customFormat="1" ht="12.75" customHeight="1" x14ac:dyDescent="0.3">
      <c r="CK1149" s="481"/>
    </row>
    <row r="1150" spans="89:89" s="299" customFormat="1" ht="12.75" customHeight="1" x14ac:dyDescent="0.3">
      <c r="CK1150" s="481"/>
    </row>
    <row r="1151" spans="89:89" s="299" customFormat="1" ht="12.75" customHeight="1" x14ac:dyDescent="0.3">
      <c r="CK1151" s="481"/>
    </row>
    <row r="1152" spans="89:89" s="299" customFormat="1" ht="12.75" customHeight="1" x14ac:dyDescent="0.3">
      <c r="CK1152" s="481"/>
    </row>
    <row r="1153" spans="89:89" s="299" customFormat="1" ht="12.75" customHeight="1" x14ac:dyDescent="0.3">
      <c r="CK1153" s="481"/>
    </row>
    <row r="1154" spans="89:89" s="299" customFormat="1" ht="12.75" customHeight="1" x14ac:dyDescent="0.3">
      <c r="CK1154" s="481"/>
    </row>
    <row r="1155" spans="89:89" s="299" customFormat="1" ht="12.75" customHeight="1" x14ac:dyDescent="0.3">
      <c r="CK1155" s="481"/>
    </row>
    <row r="1156" spans="89:89" s="299" customFormat="1" ht="12.75" customHeight="1" x14ac:dyDescent="0.3">
      <c r="CK1156" s="481"/>
    </row>
    <row r="1157" spans="89:89" s="299" customFormat="1" ht="12.75" customHeight="1" x14ac:dyDescent="0.3">
      <c r="CK1157" s="481"/>
    </row>
    <row r="1158" spans="89:89" s="299" customFormat="1" ht="12.75" customHeight="1" x14ac:dyDescent="0.3">
      <c r="CK1158" s="481"/>
    </row>
    <row r="1159" spans="89:89" s="299" customFormat="1" ht="12.75" customHeight="1" x14ac:dyDescent="0.3">
      <c r="CK1159" s="481"/>
    </row>
    <row r="1160" spans="89:89" s="299" customFormat="1" ht="12.75" customHeight="1" x14ac:dyDescent="0.3">
      <c r="CK1160" s="481"/>
    </row>
    <row r="1161" spans="89:89" s="299" customFormat="1" ht="12.75" customHeight="1" x14ac:dyDescent="0.3">
      <c r="CK1161" s="481"/>
    </row>
    <row r="1162" spans="89:89" s="299" customFormat="1" ht="12.75" customHeight="1" x14ac:dyDescent="0.3">
      <c r="CK1162" s="481"/>
    </row>
    <row r="1163" spans="89:89" s="299" customFormat="1" ht="12.75" customHeight="1" x14ac:dyDescent="0.3">
      <c r="CK1163" s="481"/>
    </row>
    <row r="1164" spans="89:89" s="299" customFormat="1" ht="12.75" customHeight="1" x14ac:dyDescent="0.3">
      <c r="CK1164" s="481"/>
    </row>
    <row r="1165" spans="89:89" s="299" customFormat="1" ht="12.75" customHeight="1" x14ac:dyDescent="0.3">
      <c r="CK1165" s="481"/>
    </row>
    <row r="1166" spans="89:89" s="299" customFormat="1" ht="12.75" customHeight="1" x14ac:dyDescent="0.3">
      <c r="CK1166" s="481"/>
    </row>
    <row r="1167" spans="89:89" s="299" customFormat="1" ht="12.75" customHeight="1" x14ac:dyDescent="0.3">
      <c r="CK1167" s="481"/>
    </row>
    <row r="1168" spans="89:89" s="299" customFormat="1" ht="12.75" customHeight="1" x14ac:dyDescent="0.3">
      <c r="CK1168" s="481"/>
    </row>
    <row r="1169" spans="89:89" s="299" customFormat="1" ht="12.75" customHeight="1" x14ac:dyDescent="0.3">
      <c r="CK1169" s="481"/>
    </row>
    <row r="1170" spans="89:89" s="299" customFormat="1" ht="12.75" customHeight="1" x14ac:dyDescent="0.3">
      <c r="CK1170" s="481"/>
    </row>
    <row r="1171" spans="89:89" s="299" customFormat="1" ht="12.75" customHeight="1" x14ac:dyDescent="0.3">
      <c r="CK1171" s="481"/>
    </row>
    <row r="1172" spans="89:89" s="299" customFormat="1" ht="12.75" customHeight="1" x14ac:dyDescent="0.3">
      <c r="CK1172" s="481"/>
    </row>
    <row r="1173" spans="89:89" s="299" customFormat="1" ht="12.75" customHeight="1" x14ac:dyDescent="0.3">
      <c r="CK1173" s="481"/>
    </row>
    <row r="1174" spans="89:89" s="299" customFormat="1" ht="12.75" customHeight="1" x14ac:dyDescent="0.3">
      <c r="CK1174" s="481"/>
    </row>
    <row r="1175" spans="89:89" s="299" customFormat="1" ht="12.75" customHeight="1" x14ac:dyDescent="0.3">
      <c r="CK1175" s="481"/>
    </row>
    <row r="1176" spans="89:89" s="299" customFormat="1" ht="12.75" customHeight="1" x14ac:dyDescent="0.3">
      <c r="CK1176" s="481"/>
    </row>
    <row r="1177" spans="89:89" s="299" customFormat="1" ht="12.75" customHeight="1" x14ac:dyDescent="0.3">
      <c r="CK1177" s="481"/>
    </row>
    <row r="1178" spans="89:89" s="299" customFormat="1" ht="12.75" customHeight="1" x14ac:dyDescent="0.3">
      <c r="CK1178" s="481"/>
    </row>
    <row r="1179" spans="89:89" s="299" customFormat="1" ht="12.75" customHeight="1" x14ac:dyDescent="0.3">
      <c r="CK1179" s="481"/>
    </row>
    <row r="1180" spans="89:89" s="299" customFormat="1" ht="12.75" customHeight="1" x14ac:dyDescent="0.3">
      <c r="CK1180" s="481"/>
    </row>
    <row r="1181" spans="89:89" s="299" customFormat="1" ht="12.75" customHeight="1" x14ac:dyDescent="0.3">
      <c r="CK1181" s="481"/>
    </row>
    <row r="1182" spans="89:89" s="299" customFormat="1" ht="12.75" customHeight="1" x14ac:dyDescent="0.3">
      <c r="CK1182" s="481"/>
    </row>
    <row r="1183" spans="89:89" s="299" customFormat="1" ht="12.75" customHeight="1" x14ac:dyDescent="0.3">
      <c r="CK1183" s="481"/>
    </row>
    <row r="1184" spans="89:89" s="299" customFormat="1" ht="12.75" customHeight="1" x14ac:dyDescent="0.3">
      <c r="CK1184" s="481"/>
    </row>
    <row r="1185" spans="89:89" s="299" customFormat="1" ht="12.75" customHeight="1" x14ac:dyDescent="0.3">
      <c r="CK1185" s="481"/>
    </row>
    <row r="1186" spans="89:89" s="299" customFormat="1" ht="12.75" customHeight="1" x14ac:dyDescent="0.3">
      <c r="CK1186" s="481"/>
    </row>
    <row r="1187" spans="89:89" s="299" customFormat="1" ht="12.75" customHeight="1" x14ac:dyDescent="0.3">
      <c r="CK1187" s="481"/>
    </row>
    <row r="1188" spans="89:89" s="299" customFormat="1" ht="12.75" customHeight="1" x14ac:dyDescent="0.3">
      <c r="CK1188" s="481"/>
    </row>
    <row r="1189" spans="89:89" s="299" customFormat="1" ht="12.75" customHeight="1" x14ac:dyDescent="0.3">
      <c r="CK1189" s="481"/>
    </row>
    <row r="1190" spans="89:89" s="299" customFormat="1" ht="12.75" customHeight="1" x14ac:dyDescent="0.3">
      <c r="CK1190" s="481"/>
    </row>
    <row r="1191" spans="89:89" s="299" customFormat="1" ht="12.75" customHeight="1" x14ac:dyDescent="0.3">
      <c r="CK1191" s="481"/>
    </row>
    <row r="1192" spans="89:89" s="299" customFormat="1" ht="12.75" customHeight="1" x14ac:dyDescent="0.3">
      <c r="CK1192" s="481"/>
    </row>
    <row r="1193" spans="89:89" s="299" customFormat="1" ht="12.75" customHeight="1" x14ac:dyDescent="0.3">
      <c r="CK1193" s="481"/>
    </row>
    <row r="1194" spans="89:89" s="299" customFormat="1" ht="12.75" customHeight="1" x14ac:dyDescent="0.3">
      <c r="CK1194" s="481"/>
    </row>
    <row r="1195" spans="89:89" s="299" customFormat="1" ht="12.75" customHeight="1" x14ac:dyDescent="0.3">
      <c r="CK1195" s="481"/>
    </row>
    <row r="1196" spans="89:89" s="299" customFormat="1" ht="12.75" customHeight="1" x14ac:dyDescent="0.3">
      <c r="CK1196" s="481"/>
    </row>
    <row r="1197" spans="89:89" s="299" customFormat="1" ht="12.75" customHeight="1" x14ac:dyDescent="0.3">
      <c r="CK1197" s="481"/>
    </row>
    <row r="1198" spans="89:89" s="299" customFormat="1" ht="12.75" customHeight="1" x14ac:dyDescent="0.3">
      <c r="CK1198" s="481"/>
    </row>
    <row r="1199" spans="89:89" s="299" customFormat="1" ht="12.75" customHeight="1" x14ac:dyDescent="0.3">
      <c r="CK1199" s="481"/>
    </row>
    <row r="1200" spans="89:89" s="299" customFormat="1" ht="12.75" customHeight="1" x14ac:dyDescent="0.3">
      <c r="CK1200" s="481"/>
    </row>
    <row r="1201" spans="89:89" s="299" customFormat="1" ht="12.75" customHeight="1" x14ac:dyDescent="0.3">
      <c r="CK1201" s="481"/>
    </row>
    <row r="1202" spans="89:89" s="299" customFormat="1" ht="12.75" customHeight="1" x14ac:dyDescent="0.3">
      <c r="CK1202" s="481"/>
    </row>
    <row r="1203" spans="89:89" s="299" customFormat="1" ht="12.75" customHeight="1" x14ac:dyDescent="0.3">
      <c r="CK1203" s="481"/>
    </row>
    <row r="1204" spans="89:89" s="299" customFormat="1" ht="12.75" customHeight="1" x14ac:dyDescent="0.3">
      <c r="CK1204" s="481"/>
    </row>
    <row r="1205" spans="89:89" s="299" customFormat="1" ht="12.75" customHeight="1" x14ac:dyDescent="0.3">
      <c r="CK1205" s="481"/>
    </row>
    <row r="1206" spans="89:89" s="299" customFormat="1" ht="12.75" customHeight="1" x14ac:dyDescent="0.3">
      <c r="CK1206" s="481"/>
    </row>
    <row r="1207" spans="89:89" s="299" customFormat="1" ht="12.75" customHeight="1" x14ac:dyDescent="0.3">
      <c r="CK1207" s="481"/>
    </row>
    <row r="1208" spans="89:89" s="299" customFormat="1" ht="12.75" customHeight="1" x14ac:dyDescent="0.3">
      <c r="CK1208" s="481"/>
    </row>
    <row r="1209" spans="89:89" s="299" customFormat="1" ht="12.75" customHeight="1" x14ac:dyDescent="0.3">
      <c r="CK1209" s="481"/>
    </row>
    <row r="1210" spans="89:89" s="299" customFormat="1" ht="12.75" customHeight="1" x14ac:dyDescent="0.3">
      <c r="CK1210" s="481"/>
    </row>
    <row r="1211" spans="89:89" s="299" customFormat="1" ht="12.75" customHeight="1" x14ac:dyDescent="0.3">
      <c r="CK1211" s="481"/>
    </row>
    <row r="1212" spans="89:89" s="299" customFormat="1" ht="12.75" customHeight="1" x14ac:dyDescent="0.3">
      <c r="CK1212" s="481"/>
    </row>
    <row r="1213" spans="89:89" s="299" customFormat="1" ht="12.75" customHeight="1" x14ac:dyDescent="0.3">
      <c r="CK1213" s="481"/>
    </row>
    <row r="1214" spans="89:89" s="299" customFormat="1" ht="12.75" customHeight="1" x14ac:dyDescent="0.3">
      <c r="CK1214" s="481"/>
    </row>
    <row r="1215" spans="89:89" s="299" customFormat="1" ht="12.75" customHeight="1" x14ac:dyDescent="0.3">
      <c r="CK1215" s="481"/>
    </row>
    <row r="1216" spans="89:89" s="299" customFormat="1" ht="12.75" customHeight="1" x14ac:dyDescent="0.3">
      <c r="CK1216" s="481"/>
    </row>
    <row r="1217" spans="89:89" s="299" customFormat="1" ht="12.75" customHeight="1" x14ac:dyDescent="0.3">
      <c r="CK1217" s="481"/>
    </row>
    <row r="1218" spans="89:89" s="299" customFormat="1" ht="12.75" customHeight="1" x14ac:dyDescent="0.3">
      <c r="CK1218" s="481"/>
    </row>
    <row r="1219" spans="89:89" s="299" customFormat="1" ht="12.75" customHeight="1" x14ac:dyDescent="0.3">
      <c r="CK1219" s="481"/>
    </row>
    <row r="1220" spans="89:89" s="299" customFormat="1" ht="12.75" customHeight="1" x14ac:dyDescent="0.3">
      <c r="CK1220" s="481"/>
    </row>
    <row r="1221" spans="89:89" s="299" customFormat="1" ht="12.75" customHeight="1" x14ac:dyDescent="0.3">
      <c r="CK1221" s="481"/>
    </row>
    <row r="1222" spans="89:89" s="299" customFormat="1" ht="12.75" customHeight="1" x14ac:dyDescent="0.3">
      <c r="CK1222" s="481"/>
    </row>
    <row r="1223" spans="89:89" s="299" customFormat="1" ht="12.75" customHeight="1" x14ac:dyDescent="0.3">
      <c r="CK1223" s="481"/>
    </row>
    <row r="1224" spans="89:89" s="299" customFormat="1" ht="12.75" customHeight="1" x14ac:dyDescent="0.3">
      <c r="CK1224" s="481"/>
    </row>
    <row r="1225" spans="89:89" s="299" customFormat="1" ht="12.75" customHeight="1" x14ac:dyDescent="0.3">
      <c r="CK1225" s="481"/>
    </row>
    <row r="1226" spans="89:89" s="299" customFormat="1" ht="12.75" customHeight="1" x14ac:dyDescent="0.3">
      <c r="CK1226" s="481"/>
    </row>
    <row r="1227" spans="89:89" s="299" customFormat="1" ht="12.75" customHeight="1" x14ac:dyDescent="0.3">
      <c r="CK1227" s="481"/>
    </row>
    <row r="1228" spans="89:89" s="299" customFormat="1" ht="12.75" customHeight="1" x14ac:dyDescent="0.3">
      <c r="CK1228" s="481"/>
    </row>
    <row r="1229" spans="89:89" s="299" customFormat="1" ht="12.75" customHeight="1" x14ac:dyDescent="0.3">
      <c r="CK1229" s="481"/>
    </row>
    <row r="1230" spans="89:89" s="299" customFormat="1" ht="12.75" customHeight="1" x14ac:dyDescent="0.3">
      <c r="CK1230" s="481"/>
    </row>
    <row r="1231" spans="89:89" s="299" customFormat="1" ht="12.75" customHeight="1" x14ac:dyDescent="0.3">
      <c r="CK1231" s="481"/>
    </row>
    <row r="1232" spans="89:89" s="299" customFormat="1" ht="12.75" customHeight="1" x14ac:dyDescent="0.3">
      <c r="CK1232" s="481"/>
    </row>
    <row r="1233" spans="89:89" s="299" customFormat="1" ht="12.75" customHeight="1" x14ac:dyDescent="0.3">
      <c r="CK1233" s="481"/>
    </row>
    <row r="1234" spans="89:89" s="299" customFormat="1" ht="12.75" customHeight="1" x14ac:dyDescent="0.3">
      <c r="CK1234" s="481"/>
    </row>
    <row r="1235" spans="89:89" s="299" customFormat="1" ht="12.75" customHeight="1" x14ac:dyDescent="0.3">
      <c r="CK1235" s="481"/>
    </row>
    <row r="1236" spans="89:89" s="299" customFormat="1" ht="12.75" customHeight="1" x14ac:dyDescent="0.3">
      <c r="CK1236" s="481"/>
    </row>
    <row r="1237" spans="89:89" s="299" customFormat="1" ht="12.75" customHeight="1" x14ac:dyDescent="0.3">
      <c r="CK1237" s="481"/>
    </row>
    <row r="1238" spans="89:89" s="299" customFormat="1" ht="12.75" customHeight="1" x14ac:dyDescent="0.3">
      <c r="CK1238" s="481"/>
    </row>
    <row r="1239" spans="89:89" s="299" customFormat="1" ht="12.75" customHeight="1" x14ac:dyDescent="0.3">
      <c r="CK1239" s="481"/>
    </row>
    <row r="1240" spans="89:89" s="299" customFormat="1" ht="12.75" customHeight="1" x14ac:dyDescent="0.3">
      <c r="CK1240" s="481"/>
    </row>
    <row r="1241" spans="89:89" s="299" customFormat="1" ht="12.75" customHeight="1" x14ac:dyDescent="0.3">
      <c r="CK1241" s="481"/>
    </row>
    <row r="1242" spans="89:89" s="299" customFormat="1" ht="12.75" customHeight="1" x14ac:dyDescent="0.3">
      <c r="CK1242" s="481"/>
    </row>
    <row r="1243" spans="89:89" s="299" customFormat="1" ht="12.75" customHeight="1" x14ac:dyDescent="0.3">
      <c r="CK1243" s="481"/>
    </row>
    <row r="1244" spans="89:89" s="299" customFormat="1" ht="12.75" customHeight="1" x14ac:dyDescent="0.3">
      <c r="CK1244" s="481"/>
    </row>
    <row r="1245" spans="89:89" s="299" customFormat="1" ht="12.75" customHeight="1" x14ac:dyDescent="0.3">
      <c r="CK1245" s="481"/>
    </row>
    <row r="1246" spans="89:89" s="299" customFormat="1" ht="12.75" customHeight="1" x14ac:dyDescent="0.3">
      <c r="CK1246" s="481"/>
    </row>
    <row r="1247" spans="89:89" s="299" customFormat="1" ht="12.75" customHeight="1" x14ac:dyDescent="0.3">
      <c r="CK1247" s="481"/>
    </row>
    <row r="1248" spans="89:89" s="299" customFormat="1" ht="12.75" customHeight="1" x14ac:dyDescent="0.3">
      <c r="CK1248" s="481"/>
    </row>
    <row r="1249" spans="89:89" s="299" customFormat="1" ht="12.75" customHeight="1" x14ac:dyDescent="0.3">
      <c r="CK1249" s="481"/>
    </row>
    <row r="1250" spans="89:89" s="299" customFormat="1" ht="12.75" customHeight="1" x14ac:dyDescent="0.3">
      <c r="CK1250" s="481"/>
    </row>
    <row r="1251" spans="89:89" s="299" customFormat="1" ht="12.75" customHeight="1" x14ac:dyDescent="0.3">
      <c r="CK1251" s="481"/>
    </row>
    <row r="1252" spans="89:89" s="299" customFormat="1" ht="12.75" customHeight="1" x14ac:dyDescent="0.3">
      <c r="CK1252" s="481"/>
    </row>
    <row r="1253" spans="89:89" s="299" customFormat="1" ht="12.75" customHeight="1" x14ac:dyDescent="0.3">
      <c r="CK1253" s="481"/>
    </row>
    <row r="1254" spans="89:89" s="299" customFormat="1" ht="12.75" customHeight="1" x14ac:dyDescent="0.3">
      <c r="CK1254" s="481"/>
    </row>
    <row r="1255" spans="89:89" s="299" customFormat="1" ht="12.75" customHeight="1" x14ac:dyDescent="0.3">
      <c r="CK1255" s="481"/>
    </row>
    <row r="1256" spans="89:89" s="299" customFormat="1" ht="12.75" customHeight="1" x14ac:dyDescent="0.3">
      <c r="CK1256" s="481"/>
    </row>
    <row r="1257" spans="89:89" s="299" customFormat="1" ht="12.75" customHeight="1" x14ac:dyDescent="0.3">
      <c r="CK1257" s="481"/>
    </row>
    <row r="1258" spans="89:89" s="299" customFormat="1" ht="12.75" customHeight="1" x14ac:dyDescent="0.3">
      <c r="CK1258" s="481"/>
    </row>
    <row r="1259" spans="89:89" s="299" customFormat="1" ht="12.75" customHeight="1" x14ac:dyDescent="0.3">
      <c r="CK1259" s="481"/>
    </row>
    <row r="1260" spans="89:89" s="299" customFormat="1" ht="12.75" customHeight="1" x14ac:dyDescent="0.3">
      <c r="CK1260" s="481"/>
    </row>
    <row r="1261" spans="89:89" s="299" customFormat="1" ht="12.75" customHeight="1" x14ac:dyDescent="0.3">
      <c r="CK1261" s="481"/>
    </row>
    <row r="1262" spans="89:89" s="299" customFormat="1" ht="12.75" customHeight="1" x14ac:dyDescent="0.3">
      <c r="CK1262" s="481"/>
    </row>
    <row r="1263" spans="89:89" s="299" customFormat="1" ht="12.75" customHeight="1" x14ac:dyDescent="0.3">
      <c r="CK1263" s="481"/>
    </row>
    <row r="1264" spans="89:89" s="299" customFormat="1" ht="12.75" customHeight="1" x14ac:dyDescent="0.3">
      <c r="CK1264" s="481"/>
    </row>
    <row r="1265" spans="89:89" s="299" customFormat="1" ht="12.75" customHeight="1" x14ac:dyDescent="0.3">
      <c r="CK1265" s="481"/>
    </row>
    <row r="1266" spans="89:89" s="299" customFormat="1" ht="12.75" customHeight="1" x14ac:dyDescent="0.3">
      <c r="CK1266" s="481"/>
    </row>
    <row r="1267" spans="89:89" s="299" customFormat="1" ht="12.75" customHeight="1" x14ac:dyDescent="0.3">
      <c r="CK1267" s="481"/>
    </row>
    <row r="1268" spans="89:89" s="299" customFormat="1" ht="12.75" customHeight="1" x14ac:dyDescent="0.3">
      <c r="CK1268" s="481"/>
    </row>
    <row r="1269" spans="89:89" s="299" customFormat="1" ht="12.75" customHeight="1" x14ac:dyDescent="0.3">
      <c r="CK1269" s="481"/>
    </row>
    <row r="1270" spans="89:89" s="299" customFormat="1" ht="12.75" customHeight="1" x14ac:dyDescent="0.3">
      <c r="CK1270" s="481"/>
    </row>
    <row r="1271" spans="89:89" s="299" customFormat="1" ht="12.75" customHeight="1" x14ac:dyDescent="0.3">
      <c r="CK1271" s="481"/>
    </row>
    <row r="1272" spans="89:89" s="299" customFormat="1" ht="12.75" customHeight="1" x14ac:dyDescent="0.3">
      <c r="CK1272" s="481"/>
    </row>
    <row r="1273" spans="89:89" s="299" customFormat="1" ht="12.75" customHeight="1" x14ac:dyDescent="0.3">
      <c r="CK1273" s="481"/>
    </row>
    <row r="1274" spans="89:89" s="299" customFormat="1" ht="12.75" customHeight="1" x14ac:dyDescent="0.3">
      <c r="CK1274" s="481"/>
    </row>
    <row r="1275" spans="89:89" s="299" customFormat="1" ht="12.75" customHeight="1" x14ac:dyDescent="0.3">
      <c r="CK1275" s="481"/>
    </row>
    <row r="1276" spans="89:89" s="299" customFormat="1" ht="12.75" customHeight="1" x14ac:dyDescent="0.3">
      <c r="CK1276" s="481"/>
    </row>
    <row r="1277" spans="89:89" s="299" customFormat="1" ht="12.75" customHeight="1" x14ac:dyDescent="0.3">
      <c r="CK1277" s="481"/>
    </row>
    <row r="1278" spans="89:89" s="299" customFormat="1" ht="12.75" customHeight="1" x14ac:dyDescent="0.3">
      <c r="CK1278" s="481"/>
    </row>
    <row r="1279" spans="89:89" s="299" customFormat="1" ht="12.75" customHeight="1" x14ac:dyDescent="0.3">
      <c r="CK1279" s="481"/>
    </row>
    <row r="1280" spans="89:89" s="299" customFormat="1" ht="12.75" customHeight="1" x14ac:dyDescent="0.3">
      <c r="CK1280" s="481"/>
    </row>
    <row r="1281" spans="89:89" s="299" customFormat="1" ht="12.75" customHeight="1" x14ac:dyDescent="0.3">
      <c r="CK1281" s="481"/>
    </row>
    <row r="1282" spans="89:89" s="299" customFormat="1" ht="12.75" customHeight="1" x14ac:dyDescent="0.3">
      <c r="CK1282" s="481"/>
    </row>
    <row r="1283" spans="89:89" s="299" customFormat="1" ht="12.75" customHeight="1" x14ac:dyDescent="0.3">
      <c r="CK1283" s="481"/>
    </row>
    <row r="1284" spans="89:89" s="299" customFormat="1" ht="12.75" customHeight="1" x14ac:dyDescent="0.3">
      <c r="CK1284" s="481"/>
    </row>
    <row r="1285" spans="89:89" s="299" customFormat="1" ht="12.75" customHeight="1" x14ac:dyDescent="0.3">
      <c r="CK1285" s="481"/>
    </row>
    <row r="1286" spans="89:89" s="299" customFormat="1" ht="12.75" customHeight="1" x14ac:dyDescent="0.3">
      <c r="CK1286" s="481"/>
    </row>
    <row r="1287" spans="89:89" s="299" customFormat="1" ht="12.75" customHeight="1" x14ac:dyDescent="0.3">
      <c r="CK1287" s="481"/>
    </row>
    <row r="1288" spans="89:89" s="299" customFormat="1" ht="12.75" customHeight="1" x14ac:dyDescent="0.3">
      <c r="CK1288" s="481"/>
    </row>
    <row r="1289" spans="89:89" s="299" customFormat="1" ht="12.75" customHeight="1" x14ac:dyDescent="0.3">
      <c r="CK1289" s="481"/>
    </row>
    <row r="1290" spans="89:89" s="299" customFormat="1" ht="12.75" customHeight="1" x14ac:dyDescent="0.3">
      <c r="CK1290" s="481"/>
    </row>
    <row r="1291" spans="89:89" s="299" customFormat="1" ht="12.75" customHeight="1" x14ac:dyDescent="0.3">
      <c r="CK1291" s="481"/>
    </row>
    <row r="1292" spans="89:89" s="299" customFormat="1" ht="12.75" customHeight="1" x14ac:dyDescent="0.3">
      <c r="CK1292" s="481"/>
    </row>
    <row r="1293" spans="89:89" s="299" customFormat="1" ht="12.75" customHeight="1" x14ac:dyDescent="0.3">
      <c r="CK1293" s="481"/>
    </row>
    <row r="1294" spans="89:89" s="299" customFormat="1" ht="12.75" customHeight="1" x14ac:dyDescent="0.3">
      <c r="CK1294" s="481"/>
    </row>
    <row r="1295" spans="89:89" s="299" customFormat="1" ht="12.75" customHeight="1" x14ac:dyDescent="0.3">
      <c r="CK1295" s="481"/>
    </row>
    <row r="1296" spans="89:89" s="299" customFormat="1" ht="12.75" customHeight="1" x14ac:dyDescent="0.3">
      <c r="CK1296" s="481"/>
    </row>
    <row r="1297" spans="89:89" s="299" customFormat="1" ht="12.75" customHeight="1" x14ac:dyDescent="0.3">
      <c r="CK1297" s="481"/>
    </row>
    <row r="1298" spans="89:89" s="299" customFormat="1" ht="12.75" customHeight="1" x14ac:dyDescent="0.3">
      <c r="CK1298" s="481"/>
    </row>
    <row r="1299" spans="89:89" s="299" customFormat="1" ht="12.75" customHeight="1" x14ac:dyDescent="0.3">
      <c r="CK1299" s="481"/>
    </row>
    <row r="1300" spans="89:89" s="299" customFormat="1" ht="12.75" customHeight="1" x14ac:dyDescent="0.3">
      <c r="CK1300" s="481"/>
    </row>
    <row r="1301" spans="89:89" s="299" customFormat="1" ht="12.75" customHeight="1" x14ac:dyDescent="0.3">
      <c r="CK1301" s="481"/>
    </row>
    <row r="1302" spans="89:89" s="299" customFormat="1" ht="12.75" customHeight="1" x14ac:dyDescent="0.3">
      <c r="CK1302" s="481"/>
    </row>
    <row r="1303" spans="89:89" s="299" customFormat="1" ht="12.75" customHeight="1" x14ac:dyDescent="0.3">
      <c r="CK1303" s="481"/>
    </row>
    <row r="1304" spans="89:89" s="299" customFormat="1" ht="12.75" customHeight="1" x14ac:dyDescent="0.3">
      <c r="CK1304" s="481"/>
    </row>
    <row r="1305" spans="89:89" s="299" customFormat="1" ht="12.75" customHeight="1" x14ac:dyDescent="0.3">
      <c r="CK1305" s="481"/>
    </row>
    <row r="1306" spans="89:89" s="299" customFormat="1" ht="12.75" customHeight="1" x14ac:dyDescent="0.3">
      <c r="CK1306" s="481"/>
    </row>
    <row r="1307" spans="89:89" s="299" customFormat="1" ht="12.75" customHeight="1" x14ac:dyDescent="0.3">
      <c r="CK1307" s="481"/>
    </row>
    <row r="1308" spans="89:89" s="299" customFormat="1" ht="12.75" customHeight="1" x14ac:dyDescent="0.3">
      <c r="CK1308" s="481"/>
    </row>
    <row r="1309" spans="89:89" s="299" customFormat="1" ht="12.75" customHeight="1" x14ac:dyDescent="0.3">
      <c r="CK1309" s="481"/>
    </row>
    <row r="1310" spans="89:89" s="299" customFormat="1" ht="12.75" customHeight="1" x14ac:dyDescent="0.3">
      <c r="CK1310" s="481"/>
    </row>
    <row r="1311" spans="89:89" s="299" customFormat="1" ht="12.75" customHeight="1" x14ac:dyDescent="0.3">
      <c r="CK1311" s="481"/>
    </row>
    <row r="1312" spans="89:89" s="299" customFormat="1" ht="12.75" customHeight="1" x14ac:dyDescent="0.3">
      <c r="CK1312" s="481"/>
    </row>
    <row r="1313" spans="89:89" s="299" customFormat="1" ht="12.75" customHeight="1" x14ac:dyDescent="0.3">
      <c r="CK1313" s="481"/>
    </row>
    <row r="1314" spans="89:89" s="299" customFormat="1" ht="12.75" customHeight="1" x14ac:dyDescent="0.3">
      <c r="CK1314" s="481"/>
    </row>
    <row r="1315" spans="89:89" s="299" customFormat="1" ht="12.75" customHeight="1" x14ac:dyDescent="0.3">
      <c r="CK1315" s="481"/>
    </row>
    <row r="1316" spans="89:89" s="299" customFormat="1" ht="12.75" customHeight="1" x14ac:dyDescent="0.3">
      <c r="CK1316" s="481"/>
    </row>
    <row r="1317" spans="89:89" s="299" customFormat="1" ht="12.75" customHeight="1" x14ac:dyDescent="0.3">
      <c r="CK1317" s="481"/>
    </row>
    <row r="1318" spans="89:89" s="299" customFormat="1" ht="12.75" customHeight="1" x14ac:dyDescent="0.3">
      <c r="CK1318" s="481"/>
    </row>
    <row r="1319" spans="89:89" s="299" customFormat="1" ht="12.75" customHeight="1" x14ac:dyDescent="0.3">
      <c r="CK1319" s="481"/>
    </row>
    <row r="1320" spans="89:89" s="299" customFormat="1" ht="12.75" customHeight="1" x14ac:dyDescent="0.3">
      <c r="CK1320" s="481"/>
    </row>
    <row r="1321" spans="89:89" s="299" customFormat="1" ht="12.75" customHeight="1" x14ac:dyDescent="0.3">
      <c r="CK1321" s="481"/>
    </row>
    <row r="1322" spans="89:89" s="299" customFormat="1" ht="12.75" customHeight="1" x14ac:dyDescent="0.3">
      <c r="CK1322" s="481"/>
    </row>
    <row r="1323" spans="89:89" s="299" customFormat="1" ht="12.75" customHeight="1" x14ac:dyDescent="0.3">
      <c r="CK1323" s="481"/>
    </row>
    <row r="1324" spans="89:89" s="299" customFormat="1" ht="12.75" customHeight="1" x14ac:dyDescent="0.3">
      <c r="CK1324" s="481"/>
    </row>
    <row r="1325" spans="89:89" s="299" customFormat="1" ht="12.75" customHeight="1" x14ac:dyDescent="0.3">
      <c r="CK1325" s="481"/>
    </row>
    <row r="1326" spans="89:89" s="299" customFormat="1" ht="12.75" customHeight="1" x14ac:dyDescent="0.3">
      <c r="CK1326" s="481"/>
    </row>
    <row r="1327" spans="89:89" s="299" customFormat="1" ht="12.75" customHeight="1" x14ac:dyDescent="0.3">
      <c r="CK1327" s="481"/>
    </row>
    <row r="1328" spans="89:89" s="299" customFormat="1" ht="12.75" customHeight="1" x14ac:dyDescent="0.3">
      <c r="CK1328" s="481"/>
    </row>
    <row r="1329" spans="89:89" s="299" customFormat="1" ht="12.75" customHeight="1" x14ac:dyDescent="0.3">
      <c r="CK1329" s="481"/>
    </row>
    <row r="1330" spans="89:89" s="299" customFormat="1" ht="12.75" customHeight="1" x14ac:dyDescent="0.3">
      <c r="CK1330" s="481"/>
    </row>
    <row r="1331" spans="89:89" s="299" customFormat="1" ht="12.75" customHeight="1" x14ac:dyDescent="0.3">
      <c r="CK1331" s="481"/>
    </row>
    <row r="1332" spans="89:89" s="299" customFormat="1" ht="12.75" customHeight="1" x14ac:dyDescent="0.3">
      <c r="CK1332" s="481"/>
    </row>
    <row r="1333" spans="89:89" s="299" customFormat="1" ht="12.75" customHeight="1" x14ac:dyDescent="0.3">
      <c r="CK1333" s="481"/>
    </row>
    <row r="1334" spans="89:89" s="299" customFormat="1" ht="12.75" customHeight="1" x14ac:dyDescent="0.3">
      <c r="CK1334" s="481"/>
    </row>
    <row r="1335" spans="89:89" s="299" customFormat="1" ht="12.75" customHeight="1" x14ac:dyDescent="0.3">
      <c r="CK1335" s="481"/>
    </row>
    <row r="1336" spans="89:89" s="299" customFormat="1" ht="12.75" customHeight="1" x14ac:dyDescent="0.3">
      <c r="CK1336" s="481"/>
    </row>
    <row r="1337" spans="89:89" s="299" customFormat="1" ht="12.75" customHeight="1" x14ac:dyDescent="0.3">
      <c r="CK1337" s="481"/>
    </row>
    <row r="1338" spans="89:89" s="299" customFormat="1" ht="12.75" customHeight="1" x14ac:dyDescent="0.3">
      <c r="CK1338" s="481"/>
    </row>
    <row r="1339" spans="89:89" s="299" customFormat="1" ht="12.75" customHeight="1" x14ac:dyDescent="0.3">
      <c r="CK1339" s="481"/>
    </row>
    <row r="1340" spans="89:89" s="299" customFormat="1" ht="12.75" customHeight="1" x14ac:dyDescent="0.3">
      <c r="CK1340" s="481"/>
    </row>
    <row r="1341" spans="89:89" s="299" customFormat="1" ht="12.75" customHeight="1" x14ac:dyDescent="0.3">
      <c r="CK1341" s="481"/>
    </row>
    <row r="1342" spans="89:89" s="299" customFormat="1" ht="12.75" customHeight="1" x14ac:dyDescent="0.3">
      <c r="CK1342" s="481"/>
    </row>
    <row r="1343" spans="89:89" s="299" customFormat="1" ht="12.75" customHeight="1" x14ac:dyDescent="0.3">
      <c r="CK1343" s="481"/>
    </row>
    <row r="1344" spans="89:89" s="299" customFormat="1" ht="12.75" customHeight="1" x14ac:dyDescent="0.3">
      <c r="CK1344" s="481"/>
    </row>
    <row r="1345" spans="89:89" s="299" customFormat="1" ht="12.75" customHeight="1" x14ac:dyDescent="0.3">
      <c r="CK1345" s="481"/>
    </row>
    <row r="1346" spans="89:89" s="299" customFormat="1" ht="12.75" customHeight="1" x14ac:dyDescent="0.3">
      <c r="CK1346" s="481"/>
    </row>
    <row r="1347" spans="89:89" s="299" customFormat="1" ht="12.75" customHeight="1" x14ac:dyDescent="0.3">
      <c r="CK1347" s="481"/>
    </row>
    <row r="1348" spans="89:89" s="299" customFormat="1" ht="12.75" customHeight="1" x14ac:dyDescent="0.3">
      <c r="CK1348" s="481"/>
    </row>
    <row r="1349" spans="89:89" s="299" customFormat="1" ht="12.75" customHeight="1" x14ac:dyDescent="0.3">
      <c r="CK1349" s="481"/>
    </row>
    <row r="1350" spans="89:89" s="299" customFormat="1" ht="12.75" customHeight="1" x14ac:dyDescent="0.3">
      <c r="CK1350" s="481"/>
    </row>
    <row r="1351" spans="89:89" s="299" customFormat="1" ht="12.75" customHeight="1" x14ac:dyDescent="0.3">
      <c r="CK1351" s="481"/>
    </row>
    <row r="1352" spans="89:89" s="299" customFormat="1" ht="12.75" customHeight="1" x14ac:dyDescent="0.3">
      <c r="CK1352" s="481"/>
    </row>
    <row r="1353" spans="89:89" s="299" customFormat="1" ht="12.75" customHeight="1" x14ac:dyDescent="0.3">
      <c r="CK1353" s="481"/>
    </row>
    <row r="1354" spans="89:89" s="299" customFormat="1" ht="12.75" customHeight="1" x14ac:dyDescent="0.3">
      <c r="CK1354" s="481"/>
    </row>
    <row r="1355" spans="89:89" s="299" customFormat="1" ht="12.75" customHeight="1" x14ac:dyDescent="0.3">
      <c r="CK1355" s="481"/>
    </row>
    <row r="1356" spans="89:89" s="299" customFormat="1" ht="12.75" customHeight="1" x14ac:dyDescent="0.3">
      <c r="CK1356" s="481"/>
    </row>
    <row r="1357" spans="89:89" s="299" customFormat="1" ht="12.75" customHeight="1" x14ac:dyDescent="0.3">
      <c r="CK1357" s="481"/>
    </row>
    <row r="1358" spans="89:89" s="299" customFormat="1" ht="12.75" customHeight="1" x14ac:dyDescent="0.3">
      <c r="CK1358" s="481"/>
    </row>
    <row r="1359" spans="89:89" s="299" customFormat="1" ht="12.75" customHeight="1" x14ac:dyDescent="0.3">
      <c r="CK1359" s="481"/>
    </row>
    <row r="1360" spans="89:89" s="299" customFormat="1" ht="12.75" customHeight="1" x14ac:dyDescent="0.3">
      <c r="CK1360" s="481"/>
    </row>
    <row r="1361" spans="89:89" s="299" customFormat="1" ht="12.75" customHeight="1" x14ac:dyDescent="0.3">
      <c r="CK1361" s="481"/>
    </row>
    <row r="1362" spans="89:89" s="299" customFormat="1" ht="12.75" customHeight="1" x14ac:dyDescent="0.3">
      <c r="CK1362" s="481"/>
    </row>
    <row r="1363" spans="89:89" s="299" customFormat="1" ht="12.75" customHeight="1" x14ac:dyDescent="0.3">
      <c r="CK1363" s="481"/>
    </row>
    <row r="1364" spans="89:89" s="299" customFormat="1" ht="12.75" customHeight="1" x14ac:dyDescent="0.3">
      <c r="CK1364" s="481"/>
    </row>
    <row r="1365" spans="89:89" s="299" customFormat="1" ht="12.75" customHeight="1" x14ac:dyDescent="0.3">
      <c r="CK1365" s="481"/>
    </row>
    <row r="1366" spans="89:89" s="299" customFormat="1" ht="12.75" customHeight="1" x14ac:dyDescent="0.3">
      <c r="CK1366" s="481"/>
    </row>
    <row r="1367" spans="89:89" s="299" customFormat="1" ht="12.75" customHeight="1" x14ac:dyDescent="0.3">
      <c r="CK1367" s="481"/>
    </row>
    <row r="1368" spans="89:89" s="299" customFormat="1" ht="12.75" customHeight="1" x14ac:dyDescent="0.3">
      <c r="CK1368" s="481"/>
    </row>
    <row r="1369" spans="89:89" s="299" customFormat="1" ht="12.75" customHeight="1" x14ac:dyDescent="0.3">
      <c r="CK1369" s="481"/>
    </row>
    <row r="1370" spans="89:89" s="299" customFormat="1" ht="12.75" customHeight="1" x14ac:dyDescent="0.3">
      <c r="CK1370" s="481"/>
    </row>
    <row r="1371" spans="89:89" s="299" customFormat="1" ht="12.75" customHeight="1" x14ac:dyDescent="0.3">
      <c r="CK1371" s="481"/>
    </row>
    <row r="1372" spans="89:89" s="299" customFormat="1" ht="12.75" customHeight="1" x14ac:dyDescent="0.3">
      <c r="CK1372" s="481"/>
    </row>
    <row r="1373" spans="89:89" s="299" customFormat="1" ht="12.75" customHeight="1" x14ac:dyDescent="0.3">
      <c r="CK1373" s="481"/>
    </row>
    <row r="1374" spans="89:89" s="299" customFormat="1" ht="12.75" customHeight="1" x14ac:dyDescent="0.3">
      <c r="CK1374" s="481"/>
    </row>
    <row r="1375" spans="89:89" s="299" customFormat="1" ht="12.75" customHeight="1" x14ac:dyDescent="0.3">
      <c r="CK1375" s="481"/>
    </row>
    <row r="1376" spans="89:89" s="299" customFormat="1" ht="12.75" customHeight="1" x14ac:dyDescent="0.3">
      <c r="CK1376" s="481"/>
    </row>
    <row r="1377" spans="89:89" s="299" customFormat="1" ht="12.75" customHeight="1" x14ac:dyDescent="0.3">
      <c r="CK1377" s="481"/>
    </row>
    <row r="1378" spans="89:89" s="299" customFormat="1" ht="12.75" customHeight="1" x14ac:dyDescent="0.3">
      <c r="CK1378" s="481"/>
    </row>
    <row r="1379" spans="89:89" s="299" customFormat="1" ht="12.75" customHeight="1" x14ac:dyDescent="0.3">
      <c r="CK1379" s="481"/>
    </row>
    <row r="1380" spans="89:89" s="299" customFormat="1" ht="12.75" customHeight="1" x14ac:dyDescent="0.3">
      <c r="CK1380" s="481"/>
    </row>
    <row r="1381" spans="89:89" s="299" customFormat="1" ht="12.75" customHeight="1" x14ac:dyDescent="0.3">
      <c r="CK1381" s="481"/>
    </row>
    <row r="1382" spans="89:89" s="299" customFormat="1" ht="12.75" customHeight="1" x14ac:dyDescent="0.3">
      <c r="CK1382" s="481"/>
    </row>
    <row r="1383" spans="89:89" s="299" customFormat="1" ht="12.75" customHeight="1" x14ac:dyDescent="0.3">
      <c r="CK1383" s="481"/>
    </row>
    <row r="1384" spans="89:89" s="299" customFormat="1" ht="12.75" customHeight="1" x14ac:dyDescent="0.3">
      <c r="CK1384" s="481"/>
    </row>
    <row r="1385" spans="89:89" s="299" customFormat="1" ht="12.75" customHeight="1" x14ac:dyDescent="0.3">
      <c r="CK1385" s="481"/>
    </row>
    <row r="1386" spans="89:89" s="299" customFormat="1" ht="12.75" customHeight="1" x14ac:dyDescent="0.3">
      <c r="CK1386" s="481"/>
    </row>
    <row r="1387" spans="89:89" s="299" customFormat="1" ht="12.75" customHeight="1" x14ac:dyDescent="0.3">
      <c r="CK1387" s="481"/>
    </row>
    <row r="1388" spans="89:89" s="299" customFormat="1" ht="12.75" customHeight="1" x14ac:dyDescent="0.3">
      <c r="CK1388" s="481"/>
    </row>
    <row r="1389" spans="89:89" s="299" customFormat="1" ht="12.75" customHeight="1" x14ac:dyDescent="0.3">
      <c r="CK1389" s="481"/>
    </row>
    <row r="1390" spans="89:89" s="299" customFormat="1" ht="12.75" customHeight="1" x14ac:dyDescent="0.3">
      <c r="CK1390" s="481"/>
    </row>
    <row r="1391" spans="89:89" s="299" customFormat="1" ht="12.75" customHeight="1" x14ac:dyDescent="0.3">
      <c r="CK1391" s="481"/>
    </row>
    <row r="1392" spans="89:89" s="299" customFormat="1" ht="12.75" customHeight="1" x14ac:dyDescent="0.3">
      <c r="CK1392" s="481"/>
    </row>
    <row r="1393" spans="89:89" s="299" customFormat="1" ht="12.75" customHeight="1" x14ac:dyDescent="0.3">
      <c r="CK1393" s="481"/>
    </row>
    <row r="1394" spans="89:89" s="299" customFormat="1" ht="12.75" customHeight="1" x14ac:dyDescent="0.3">
      <c r="CK1394" s="481"/>
    </row>
    <row r="1395" spans="89:89" s="299" customFormat="1" ht="12.75" customHeight="1" x14ac:dyDescent="0.3">
      <c r="CK1395" s="481"/>
    </row>
    <row r="1396" spans="89:89" s="299" customFormat="1" ht="12.75" customHeight="1" x14ac:dyDescent="0.3">
      <c r="CK1396" s="481"/>
    </row>
    <row r="1397" spans="89:89" s="299" customFormat="1" ht="12.75" customHeight="1" x14ac:dyDescent="0.3">
      <c r="CK1397" s="481"/>
    </row>
    <row r="1398" spans="89:89" s="299" customFormat="1" ht="12.75" customHeight="1" x14ac:dyDescent="0.3">
      <c r="CK1398" s="481"/>
    </row>
    <row r="1399" spans="89:89" s="299" customFormat="1" ht="12.75" customHeight="1" x14ac:dyDescent="0.3">
      <c r="CK1399" s="481"/>
    </row>
    <row r="1400" spans="89:89" s="299" customFormat="1" ht="12.75" customHeight="1" x14ac:dyDescent="0.3">
      <c r="CK1400" s="481"/>
    </row>
    <row r="1401" spans="89:89" s="299" customFormat="1" ht="12.75" customHeight="1" x14ac:dyDescent="0.3">
      <c r="CK1401" s="481"/>
    </row>
    <row r="1402" spans="89:89" s="299" customFormat="1" ht="12.75" customHeight="1" x14ac:dyDescent="0.3">
      <c r="CK1402" s="481"/>
    </row>
    <row r="1403" spans="89:89" s="299" customFormat="1" ht="12.75" customHeight="1" x14ac:dyDescent="0.3">
      <c r="CK1403" s="481"/>
    </row>
    <row r="1404" spans="89:89" s="299" customFormat="1" ht="12.75" customHeight="1" x14ac:dyDescent="0.3">
      <c r="CK1404" s="481"/>
    </row>
    <row r="1405" spans="89:89" s="299" customFormat="1" ht="12.75" customHeight="1" x14ac:dyDescent="0.3">
      <c r="CK1405" s="481"/>
    </row>
    <row r="1406" spans="89:89" s="299" customFormat="1" ht="12.75" customHeight="1" x14ac:dyDescent="0.3">
      <c r="CK1406" s="481"/>
    </row>
    <row r="1407" spans="89:89" s="299" customFormat="1" ht="12.75" customHeight="1" x14ac:dyDescent="0.3">
      <c r="CK1407" s="481"/>
    </row>
    <row r="1408" spans="89:89" s="299" customFormat="1" ht="12.75" customHeight="1" x14ac:dyDescent="0.3">
      <c r="CK1408" s="481"/>
    </row>
    <row r="1409" spans="89:89" s="299" customFormat="1" ht="12.75" customHeight="1" x14ac:dyDescent="0.3">
      <c r="CK1409" s="481"/>
    </row>
    <row r="1410" spans="89:89" s="299" customFormat="1" ht="12.75" customHeight="1" x14ac:dyDescent="0.3">
      <c r="CK1410" s="481"/>
    </row>
    <row r="1411" spans="89:89" s="299" customFormat="1" ht="12.75" customHeight="1" x14ac:dyDescent="0.3">
      <c r="CK1411" s="481"/>
    </row>
    <row r="1412" spans="89:89" s="299" customFormat="1" ht="12.75" customHeight="1" x14ac:dyDescent="0.3">
      <c r="CK1412" s="481"/>
    </row>
    <row r="1413" spans="89:89" s="299" customFormat="1" ht="12.75" customHeight="1" x14ac:dyDescent="0.3">
      <c r="CK1413" s="481"/>
    </row>
    <row r="1414" spans="89:89" s="299" customFormat="1" ht="12.75" customHeight="1" x14ac:dyDescent="0.3">
      <c r="CK1414" s="481"/>
    </row>
    <row r="1415" spans="89:89" s="299" customFormat="1" ht="12.75" customHeight="1" x14ac:dyDescent="0.3">
      <c r="CK1415" s="481"/>
    </row>
    <row r="1416" spans="89:89" s="299" customFormat="1" ht="12.75" customHeight="1" x14ac:dyDescent="0.3">
      <c r="CK1416" s="481"/>
    </row>
    <row r="1417" spans="89:89" s="299" customFormat="1" ht="12.75" customHeight="1" x14ac:dyDescent="0.3">
      <c r="CK1417" s="481"/>
    </row>
    <row r="1418" spans="89:89" s="299" customFormat="1" ht="12.75" customHeight="1" x14ac:dyDescent="0.3">
      <c r="CK1418" s="481"/>
    </row>
    <row r="1419" spans="89:89" s="299" customFormat="1" ht="12.75" customHeight="1" x14ac:dyDescent="0.3">
      <c r="CK1419" s="481"/>
    </row>
    <row r="1420" spans="89:89" s="299" customFormat="1" ht="12.75" customHeight="1" x14ac:dyDescent="0.3">
      <c r="CK1420" s="481"/>
    </row>
    <row r="1421" spans="89:89" s="299" customFormat="1" ht="12.75" customHeight="1" x14ac:dyDescent="0.3">
      <c r="CK1421" s="481"/>
    </row>
    <row r="1422" spans="89:89" s="299" customFormat="1" ht="12.75" customHeight="1" x14ac:dyDescent="0.3">
      <c r="CK1422" s="481"/>
    </row>
    <row r="1423" spans="89:89" s="299" customFormat="1" ht="12.75" customHeight="1" x14ac:dyDescent="0.3">
      <c r="CK1423" s="481"/>
    </row>
    <row r="1424" spans="89:89" s="299" customFormat="1" ht="12.75" customHeight="1" x14ac:dyDescent="0.3">
      <c r="CK1424" s="481"/>
    </row>
    <row r="1425" spans="89:89" s="299" customFormat="1" ht="12.75" customHeight="1" x14ac:dyDescent="0.3">
      <c r="CK1425" s="481"/>
    </row>
    <row r="1426" spans="89:89" s="299" customFormat="1" ht="12.75" customHeight="1" x14ac:dyDescent="0.3">
      <c r="CK1426" s="481"/>
    </row>
    <row r="1427" spans="89:89" s="299" customFormat="1" ht="12.75" customHeight="1" x14ac:dyDescent="0.3">
      <c r="CK1427" s="481"/>
    </row>
    <row r="1428" spans="89:89" s="299" customFormat="1" ht="12.75" customHeight="1" x14ac:dyDescent="0.3">
      <c r="CK1428" s="481"/>
    </row>
    <row r="1429" spans="89:89" s="299" customFormat="1" ht="12.75" customHeight="1" x14ac:dyDescent="0.3">
      <c r="CK1429" s="481"/>
    </row>
    <row r="1430" spans="89:89" s="299" customFormat="1" ht="12.75" customHeight="1" x14ac:dyDescent="0.3">
      <c r="CK1430" s="481"/>
    </row>
    <row r="1431" spans="89:89" s="299" customFormat="1" ht="12.75" customHeight="1" x14ac:dyDescent="0.3">
      <c r="CK1431" s="481"/>
    </row>
    <row r="1432" spans="89:89" s="299" customFormat="1" ht="12.75" customHeight="1" x14ac:dyDescent="0.3">
      <c r="CK1432" s="481"/>
    </row>
    <row r="1433" spans="89:89" s="299" customFormat="1" ht="12.75" customHeight="1" x14ac:dyDescent="0.3">
      <c r="CK1433" s="481"/>
    </row>
    <row r="1434" spans="89:89" s="299" customFormat="1" ht="12.75" customHeight="1" x14ac:dyDescent="0.3">
      <c r="CK1434" s="481"/>
    </row>
    <row r="1435" spans="89:89" s="299" customFormat="1" ht="12.75" customHeight="1" x14ac:dyDescent="0.3">
      <c r="CK1435" s="481"/>
    </row>
    <row r="1436" spans="89:89" s="299" customFormat="1" ht="12.75" customHeight="1" x14ac:dyDescent="0.3">
      <c r="CK1436" s="481"/>
    </row>
    <row r="1437" spans="89:89" s="299" customFormat="1" ht="12.75" customHeight="1" x14ac:dyDescent="0.3">
      <c r="CK1437" s="481"/>
    </row>
    <row r="1438" spans="89:89" s="299" customFormat="1" ht="12.75" customHeight="1" x14ac:dyDescent="0.3">
      <c r="CK1438" s="481"/>
    </row>
    <row r="1439" spans="89:89" s="299" customFormat="1" ht="12.75" customHeight="1" x14ac:dyDescent="0.3">
      <c r="CK1439" s="481"/>
    </row>
    <row r="1440" spans="89:89" s="299" customFormat="1" ht="12.75" customHeight="1" x14ac:dyDescent="0.3">
      <c r="CK1440" s="481"/>
    </row>
    <row r="1441" spans="89:89" s="299" customFormat="1" ht="12.75" customHeight="1" x14ac:dyDescent="0.3">
      <c r="CK1441" s="481"/>
    </row>
    <row r="1442" spans="89:89" s="299" customFormat="1" ht="12.75" customHeight="1" x14ac:dyDescent="0.3">
      <c r="CK1442" s="481"/>
    </row>
    <row r="1443" spans="89:89" s="299" customFormat="1" ht="12.75" customHeight="1" x14ac:dyDescent="0.3">
      <c r="CK1443" s="481"/>
    </row>
    <row r="1444" spans="89:89" s="299" customFormat="1" ht="12.75" customHeight="1" x14ac:dyDescent="0.3">
      <c r="CK1444" s="481"/>
    </row>
    <row r="1445" spans="89:89" s="299" customFormat="1" ht="12.75" customHeight="1" x14ac:dyDescent="0.3">
      <c r="CK1445" s="481"/>
    </row>
    <row r="1446" spans="89:89" s="299" customFormat="1" ht="12.75" customHeight="1" x14ac:dyDescent="0.3">
      <c r="CK1446" s="481"/>
    </row>
    <row r="1447" spans="89:89" s="299" customFormat="1" ht="12.75" customHeight="1" x14ac:dyDescent="0.3">
      <c r="CK1447" s="481"/>
    </row>
    <row r="1448" spans="89:89" s="299" customFormat="1" ht="12.75" customHeight="1" x14ac:dyDescent="0.3">
      <c r="CK1448" s="481"/>
    </row>
    <row r="1449" spans="89:89" s="299" customFormat="1" ht="12.75" customHeight="1" x14ac:dyDescent="0.3">
      <c r="CK1449" s="481"/>
    </row>
    <row r="1450" spans="89:89" s="299" customFormat="1" ht="12.75" customHeight="1" x14ac:dyDescent="0.3">
      <c r="CK1450" s="481"/>
    </row>
    <row r="1451" spans="89:89" s="299" customFormat="1" ht="12.75" customHeight="1" x14ac:dyDescent="0.3">
      <c r="CK1451" s="481"/>
    </row>
    <row r="1452" spans="89:89" s="299" customFormat="1" ht="12.75" customHeight="1" x14ac:dyDescent="0.3">
      <c r="CK1452" s="481"/>
    </row>
    <row r="1453" spans="89:89" s="299" customFormat="1" ht="12.75" customHeight="1" x14ac:dyDescent="0.3">
      <c r="CK1453" s="481"/>
    </row>
    <row r="1454" spans="89:89" s="299" customFormat="1" ht="12.75" customHeight="1" x14ac:dyDescent="0.3">
      <c r="CK1454" s="481"/>
    </row>
    <row r="1455" spans="89:89" s="299" customFormat="1" ht="12.75" customHeight="1" x14ac:dyDescent="0.3">
      <c r="CK1455" s="481"/>
    </row>
    <row r="1456" spans="89:89" s="299" customFormat="1" ht="12.75" customHeight="1" x14ac:dyDescent="0.3">
      <c r="CK1456" s="481"/>
    </row>
    <row r="1457" spans="89:89" s="299" customFormat="1" ht="12.75" customHeight="1" x14ac:dyDescent="0.3">
      <c r="CK1457" s="481"/>
    </row>
    <row r="1458" spans="89:89" s="299" customFormat="1" ht="12.75" customHeight="1" x14ac:dyDescent="0.3">
      <c r="CK1458" s="481"/>
    </row>
    <row r="1459" spans="89:89" s="299" customFormat="1" ht="12.75" customHeight="1" x14ac:dyDescent="0.3">
      <c r="CK1459" s="481"/>
    </row>
    <row r="1460" spans="89:89" s="299" customFormat="1" ht="12.75" customHeight="1" x14ac:dyDescent="0.3">
      <c r="CK1460" s="481"/>
    </row>
    <row r="1461" spans="89:89" s="299" customFormat="1" ht="12.75" customHeight="1" x14ac:dyDescent="0.3">
      <c r="CK1461" s="481"/>
    </row>
    <row r="1462" spans="89:89" s="299" customFormat="1" ht="12.75" customHeight="1" x14ac:dyDescent="0.3">
      <c r="CK1462" s="481"/>
    </row>
    <row r="1463" spans="89:89" s="299" customFormat="1" ht="12.75" customHeight="1" x14ac:dyDescent="0.3">
      <c r="CK1463" s="481"/>
    </row>
    <row r="1464" spans="89:89" s="299" customFormat="1" ht="12.75" customHeight="1" x14ac:dyDescent="0.3">
      <c r="CK1464" s="481"/>
    </row>
    <row r="1465" spans="89:89" s="299" customFormat="1" ht="12.75" customHeight="1" x14ac:dyDescent="0.3">
      <c r="CK1465" s="481"/>
    </row>
    <row r="1466" spans="89:89" s="299" customFormat="1" ht="12.75" customHeight="1" x14ac:dyDescent="0.3">
      <c r="CK1466" s="481"/>
    </row>
    <row r="1467" spans="89:89" s="299" customFormat="1" ht="12.75" customHeight="1" x14ac:dyDescent="0.3">
      <c r="CK1467" s="481"/>
    </row>
    <row r="1468" spans="89:89" s="299" customFormat="1" ht="12.75" customHeight="1" x14ac:dyDescent="0.3">
      <c r="CK1468" s="481"/>
    </row>
    <row r="1469" spans="89:89" s="299" customFormat="1" ht="12.75" customHeight="1" x14ac:dyDescent="0.3">
      <c r="CK1469" s="481"/>
    </row>
    <row r="1470" spans="89:89" s="299" customFormat="1" ht="12.75" customHeight="1" x14ac:dyDescent="0.3">
      <c r="CK1470" s="481"/>
    </row>
    <row r="1471" spans="89:89" s="299" customFormat="1" ht="12.75" customHeight="1" x14ac:dyDescent="0.3">
      <c r="CK1471" s="481"/>
    </row>
    <row r="1472" spans="89:89" s="299" customFormat="1" ht="12.75" customHeight="1" x14ac:dyDescent="0.3">
      <c r="CK1472" s="481"/>
    </row>
    <row r="1473" spans="89:89" s="299" customFormat="1" ht="12.75" customHeight="1" x14ac:dyDescent="0.3">
      <c r="CK1473" s="481"/>
    </row>
    <row r="1474" spans="89:89" s="299" customFormat="1" ht="12.75" customHeight="1" x14ac:dyDescent="0.3">
      <c r="CK1474" s="481"/>
    </row>
    <row r="1475" spans="89:89" s="299" customFormat="1" ht="12.75" customHeight="1" x14ac:dyDescent="0.3">
      <c r="CK1475" s="481"/>
    </row>
    <row r="1476" spans="89:89" s="299" customFormat="1" ht="12.75" customHeight="1" x14ac:dyDescent="0.3">
      <c r="CK1476" s="481"/>
    </row>
    <row r="1477" spans="89:89" s="299" customFormat="1" ht="12.75" customHeight="1" x14ac:dyDescent="0.3">
      <c r="CK1477" s="481"/>
    </row>
    <row r="1478" spans="89:89" s="299" customFormat="1" ht="12.75" customHeight="1" x14ac:dyDescent="0.3">
      <c r="CK1478" s="481"/>
    </row>
    <row r="1479" spans="89:89" s="299" customFormat="1" ht="12.75" customHeight="1" x14ac:dyDescent="0.3">
      <c r="CK1479" s="481"/>
    </row>
    <row r="1480" spans="89:89" s="299" customFormat="1" ht="12.75" customHeight="1" x14ac:dyDescent="0.3">
      <c r="CK1480" s="481"/>
    </row>
    <row r="1481" spans="89:89" s="299" customFormat="1" ht="12.75" customHeight="1" x14ac:dyDescent="0.3">
      <c r="CK1481" s="481"/>
    </row>
    <row r="1482" spans="89:89" s="299" customFormat="1" ht="12.75" customHeight="1" x14ac:dyDescent="0.3">
      <c r="CK1482" s="481"/>
    </row>
    <row r="1483" spans="89:89" s="299" customFormat="1" ht="12.75" customHeight="1" x14ac:dyDescent="0.3">
      <c r="CK1483" s="481"/>
    </row>
    <row r="1484" spans="89:89" s="299" customFormat="1" ht="12.75" customHeight="1" x14ac:dyDescent="0.3">
      <c r="CK1484" s="481"/>
    </row>
    <row r="1485" spans="89:89" s="299" customFormat="1" ht="12.75" customHeight="1" x14ac:dyDescent="0.3">
      <c r="CK1485" s="481"/>
    </row>
    <row r="1486" spans="89:89" s="299" customFormat="1" ht="12.75" customHeight="1" x14ac:dyDescent="0.3">
      <c r="CK1486" s="481"/>
    </row>
    <row r="1487" spans="89:89" s="299" customFormat="1" ht="12.75" customHeight="1" x14ac:dyDescent="0.3">
      <c r="CK1487" s="481"/>
    </row>
    <row r="1488" spans="89:89" s="299" customFormat="1" ht="12.75" customHeight="1" x14ac:dyDescent="0.3">
      <c r="CK1488" s="481"/>
    </row>
    <row r="1489" spans="89:89" s="299" customFormat="1" ht="12.75" customHeight="1" x14ac:dyDescent="0.3">
      <c r="CK1489" s="481"/>
    </row>
    <row r="1490" spans="89:89" s="299" customFormat="1" ht="12.75" customHeight="1" x14ac:dyDescent="0.3">
      <c r="CK1490" s="481"/>
    </row>
    <row r="1491" spans="89:89" s="299" customFormat="1" ht="12.75" customHeight="1" x14ac:dyDescent="0.3">
      <c r="CK1491" s="481"/>
    </row>
    <row r="1492" spans="89:89" s="299" customFormat="1" ht="12.75" customHeight="1" x14ac:dyDescent="0.3">
      <c r="CK1492" s="481"/>
    </row>
    <row r="1493" spans="89:89" s="299" customFormat="1" ht="12.75" customHeight="1" x14ac:dyDescent="0.3">
      <c r="CK1493" s="481"/>
    </row>
    <row r="1494" spans="89:89" s="299" customFormat="1" ht="12.75" customHeight="1" x14ac:dyDescent="0.3">
      <c r="CK1494" s="481"/>
    </row>
    <row r="1495" spans="89:89" s="299" customFormat="1" ht="12.75" customHeight="1" x14ac:dyDescent="0.3">
      <c r="CK1495" s="481"/>
    </row>
    <row r="1496" spans="89:89" s="299" customFormat="1" ht="12.75" customHeight="1" x14ac:dyDescent="0.3">
      <c r="CK1496" s="481"/>
    </row>
    <row r="1497" spans="89:89" s="299" customFormat="1" ht="12.75" customHeight="1" x14ac:dyDescent="0.3">
      <c r="CK1497" s="481"/>
    </row>
    <row r="1498" spans="89:89" s="299" customFormat="1" ht="12.75" customHeight="1" x14ac:dyDescent="0.3">
      <c r="CK1498" s="481"/>
    </row>
    <row r="1499" spans="89:89" s="299" customFormat="1" ht="12.75" customHeight="1" x14ac:dyDescent="0.3">
      <c r="CK1499" s="481"/>
    </row>
    <row r="1500" spans="89:89" s="299" customFormat="1" ht="12.75" customHeight="1" x14ac:dyDescent="0.3">
      <c r="CK1500" s="481"/>
    </row>
    <row r="1501" spans="89:89" s="299" customFormat="1" ht="12.75" customHeight="1" x14ac:dyDescent="0.3">
      <c r="CK1501" s="481"/>
    </row>
    <row r="1502" spans="89:89" s="299" customFormat="1" ht="12.75" customHeight="1" x14ac:dyDescent="0.3">
      <c r="CK1502" s="481"/>
    </row>
    <row r="1503" spans="89:89" s="299" customFormat="1" ht="12.75" customHeight="1" x14ac:dyDescent="0.3">
      <c r="CK1503" s="481"/>
    </row>
    <row r="1504" spans="89:89" s="299" customFormat="1" ht="12.75" customHeight="1" x14ac:dyDescent="0.3">
      <c r="CK1504" s="481"/>
    </row>
    <row r="1505" spans="89:89" s="299" customFormat="1" ht="12.75" customHeight="1" x14ac:dyDescent="0.3">
      <c r="CK1505" s="481"/>
    </row>
    <row r="1506" spans="89:89" s="299" customFormat="1" ht="12.75" customHeight="1" x14ac:dyDescent="0.3">
      <c r="CK1506" s="481"/>
    </row>
    <row r="1507" spans="89:89" s="299" customFormat="1" ht="12.75" customHeight="1" x14ac:dyDescent="0.3">
      <c r="CK1507" s="481"/>
    </row>
    <row r="1508" spans="89:89" s="299" customFormat="1" ht="12.75" customHeight="1" x14ac:dyDescent="0.3">
      <c r="CK1508" s="481"/>
    </row>
    <row r="1509" spans="89:89" s="299" customFormat="1" ht="12.75" customHeight="1" x14ac:dyDescent="0.3">
      <c r="CK1509" s="481"/>
    </row>
    <row r="1510" spans="89:89" s="299" customFormat="1" ht="12.75" customHeight="1" x14ac:dyDescent="0.3">
      <c r="CK1510" s="481"/>
    </row>
    <row r="1511" spans="89:89" s="299" customFormat="1" ht="12.75" customHeight="1" x14ac:dyDescent="0.3">
      <c r="CK1511" s="481"/>
    </row>
    <row r="1512" spans="89:89" s="299" customFormat="1" ht="12.75" customHeight="1" x14ac:dyDescent="0.3">
      <c r="CK1512" s="481"/>
    </row>
    <row r="1513" spans="89:89" s="299" customFormat="1" ht="12.75" customHeight="1" x14ac:dyDescent="0.3">
      <c r="CK1513" s="481"/>
    </row>
    <row r="1514" spans="89:89" s="299" customFormat="1" ht="12.75" customHeight="1" x14ac:dyDescent="0.3">
      <c r="CK1514" s="481"/>
    </row>
    <row r="1515" spans="89:89" s="299" customFormat="1" ht="12.75" customHeight="1" x14ac:dyDescent="0.3">
      <c r="CK1515" s="481"/>
    </row>
    <row r="1516" spans="89:89" s="299" customFormat="1" ht="12.75" customHeight="1" x14ac:dyDescent="0.3">
      <c r="CK1516" s="481"/>
    </row>
    <row r="1517" spans="89:89" s="299" customFormat="1" ht="12.75" customHeight="1" x14ac:dyDescent="0.3">
      <c r="CK1517" s="481"/>
    </row>
    <row r="1518" spans="89:89" s="299" customFormat="1" ht="12.75" customHeight="1" x14ac:dyDescent="0.3">
      <c r="CK1518" s="481"/>
    </row>
    <row r="1519" spans="89:89" s="299" customFormat="1" ht="12.75" customHeight="1" x14ac:dyDescent="0.3">
      <c r="CK1519" s="481"/>
    </row>
    <row r="1520" spans="89:89" s="299" customFormat="1" ht="12.75" customHeight="1" x14ac:dyDescent="0.3">
      <c r="CK1520" s="481"/>
    </row>
    <row r="1521" spans="89:89" s="299" customFormat="1" ht="12.75" customHeight="1" x14ac:dyDescent="0.3">
      <c r="CK1521" s="481"/>
    </row>
    <row r="1522" spans="89:89" s="299" customFormat="1" ht="12.75" customHeight="1" x14ac:dyDescent="0.3">
      <c r="CK1522" s="481"/>
    </row>
    <row r="1523" spans="89:89" s="299" customFormat="1" ht="12.75" customHeight="1" x14ac:dyDescent="0.3">
      <c r="CK1523" s="481"/>
    </row>
    <row r="1524" spans="89:89" s="299" customFormat="1" ht="12.75" customHeight="1" x14ac:dyDescent="0.3">
      <c r="CK1524" s="481"/>
    </row>
    <row r="1525" spans="89:89" s="299" customFormat="1" ht="12.75" customHeight="1" x14ac:dyDescent="0.3">
      <c r="CK1525" s="481"/>
    </row>
    <row r="1526" spans="89:89" s="299" customFormat="1" ht="12.75" customHeight="1" x14ac:dyDescent="0.3">
      <c r="CK1526" s="481"/>
    </row>
    <row r="1527" spans="89:89" s="299" customFormat="1" ht="12.75" customHeight="1" x14ac:dyDescent="0.3">
      <c r="CK1527" s="481"/>
    </row>
    <row r="1528" spans="89:89" s="299" customFormat="1" ht="12.75" customHeight="1" x14ac:dyDescent="0.3">
      <c r="CK1528" s="481"/>
    </row>
    <row r="1529" spans="89:89" s="299" customFormat="1" ht="12.75" customHeight="1" x14ac:dyDescent="0.3">
      <c r="CK1529" s="481"/>
    </row>
    <row r="1530" spans="89:89" s="299" customFormat="1" ht="12.75" customHeight="1" x14ac:dyDescent="0.3">
      <c r="CK1530" s="481"/>
    </row>
    <row r="1531" spans="89:89" s="299" customFormat="1" ht="12.75" customHeight="1" x14ac:dyDescent="0.3">
      <c r="CK1531" s="481"/>
    </row>
    <row r="1532" spans="89:89" s="299" customFormat="1" ht="12.75" customHeight="1" x14ac:dyDescent="0.3">
      <c r="CK1532" s="481"/>
    </row>
    <row r="1533" spans="89:89" s="299" customFormat="1" ht="12.75" customHeight="1" x14ac:dyDescent="0.3">
      <c r="CK1533" s="481"/>
    </row>
    <row r="1534" spans="89:89" s="299" customFormat="1" ht="12.75" customHeight="1" x14ac:dyDescent="0.3">
      <c r="CK1534" s="481"/>
    </row>
    <row r="1535" spans="89:89" s="299" customFormat="1" ht="12.75" customHeight="1" x14ac:dyDescent="0.3">
      <c r="CK1535" s="481"/>
    </row>
    <row r="1536" spans="89:89" s="299" customFormat="1" ht="12.75" customHeight="1" x14ac:dyDescent="0.3">
      <c r="CK1536" s="481"/>
    </row>
    <row r="1537" spans="89:89" s="299" customFormat="1" ht="12.75" customHeight="1" x14ac:dyDescent="0.3">
      <c r="CK1537" s="481"/>
    </row>
    <row r="1538" spans="89:89" s="299" customFormat="1" ht="12.75" customHeight="1" x14ac:dyDescent="0.3">
      <c r="CK1538" s="481"/>
    </row>
    <row r="1539" spans="89:89" s="299" customFormat="1" ht="12.75" customHeight="1" x14ac:dyDescent="0.3">
      <c r="CK1539" s="481"/>
    </row>
    <row r="1540" spans="89:89" s="299" customFormat="1" ht="12.75" customHeight="1" x14ac:dyDescent="0.3">
      <c r="CK1540" s="481"/>
    </row>
    <row r="1541" spans="89:89" s="299" customFormat="1" ht="12.75" customHeight="1" x14ac:dyDescent="0.3">
      <c r="CK1541" s="481"/>
    </row>
    <row r="1542" spans="89:89" s="299" customFormat="1" ht="12.75" customHeight="1" x14ac:dyDescent="0.3">
      <c r="CK1542" s="481"/>
    </row>
    <row r="1543" spans="89:89" s="299" customFormat="1" ht="12.75" customHeight="1" x14ac:dyDescent="0.3">
      <c r="CK1543" s="481"/>
    </row>
    <row r="1544" spans="89:89" s="299" customFormat="1" ht="12.75" customHeight="1" x14ac:dyDescent="0.3">
      <c r="CK1544" s="481"/>
    </row>
    <row r="1545" spans="89:89" s="299" customFormat="1" ht="12.75" customHeight="1" x14ac:dyDescent="0.3">
      <c r="CK1545" s="481"/>
    </row>
    <row r="1546" spans="89:89" s="299" customFormat="1" ht="12.75" customHeight="1" x14ac:dyDescent="0.3">
      <c r="CK1546" s="481"/>
    </row>
    <row r="1547" spans="89:89" s="299" customFormat="1" ht="12.75" customHeight="1" x14ac:dyDescent="0.3">
      <c r="CK1547" s="481"/>
    </row>
    <row r="1548" spans="89:89" s="299" customFormat="1" ht="12.75" customHeight="1" x14ac:dyDescent="0.3">
      <c r="CK1548" s="481"/>
    </row>
    <row r="1549" spans="89:89" s="299" customFormat="1" ht="12.75" customHeight="1" x14ac:dyDescent="0.3">
      <c r="CK1549" s="481"/>
    </row>
    <row r="1550" spans="89:89" s="299" customFormat="1" ht="12.75" customHeight="1" x14ac:dyDescent="0.3">
      <c r="CK1550" s="481"/>
    </row>
    <row r="1551" spans="89:89" s="299" customFormat="1" ht="12.75" customHeight="1" x14ac:dyDescent="0.3">
      <c r="CK1551" s="481"/>
    </row>
    <row r="1552" spans="89:89" s="299" customFormat="1" ht="12.75" customHeight="1" x14ac:dyDescent="0.3">
      <c r="CK1552" s="481"/>
    </row>
    <row r="1553" spans="89:89" s="299" customFormat="1" ht="12.75" customHeight="1" x14ac:dyDescent="0.3">
      <c r="CK1553" s="481"/>
    </row>
    <row r="1554" spans="89:89" s="299" customFormat="1" ht="12.75" customHeight="1" x14ac:dyDescent="0.3">
      <c r="CK1554" s="481"/>
    </row>
    <row r="1555" spans="89:89" s="299" customFormat="1" ht="12.75" customHeight="1" x14ac:dyDescent="0.3">
      <c r="CK1555" s="481"/>
    </row>
    <row r="1556" spans="89:89" s="299" customFormat="1" ht="12.75" customHeight="1" x14ac:dyDescent="0.3">
      <c r="CK1556" s="481"/>
    </row>
    <row r="1557" spans="89:89" s="299" customFormat="1" ht="12.75" customHeight="1" x14ac:dyDescent="0.3">
      <c r="CK1557" s="481"/>
    </row>
    <row r="1558" spans="89:89" s="299" customFormat="1" ht="12.75" customHeight="1" x14ac:dyDescent="0.3">
      <c r="CK1558" s="481"/>
    </row>
    <row r="1559" spans="89:89" s="299" customFormat="1" ht="12.75" customHeight="1" x14ac:dyDescent="0.3">
      <c r="CK1559" s="481"/>
    </row>
    <row r="1560" spans="89:89" s="299" customFormat="1" ht="12.75" customHeight="1" x14ac:dyDescent="0.3">
      <c r="CK1560" s="481"/>
    </row>
    <row r="1561" spans="89:89" s="299" customFormat="1" ht="12.75" customHeight="1" x14ac:dyDescent="0.3">
      <c r="CK1561" s="481"/>
    </row>
    <row r="1562" spans="89:89" s="299" customFormat="1" ht="12.75" customHeight="1" x14ac:dyDescent="0.3">
      <c r="CK1562" s="481"/>
    </row>
    <row r="1563" spans="89:89" s="299" customFormat="1" ht="12.75" customHeight="1" x14ac:dyDescent="0.3">
      <c r="CK1563" s="481"/>
    </row>
    <row r="1564" spans="89:89" s="299" customFormat="1" ht="12.75" customHeight="1" x14ac:dyDescent="0.3">
      <c r="CK1564" s="481"/>
    </row>
    <row r="1565" spans="89:89" s="299" customFormat="1" ht="12.75" customHeight="1" x14ac:dyDescent="0.3">
      <c r="CK1565" s="481"/>
    </row>
    <row r="1566" spans="89:89" s="299" customFormat="1" ht="12.75" customHeight="1" x14ac:dyDescent="0.3">
      <c r="CK1566" s="481"/>
    </row>
    <row r="1567" spans="89:89" s="299" customFormat="1" ht="12.75" customHeight="1" x14ac:dyDescent="0.3">
      <c r="CK1567" s="481"/>
    </row>
    <row r="1568" spans="89:89" s="299" customFormat="1" ht="12.75" customHeight="1" x14ac:dyDescent="0.3">
      <c r="CK1568" s="481"/>
    </row>
    <row r="1569" spans="89:89" s="299" customFormat="1" ht="12.75" customHeight="1" x14ac:dyDescent="0.3">
      <c r="CK1569" s="481"/>
    </row>
    <row r="1570" spans="89:89" s="299" customFormat="1" ht="12.75" customHeight="1" x14ac:dyDescent="0.3">
      <c r="CK1570" s="481"/>
    </row>
    <row r="1571" spans="89:89" s="299" customFormat="1" ht="12.75" customHeight="1" x14ac:dyDescent="0.3">
      <c r="CK1571" s="481"/>
    </row>
    <row r="1572" spans="89:89" s="299" customFormat="1" ht="12.75" customHeight="1" x14ac:dyDescent="0.3">
      <c r="CK1572" s="481"/>
    </row>
    <row r="1573" spans="89:89" s="299" customFormat="1" ht="12.75" customHeight="1" x14ac:dyDescent="0.3">
      <c r="CK1573" s="481"/>
    </row>
    <row r="1574" spans="89:89" s="299" customFormat="1" ht="12.75" customHeight="1" x14ac:dyDescent="0.3">
      <c r="CK1574" s="481"/>
    </row>
    <row r="1575" spans="89:89" s="299" customFormat="1" ht="12.75" customHeight="1" x14ac:dyDescent="0.3">
      <c r="CK1575" s="481"/>
    </row>
    <row r="1576" spans="89:89" s="299" customFormat="1" ht="12.75" customHeight="1" x14ac:dyDescent="0.3">
      <c r="CK1576" s="481"/>
    </row>
    <row r="1577" spans="89:89" s="299" customFormat="1" ht="12.75" customHeight="1" x14ac:dyDescent="0.3">
      <c r="CK1577" s="481"/>
    </row>
    <row r="1578" spans="89:89" s="299" customFormat="1" ht="12.75" customHeight="1" x14ac:dyDescent="0.3">
      <c r="CK1578" s="481"/>
    </row>
    <row r="1579" spans="89:89" s="299" customFormat="1" ht="12.75" customHeight="1" x14ac:dyDescent="0.3">
      <c r="CK1579" s="481"/>
    </row>
    <row r="1580" spans="89:89" s="299" customFormat="1" ht="12.75" customHeight="1" x14ac:dyDescent="0.3">
      <c r="CK1580" s="481"/>
    </row>
    <row r="1581" spans="89:89" s="299" customFormat="1" ht="12.75" customHeight="1" x14ac:dyDescent="0.3">
      <c r="CK1581" s="481"/>
    </row>
    <row r="1582" spans="89:89" s="299" customFormat="1" ht="12.75" customHeight="1" x14ac:dyDescent="0.3">
      <c r="CK1582" s="481"/>
    </row>
    <row r="1583" spans="89:89" s="299" customFormat="1" ht="12.75" customHeight="1" x14ac:dyDescent="0.3">
      <c r="CK1583" s="481"/>
    </row>
    <row r="1584" spans="89:89" s="299" customFormat="1" ht="12.75" customHeight="1" x14ac:dyDescent="0.3">
      <c r="CK1584" s="481"/>
    </row>
    <row r="1585" spans="89:89" s="299" customFormat="1" ht="12.75" customHeight="1" x14ac:dyDescent="0.3">
      <c r="CK1585" s="481"/>
    </row>
    <row r="1586" spans="89:89" s="299" customFormat="1" ht="12.75" customHeight="1" x14ac:dyDescent="0.3">
      <c r="CK1586" s="481"/>
    </row>
    <row r="1587" spans="89:89" s="299" customFormat="1" ht="12.75" customHeight="1" x14ac:dyDescent="0.3">
      <c r="CK1587" s="481"/>
    </row>
    <row r="1588" spans="89:89" s="299" customFormat="1" ht="12.75" customHeight="1" x14ac:dyDescent="0.3">
      <c r="CK1588" s="481"/>
    </row>
    <row r="1589" spans="89:89" s="299" customFormat="1" ht="12.75" customHeight="1" x14ac:dyDescent="0.3">
      <c r="CK1589" s="481"/>
    </row>
    <row r="1590" spans="89:89" s="299" customFormat="1" ht="12.75" customHeight="1" x14ac:dyDescent="0.3">
      <c r="CK1590" s="481"/>
    </row>
    <row r="1591" spans="89:89" s="299" customFormat="1" ht="12.75" customHeight="1" x14ac:dyDescent="0.3">
      <c r="CK1591" s="481"/>
    </row>
    <row r="1592" spans="89:89" s="299" customFormat="1" ht="12.75" customHeight="1" x14ac:dyDescent="0.3">
      <c r="CK1592" s="481"/>
    </row>
    <row r="1593" spans="89:89" s="299" customFormat="1" ht="12.75" customHeight="1" x14ac:dyDescent="0.3">
      <c r="CK1593" s="481"/>
    </row>
    <row r="1594" spans="89:89" s="299" customFormat="1" ht="12.75" customHeight="1" x14ac:dyDescent="0.3">
      <c r="CK1594" s="481"/>
    </row>
    <row r="1595" spans="89:89" s="299" customFormat="1" ht="12.75" customHeight="1" x14ac:dyDescent="0.3">
      <c r="CK1595" s="481"/>
    </row>
    <row r="1596" spans="89:89" s="299" customFormat="1" ht="12.75" customHeight="1" x14ac:dyDescent="0.3">
      <c r="CK1596" s="481"/>
    </row>
    <row r="1597" spans="89:89" s="299" customFormat="1" ht="12.75" customHeight="1" x14ac:dyDescent="0.3">
      <c r="CK1597" s="481"/>
    </row>
    <row r="1598" spans="89:89" s="299" customFormat="1" ht="12.75" customHeight="1" x14ac:dyDescent="0.3">
      <c r="CK1598" s="481"/>
    </row>
    <row r="1599" spans="89:89" s="299" customFormat="1" ht="12.75" customHeight="1" x14ac:dyDescent="0.3">
      <c r="CK1599" s="481"/>
    </row>
    <row r="1600" spans="89:89" s="299" customFormat="1" ht="12.75" customHeight="1" x14ac:dyDescent="0.3">
      <c r="CK1600" s="481"/>
    </row>
    <row r="1601" spans="89:89" s="299" customFormat="1" ht="12.75" customHeight="1" x14ac:dyDescent="0.3">
      <c r="CK1601" s="481"/>
    </row>
    <row r="1602" spans="89:89" s="299" customFormat="1" ht="12.75" customHeight="1" x14ac:dyDescent="0.3">
      <c r="CK1602" s="481"/>
    </row>
    <row r="1603" spans="89:89" s="299" customFormat="1" ht="12.75" customHeight="1" x14ac:dyDescent="0.3">
      <c r="CK1603" s="481"/>
    </row>
    <row r="1604" spans="89:89" s="299" customFormat="1" ht="12.75" customHeight="1" x14ac:dyDescent="0.3">
      <c r="CK1604" s="481"/>
    </row>
    <row r="1605" spans="89:89" s="299" customFormat="1" ht="12.75" customHeight="1" x14ac:dyDescent="0.3">
      <c r="CK1605" s="481"/>
    </row>
    <row r="1606" spans="89:89" s="299" customFormat="1" ht="12.75" customHeight="1" x14ac:dyDescent="0.3">
      <c r="CK1606" s="481"/>
    </row>
    <row r="1607" spans="89:89" s="299" customFormat="1" ht="12.75" customHeight="1" x14ac:dyDescent="0.3">
      <c r="CK1607" s="481"/>
    </row>
    <row r="1608" spans="89:89" s="299" customFormat="1" ht="12.75" customHeight="1" x14ac:dyDescent="0.3">
      <c r="CK1608" s="481"/>
    </row>
    <row r="1609" spans="89:89" s="299" customFormat="1" ht="12.75" customHeight="1" x14ac:dyDescent="0.3">
      <c r="CK1609" s="481"/>
    </row>
    <row r="1610" spans="89:89" s="299" customFormat="1" ht="12.75" customHeight="1" x14ac:dyDescent="0.3">
      <c r="CK1610" s="481"/>
    </row>
    <row r="1611" spans="89:89" s="299" customFormat="1" ht="12.75" customHeight="1" x14ac:dyDescent="0.3">
      <c r="CK1611" s="481"/>
    </row>
    <row r="1612" spans="89:89" s="299" customFormat="1" ht="12.75" customHeight="1" x14ac:dyDescent="0.3">
      <c r="CK1612" s="481"/>
    </row>
    <row r="1613" spans="89:89" s="299" customFormat="1" ht="12.75" customHeight="1" x14ac:dyDescent="0.3">
      <c r="CK1613" s="481"/>
    </row>
    <row r="1614" spans="89:89" s="299" customFormat="1" ht="12.75" customHeight="1" x14ac:dyDescent="0.3">
      <c r="CK1614" s="481"/>
    </row>
    <row r="1615" spans="89:89" s="299" customFormat="1" ht="12.75" customHeight="1" x14ac:dyDescent="0.3">
      <c r="CK1615" s="481"/>
    </row>
    <row r="1616" spans="89:89" s="299" customFormat="1" ht="12.75" customHeight="1" x14ac:dyDescent="0.3">
      <c r="CK1616" s="481"/>
    </row>
    <row r="1617" spans="89:89" s="299" customFormat="1" ht="12.75" customHeight="1" x14ac:dyDescent="0.3">
      <c r="CK1617" s="481"/>
    </row>
    <row r="1618" spans="89:89" s="299" customFormat="1" ht="12.75" customHeight="1" x14ac:dyDescent="0.3">
      <c r="CK1618" s="481"/>
    </row>
    <row r="1619" spans="89:89" s="299" customFormat="1" ht="12.75" customHeight="1" x14ac:dyDescent="0.3">
      <c r="CK1619" s="481"/>
    </row>
    <row r="1620" spans="89:89" s="299" customFormat="1" ht="12.75" customHeight="1" x14ac:dyDescent="0.3">
      <c r="CK1620" s="481"/>
    </row>
    <row r="1621" spans="89:89" s="299" customFormat="1" ht="12.75" customHeight="1" x14ac:dyDescent="0.3">
      <c r="CK1621" s="481"/>
    </row>
    <row r="1622" spans="89:89" s="299" customFormat="1" ht="12.75" customHeight="1" x14ac:dyDescent="0.3">
      <c r="CK1622" s="481"/>
    </row>
    <row r="1623" spans="89:89" s="299" customFormat="1" ht="12.75" customHeight="1" x14ac:dyDescent="0.3">
      <c r="CK1623" s="481"/>
    </row>
    <row r="1624" spans="89:89" s="299" customFormat="1" ht="12.75" customHeight="1" x14ac:dyDescent="0.3">
      <c r="CK1624" s="481"/>
    </row>
    <row r="1625" spans="89:89" s="299" customFormat="1" ht="12.75" customHeight="1" x14ac:dyDescent="0.3">
      <c r="CK1625" s="481"/>
    </row>
    <row r="1626" spans="89:89" s="299" customFormat="1" ht="12.75" customHeight="1" x14ac:dyDescent="0.3">
      <c r="CK1626" s="481"/>
    </row>
    <row r="1627" spans="89:89" s="299" customFormat="1" ht="12.75" customHeight="1" x14ac:dyDescent="0.3">
      <c r="CK1627" s="481"/>
    </row>
    <row r="1628" spans="89:89" s="299" customFormat="1" ht="12.75" customHeight="1" x14ac:dyDescent="0.3">
      <c r="CK1628" s="481"/>
    </row>
    <row r="1629" spans="89:89" s="299" customFormat="1" ht="12.75" customHeight="1" x14ac:dyDescent="0.3">
      <c r="CK1629" s="481"/>
    </row>
    <row r="1630" spans="89:89" s="299" customFormat="1" ht="12.75" customHeight="1" x14ac:dyDescent="0.3">
      <c r="CK1630" s="481"/>
    </row>
    <row r="1631" spans="89:89" s="299" customFormat="1" ht="12.75" customHeight="1" x14ac:dyDescent="0.3">
      <c r="CK1631" s="481"/>
    </row>
    <row r="1632" spans="89:89" s="299" customFormat="1" ht="12.75" customHeight="1" x14ac:dyDescent="0.3">
      <c r="CK1632" s="481"/>
    </row>
    <row r="1633" spans="89:89" s="299" customFormat="1" ht="12.75" customHeight="1" x14ac:dyDescent="0.3">
      <c r="CK1633" s="481"/>
    </row>
    <row r="1634" spans="89:89" s="299" customFormat="1" ht="12.75" customHeight="1" x14ac:dyDescent="0.3">
      <c r="CK1634" s="481"/>
    </row>
    <row r="1635" spans="89:89" s="299" customFormat="1" ht="12.75" customHeight="1" x14ac:dyDescent="0.3">
      <c r="CK1635" s="481"/>
    </row>
    <row r="1636" spans="89:89" s="299" customFormat="1" ht="12.75" customHeight="1" x14ac:dyDescent="0.3">
      <c r="CK1636" s="481"/>
    </row>
    <row r="1637" spans="89:89" s="299" customFormat="1" ht="12.75" customHeight="1" x14ac:dyDescent="0.3">
      <c r="CK1637" s="481"/>
    </row>
    <row r="1638" spans="89:89" s="299" customFormat="1" ht="12.75" customHeight="1" x14ac:dyDescent="0.3">
      <c r="CK1638" s="481"/>
    </row>
    <row r="1639" spans="89:89" s="299" customFormat="1" ht="12.75" customHeight="1" x14ac:dyDescent="0.3">
      <c r="CK1639" s="481"/>
    </row>
    <row r="1640" spans="89:89" s="299" customFormat="1" ht="12.75" customHeight="1" x14ac:dyDescent="0.3">
      <c r="CK1640" s="481"/>
    </row>
    <row r="1641" spans="89:89" s="299" customFormat="1" ht="12.75" customHeight="1" x14ac:dyDescent="0.3">
      <c r="CK1641" s="481"/>
    </row>
    <row r="1642" spans="89:89" s="299" customFormat="1" ht="12.75" customHeight="1" x14ac:dyDescent="0.3">
      <c r="CK1642" s="481"/>
    </row>
    <row r="1643" spans="89:89" s="299" customFormat="1" ht="12.75" customHeight="1" x14ac:dyDescent="0.3">
      <c r="CK1643" s="481"/>
    </row>
    <row r="1644" spans="89:89" s="299" customFormat="1" ht="12.75" customHeight="1" x14ac:dyDescent="0.3">
      <c r="CK1644" s="481"/>
    </row>
    <row r="1645" spans="89:89" s="299" customFormat="1" ht="12.75" customHeight="1" x14ac:dyDescent="0.3">
      <c r="CK1645" s="481"/>
    </row>
    <row r="1646" spans="89:89" s="299" customFormat="1" ht="12.75" customHeight="1" x14ac:dyDescent="0.3">
      <c r="CK1646" s="481"/>
    </row>
    <row r="1647" spans="89:89" s="299" customFormat="1" ht="12.75" customHeight="1" x14ac:dyDescent="0.3">
      <c r="CK1647" s="481"/>
    </row>
    <row r="1648" spans="89:89" s="299" customFormat="1" ht="12.75" customHeight="1" x14ac:dyDescent="0.3">
      <c r="CK1648" s="481"/>
    </row>
    <row r="1649" spans="89:89" s="299" customFormat="1" ht="12.75" customHeight="1" x14ac:dyDescent="0.3">
      <c r="CK1649" s="481"/>
    </row>
    <row r="1650" spans="89:89" s="299" customFormat="1" ht="12.75" customHeight="1" x14ac:dyDescent="0.3">
      <c r="CK1650" s="481"/>
    </row>
    <row r="1651" spans="89:89" s="299" customFormat="1" ht="12.75" customHeight="1" x14ac:dyDescent="0.3">
      <c r="CK1651" s="481"/>
    </row>
    <row r="1652" spans="89:89" s="299" customFormat="1" ht="12.75" customHeight="1" x14ac:dyDescent="0.3">
      <c r="CK1652" s="481"/>
    </row>
    <row r="1653" spans="89:89" s="299" customFormat="1" ht="12.75" customHeight="1" x14ac:dyDescent="0.3">
      <c r="CK1653" s="481"/>
    </row>
    <row r="1654" spans="89:89" s="299" customFormat="1" ht="12.75" customHeight="1" x14ac:dyDescent="0.3">
      <c r="CK1654" s="481"/>
    </row>
    <row r="1655" spans="89:89" s="299" customFormat="1" ht="12.75" customHeight="1" x14ac:dyDescent="0.3">
      <c r="CK1655" s="481"/>
    </row>
    <row r="1656" spans="89:89" s="299" customFormat="1" ht="12.75" customHeight="1" x14ac:dyDescent="0.3">
      <c r="CK1656" s="481"/>
    </row>
    <row r="1657" spans="89:89" s="299" customFormat="1" ht="12.75" customHeight="1" x14ac:dyDescent="0.3">
      <c r="CK1657" s="481"/>
    </row>
    <row r="1658" spans="89:89" s="299" customFormat="1" ht="12.75" customHeight="1" x14ac:dyDescent="0.3">
      <c r="CK1658" s="481"/>
    </row>
    <row r="1659" spans="89:89" s="299" customFormat="1" ht="12.75" customHeight="1" x14ac:dyDescent="0.3">
      <c r="CK1659" s="481"/>
    </row>
    <row r="1660" spans="89:89" s="299" customFormat="1" ht="12.75" customHeight="1" x14ac:dyDescent="0.3">
      <c r="CK1660" s="481"/>
    </row>
    <row r="1661" spans="89:89" s="299" customFormat="1" ht="12.75" customHeight="1" x14ac:dyDescent="0.3">
      <c r="CK1661" s="481"/>
    </row>
    <row r="1662" spans="89:89" s="299" customFormat="1" ht="12.75" customHeight="1" x14ac:dyDescent="0.3">
      <c r="CK1662" s="481"/>
    </row>
    <row r="1663" spans="89:89" s="299" customFormat="1" ht="12.75" customHeight="1" x14ac:dyDescent="0.3">
      <c r="CK1663" s="481"/>
    </row>
    <row r="1664" spans="89:89" s="299" customFormat="1" ht="12.75" customHeight="1" x14ac:dyDescent="0.3">
      <c r="CK1664" s="481"/>
    </row>
    <row r="1665" spans="89:89" s="299" customFormat="1" ht="12.75" customHeight="1" x14ac:dyDescent="0.3">
      <c r="CK1665" s="481"/>
    </row>
    <row r="1666" spans="89:89" s="299" customFormat="1" ht="12.75" customHeight="1" x14ac:dyDescent="0.3">
      <c r="CK1666" s="481"/>
    </row>
    <row r="1667" spans="89:89" s="299" customFormat="1" ht="12.75" customHeight="1" x14ac:dyDescent="0.3">
      <c r="CK1667" s="481"/>
    </row>
    <row r="1668" spans="89:89" s="299" customFormat="1" ht="12.75" customHeight="1" x14ac:dyDescent="0.3">
      <c r="CK1668" s="481"/>
    </row>
    <row r="1669" spans="89:89" s="299" customFormat="1" ht="12.75" customHeight="1" x14ac:dyDescent="0.3">
      <c r="CK1669" s="481"/>
    </row>
    <row r="1670" spans="89:89" s="299" customFormat="1" ht="12.75" customHeight="1" x14ac:dyDescent="0.3">
      <c r="CK1670" s="481"/>
    </row>
    <row r="1671" spans="89:89" s="299" customFormat="1" ht="12.75" customHeight="1" x14ac:dyDescent="0.3">
      <c r="CK1671" s="481"/>
    </row>
    <row r="1672" spans="89:89" s="299" customFormat="1" ht="12.75" customHeight="1" x14ac:dyDescent="0.3">
      <c r="CK1672" s="481"/>
    </row>
    <row r="1673" spans="89:89" s="299" customFormat="1" ht="12.75" customHeight="1" x14ac:dyDescent="0.3">
      <c r="CK1673" s="481"/>
    </row>
    <row r="1674" spans="89:89" s="299" customFormat="1" ht="12.75" customHeight="1" x14ac:dyDescent="0.3">
      <c r="CK1674" s="481"/>
    </row>
    <row r="1675" spans="89:89" s="299" customFormat="1" ht="12.75" customHeight="1" x14ac:dyDescent="0.3">
      <c r="CK1675" s="481"/>
    </row>
    <row r="1676" spans="89:89" s="299" customFormat="1" ht="12.75" customHeight="1" x14ac:dyDescent="0.3">
      <c r="CK1676" s="481"/>
    </row>
    <row r="1677" spans="89:89" s="299" customFormat="1" ht="12.75" customHeight="1" x14ac:dyDescent="0.3">
      <c r="CK1677" s="481"/>
    </row>
    <row r="1678" spans="89:89" s="299" customFormat="1" ht="12.75" customHeight="1" x14ac:dyDescent="0.3">
      <c r="CK1678" s="481"/>
    </row>
    <row r="1679" spans="89:89" s="299" customFormat="1" ht="12.75" customHeight="1" x14ac:dyDescent="0.3">
      <c r="CK1679" s="481"/>
    </row>
    <row r="1680" spans="89:89" s="299" customFormat="1" ht="12.75" customHeight="1" x14ac:dyDescent="0.3">
      <c r="CK1680" s="481"/>
    </row>
    <row r="1681" spans="89:89" s="299" customFormat="1" ht="12.75" customHeight="1" x14ac:dyDescent="0.3">
      <c r="CK1681" s="481"/>
    </row>
    <row r="1682" spans="89:89" s="299" customFormat="1" ht="12.75" customHeight="1" x14ac:dyDescent="0.3">
      <c r="CK1682" s="481"/>
    </row>
    <row r="1683" spans="89:89" s="299" customFormat="1" ht="12.75" customHeight="1" x14ac:dyDescent="0.3">
      <c r="CK1683" s="481"/>
    </row>
    <row r="1684" spans="89:89" s="299" customFormat="1" ht="12.75" customHeight="1" x14ac:dyDescent="0.3">
      <c r="CK1684" s="481"/>
    </row>
    <row r="1685" spans="89:89" s="299" customFormat="1" ht="12.75" customHeight="1" x14ac:dyDescent="0.3">
      <c r="CK1685" s="481"/>
    </row>
    <row r="1686" spans="89:89" s="299" customFormat="1" ht="12.75" customHeight="1" x14ac:dyDescent="0.3">
      <c r="CK1686" s="481"/>
    </row>
    <row r="1687" spans="89:89" s="299" customFormat="1" ht="12.75" customHeight="1" x14ac:dyDescent="0.3">
      <c r="CK1687" s="481"/>
    </row>
    <row r="1688" spans="89:89" s="299" customFormat="1" ht="12.75" customHeight="1" x14ac:dyDescent="0.3">
      <c r="CK1688" s="481"/>
    </row>
    <row r="1689" spans="89:89" s="299" customFormat="1" ht="12.75" customHeight="1" x14ac:dyDescent="0.3">
      <c r="CK1689" s="481"/>
    </row>
    <row r="1690" spans="89:89" s="299" customFormat="1" ht="12.75" customHeight="1" x14ac:dyDescent="0.3">
      <c r="CK1690" s="481"/>
    </row>
    <row r="1691" spans="89:89" s="299" customFormat="1" ht="12.75" customHeight="1" x14ac:dyDescent="0.3">
      <c r="CK1691" s="481"/>
    </row>
    <row r="1692" spans="89:89" s="299" customFormat="1" ht="12.75" customHeight="1" x14ac:dyDescent="0.3">
      <c r="CK1692" s="481"/>
    </row>
    <row r="1693" spans="89:89" s="299" customFormat="1" ht="12.75" customHeight="1" x14ac:dyDescent="0.3">
      <c r="CK1693" s="481"/>
    </row>
    <row r="1694" spans="89:89" s="299" customFormat="1" ht="12.75" customHeight="1" x14ac:dyDescent="0.3">
      <c r="CK1694" s="481"/>
    </row>
    <row r="1695" spans="89:89" s="299" customFormat="1" ht="12.75" customHeight="1" x14ac:dyDescent="0.3">
      <c r="CK1695" s="481"/>
    </row>
    <row r="1696" spans="89:89" s="299" customFormat="1" ht="12.75" customHeight="1" x14ac:dyDescent="0.3">
      <c r="CK1696" s="481"/>
    </row>
    <row r="1697" spans="89:89" s="299" customFormat="1" ht="12.75" customHeight="1" x14ac:dyDescent="0.3">
      <c r="CK1697" s="481"/>
    </row>
    <row r="1698" spans="89:89" s="299" customFormat="1" ht="12.75" customHeight="1" x14ac:dyDescent="0.3">
      <c r="CK1698" s="481"/>
    </row>
    <row r="1699" spans="89:89" s="299" customFormat="1" ht="12.75" customHeight="1" x14ac:dyDescent="0.3">
      <c r="CK1699" s="481"/>
    </row>
    <row r="1700" spans="89:89" s="299" customFormat="1" ht="12.75" customHeight="1" x14ac:dyDescent="0.3">
      <c r="CK1700" s="481"/>
    </row>
    <row r="1701" spans="89:89" s="299" customFormat="1" ht="12.75" customHeight="1" x14ac:dyDescent="0.3">
      <c r="CK1701" s="481"/>
    </row>
    <row r="1702" spans="89:89" s="299" customFormat="1" ht="12.75" customHeight="1" x14ac:dyDescent="0.3">
      <c r="CK1702" s="481"/>
    </row>
    <row r="1703" spans="89:89" s="299" customFormat="1" ht="12.75" customHeight="1" x14ac:dyDescent="0.3">
      <c r="CK1703" s="481"/>
    </row>
    <row r="1704" spans="89:89" s="299" customFormat="1" ht="12.75" customHeight="1" x14ac:dyDescent="0.3">
      <c r="CK1704" s="481"/>
    </row>
    <row r="1705" spans="89:89" s="299" customFormat="1" ht="12.75" customHeight="1" x14ac:dyDescent="0.3">
      <c r="CK1705" s="481"/>
    </row>
    <row r="1706" spans="89:89" s="299" customFormat="1" ht="12.75" customHeight="1" x14ac:dyDescent="0.3">
      <c r="CK1706" s="481"/>
    </row>
    <row r="1707" spans="89:89" s="299" customFormat="1" ht="12.75" customHeight="1" x14ac:dyDescent="0.3">
      <c r="CK1707" s="481"/>
    </row>
    <row r="1708" spans="89:89" s="299" customFormat="1" ht="12.75" customHeight="1" x14ac:dyDescent="0.3">
      <c r="CK1708" s="481"/>
    </row>
    <row r="1709" spans="89:89" s="299" customFormat="1" ht="12.75" customHeight="1" x14ac:dyDescent="0.3">
      <c r="CK1709" s="481"/>
    </row>
    <row r="1710" spans="89:89" s="299" customFormat="1" ht="12.75" customHeight="1" x14ac:dyDescent="0.3">
      <c r="CK1710" s="481"/>
    </row>
    <row r="1711" spans="89:89" s="299" customFormat="1" ht="12.75" customHeight="1" x14ac:dyDescent="0.3">
      <c r="CK1711" s="481"/>
    </row>
    <row r="1712" spans="89:89" s="299" customFormat="1" ht="12.75" customHeight="1" x14ac:dyDescent="0.3">
      <c r="CK1712" s="481"/>
    </row>
    <row r="1713" spans="89:89" s="299" customFormat="1" ht="12.75" customHeight="1" x14ac:dyDescent="0.3">
      <c r="CK1713" s="481"/>
    </row>
    <row r="1714" spans="89:89" s="299" customFormat="1" ht="12.75" customHeight="1" x14ac:dyDescent="0.3">
      <c r="CK1714" s="481"/>
    </row>
    <row r="1715" spans="89:89" s="299" customFormat="1" ht="12.75" customHeight="1" x14ac:dyDescent="0.3">
      <c r="CK1715" s="481"/>
    </row>
    <row r="1716" spans="89:89" s="299" customFormat="1" ht="12.75" customHeight="1" x14ac:dyDescent="0.3">
      <c r="CK1716" s="481"/>
    </row>
    <row r="1717" spans="89:89" s="299" customFormat="1" ht="12.75" customHeight="1" x14ac:dyDescent="0.3">
      <c r="CK1717" s="481"/>
    </row>
    <row r="1718" spans="89:89" s="299" customFormat="1" ht="12.75" customHeight="1" x14ac:dyDescent="0.3">
      <c r="CK1718" s="481"/>
    </row>
    <row r="1719" spans="89:89" s="299" customFormat="1" ht="12.75" customHeight="1" x14ac:dyDescent="0.3">
      <c r="CK1719" s="481"/>
    </row>
    <row r="1720" spans="89:89" s="299" customFormat="1" ht="12.75" customHeight="1" x14ac:dyDescent="0.3">
      <c r="CK1720" s="481"/>
    </row>
    <row r="1721" spans="89:89" s="299" customFormat="1" ht="12.75" customHeight="1" x14ac:dyDescent="0.3">
      <c r="CK1721" s="481"/>
    </row>
    <row r="1722" spans="89:89" s="299" customFormat="1" ht="12.75" customHeight="1" x14ac:dyDescent="0.3">
      <c r="CK1722" s="481"/>
    </row>
    <row r="1723" spans="89:89" s="299" customFormat="1" ht="12.75" customHeight="1" x14ac:dyDescent="0.3">
      <c r="CK1723" s="481"/>
    </row>
    <row r="1724" spans="89:89" s="299" customFormat="1" ht="12.75" customHeight="1" x14ac:dyDescent="0.3">
      <c r="CK1724" s="481"/>
    </row>
    <row r="1725" spans="89:89" s="299" customFormat="1" ht="12.75" customHeight="1" x14ac:dyDescent="0.3">
      <c r="CK1725" s="481"/>
    </row>
    <row r="1726" spans="89:89" s="299" customFormat="1" ht="12.75" customHeight="1" x14ac:dyDescent="0.3">
      <c r="CK1726" s="481"/>
    </row>
    <row r="1727" spans="89:89" s="299" customFormat="1" ht="12.75" customHeight="1" x14ac:dyDescent="0.3">
      <c r="CK1727" s="481"/>
    </row>
    <row r="1728" spans="89:89" s="299" customFormat="1" ht="12.75" customHeight="1" x14ac:dyDescent="0.3">
      <c r="CK1728" s="481"/>
    </row>
    <row r="1729" spans="89:89" s="299" customFormat="1" ht="12.75" customHeight="1" x14ac:dyDescent="0.3">
      <c r="CK1729" s="481"/>
    </row>
    <row r="1730" spans="89:89" s="299" customFormat="1" ht="12.75" customHeight="1" x14ac:dyDescent="0.3">
      <c r="CK1730" s="481"/>
    </row>
    <row r="1731" spans="89:89" s="299" customFormat="1" ht="12.75" customHeight="1" x14ac:dyDescent="0.3">
      <c r="CK1731" s="481"/>
    </row>
    <row r="1732" spans="89:89" s="299" customFormat="1" ht="12.75" customHeight="1" x14ac:dyDescent="0.3">
      <c r="CK1732" s="481"/>
    </row>
    <row r="1733" spans="89:89" s="299" customFormat="1" ht="12.75" customHeight="1" x14ac:dyDescent="0.3">
      <c r="CK1733" s="481"/>
    </row>
    <row r="1734" spans="89:89" s="299" customFormat="1" ht="12.75" customHeight="1" x14ac:dyDescent="0.3">
      <c r="CK1734" s="481"/>
    </row>
    <row r="1735" spans="89:89" s="299" customFormat="1" ht="12.75" customHeight="1" x14ac:dyDescent="0.3">
      <c r="CK1735" s="481"/>
    </row>
    <row r="1736" spans="89:89" s="299" customFormat="1" ht="12.75" customHeight="1" x14ac:dyDescent="0.3">
      <c r="CK1736" s="481"/>
    </row>
    <row r="1737" spans="89:89" s="299" customFormat="1" ht="12.75" customHeight="1" x14ac:dyDescent="0.3">
      <c r="CK1737" s="481"/>
    </row>
    <row r="1738" spans="89:89" s="299" customFormat="1" ht="12.75" customHeight="1" x14ac:dyDescent="0.3">
      <c r="CK1738" s="481"/>
    </row>
    <row r="1739" spans="89:89" s="299" customFormat="1" ht="12.75" customHeight="1" x14ac:dyDescent="0.3">
      <c r="CK1739" s="481"/>
    </row>
    <row r="1740" spans="89:89" s="299" customFormat="1" ht="12.75" customHeight="1" x14ac:dyDescent="0.3">
      <c r="CK1740" s="481"/>
    </row>
    <row r="1741" spans="89:89" s="299" customFormat="1" ht="12.75" customHeight="1" x14ac:dyDescent="0.3">
      <c r="CK1741" s="481"/>
    </row>
    <row r="1742" spans="89:89" s="299" customFormat="1" ht="12.75" customHeight="1" x14ac:dyDescent="0.3">
      <c r="CK1742" s="481"/>
    </row>
    <row r="1743" spans="89:89" s="299" customFormat="1" ht="12.75" customHeight="1" x14ac:dyDescent="0.3">
      <c r="CK1743" s="481"/>
    </row>
    <row r="1744" spans="89:89" s="299" customFormat="1" ht="12.75" customHeight="1" x14ac:dyDescent="0.3">
      <c r="CK1744" s="481"/>
    </row>
    <row r="1745" spans="89:89" s="299" customFormat="1" ht="12.75" customHeight="1" x14ac:dyDescent="0.3">
      <c r="CK1745" s="481"/>
    </row>
    <row r="1746" spans="89:89" s="299" customFormat="1" ht="12.75" customHeight="1" x14ac:dyDescent="0.3">
      <c r="CK1746" s="481"/>
    </row>
    <row r="1747" spans="89:89" s="299" customFormat="1" ht="12.75" customHeight="1" x14ac:dyDescent="0.3">
      <c r="CK1747" s="481"/>
    </row>
    <row r="1748" spans="89:89" s="299" customFormat="1" ht="12.75" customHeight="1" x14ac:dyDescent="0.3">
      <c r="CK1748" s="481"/>
    </row>
    <row r="1749" spans="89:89" s="299" customFormat="1" ht="12.75" customHeight="1" x14ac:dyDescent="0.3">
      <c r="CK1749" s="481"/>
    </row>
    <row r="1750" spans="89:89" s="299" customFormat="1" ht="12.75" customHeight="1" x14ac:dyDescent="0.3">
      <c r="CK1750" s="481"/>
    </row>
    <row r="1751" spans="89:89" s="299" customFormat="1" ht="12.75" customHeight="1" x14ac:dyDescent="0.3">
      <c r="CK1751" s="481"/>
    </row>
    <row r="1752" spans="89:89" s="299" customFormat="1" ht="12.75" customHeight="1" x14ac:dyDescent="0.3">
      <c r="CK1752" s="481"/>
    </row>
    <row r="1753" spans="89:89" s="299" customFormat="1" ht="12.75" customHeight="1" x14ac:dyDescent="0.3">
      <c r="CK1753" s="481"/>
    </row>
    <row r="1754" spans="89:89" s="299" customFormat="1" ht="12.75" customHeight="1" x14ac:dyDescent="0.3">
      <c r="CK1754" s="481"/>
    </row>
    <row r="1755" spans="89:89" s="299" customFormat="1" ht="12.75" customHeight="1" x14ac:dyDescent="0.3">
      <c r="CK1755" s="481"/>
    </row>
    <row r="1756" spans="89:89" s="299" customFormat="1" ht="12.75" customHeight="1" x14ac:dyDescent="0.3">
      <c r="CK1756" s="481"/>
    </row>
    <row r="1757" spans="89:89" s="299" customFormat="1" ht="12.75" customHeight="1" x14ac:dyDescent="0.3">
      <c r="CK1757" s="481"/>
    </row>
    <row r="1758" spans="89:89" s="299" customFormat="1" ht="12.75" customHeight="1" x14ac:dyDescent="0.3">
      <c r="CK1758" s="481"/>
    </row>
    <row r="1759" spans="89:89" s="299" customFormat="1" ht="12.75" customHeight="1" x14ac:dyDescent="0.3">
      <c r="CK1759" s="481"/>
    </row>
    <row r="1760" spans="89:89" s="299" customFormat="1" ht="12.75" customHeight="1" x14ac:dyDescent="0.3">
      <c r="CK1760" s="481"/>
    </row>
    <row r="1761" spans="89:89" s="299" customFormat="1" ht="12.75" customHeight="1" x14ac:dyDescent="0.3">
      <c r="CK1761" s="481"/>
    </row>
    <row r="1762" spans="89:89" s="299" customFormat="1" ht="12.75" customHeight="1" x14ac:dyDescent="0.3">
      <c r="CK1762" s="481"/>
    </row>
    <row r="1763" spans="89:89" s="299" customFormat="1" ht="12.75" customHeight="1" x14ac:dyDescent="0.3">
      <c r="CK1763" s="481"/>
    </row>
    <row r="1764" spans="89:89" s="299" customFormat="1" ht="12.75" customHeight="1" x14ac:dyDescent="0.3">
      <c r="CK1764" s="481"/>
    </row>
    <row r="1765" spans="89:89" s="299" customFormat="1" ht="12.75" customHeight="1" x14ac:dyDescent="0.3">
      <c r="CK1765" s="481"/>
    </row>
    <row r="1766" spans="89:89" s="299" customFormat="1" ht="12.75" customHeight="1" x14ac:dyDescent="0.3">
      <c r="CK1766" s="481"/>
    </row>
    <row r="1767" spans="89:89" s="299" customFormat="1" ht="12.75" customHeight="1" x14ac:dyDescent="0.3">
      <c r="CK1767" s="481"/>
    </row>
    <row r="1768" spans="89:89" s="299" customFormat="1" ht="12.75" customHeight="1" x14ac:dyDescent="0.3">
      <c r="CK1768" s="481"/>
    </row>
    <row r="1769" spans="89:89" s="299" customFormat="1" ht="12.75" customHeight="1" x14ac:dyDescent="0.3">
      <c r="CK1769" s="481"/>
    </row>
    <row r="1770" spans="89:89" s="299" customFormat="1" ht="12.75" customHeight="1" x14ac:dyDescent="0.3">
      <c r="CK1770" s="481"/>
    </row>
    <row r="1771" spans="89:89" s="299" customFormat="1" ht="12.75" customHeight="1" x14ac:dyDescent="0.3">
      <c r="CK1771" s="481"/>
    </row>
    <row r="1772" spans="89:89" s="299" customFormat="1" ht="12.75" customHeight="1" x14ac:dyDescent="0.3">
      <c r="CK1772" s="481"/>
    </row>
    <row r="1773" spans="89:89" s="299" customFormat="1" ht="12.75" customHeight="1" x14ac:dyDescent="0.3">
      <c r="CK1773" s="481"/>
    </row>
    <row r="1774" spans="89:89" s="299" customFormat="1" ht="12.75" customHeight="1" x14ac:dyDescent="0.3">
      <c r="CK1774" s="481"/>
    </row>
    <row r="1775" spans="89:89" s="299" customFormat="1" ht="12.75" customHeight="1" x14ac:dyDescent="0.3">
      <c r="CK1775" s="481"/>
    </row>
    <row r="1776" spans="89:89" s="299" customFormat="1" ht="12.75" customHeight="1" x14ac:dyDescent="0.3">
      <c r="CK1776" s="481"/>
    </row>
    <row r="1777" spans="89:89" s="299" customFormat="1" ht="12.75" customHeight="1" x14ac:dyDescent="0.3">
      <c r="CK1777" s="481"/>
    </row>
    <row r="1778" spans="89:89" s="299" customFormat="1" ht="12.75" customHeight="1" x14ac:dyDescent="0.3">
      <c r="CK1778" s="481"/>
    </row>
    <row r="1779" spans="89:89" s="299" customFormat="1" ht="12.75" customHeight="1" x14ac:dyDescent="0.3">
      <c r="CK1779" s="481"/>
    </row>
    <row r="1780" spans="89:89" s="299" customFormat="1" ht="12.75" customHeight="1" x14ac:dyDescent="0.3">
      <c r="CK1780" s="481"/>
    </row>
    <row r="1781" spans="89:89" s="299" customFormat="1" ht="12.75" customHeight="1" x14ac:dyDescent="0.3">
      <c r="CK1781" s="481"/>
    </row>
    <row r="1782" spans="89:89" s="299" customFormat="1" ht="12.75" customHeight="1" x14ac:dyDescent="0.3">
      <c r="CK1782" s="481"/>
    </row>
    <row r="1783" spans="89:89" s="299" customFormat="1" ht="12.75" customHeight="1" x14ac:dyDescent="0.3">
      <c r="CK1783" s="481"/>
    </row>
    <row r="1784" spans="89:89" s="299" customFormat="1" ht="12.75" customHeight="1" x14ac:dyDescent="0.3">
      <c r="CK1784" s="481"/>
    </row>
    <row r="1785" spans="89:89" s="299" customFormat="1" ht="12.75" customHeight="1" x14ac:dyDescent="0.3">
      <c r="CK1785" s="481"/>
    </row>
    <row r="1786" spans="89:89" s="299" customFormat="1" ht="12.75" customHeight="1" x14ac:dyDescent="0.3">
      <c r="CK1786" s="481"/>
    </row>
    <row r="1787" spans="89:89" s="299" customFormat="1" ht="12.75" customHeight="1" x14ac:dyDescent="0.3">
      <c r="CK1787" s="481"/>
    </row>
    <row r="1788" spans="89:89" s="299" customFormat="1" ht="12.75" customHeight="1" x14ac:dyDescent="0.3">
      <c r="CK1788" s="481"/>
    </row>
    <row r="1789" spans="89:89" s="299" customFormat="1" ht="12.75" customHeight="1" x14ac:dyDescent="0.3">
      <c r="CK1789" s="481"/>
    </row>
    <row r="1790" spans="89:89" s="299" customFormat="1" ht="12.75" customHeight="1" x14ac:dyDescent="0.3">
      <c r="CK1790" s="481"/>
    </row>
    <row r="1791" spans="89:89" s="299" customFormat="1" ht="12.75" customHeight="1" x14ac:dyDescent="0.3">
      <c r="CK1791" s="481"/>
    </row>
    <row r="1792" spans="89:89" s="299" customFormat="1" ht="12.75" customHeight="1" x14ac:dyDescent="0.3">
      <c r="CK1792" s="481"/>
    </row>
    <row r="1793" spans="89:89" s="299" customFormat="1" ht="12.75" customHeight="1" x14ac:dyDescent="0.3">
      <c r="CK1793" s="481"/>
    </row>
    <row r="1794" spans="89:89" s="299" customFormat="1" ht="12.75" customHeight="1" x14ac:dyDescent="0.3">
      <c r="CK1794" s="481"/>
    </row>
    <row r="1795" spans="89:89" s="299" customFormat="1" ht="12.75" customHeight="1" x14ac:dyDescent="0.3">
      <c r="CK1795" s="481"/>
    </row>
    <row r="1796" spans="89:89" s="299" customFormat="1" ht="12.75" customHeight="1" x14ac:dyDescent="0.3">
      <c r="CK1796" s="481"/>
    </row>
    <row r="1797" spans="89:89" s="299" customFormat="1" ht="12.75" customHeight="1" x14ac:dyDescent="0.3">
      <c r="CK1797" s="481"/>
    </row>
    <row r="1798" spans="89:89" s="299" customFormat="1" ht="12.75" customHeight="1" x14ac:dyDescent="0.3">
      <c r="CK1798" s="481"/>
    </row>
    <row r="1799" spans="89:89" s="299" customFormat="1" ht="12.75" customHeight="1" x14ac:dyDescent="0.3">
      <c r="CK1799" s="481"/>
    </row>
    <row r="1800" spans="89:89" s="299" customFormat="1" ht="12.75" customHeight="1" x14ac:dyDescent="0.3">
      <c r="CK1800" s="481"/>
    </row>
    <row r="1801" spans="89:89" s="299" customFormat="1" ht="12.75" customHeight="1" x14ac:dyDescent="0.3">
      <c r="CK1801" s="481"/>
    </row>
    <row r="1802" spans="89:89" s="299" customFormat="1" ht="12.75" customHeight="1" x14ac:dyDescent="0.3">
      <c r="CK1802" s="481"/>
    </row>
    <row r="1803" spans="89:89" s="299" customFormat="1" ht="12.75" customHeight="1" x14ac:dyDescent="0.3">
      <c r="CK1803" s="481"/>
    </row>
    <row r="1804" spans="89:89" s="299" customFormat="1" ht="12.75" customHeight="1" x14ac:dyDescent="0.3">
      <c r="CK1804" s="481"/>
    </row>
    <row r="1805" spans="89:89" s="299" customFormat="1" ht="12.75" customHeight="1" x14ac:dyDescent="0.3">
      <c r="CK1805" s="481"/>
    </row>
    <row r="1806" spans="89:89" s="299" customFormat="1" ht="12.75" customHeight="1" x14ac:dyDescent="0.3">
      <c r="CK1806" s="481"/>
    </row>
    <row r="1807" spans="89:89" s="299" customFormat="1" ht="12.75" customHeight="1" x14ac:dyDescent="0.3">
      <c r="CK1807" s="481"/>
    </row>
    <row r="1808" spans="89:89" s="299" customFormat="1" ht="12.75" customHeight="1" x14ac:dyDescent="0.3">
      <c r="CK1808" s="481"/>
    </row>
    <row r="1809" spans="89:89" s="299" customFormat="1" ht="12.75" customHeight="1" x14ac:dyDescent="0.3">
      <c r="CK1809" s="481"/>
    </row>
    <row r="1810" spans="89:89" s="299" customFormat="1" ht="12.75" customHeight="1" x14ac:dyDescent="0.3">
      <c r="CK1810" s="481"/>
    </row>
    <row r="1811" spans="89:89" s="299" customFormat="1" ht="12.75" customHeight="1" x14ac:dyDescent="0.3">
      <c r="CK1811" s="481"/>
    </row>
    <row r="1812" spans="89:89" s="299" customFormat="1" ht="12.75" customHeight="1" x14ac:dyDescent="0.3">
      <c r="CK1812" s="481"/>
    </row>
    <row r="1813" spans="89:89" s="299" customFormat="1" ht="12.75" customHeight="1" x14ac:dyDescent="0.3">
      <c r="CK1813" s="481"/>
    </row>
    <row r="1814" spans="89:89" s="299" customFormat="1" ht="12.75" customHeight="1" x14ac:dyDescent="0.3">
      <c r="CK1814" s="481"/>
    </row>
    <row r="1815" spans="89:89" s="299" customFormat="1" ht="12.75" customHeight="1" x14ac:dyDescent="0.3">
      <c r="CK1815" s="481"/>
    </row>
    <row r="1816" spans="89:89" s="299" customFormat="1" ht="12.75" customHeight="1" x14ac:dyDescent="0.3">
      <c r="CK1816" s="481"/>
    </row>
    <row r="1817" spans="89:89" s="299" customFormat="1" ht="12.75" customHeight="1" x14ac:dyDescent="0.3">
      <c r="CK1817" s="481"/>
    </row>
    <row r="1818" spans="89:89" s="299" customFormat="1" ht="12.75" customHeight="1" x14ac:dyDescent="0.3">
      <c r="CK1818" s="481"/>
    </row>
    <row r="1819" spans="89:89" s="299" customFormat="1" ht="12.75" customHeight="1" x14ac:dyDescent="0.3">
      <c r="CK1819" s="481"/>
    </row>
    <row r="1820" spans="89:89" s="299" customFormat="1" ht="12.75" customHeight="1" x14ac:dyDescent="0.3">
      <c r="CK1820" s="481"/>
    </row>
    <row r="1821" spans="89:89" s="299" customFormat="1" ht="12.75" customHeight="1" x14ac:dyDescent="0.3">
      <c r="CK1821" s="481"/>
    </row>
    <row r="1822" spans="89:89" s="299" customFormat="1" ht="12.75" customHeight="1" x14ac:dyDescent="0.3">
      <c r="CK1822" s="481"/>
    </row>
    <row r="1823" spans="89:89" s="299" customFormat="1" ht="12.75" customHeight="1" x14ac:dyDescent="0.3">
      <c r="CK1823" s="481"/>
    </row>
    <row r="1824" spans="89:89" s="299" customFormat="1" ht="12.75" customHeight="1" x14ac:dyDescent="0.3">
      <c r="CK1824" s="481"/>
    </row>
    <row r="1825" spans="89:89" s="299" customFormat="1" ht="12.75" customHeight="1" x14ac:dyDescent="0.3">
      <c r="CK1825" s="481"/>
    </row>
    <row r="1826" spans="89:89" s="299" customFormat="1" ht="12.75" customHeight="1" x14ac:dyDescent="0.3">
      <c r="CK1826" s="481"/>
    </row>
    <row r="1827" spans="89:89" s="299" customFormat="1" ht="12.75" customHeight="1" x14ac:dyDescent="0.3">
      <c r="CK1827" s="481"/>
    </row>
    <row r="1828" spans="89:89" s="299" customFormat="1" ht="12.75" customHeight="1" x14ac:dyDescent="0.3">
      <c r="CK1828" s="481"/>
    </row>
    <row r="1829" spans="89:89" s="299" customFormat="1" ht="12.75" customHeight="1" x14ac:dyDescent="0.3">
      <c r="CK1829" s="481"/>
    </row>
    <row r="1830" spans="89:89" s="299" customFormat="1" ht="12.75" customHeight="1" x14ac:dyDescent="0.3">
      <c r="CK1830" s="481"/>
    </row>
    <row r="1831" spans="89:89" s="299" customFormat="1" ht="12.75" customHeight="1" x14ac:dyDescent="0.3">
      <c r="CK1831" s="481"/>
    </row>
    <row r="1832" spans="89:89" s="299" customFormat="1" ht="12.75" customHeight="1" x14ac:dyDescent="0.3">
      <c r="CK1832" s="481"/>
    </row>
    <row r="1833" spans="89:89" s="299" customFormat="1" ht="12.75" customHeight="1" x14ac:dyDescent="0.3">
      <c r="CK1833" s="481"/>
    </row>
    <row r="1834" spans="89:89" s="299" customFormat="1" ht="12.75" customHeight="1" x14ac:dyDescent="0.3">
      <c r="CK1834" s="481"/>
    </row>
    <row r="1835" spans="89:89" s="299" customFormat="1" ht="12.75" customHeight="1" x14ac:dyDescent="0.3">
      <c r="CK1835" s="481"/>
    </row>
    <row r="1836" spans="89:89" s="299" customFormat="1" ht="12.75" customHeight="1" x14ac:dyDescent="0.3">
      <c r="CK1836" s="481"/>
    </row>
    <row r="1837" spans="89:89" s="299" customFormat="1" ht="12.75" customHeight="1" x14ac:dyDescent="0.3">
      <c r="CK1837" s="481"/>
    </row>
    <row r="1838" spans="89:89" s="299" customFormat="1" ht="12.75" customHeight="1" x14ac:dyDescent="0.3">
      <c r="CK1838" s="481"/>
    </row>
    <row r="1839" spans="89:89" s="299" customFormat="1" ht="12.75" customHeight="1" x14ac:dyDescent="0.3">
      <c r="CK1839" s="481"/>
    </row>
    <row r="1840" spans="89:89" s="299" customFormat="1" ht="12.75" customHeight="1" x14ac:dyDescent="0.3">
      <c r="CK1840" s="481"/>
    </row>
    <row r="1841" spans="89:89" s="299" customFormat="1" ht="12.75" customHeight="1" x14ac:dyDescent="0.3">
      <c r="CK1841" s="481"/>
    </row>
    <row r="1842" spans="89:89" s="299" customFormat="1" ht="12.75" customHeight="1" x14ac:dyDescent="0.3">
      <c r="CK1842" s="481"/>
    </row>
    <row r="1843" spans="89:89" s="299" customFormat="1" ht="12.75" customHeight="1" x14ac:dyDescent="0.3">
      <c r="CK1843" s="481"/>
    </row>
    <row r="1844" spans="89:89" s="299" customFormat="1" ht="12.75" customHeight="1" x14ac:dyDescent="0.3">
      <c r="CK1844" s="481"/>
    </row>
    <row r="1845" spans="89:89" s="299" customFormat="1" ht="12.75" customHeight="1" x14ac:dyDescent="0.3">
      <c r="CK1845" s="481"/>
    </row>
    <row r="1846" spans="89:89" s="299" customFormat="1" ht="12.75" customHeight="1" x14ac:dyDescent="0.3">
      <c r="CK1846" s="481"/>
    </row>
    <row r="1847" spans="89:89" s="299" customFormat="1" ht="12.75" customHeight="1" x14ac:dyDescent="0.3">
      <c r="CK1847" s="481"/>
    </row>
    <row r="1848" spans="89:89" s="299" customFormat="1" ht="12.75" customHeight="1" x14ac:dyDescent="0.3">
      <c r="CK1848" s="481"/>
    </row>
    <row r="1849" spans="89:89" s="299" customFormat="1" ht="12.75" customHeight="1" x14ac:dyDescent="0.3">
      <c r="CK1849" s="481"/>
    </row>
    <row r="1850" spans="89:89" s="299" customFormat="1" ht="12.75" customHeight="1" x14ac:dyDescent="0.3">
      <c r="CK1850" s="481"/>
    </row>
    <row r="1851" spans="89:89" s="299" customFormat="1" ht="12.75" customHeight="1" x14ac:dyDescent="0.3">
      <c r="CK1851" s="481"/>
    </row>
    <row r="1852" spans="89:89" s="299" customFormat="1" ht="12.75" customHeight="1" x14ac:dyDescent="0.3">
      <c r="CK1852" s="481"/>
    </row>
    <row r="1853" spans="89:89" s="299" customFormat="1" ht="12.75" customHeight="1" x14ac:dyDescent="0.3">
      <c r="CK1853" s="481"/>
    </row>
    <row r="1854" spans="89:89" s="299" customFormat="1" ht="12.75" customHeight="1" x14ac:dyDescent="0.3">
      <c r="CK1854" s="481"/>
    </row>
    <row r="1855" spans="89:89" s="299" customFormat="1" ht="12.75" customHeight="1" x14ac:dyDescent="0.3">
      <c r="CK1855" s="481"/>
    </row>
    <row r="1856" spans="89:89" s="299" customFormat="1" ht="12.75" customHeight="1" x14ac:dyDescent="0.3">
      <c r="CK1856" s="481"/>
    </row>
    <row r="1857" spans="89:89" s="299" customFormat="1" ht="12.75" customHeight="1" x14ac:dyDescent="0.3">
      <c r="CK1857" s="481"/>
    </row>
    <row r="1858" spans="89:89" s="299" customFormat="1" ht="12.75" customHeight="1" x14ac:dyDescent="0.3">
      <c r="CK1858" s="481"/>
    </row>
    <row r="1859" spans="89:89" s="299" customFormat="1" ht="12.75" customHeight="1" x14ac:dyDescent="0.3">
      <c r="CK1859" s="481"/>
    </row>
    <row r="1860" spans="89:89" s="299" customFormat="1" ht="12.75" customHeight="1" x14ac:dyDescent="0.3">
      <c r="CK1860" s="481"/>
    </row>
    <row r="1861" spans="89:89" s="299" customFormat="1" ht="12.75" customHeight="1" x14ac:dyDescent="0.3">
      <c r="CK1861" s="481"/>
    </row>
    <row r="1862" spans="89:89" s="299" customFormat="1" ht="12.75" customHeight="1" x14ac:dyDescent="0.3">
      <c r="CK1862" s="481"/>
    </row>
    <row r="1863" spans="89:89" s="299" customFormat="1" ht="12.75" customHeight="1" x14ac:dyDescent="0.3">
      <c r="CK1863" s="481"/>
    </row>
    <row r="1864" spans="89:89" s="299" customFormat="1" ht="12.75" customHeight="1" x14ac:dyDescent="0.3">
      <c r="CK1864" s="481"/>
    </row>
    <row r="1865" spans="89:89" s="299" customFormat="1" ht="12.75" customHeight="1" x14ac:dyDescent="0.3">
      <c r="CK1865" s="481"/>
    </row>
    <row r="1866" spans="89:89" s="299" customFormat="1" ht="12.75" customHeight="1" x14ac:dyDescent="0.3">
      <c r="CK1866" s="481"/>
    </row>
    <row r="1867" spans="89:89" s="299" customFormat="1" ht="12.75" customHeight="1" x14ac:dyDescent="0.3">
      <c r="CK1867" s="481"/>
    </row>
    <row r="1868" spans="89:89" s="299" customFormat="1" ht="12.75" customHeight="1" x14ac:dyDescent="0.3">
      <c r="CK1868" s="481"/>
    </row>
    <row r="1869" spans="89:89" s="299" customFormat="1" ht="12.75" customHeight="1" x14ac:dyDescent="0.3">
      <c r="CK1869" s="481"/>
    </row>
    <row r="1870" spans="89:89" s="299" customFormat="1" ht="12.75" customHeight="1" x14ac:dyDescent="0.3">
      <c r="CK1870" s="481"/>
    </row>
    <row r="1871" spans="89:89" s="299" customFormat="1" ht="12.75" customHeight="1" x14ac:dyDescent="0.3">
      <c r="CK1871" s="481"/>
    </row>
    <row r="1872" spans="89:89" s="299" customFormat="1" ht="12.75" customHeight="1" x14ac:dyDescent="0.3">
      <c r="CK1872" s="481"/>
    </row>
    <row r="1873" spans="89:89" s="299" customFormat="1" ht="12.75" customHeight="1" x14ac:dyDescent="0.3">
      <c r="CK1873" s="481"/>
    </row>
    <row r="1874" spans="89:89" s="299" customFormat="1" ht="12.75" customHeight="1" x14ac:dyDescent="0.3">
      <c r="CK1874" s="481"/>
    </row>
    <row r="1875" spans="89:89" s="299" customFormat="1" ht="12.75" customHeight="1" x14ac:dyDescent="0.3">
      <c r="CK1875" s="481"/>
    </row>
    <row r="1876" spans="89:89" s="299" customFormat="1" ht="12.75" customHeight="1" x14ac:dyDescent="0.3">
      <c r="CK1876" s="481"/>
    </row>
    <row r="1877" spans="89:89" s="299" customFormat="1" ht="12.75" customHeight="1" x14ac:dyDescent="0.3">
      <c r="CK1877" s="481"/>
    </row>
    <row r="1878" spans="89:89" s="299" customFormat="1" ht="12.75" customHeight="1" x14ac:dyDescent="0.3">
      <c r="CK1878" s="481"/>
    </row>
    <row r="1879" spans="89:89" s="299" customFormat="1" ht="12.75" customHeight="1" x14ac:dyDescent="0.3">
      <c r="CK1879" s="481"/>
    </row>
    <row r="1880" spans="89:89" s="299" customFormat="1" ht="12.75" customHeight="1" x14ac:dyDescent="0.3">
      <c r="CK1880" s="481"/>
    </row>
    <row r="1881" spans="89:89" s="299" customFormat="1" ht="12.75" customHeight="1" x14ac:dyDescent="0.3">
      <c r="CK1881" s="481"/>
    </row>
    <row r="1882" spans="89:89" s="299" customFormat="1" ht="12.75" customHeight="1" x14ac:dyDescent="0.3">
      <c r="CK1882" s="481"/>
    </row>
    <row r="1883" spans="89:89" s="299" customFormat="1" ht="12.75" customHeight="1" x14ac:dyDescent="0.3">
      <c r="CK1883" s="481"/>
    </row>
    <row r="1884" spans="89:89" s="299" customFormat="1" ht="12.75" customHeight="1" x14ac:dyDescent="0.3">
      <c r="CK1884" s="481"/>
    </row>
    <row r="1885" spans="89:89" s="299" customFormat="1" ht="12.75" customHeight="1" x14ac:dyDescent="0.3">
      <c r="CK1885" s="481"/>
    </row>
    <row r="1886" spans="89:89" s="299" customFormat="1" ht="12.75" customHeight="1" x14ac:dyDescent="0.3">
      <c r="CK1886" s="481"/>
    </row>
    <row r="1887" spans="89:89" s="299" customFormat="1" ht="12.75" customHeight="1" x14ac:dyDescent="0.3">
      <c r="CK1887" s="481"/>
    </row>
    <row r="1888" spans="89:89" s="299" customFormat="1" ht="12.75" customHeight="1" x14ac:dyDescent="0.3">
      <c r="CK1888" s="481"/>
    </row>
    <row r="1889" spans="89:89" s="299" customFormat="1" ht="12.75" customHeight="1" x14ac:dyDescent="0.3">
      <c r="CK1889" s="481"/>
    </row>
    <row r="1890" spans="89:89" s="299" customFormat="1" ht="12.75" customHeight="1" x14ac:dyDescent="0.3">
      <c r="CK1890" s="481"/>
    </row>
    <row r="1891" spans="89:89" s="299" customFormat="1" ht="12.75" customHeight="1" x14ac:dyDescent="0.3">
      <c r="CK1891" s="481"/>
    </row>
    <row r="1892" spans="89:89" s="299" customFormat="1" ht="12.75" customHeight="1" x14ac:dyDescent="0.3">
      <c r="CK1892" s="481"/>
    </row>
    <row r="1893" spans="89:89" s="299" customFormat="1" ht="12.75" customHeight="1" x14ac:dyDescent="0.3">
      <c r="CK1893" s="481"/>
    </row>
    <row r="1894" spans="89:89" s="299" customFormat="1" ht="12.75" customHeight="1" x14ac:dyDescent="0.3">
      <c r="CK1894" s="481"/>
    </row>
    <row r="1895" spans="89:89" s="299" customFormat="1" ht="12.75" customHeight="1" x14ac:dyDescent="0.3">
      <c r="CK1895" s="481"/>
    </row>
    <row r="1896" spans="89:89" s="299" customFormat="1" ht="12.75" customHeight="1" x14ac:dyDescent="0.3">
      <c r="CK1896" s="481"/>
    </row>
    <row r="1897" spans="89:89" s="299" customFormat="1" ht="12.75" customHeight="1" x14ac:dyDescent="0.3">
      <c r="CK1897" s="481"/>
    </row>
    <row r="1898" spans="89:89" s="299" customFormat="1" ht="12.75" customHeight="1" x14ac:dyDescent="0.3">
      <c r="CK1898" s="481"/>
    </row>
    <row r="1899" spans="89:89" s="299" customFormat="1" ht="12.75" customHeight="1" x14ac:dyDescent="0.3">
      <c r="CK1899" s="481"/>
    </row>
    <row r="1900" spans="89:89" s="299" customFormat="1" ht="12.75" customHeight="1" x14ac:dyDescent="0.3">
      <c r="CK1900" s="481"/>
    </row>
    <row r="1901" spans="89:89" s="299" customFormat="1" ht="12.75" customHeight="1" x14ac:dyDescent="0.3">
      <c r="CK1901" s="481"/>
    </row>
    <row r="1902" spans="89:89" s="299" customFormat="1" ht="12.75" customHeight="1" x14ac:dyDescent="0.3">
      <c r="CK1902" s="481"/>
    </row>
    <row r="1903" spans="89:89" s="299" customFormat="1" ht="12.75" customHeight="1" x14ac:dyDescent="0.3">
      <c r="CK1903" s="481"/>
    </row>
    <row r="1904" spans="89:89" s="299" customFormat="1" ht="12.75" customHeight="1" x14ac:dyDescent="0.3">
      <c r="CK1904" s="481"/>
    </row>
    <row r="1905" spans="89:89" s="299" customFormat="1" ht="12.75" customHeight="1" x14ac:dyDescent="0.3">
      <c r="CK1905" s="481"/>
    </row>
    <row r="1906" spans="89:89" s="299" customFormat="1" ht="12.75" customHeight="1" x14ac:dyDescent="0.3">
      <c r="CK1906" s="481"/>
    </row>
    <row r="1907" spans="89:89" s="299" customFormat="1" ht="12.75" customHeight="1" x14ac:dyDescent="0.3">
      <c r="CK1907" s="481"/>
    </row>
    <row r="1908" spans="89:89" s="299" customFormat="1" ht="12.75" customHeight="1" x14ac:dyDescent="0.3">
      <c r="CK1908" s="481"/>
    </row>
    <row r="1909" spans="89:89" s="299" customFormat="1" ht="12.75" customHeight="1" x14ac:dyDescent="0.3">
      <c r="CK1909" s="481"/>
    </row>
    <row r="1910" spans="89:89" s="299" customFormat="1" ht="12.75" customHeight="1" x14ac:dyDescent="0.3">
      <c r="CK1910" s="481"/>
    </row>
    <row r="1911" spans="89:89" s="299" customFormat="1" ht="12.75" customHeight="1" x14ac:dyDescent="0.3">
      <c r="CK1911" s="481"/>
    </row>
    <row r="1912" spans="89:89" s="299" customFormat="1" ht="12.75" customHeight="1" x14ac:dyDescent="0.3">
      <c r="CK1912" s="481"/>
    </row>
    <row r="1913" spans="89:89" s="299" customFormat="1" ht="12.75" customHeight="1" x14ac:dyDescent="0.3">
      <c r="CK1913" s="481"/>
    </row>
    <row r="1914" spans="89:89" s="299" customFormat="1" ht="12.75" customHeight="1" x14ac:dyDescent="0.3">
      <c r="CK1914" s="481"/>
    </row>
    <row r="1915" spans="89:89" s="299" customFormat="1" ht="12.75" customHeight="1" x14ac:dyDescent="0.3">
      <c r="CK1915" s="481"/>
    </row>
    <row r="1916" spans="89:89" s="299" customFormat="1" ht="12.75" customHeight="1" x14ac:dyDescent="0.3">
      <c r="CK1916" s="481"/>
    </row>
    <row r="1917" spans="89:89" s="299" customFormat="1" ht="12.75" customHeight="1" x14ac:dyDescent="0.3">
      <c r="CK1917" s="481"/>
    </row>
    <row r="1918" spans="89:89" s="299" customFormat="1" ht="12.75" customHeight="1" x14ac:dyDescent="0.3">
      <c r="CK1918" s="481"/>
    </row>
    <row r="1919" spans="89:89" s="299" customFormat="1" ht="12.75" customHeight="1" x14ac:dyDescent="0.3">
      <c r="CK1919" s="481"/>
    </row>
    <row r="1920" spans="89:89" s="299" customFormat="1" ht="12.75" customHeight="1" x14ac:dyDescent="0.3">
      <c r="CK1920" s="481"/>
    </row>
    <row r="1921" spans="89:89" s="299" customFormat="1" ht="12.75" customHeight="1" x14ac:dyDescent="0.3">
      <c r="CK1921" s="481"/>
    </row>
    <row r="1922" spans="89:89" s="299" customFormat="1" ht="12.75" customHeight="1" x14ac:dyDescent="0.3">
      <c r="CK1922" s="481"/>
    </row>
    <row r="1923" spans="89:89" s="299" customFormat="1" ht="12.75" customHeight="1" x14ac:dyDescent="0.3">
      <c r="CK1923" s="481"/>
    </row>
    <row r="1924" spans="89:89" s="299" customFormat="1" ht="12.75" customHeight="1" x14ac:dyDescent="0.3">
      <c r="CK1924" s="481"/>
    </row>
    <row r="1925" spans="89:89" s="299" customFormat="1" ht="12.75" customHeight="1" x14ac:dyDescent="0.3">
      <c r="CK1925" s="481"/>
    </row>
    <row r="1926" spans="89:89" s="299" customFormat="1" ht="12.75" customHeight="1" x14ac:dyDescent="0.3">
      <c r="CK1926" s="481"/>
    </row>
    <row r="1927" spans="89:89" s="299" customFormat="1" ht="12.75" customHeight="1" x14ac:dyDescent="0.3">
      <c r="CK1927" s="481"/>
    </row>
    <row r="1928" spans="89:89" s="299" customFormat="1" ht="12.75" customHeight="1" x14ac:dyDescent="0.3">
      <c r="CK1928" s="481"/>
    </row>
    <row r="1929" spans="89:89" s="299" customFormat="1" ht="12.75" customHeight="1" x14ac:dyDescent="0.3">
      <c r="CK1929" s="481"/>
    </row>
    <row r="1930" spans="89:89" s="299" customFormat="1" ht="12.75" customHeight="1" x14ac:dyDescent="0.3">
      <c r="CK1930" s="481"/>
    </row>
    <row r="1931" spans="89:89" s="299" customFormat="1" ht="12.75" customHeight="1" x14ac:dyDescent="0.3">
      <c r="CK1931" s="481"/>
    </row>
    <row r="1932" spans="89:89" s="299" customFormat="1" ht="12.75" customHeight="1" x14ac:dyDescent="0.3">
      <c r="CK1932" s="481"/>
    </row>
    <row r="1933" spans="89:89" s="299" customFormat="1" ht="12.75" customHeight="1" x14ac:dyDescent="0.3">
      <c r="CK1933" s="481"/>
    </row>
    <row r="1934" spans="89:89" s="299" customFormat="1" ht="12.75" customHeight="1" x14ac:dyDescent="0.3">
      <c r="CK1934" s="481"/>
    </row>
    <row r="1935" spans="89:89" s="299" customFormat="1" ht="12.75" customHeight="1" x14ac:dyDescent="0.3">
      <c r="CK1935" s="481"/>
    </row>
    <row r="1936" spans="89:89" s="299" customFormat="1" ht="12.75" customHeight="1" x14ac:dyDescent="0.3">
      <c r="CK1936" s="481"/>
    </row>
    <row r="1937" spans="89:89" s="299" customFormat="1" ht="12.75" customHeight="1" x14ac:dyDescent="0.3">
      <c r="CK1937" s="481"/>
    </row>
    <row r="1938" spans="89:89" s="299" customFormat="1" ht="12.75" customHeight="1" x14ac:dyDescent="0.3">
      <c r="CK1938" s="481"/>
    </row>
    <row r="1939" spans="89:89" s="299" customFormat="1" ht="12.75" customHeight="1" x14ac:dyDescent="0.3">
      <c r="CK1939" s="481"/>
    </row>
    <row r="1940" spans="89:89" s="299" customFormat="1" ht="12.75" customHeight="1" x14ac:dyDescent="0.3">
      <c r="CK1940" s="481"/>
    </row>
    <row r="1941" spans="89:89" s="299" customFormat="1" ht="12.75" customHeight="1" x14ac:dyDescent="0.3">
      <c r="CK1941" s="481"/>
    </row>
    <row r="1942" spans="89:89" s="299" customFormat="1" ht="12.75" customHeight="1" x14ac:dyDescent="0.3">
      <c r="CK1942" s="481"/>
    </row>
    <row r="1943" spans="89:89" s="299" customFormat="1" ht="12.75" customHeight="1" x14ac:dyDescent="0.3">
      <c r="CK1943" s="481"/>
    </row>
    <row r="1944" spans="89:89" s="299" customFormat="1" ht="12.75" customHeight="1" x14ac:dyDescent="0.3">
      <c r="CK1944" s="481"/>
    </row>
    <row r="1945" spans="89:89" s="299" customFormat="1" ht="12.75" customHeight="1" x14ac:dyDescent="0.3">
      <c r="CK1945" s="481"/>
    </row>
    <row r="1946" spans="89:89" s="299" customFormat="1" ht="12.75" customHeight="1" x14ac:dyDescent="0.3">
      <c r="CK1946" s="481"/>
    </row>
    <row r="1947" spans="89:89" s="299" customFormat="1" ht="12.75" customHeight="1" x14ac:dyDescent="0.3">
      <c r="CK1947" s="481"/>
    </row>
    <row r="1948" spans="89:89" s="299" customFormat="1" ht="12.75" customHeight="1" x14ac:dyDescent="0.3">
      <c r="CK1948" s="481"/>
    </row>
    <row r="1949" spans="89:89" s="299" customFormat="1" ht="12.75" customHeight="1" x14ac:dyDescent="0.3">
      <c r="CK1949" s="481"/>
    </row>
    <row r="1950" spans="89:89" s="299" customFormat="1" ht="12.75" customHeight="1" x14ac:dyDescent="0.3">
      <c r="CK1950" s="481"/>
    </row>
    <row r="1951" spans="89:89" s="299" customFormat="1" ht="12.75" customHeight="1" x14ac:dyDescent="0.3">
      <c r="CK1951" s="481"/>
    </row>
    <row r="1952" spans="89:89" s="299" customFormat="1" ht="12.75" customHeight="1" x14ac:dyDescent="0.3">
      <c r="CK1952" s="481"/>
    </row>
    <row r="1953" spans="89:89" s="299" customFormat="1" ht="12.75" customHeight="1" x14ac:dyDescent="0.3">
      <c r="CK1953" s="481"/>
    </row>
    <row r="1954" spans="89:89" s="299" customFormat="1" ht="12.75" customHeight="1" x14ac:dyDescent="0.3">
      <c r="CK1954" s="481"/>
    </row>
    <row r="1955" spans="89:89" s="299" customFormat="1" ht="12.75" customHeight="1" x14ac:dyDescent="0.3">
      <c r="CK1955" s="481"/>
    </row>
    <row r="1956" spans="89:89" s="299" customFormat="1" ht="12.75" customHeight="1" x14ac:dyDescent="0.3">
      <c r="CK1956" s="481"/>
    </row>
    <row r="1957" spans="89:89" s="299" customFormat="1" ht="12.75" customHeight="1" x14ac:dyDescent="0.3">
      <c r="CK1957" s="481"/>
    </row>
    <row r="1958" spans="89:89" s="299" customFormat="1" ht="12.75" customHeight="1" x14ac:dyDescent="0.3">
      <c r="CK1958" s="481"/>
    </row>
    <row r="1959" spans="89:89" s="299" customFormat="1" ht="12.75" customHeight="1" x14ac:dyDescent="0.3">
      <c r="CK1959" s="481"/>
    </row>
    <row r="1960" spans="89:89" s="299" customFormat="1" ht="12.75" customHeight="1" x14ac:dyDescent="0.3">
      <c r="CK1960" s="481"/>
    </row>
    <row r="1961" spans="89:89" s="299" customFormat="1" ht="12.75" customHeight="1" x14ac:dyDescent="0.3">
      <c r="CK1961" s="481"/>
    </row>
    <row r="1962" spans="89:89" s="299" customFormat="1" ht="12.75" customHeight="1" x14ac:dyDescent="0.3">
      <c r="CK1962" s="481"/>
    </row>
    <row r="1963" spans="89:89" s="299" customFormat="1" ht="12.75" customHeight="1" x14ac:dyDescent="0.3">
      <c r="CK1963" s="481"/>
    </row>
    <row r="1964" spans="89:89" s="299" customFormat="1" ht="12.75" customHeight="1" x14ac:dyDescent="0.3">
      <c r="CK1964" s="481"/>
    </row>
    <row r="1965" spans="89:89" s="299" customFormat="1" ht="12.75" customHeight="1" x14ac:dyDescent="0.3">
      <c r="CK1965" s="481"/>
    </row>
    <row r="1966" spans="89:89" s="299" customFormat="1" ht="12.75" customHeight="1" x14ac:dyDescent="0.3">
      <c r="CK1966" s="481"/>
    </row>
    <row r="1967" spans="89:89" s="299" customFormat="1" ht="12.75" customHeight="1" x14ac:dyDescent="0.3">
      <c r="CK1967" s="481"/>
    </row>
    <row r="1968" spans="89:89" s="299" customFormat="1" ht="12.75" customHeight="1" x14ac:dyDescent="0.3">
      <c r="CK1968" s="481"/>
    </row>
    <row r="1969" spans="89:89" s="299" customFormat="1" ht="12.75" customHeight="1" x14ac:dyDescent="0.3">
      <c r="CK1969" s="481"/>
    </row>
    <row r="1970" spans="89:89" s="299" customFormat="1" ht="12.75" customHeight="1" x14ac:dyDescent="0.3">
      <c r="CK1970" s="481"/>
    </row>
    <row r="1971" spans="89:89" s="299" customFormat="1" ht="12.75" customHeight="1" x14ac:dyDescent="0.3">
      <c r="CK1971" s="481"/>
    </row>
    <row r="1972" spans="89:89" s="299" customFormat="1" ht="12.75" customHeight="1" x14ac:dyDescent="0.3">
      <c r="CK1972" s="481"/>
    </row>
    <row r="1973" spans="89:89" s="299" customFormat="1" ht="12.75" customHeight="1" x14ac:dyDescent="0.3">
      <c r="CK1973" s="481"/>
    </row>
    <row r="1974" spans="89:89" s="299" customFormat="1" ht="12.75" customHeight="1" x14ac:dyDescent="0.3">
      <c r="CK1974" s="481"/>
    </row>
    <row r="1975" spans="89:89" s="299" customFormat="1" ht="12.75" customHeight="1" x14ac:dyDescent="0.3">
      <c r="CK1975" s="481"/>
    </row>
    <row r="1976" spans="89:89" s="299" customFormat="1" ht="12.75" customHeight="1" x14ac:dyDescent="0.3">
      <c r="CK1976" s="481"/>
    </row>
    <row r="1977" spans="89:89" s="299" customFormat="1" ht="12.75" customHeight="1" x14ac:dyDescent="0.3">
      <c r="CK1977" s="481"/>
    </row>
    <row r="1978" spans="89:89" s="299" customFormat="1" ht="12.75" customHeight="1" x14ac:dyDescent="0.3">
      <c r="CK1978" s="481"/>
    </row>
    <row r="1979" spans="89:89" s="299" customFormat="1" ht="12.75" customHeight="1" x14ac:dyDescent="0.3">
      <c r="CK1979" s="481"/>
    </row>
    <row r="1980" spans="89:89" s="299" customFormat="1" ht="12.75" customHeight="1" x14ac:dyDescent="0.3">
      <c r="CK1980" s="481"/>
    </row>
    <row r="1981" spans="89:89" s="299" customFormat="1" ht="12.75" customHeight="1" x14ac:dyDescent="0.3">
      <c r="CK1981" s="481"/>
    </row>
    <row r="1982" spans="89:89" s="299" customFormat="1" ht="12.75" customHeight="1" x14ac:dyDescent="0.3">
      <c r="CK1982" s="481"/>
    </row>
    <row r="1983" spans="89:89" s="299" customFormat="1" ht="12.75" customHeight="1" x14ac:dyDescent="0.3">
      <c r="CK1983" s="481"/>
    </row>
    <row r="1984" spans="89:89" s="299" customFormat="1" ht="12.75" customHeight="1" x14ac:dyDescent="0.3">
      <c r="CK1984" s="481"/>
    </row>
    <row r="1985" spans="89:89" s="299" customFormat="1" ht="12.75" customHeight="1" x14ac:dyDescent="0.3">
      <c r="CK1985" s="481"/>
    </row>
    <row r="1986" spans="89:89" s="299" customFormat="1" ht="12.75" customHeight="1" x14ac:dyDescent="0.3">
      <c r="CK1986" s="481"/>
    </row>
    <row r="1987" spans="89:89" s="299" customFormat="1" ht="12.75" customHeight="1" x14ac:dyDescent="0.3">
      <c r="CK1987" s="481"/>
    </row>
    <row r="1988" spans="89:89" s="299" customFormat="1" ht="12.75" customHeight="1" x14ac:dyDescent="0.3">
      <c r="CK1988" s="481"/>
    </row>
    <row r="1989" spans="89:89" s="299" customFormat="1" ht="12.75" customHeight="1" x14ac:dyDescent="0.3">
      <c r="CK1989" s="481"/>
    </row>
    <row r="1990" spans="89:89" s="299" customFormat="1" ht="12.75" customHeight="1" x14ac:dyDescent="0.3">
      <c r="CK1990" s="481"/>
    </row>
    <row r="1991" spans="89:89" s="299" customFormat="1" ht="12.75" customHeight="1" x14ac:dyDescent="0.3">
      <c r="CK1991" s="481"/>
    </row>
    <row r="1992" spans="89:89" s="299" customFormat="1" ht="12.75" customHeight="1" x14ac:dyDescent="0.3">
      <c r="CK1992" s="481"/>
    </row>
    <row r="1993" spans="89:89" s="299" customFormat="1" ht="12.75" customHeight="1" x14ac:dyDescent="0.3">
      <c r="CK1993" s="481"/>
    </row>
    <row r="1994" spans="89:89" s="299" customFormat="1" ht="12.75" customHeight="1" x14ac:dyDescent="0.3">
      <c r="CK1994" s="481"/>
    </row>
    <row r="1995" spans="89:89" s="299" customFormat="1" ht="12.75" customHeight="1" x14ac:dyDescent="0.3">
      <c r="CK1995" s="481"/>
    </row>
    <row r="1996" spans="89:89" s="299" customFormat="1" ht="12.75" customHeight="1" x14ac:dyDescent="0.3">
      <c r="CK1996" s="481"/>
    </row>
    <row r="1997" spans="89:89" s="299" customFormat="1" ht="12.75" customHeight="1" x14ac:dyDescent="0.3">
      <c r="CK1997" s="481"/>
    </row>
    <row r="1998" spans="89:89" s="299" customFormat="1" ht="12.75" customHeight="1" x14ac:dyDescent="0.3">
      <c r="CK1998" s="481"/>
    </row>
    <row r="1999" spans="89:89" s="299" customFormat="1" ht="12.75" customHeight="1" x14ac:dyDescent="0.3">
      <c r="CK1999" s="481"/>
    </row>
    <row r="2000" spans="89:89" s="299" customFormat="1" ht="12.75" customHeight="1" x14ac:dyDescent="0.3">
      <c r="CK2000" s="481"/>
    </row>
    <row r="2001" spans="89:89" s="299" customFormat="1" ht="12.75" customHeight="1" x14ac:dyDescent="0.3">
      <c r="CK2001" s="481"/>
    </row>
    <row r="2002" spans="89:89" s="299" customFormat="1" ht="12.75" customHeight="1" x14ac:dyDescent="0.3">
      <c r="CK2002" s="481"/>
    </row>
    <row r="2003" spans="89:89" s="299" customFormat="1" ht="12.75" customHeight="1" x14ac:dyDescent="0.3">
      <c r="CK2003" s="481"/>
    </row>
    <row r="2004" spans="89:89" s="299" customFormat="1" ht="12.75" customHeight="1" x14ac:dyDescent="0.3">
      <c r="CK2004" s="481"/>
    </row>
    <row r="2005" spans="89:89" s="299" customFormat="1" ht="12.75" customHeight="1" x14ac:dyDescent="0.3">
      <c r="CK2005" s="481"/>
    </row>
    <row r="2006" spans="89:89" s="299" customFormat="1" ht="12.75" customHeight="1" x14ac:dyDescent="0.3">
      <c r="CK2006" s="481"/>
    </row>
    <row r="2007" spans="89:89" s="299" customFormat="1" ht="12.75" customHeight="1" x14ac:dyDescent="0.3">
      <c r="CK2007" s="481"/>
    </row>
    <row r="2008" spans="89:89" s="299" customFormat="1" ht="12.75" customHeight="1" x14ac:dyDescent="0.3">
      <c r="CK2008" s="481"/>
    </row>
    <row r="2009" spans="89:89" s="299" customFormat="1" ht="12.75" customHeight="1" x14ac:dyDescent="0.3">
      <c r="CK2009" s="481"/>
    </row>
    <row r="2010" spans="89:89" s="299" customFormat="1" ht="12.75" customHeight="1" x14ac:dyDescent="0.3">
      <c r="CK2010" s="481"/>
    </row>
    <row r="2011" spans="89:89" s="299" customFormat="1" ht="12.75" customHeight="1" x14ac:dyDescent="0.3">
      <c r="CK2011" s="481"/>
    </row>
    <row r="2012" spans="89:89" s="299" customFormat="1" ht="12.75" customHeight="1" x14ac:dyDescent="0.3">
      <c r="CK2012" s="481"/>
    </row>
    <row r="2013" spans="89:89" s="299" customFormat="1" ht="12.75" customHeight="1" x14ac:dyDescent="0.3">
      <c r="CK2013" s="481"/>
    </row>
    <row r="2014" spans="89:89" s="299" customFormat="1" ht="12.75" customHeight="1" x14ac:dyDescent="0.3">
      <c r="CK2014" s="481"/>
    </row>
    <row r="2015" spans="89:89" s="299" customFormat="1" ht="12.75" customHeight="1" x14ac:dyDescent="0.3">
      <c r="CK2015" s="481"/>
    </row>
    <row r="2016" spans="89:89" s="299" customFormat="1" ht="12.75" customHeight="1" x14ac:dyDescent="0.3">
      <c r="CK2016" s="481"/>
    </row>
    <row r="2017" spans="89:89" s="299" customFormat="1" ht="12.75" customHeight="1" x14ac:dyDescent="0.3">
      <c r="CK2017" s="481"/>
    </row>
    <row r="2018" spans="89:89" s="299" customFormat="1" ht="12.75" customHeight="1" x14ac:dyDescent="0.3">
      <c r="CK2018" s="481"/>
    </row>
    <row r="2019" spans="89:89" s="299" customFormat="1" ht="12.75" customHeight="1" x14ac:dyDescent="0.3">
      <c r="CK2019" s="481"/>
    </row>
    <row r="2020" spans="89:89" s="299" customFormat="1" ht="12.75" customHeight="1" x14ac:dyDescent="0.3">
      <c r="CK2020" s="481"/>
    </row>
    <row r="2021" spans="89:89" s="299" customFormat="1" ht="12.75" customHeight="1" x14ac:dyDescent="0.3">
      <c r="CK2021" s="481"/>
    </row>
    <row r="2022" spans="89:89" s="299" customFormat="1" ht="12.75" customHeight="1" x14ac:dyDescent="0.3">
      <c r="CK2022" s="481"/>
    </row>
    <row r="2023" spans="89:89" s="299" customFormat="1" ht="12.75" customHeight="1" x14ac:dyDescent="0.3">
      <c r="CK2023" s="481"/>
    </row>
    <row r="2024" spans="89:89" s="299" customFormat="1" ht="12.75" customHeight="1" x14ac:dyDescent="0.3">
      <c r="CK2024" s="481"/>
    </row>
    <row r="2025" spans="89:89" s="299" customFormat="1" ht="12.75" customHeight="1" x14ac:dyDescent="0.3">
      <c r="CK2025" s="481"/>
    </row>
    <row r="2026" spans="89:89" s="299" customFormat="1" ht="12.75" customHeight="1" x14ac:dyDescent="0.3">
      <c r="CK2026" s="481"/>
    </row>
    <row r="2027" spans="89:89" s="299" customFormat="1" ht="12.75" customHeight="1" x14ac:dyDescent="0.3">
      <c r="CK2027" s="481"/>
    </row>
    <row r="2028" spans="89:89" s="299" customFormat="1" ht="12.75" customHeight="1" x14ac:dyDescent="0.3">
      <c r="CK2028" s="481"/>
    </row>
    <row r="2029" spans="89:89" s="299" customFormat="1" ht="12.75" customHeight="1" x14ac:dyDescent="0.3">
      <c r="CK2029" s="481"/>
    </row>
    <row r="2030" spans="89:89" s="299" customFormat="1" ht="12.75" customHeight="1" x14ac:dyDescent="0.3">
      <c r="CK2030" s="481"/>
    </row>
    <row r="2031" spans="89:89" s="299" customFormat="1" ht="12.75" customHeight="1" x14ac:dyDescent="0.3">
      <c r="CK2031" s="481"/>
    </row>
    <row r="2032" spans="89:89" s="299" customFormat="1" ht="12.75" customHeight="1" x14ac:dyDescent="0.3">
      <c r="CK2032" s="481"/>
    </row>
    <row r="2033" spans="89:89" s="299" customFormat="1" ht="12.75" customHeight="1" x14ac:dyDescent="0.3">
      <c r="CK2033" s="481"/>
    </row>
    <row r="2034" spans="89:89" s="299" customFormat="1" ht="12.75" customHeight="1" x14ac:dyDescent="0.3">
      <c r="CK2034" s="481"/>
    </row>
    <row r="2035" spans="89:89" s="299" customFormat="1" ht="12.75" customHeight="1" x14ac:dyDescent="0.3">
      <c r="CK2035" s="481"/>
    </row>
    <row r="2036" spans="89:89" s="299" customFormat="1" ht="12.75" customHeight="1" x14ac:dyDescent="0.3">
      <c r="CK2036" s="481"/>
    </row>
    <row r="2037" spans="89:89" s="299" customFormat="1" ht="12.75" customHeight="1" x14ac:dyDescent="0.3">
      <c r="CK2037" s="481"/>
    </row>
    <row r="2038" spans="89:89" s="299" customFormat="1" ht="12.75" customHeight="1" x14ac:dyDescent="0.3">
      <c r="CK2038" s="481"/>
    </row>
    <row r="2039" spans="89:89" s="299" customFormat="1" ht="12.75" customHeight="1" x14ac:dyDescent="0.3">
      <c r="CK2039" s="481"/>
    </row>
    <row r="2040" spans="89:89" s="299" customFormat="1" ht="12.75" customHeight="1" x14ac:dyDescent="0.3">
      <c r="CK2040" s="481"/>
    </row>
    <row r="2041" spans="89:89" s="299" customFormat="1" ht="12.75" customHeight="1" x14ac:dyDescent="0.3">
      <c r="CK2041" s="481"/>
    </row>
    <row r="2042" spans="89:89" s="299" customFormat="1" ht="12.75" customHeight="1" x14ac:dyDescent="0.3">
      <c r="CK2042" s="481"/>
    </row>
    <row r="2043" spans="89:89" s="299" customFormat="1" ht="12.75" customHeight="1" x14ac:dyDescent="0.3">
      <c r="CK2043" s="481"/>
    </row>
    <row r="2044" spans="89:89" s="299" customFormat="1" ht="12.75" customHeight="1" x14ac:dyDescent="0.3">
      <c r="CK2044" s="481"/>
    </row>
    <row r="2045" spans="89:89" s="299" customFormat="1" ht="12.75" customHeight="1" x14ac:dyDescent="0.3">
      <c r="CK2045" s="481"/>
    </row>
    <row r="2046" spans="89:89" s="299" customFormat="1" ht="12.75" customHeight="1" x14ac:dyDescent="0.3">
      <c r="CK2046" s="481"/>
    </row>
    <row r="2047" spans="89:89" s="299" customFormat="1" ht="12.75" customHeight="1" x14ac:dyDescent="0.3">
      <c r="CK2047" s="481"/>
    </row>
    <row r="2048" spans="89:89" s="299" customFormat="1" ht="12.75" customHeight="1" x14ac:dyDescent="0.3">
      <c r="CK2048" s="481"/>
    </row>
    <row r="2049" spans="89:89" s="299" customFormat="1" ht="12.75" customHeight="1" x14ac:dyDescent="0.3">
      <c r="CK2049" s="481"/>
    </row>
    <row r="2050" spans="89:89" s="299" customFormat="1" ht="12.75" customHeight="1" x14ac:dyDescent="0.3">
      <c r="CK2050" s="481"/>
    </row>
    <row r="2051" spans="89:89" s="299" customFormat="1" ht="12.75" customHeight="1" x14ac:dyDescent="0.3">
      <c r="CK2051" s="481"/>
    </row>
    <row r="2052" spans="89:89" s="299" customFormat="1" ht="12.75" customHeight="1" x14ac:dyDescent="0.3">
      <c r="CK2052" s="481"/>
    </row>
    <row r="2053" spans="89:89" s="299" customFormat="1" ht="12.75" customHeight="1" x14ac:dyDescent="0.3">
      <c r="CK2053" s="481"/>
    </row>
    <row r="2054" spans="89:89" s="299" customFormat="1" ht="12.75" customHeight="1" x14ac:dyDescent="0.3">
      <c r="CK2054" s="481"/>
    </row>
    <row r="2055" spans="89:89" s="299" customFormat="1" ht="12.75" customHeight="1" x14ac:dyDescent="0.3">
      <c r="CK2055" s="481"/>
    </row>
    <row r="2056" spans="89:89" s="299" customFormat="1" ht="12.75" customHeight="1" x14ac:dyDescent="0.3">
      <c r="CK2056" s="481"/>
    </row>
    <row r="2057" spans="89:89" s="299" customFormat="1" ht="12.75" customHeight="1" x14ac:dyDescent="0.3">
      <c r="CK2057" s="481"/>
    </row>
    <row r="2058" spans="89:89" s="299" customFormat="1" ht="12.75" customHeight="1" x14ac:dyDescent="0.3">
      <c r="CK2058" s="481"/>
    </row>
    <row r="2059" spans="89:89" s="299" customFormat="1" ht="12.75" customHeight="1" x14ac:dyDescent="0.3">
      <c r="CK2059" s="481"/>
    </row>
    <row r="2060" spans="89:89" s="299" customFormat="1" ht="12.75" customHeight="1" x14ac:dyDescent="0.3">
      <c r="CK2060" s="481"/>
    </row>
    <row r="2061" spans="89:89" s="299" customFormat="1" ht="12.75" customHeight="1" x14ac:dyDescent="0.3">
      <c r="CK2061" s="481"/>
    </row>
    <row r="2062" spans="89:89" s="299" customFormat="1" ht="12.75" customHeight="1" x14ac:dyDescent="0.3">
      <c r="CK2062" s="481"/>
    </row>
    <row r="2063" spans="89:89" s="299" customFormat="1" ht="12.75" customHeight="1" x14ac:dyDescent="0.3">
      <c r="CK2063" s="481"/>
    </row>
    <row r="2064" spans="89:89" s="299" customFormat="1" ht="12.75" customHeight="1" x14ac:dyDescent="0.3">
      <c r="CK2064" s="481"/>
    </row>
    <row r="2065" spans="89:89" s="299" customFormat="1" ht="12.75" customHeight="1" x14ac:dyDescent="0.3">
      <c r="CK2065" s="481"/>
    </row>
    <row r="2066" spans="89:89" s="299" customFormat="1" ht="12.75" customHeight="1" x14ac:dyDescent="0.3">
      <c r="CK2066" s="481"/>
    </row>
    <row r="2067" spans="89:89" s="299" customFormat="1" ht="12.75" customHeight="1" x14ac:dyDescent="0.3">
      <c r="CK2067" s="481"/>
    </row>
    <row r="2068" spans="89:89" s="299" customFormat="1" ht="12.75" customHeight="1" x14ac:dyDescent="0.3">
      <c r="CK2068" s="481"/>
    </row>
    <row r="2069" spans="89:89" s="299" customFormat="1" ht="12.75" customHeight="1" x14ac:dyDescent="0.3">
      <c r="CK2069" s="481"/>
    </row>
    <row r="2070" spans="89:89" s="299" customFormat="1" ht="12.75" customHeight="1" x14ac:dyDescent="0.3">
      <c r="CK2070" s="481"/>
    </row>
    <row r="2071" spans="89:89" s="299" customFormat="1" ht="12.75" customHeight="1" x14ac:dyDescent="0.3">
      <c r="CK2071" s="481"/>
    </row>
    <row r="2072" spans="89:89" s="299" customFormat="1" ht="12.75" customHeight="1" x14ac:dyDescent="0.3">
      <c r="CK2072" s="481"/>
    </row>
    <row r="2073" spans="89:89" s="299" customFormat="1" ht="12.75" customHeight="1" x14ac:dyDescent="0.3">
      <c r="CK2073" s="481"/>
    </row>
    <row r="2074" spans="89:89" s="299" customFormat="1" ht="12.75" customHeight="1" x14ac:dyDescent="0.3">
      <c r="CK2074" s="481"/>
    </row>
    <row r="2075" spans="89:89" s="299" customFormat="1" ht="12.75" customHeight="1" x14ac:dyDescent="0.3">
      <c r="CK2075" s="481"/>
    </row>
    <row r="2076" spans="89:89" s="299" customFormat="1" ht="12.75" customHeight="1" x14ac:dyDescent="0.3">
      <c r="CK2076" s="481"/>
    </row>
    <row r="2077" spans="89:89" s="299" customFormat="1" ht="12.75" customHeight="1" x14ac:dyDescent="0.3">
      <c r="CK2077" s="481"/>
    </row>
    <row r="2078" spans="89:89" s="299" customFormat="1" ht="12.75" customHeight="1" x14ac:dyDescent="0.3">
      <c r="CK2078" s="481"/>
    </row>
    <row r="2079" spans="89:89" s="299" customFormat="1" ht="12.75" customHeight="1" x14ac:dyDescent="0.3">
      <c r="CK2079" s="481"/>
    </row>
    <row r="2080" spans="89:89" s="299" customFormat="1" ht="12.75" customHeight="1" x14ac:dyDescent="0.3">
      <c r="CK2080" s="481"/>
    </row>
    <row r="2081" spans="89:89" s="299" customFormat="1" ht="12.75" customHeight="1" x14ac:dyDescent="0.3">
      <c r="CK2081" s="481"/>
    </row>
    <row r="2082" spans="89:89" s="299" customFormat="1" ht="12.75" customHeight="1" x14ac:dyDescent="0.3">
      <c r="CK2082" s="481"/>
    </row>
    <row r="2083" spans="89:89" s="299" customFormat="1" ht="12.75" customHeight="1" x14ac:dyDescent="0.3">
      <c r="CK2083" s="481"/>
    </row>
    <row r="2084" spans="89:89" s="299" customFormat="1" ht="12.75" customHeight="1" x14ac:dyDescent="0.3">
      <c r="CK2084" s="481"/>
    </row>
    <row r="2085" spans="89:89" s="299" customFormat="1" ht="12.75" customHeight="1" x14ac:dyDescent="0.3">
      <c r="CK2085" s="481"/>
    </row>
    <row r="2086" spans="89:89" s="299" customFormat="1" ht="12.75" customHeight="1" x14ac:dyDescent="0.3">
      <c r="CK2086" s="481"/>
    </row>
    <row r="2087" spans="89:89" s="299" customFormat="1" ht="12.75" customHeight="1" x14ac:dyDescent="0.3">
      <c r="CK2087" s="481"/>
    </row>
    <row r="2088" spans="89:89" s="299" customFormat="1" ht="12.75" customHeight="1" x14ac:dyDescent="0.3">
      <c r="CK2088" s="481"/>
    </row>
    <row r="2089" spans="89:89" s="299" customFormat="1" ht="12.75" customHeight="1" x14ac:dyDescent="0.3">
      <c r="CK2089" s="481"/>
    </row>
    <row r="2090" spans="89:89" s="299" customFormat="1" ht="12.75" customHeight="1" x14ac:dyDescent="0.3">
      <c r="CK2090" s="481"/>
    </row>
    <row r="2091" spans="89:89" s="299" customFormat="1" ht="12.75" customHeight="1" x14ac:dyDescent="0.3">
      <c r="CK2091" s="481"/>
    </row>
    <row r="2092" spans="89:89" s="299" customFormat="1" ht="12.75" customHeight="1" x14ac:dyDescent="0.3">
      <c r="CK2092" s="481"/>
    </row>
    <row r="2093" spans="89:89" s="299" customFormat="1" ht="12.75" customHeight="1" x14ac:dyDescent="0.3">
      <c r="CK2093" s="481"/>
    </row>
    <row r="2094" spans="89:89" s="299" customFormat="1" ht="12.75" customHeight="1" x14ac:dyDescent="0.3">
      <c r="CK2094" s="481"/>
    </row>
    <row r="2095" spans="89:89" s="299" customFormat="1" ht="12.75" customHeight="1" x14ac:dyDescent="0.3">
      <c r="CK2095" s="481"/>
    </row>
    <row r="2096" spans="89:89" s="299" customFormat="1" ht="12.75" customHeight="1" x14ac:dyDescent="0.3">
      <c r="CK2096" s="481"/>
    </row>
    <row r="2097" spans="89:89" s="299" customFormat="1" ht="12.75" customHeight="1" x14ac:dyDescent="0.3">
      <c r="CK2097" s="481"/>
    </row>
    <row r="2098" spans="89:89" s="299" customFormat="1" ht="12.75" customHeight="1" x14ac:dyDescent="0.3">
      <c r="CK2098" s="481"/>
    </row>
    <row r="2099" spans="89:89" s="299" customFormat="1" ht="12.75" customHeight="1" x14ac:dyDescent="0.3">
      <c r="CK2099" s="481"/>
    </row>
    <row r="2100" spans="89:89" s="299" customFormat="1" ht="12.75" customHeight="1" x14ac:dyDescent="0.3">
      <c r="CK2100" s="481"/>
    </row>
    <row r="2101" spans="89:89" s="299" customFormat="1" ht="12.75" customHeight="1" x14ac:dyDescent="0.3">
      <c r="CK2101" s="481"/>
    </row>
    <row r="2102" spans="89:89" s="299" customFormat="1" ht="12.75" customHeight="1" x14ac:dyDescent="0.3">
      <c r="CK2102" s="481"/>
    </row>
    <row r="2103" spans="89:89" s="299" customFormat="1" ht="12.75" customHeight="1" x14ac:dyDescent="0.3">
      <c r="CK2103" s="481"/>
    </row>
    <row r="2104" spans="89:89" s="299" customFormat="1" ht="12.75" customHeight="1" x14ac:dyDescent="0.3">
      <c r="CK2104" s="481"/>
    </row>
    <row r="2105" spans="89:89" s="299" customFormat="1" ht="12.75" customHeight="1" x14ac:dyDescent="0.3">
      <c r="CK2105" s="481"/>
    </row>
    <row r="2106" spans="89:89" s="299" customFormat="1" ht="12.75" customHeight="1" x14ac:dyDescent="0.3">
      <c r="CK2106" s="481"/>
    </row>
    <row r="2107" spans="89:89" s="299" customFormat="1" ht="12.75" customHeight="1" x14ac:dyDescent="0.3">
      <c r="CK2107" s="481"/>
    </row>
    <row r="2108" spans="89:89" s="299" customFormat="1" ht="12.75" customHeight="1" x14ac:dyDescent="0.3">
      <c r="CK2108" s="481"/>
    </row>
    <row r="2109" spans="89:89" s="299" customFormat="1" ht="12.75" customHeight="1" x14ac:dyDescent="0.3">
      <c r="CK2109" s="481"/>
    </row>
    <row r="2110" spans="89:89" s="299" customFormat="1" ht="12.75" customHeight="1" x14ac:dyDescent="0.3">
      <c r="CK2110" s="481"/>
    </row>
    <row r="2111" spans="89:89" s="299" customFormat="1" ht="12.75" customHeight="1" x14ac:dyDescent="0.3">
      <c r="CK2111" s="481"/>
    </row>
    <row r="2112" spans="89:89" s="299" customFormat="1" ht="12.75" customHeight="1" x14ac:dyDescent="0.3">
      <c r="CK2112" s="481"/>
    </row>
    <row r="2113" spans="89:89" s="299" customFormat="1" ht="12.75" customHeight="1" x14ac:dyDescent="0.3">
      <c r="CK2113" s="481"/>
    </row>
    <row r="2114" spans="89:89" s="299" customFormat="1" ht="12.75" customHeight="1" x14ac:dyDescent="0.3">
      <c r="CK2114" s="481"/>
    </row>
    <row r="2115" spans="89:89" s="299" customFormat="1" ht="12.75" customHeight="1" x14ac:dyDescent="0.3">
      <c r="CK2115" s="481"/>
    </row>
    <row r="2116" spans="89:89" s="299" customFormat="1" ht="12.75" customHeight="1" x14ac:dyDescent="0.3">
      <c r="CK2116" s="481"/>
    </row>
    <row r="2117" spans="89:89" s="299" customFormat="1" ht="12.75" customHeight="1" x14ac:dyDescent="0.3">
      <c r="CK2117" s="481"/>
    </row>
    <row r="2118" spans="89:89" s="299" customFormat="1" ht="12.75" customHeight="1" x14ac:dyDescent="0.3">
      <c r="CK2118" s="481"/>
    </row>
    <row r="2119" spans="89:89" s="299" customFormat="1" ht="12.75" customHeight="1" x14ac:dyDescent="0.3">
      <c r="CK2119" s="481"/>
    </row>
    <row r="2120" spans="89:89" s="299" customFormat="1" ht="12.75" customHeight="1" x14ac:dyDescent="0.3">
      <c r="CK2120" s="481"/>
    </row>
    <row r="2121" spans="89:89" s="299" customFormat="1" ht="12.75" customHeight="1" x14ac:dyDescent="0.3">
      <c r="CK2121" s="481"/>
    </row>
    <row r="2122" spans="89:89" s="299" customFormat="1" ht="12.75" customHeight="1" x14ac:dyDescent="0.3">
      <c r="CK2122" s="481"/>
    </row>
    <row r="2123" spans="89:89" s="299" customFormat="1" ht="12.75" customHeight="1" x14ac:dyDescent="0.3">
      <c r="CK2123" s="481"/>
    </row>
    <row r="2124" spans="89:89" s="299" customFormat="1" ht="12.75" customHeight="1" x14ac:dyDescent="0.3">
      <c r="CK2124" s="481"/>
    </row>
    <row r="2125" spans="89:89" s="299" customFormat="1" ht="12.75" customHeight="1" x14ac:dyDescent="0.3">
      <c r="CK2125" s="481"/>
    </row>
    <row r="2126" spans="89:89" s="299" customFormat="1" ht="12.75" customHeight="1" x14ac:dyDescent="0.3">
      <c r="CK2126" s="481"/>
    </row>
    <row r="2127" spans="89:89" s="299" customFormat="1" ht="12.75" customHeight="1" x14ac:dyDescent="0.3">
      <c r="CK2127" s="481"/>
    </row>
    <row r="2128" spans="89:89" s="299" customFormat="1" ht="12.75" customHeight="1" x14ac:dyDescent="0.3">
      <c r="CK2128" s="481"/>
    </row>
    <row r="2129" spans="89:89" s="299" customFormat="1" ht="12.75" customHeight="1" x14ac:dyDescent="0.3">
      <c r="CK2129" s="481"/>
    </row>
    <row r="2130" spans="89:89" s="299" customFormat="1" ht="12.75" customHeight="1" x14ac:dyDescent="0.3">
      <c r="CK2130" s="481"/>
    </row>
    <row r="2131" spans="89:89" s="299" customFormat="1" ht="12.75" customHeight="1" x14ac:dyDescent="0.3">
      <c r="CK2131" s="481"/>
    </row>
    <row r="2132" spans="89:89" s="299" customFormat="1" ht="12.75" customHeight="1" x14ac:dyDescent="0.3">
      <c r="CK2132" s="481"/>
    </row>
    <row r="2133" spans="89:89" s="299" customFormat="1" ht="12.75" customHeight="1" x14ac:dyDescent="0.3">
      <c r="CK2133" s="481"/>
    </row>
    <row r="2134" spans="89:89" s="299" customFormat="1" ht="12.75" customHeight="1" x14ac:dyDescent="0.3">
      <c r="CK2134" s="481"/>
    </row>
    <row r="2135" spans="89:89" s="299" customFormat="1" ht="12.75" customHeight="1" x14ac:dyDescent="0.3">
      <c r="CK2135" s="481"/>
    </row>
    <row r="2136" spans="89:89" s="299" customFormat="1" ht="12.75" customHeight="1" x14ac:dyDescent="0.3">
      <c r="CK2136" s="481"/>
    </row>
    <row r="2137" spans="89:89" s="299" customFormat="1" ht="12.75" customHeight="1" x14ac:dyDescent="0.3">
      <c r="CK2137" s="481"/>
    </row>
    <row r="2138" spans="89:89" s="299" customFormat="1" ht="12.75" customHeight="1" x14ac:dyDescent="0.3">
      <c r="CK2138" s="481"/>
    </row>
    <row r="2139" spans="89:89" s="299" customFormat="1" ht="12.75" customHeight="1" x14ac:dyDescent="0.3">
      <c r="CK2139" s="481"/>
    </row>
    <row r="2140" spans="89:89" s="299" customFormat="1" ht="12.75" customHeight="1" x14ac:dyDescent="0.3">
      <c r="CK2140" s="481"/>
    </row>
    <row r="2141" spans="89:89" s="299" customFormat="1" ht="12.75" customHeight="1" x14ac:dyDescent="0.3">
      <c r="CK2141" s="481"/>
    </row>
    <row r="2142" spans="89:89" s="299" customFormat="1" ht="12.75" customHeight="1" x14ac:dyDescent="0.3">
      <c r="CK2142" s="481"/>
    </row>
    <row r="2143" spans="89:89" s="299" customFormat="1" ht="12.75" customHeight="1" x14ac:dyDescent="0.3">
      <c r="CK2143" s="481"/>
    </row>
    <row r="2144" spans="89:89" s="299" customFormat="1" ht="12.75" customHeight="1" x14ac:dyDescent="0.3">
      <c r="CK2144" s="481"/>
    </row>
    <row r="2145" spans="89:89" s="299" customFormat="1" ht="12.75" customHeight="1" x14ac:dyDescent="0.3">
      <c r="CK2145" s="481"/>
    </row>
    <row r="2146" spans="89:89" s="299" customFormat="1" ht="12.75" customHeight="1" x14ac:dyDescent="0.3">
      <c r="CK2146" s="481"/>
    </row>
    <row r="2147" spans="89:89" s="299" customFormat="1" ht="12.75" customHeight="1" x14ac:dyDescent="0.3">
      <c r="CK2147" s="481"/>
    </row>
    <row r="2148" spans="89:89" s="299" customFormat="1" ht="12.75" customHeight="1" x14ac:dyDescent="0.3">
      <c r="CK2148" s="481"/>
    </row>
    <row r="2149" spans="89:89" s="299" customFormat="1" ht="12.75" customHeight="1" x14ac:dyDescent="0.3">
      <c r="CK2149" s="481"/>
    </row>
    <row r="2150" spans="89:89" s="299" customFormat="1" ht="12.75" customHeight="1" x14ac:dyDescent="0.3">
      <c r="CK2150" s="481"/>
    </row>
    <row r="2151" spans="89:89" s="299" customFormat="1" ht="12.75" customHeight="1" x14ac:dyDescent="0.3">
      <c r="CK2151" s="481"/>
    </row>
    <row r="2152" spans="89:89" s="299" customFormat="1" ht="12.75" customHeight="1" x14ac:dyDescent="0.3">
      <c r="CK2152" s="481"/>
    </row>
    <row r="2153" spans="89:89" s="299" customFormat="1" ht="12.75" customHeight="1" x14ac:dyDescent="0.3">
      <c r="CK2153" s="481"/>
    </row>
    <row r="2154" spans="89:89" s="299" customFormat="1" ht="12.75" customHeight="1" x14ac:dyDescent="0.3">
      <c r="CK2154" s="481"/>
    </row>
    <row r="2155" spans="89:89" s="299" customFormat="1" ht="12.75" customHeight="1" x14ac:dyDescent="0.3">
      <c r="CK2155" s="481"/>
    </row>
    <row r="2156" spans="89:89" s="299" customFormat="1" ht="12.75" customHeight="1" x14ac:dyDescent="0.3">
      <c r="CK2156" s="481"/>
    </row>
    <row r="2157" spans="89:89" s="299" customFormat="1" ht="12.75" customHeight="1" x14ac:dyDescent="0.3">
      <c r="CK2157" s="481"/>
    </row>
    <row r="2158" spans="89:89" s="299" customFormat="1" ht="12.75" customHeight="1" x14ac:dyDescent="0.3">
      <c r="CK2158" s="481"/>
    </row>
    <row r="2159" spans="89:89" s="299" customFormat="1" ht="12.75" customHeight="1" x14ac:dyDescent="0.3">
      <c r="CK2159" s="481"/>
    </row>
    <row r="2160" spans="89:89" s="299" customFormat="1" ht="12.75" customHeight="1" x14ac:dyDescent="0.3">
      <c r="CK2160" s="481"/>
    </row>
    <row r="2161" spans="89:89" s="299" customFormat="1" ht="12.75" customHeight="1" x14ac:dyDescent="0.3">
      <c r="CK2161" s="481"/>
    </row>
    <row r="2162" spans="89:89" s="299" customFormat="1" ht="12.75" customHeight="1" x14ac:dyDescent="0.3">
      <c r="CK2162" s="481"/>
    </row>
    <row r="2163" spans="89:89" s="299" customFormat="1" ht="12.75" customHeight="1" x14ac:dyDescent="0.3">
      <c r="CK2163" s="481"/>
    </row>
    <row r="2164" spans="89:89" s="299" customFormat="1" ht="12.75" customHeight="1" x14ac:dyDescent="0.3">
      <c r="CK2164" s="481"/>
    </row>
    <row r="2165" spans="89:89" s="299" customFormat="1" ht="12.75" customHeight="1" x14ac:dyDescent="0.3">
      <c r="CK2165" s="481"/>
    </row>
    <row r="2166" spans="89:89" s="299" customFormat="1" ht="12.75" customHeight="1" x14ac:dyDescent="0.3">
      <c r="CK2166" s="481"/>
    </row>
    <row r="2167" spans="89:89" s="299" customFormat="1" ht="12.75" customHeight="1" x14ac:dyDescent="0.3">
      <c r="CK2167" s="481"/>
    </row>
    <row r="2168" spans="89:89" s="299" customFormat="1" ht="12.75" customHeight="1" x14ac:dyDescent="0.3">
      <c r="CK2168" s="481"/>
    </row>
    <row r="2169" spans="89:89" s="299" customFormat="1" ht="12.75" customHeight="1" x14ac:dyDescent="0.3">
      <c r="CK2169" s="481"/>
    </row>
    <row r="2170" spans="89:89" s="299" customFormat="1" ht="12.75" customHeight="1" x14ac:dyDescent="0.3">
      <c r="CK2170" s="481"/>
    </row>
    <row r="2171" spans="89:89" s="299" customFormat="1" ht="12.75" customHeight="1" x14ac:dyDescent="0.3">
      <c r="CK2171" s="481"/>
    </row>
    <row r="2172" spans="89:89" s="299" customFormat="1" ht="12.75" customHeight="1" x14ac:dyDescent="0.3">
      <c r="CK2172" s="481"/>
    </row>
    <row r="2173" spans="89:89" s="299" customFormat="1" ht="12.75" customHeight="1" x14ac:dyDescent="0.3">
      <c r="CK2173" s="481"/>
    </row>
    <row r="2174" spans="89:89" s="299" customFormat="1" ht="12.75" customHeight="1" x14ac:dyDescent="0.3">
      <c r="CK2174" s="481"/>
    </row>
    <row r="2175" spans="89:89" s="299" customFormat="1" ht="12.75" customHeight="1" x14ac:dyDescent="0.3">
      <c r="CK2175" s="481"/>
    </row>
    <row r="2176" spans="89:89" s="299" customFormat="1" ht="12.75" customHeight="1" x14ac:dyDescent="0.3">
      <c r="CK2176" s="481"/>
    </row>
    <row r="2177" spans="89:89" s="299" customFormat="1" ht="12.75" customHeight="1" x14ac:dyDescent="0.3">
      <c r="CK2177" s="481"/>
    </row>
    <row r="2178" spans="89:89" s="299" customFormat="1" ht="12.75" customHeight="1" x14ac:dyDescent="0.3">
      <c r="CK2178" s="481"/>
    </row>
    <row r="2179" spans="89:89" s="299" customFormat="1" ht="12.75" customHeight="1" x14ac:dyDescent="0.3">
      <c r="CK2179" s="481"/>
    </row>
    <row r="2180" spans="89:89" s="299" customFormat="1" ht="12.75" customHeight="1" x14ac:dyDescent="0.3">
      <c r="CK2180" s="481"/>
    </row>
    <row r="2181" spans="89:89" s="299" customFormat="1" ht="12.75" customHeight="1" x14ac:dyDescent="0.3">
      <c r="CK2181" s="481"/>
    </row>
    <row r="2182" spans="89:89" s="299" customFormat="1" ht="12.75" customHeight="1" x14ac:dyDescent="0.3">
      <c r="CK2182" s="481"/>
    </row>
    <row r="2183" spans="89:89" s="299" customFormat="1" ht="12.75" customHeight="1" x14ac:dyDescent="0.3">
      <c r="CK2183" s="481"/>
    </row>
    <row r="2184" spans="89:89" s="299" customFormat="1" ht="12.75" customHeight="1" x14ac:dyDescent="0.3">
      <c r="CK2184" s="481"/>
    </row>
    <row r="2185" spans="89:89" s="299" customFormat="1" ht="12.75" customHeight="1" x14ac:dyDescent="0.3">
      <c r="CK2185" s="481"/>
    </row>
    <row r="2186" spans="89:89" s="299" customFormat="1" ht="12.75" customHeight="1" x14ac:dyDescent="0.3">
      <c r="CK2186" s="481"/>
    </row>
    <row r="2187" spans="89:89" s="299" customFormat="1" ht="12.75" customHeight="1" x14ac:dyDescent="0.3">
      <c r="CK2187" s="481"/>
    </row>
    <row r="2188" spans="89:89" s="299" customFormat="1" ht="12.75" customHeight="1" x14ac:dyDescent="0.3">
      <c r="CK2188" s="481"/>
    </row>
    <row r="2189" spans="89:89" s="299" customFormat="1" ht="12.75" customHeight="1" x14ac:dyDescent="0.3">
      <c r="CK2189" s="481"/>
    </row>
    <row r="2190" spans="89:89" s="299" customFormat="1" ht="12.75" customHeight="1" x14ac:dyDescent="0.3">
      <c r="CK2190" s="481"/>
    </row>
    <row r="2191" spans="89:89" s="299" customFormat="1" ht="12.75" customHeight="1" x14ac:dyDescent="0.3">
      <c r="CK2191" s="481"/>
    </row>
    <row r="2192" spans="89:89" s="299" customFormat="1" ht="12.75" customHeight="1" x14ac:dyDescent="0.3">
      <c r="CK2192" s="481"/>
    </row>
    <row r="2193" spans="89:89" s="299" customFormat="1" ht="12.75" customHeight="1" x14ac:dyDescent="0.3">
      <c r="CK2193" s="481"/>
    </row>
    <row r="2194" spans="89:89" s="299" customFormat="1" ht="12.75" customHeight="1" x14ac:dyDescent="0.3">
      <c r="CK2194" s="481"/>
    </row>
    <row r="2195" spans="89:89" s="299" customFormat="1" ht="12.75" customHeight="1" x14ac:dyDescent="0.3">
      <c r="CK2195" s="481"/>
    </row>
    <row r="2196" spans="89:89" s="299" customFormat="1" ht="12.75" customHeight="1" x14ac:dyDescent="0.3">
      <c r="CK2196" s="481"/>
    </row>
    <row r="2197" spans="89:89" s="299" customFormat="1" ht="12.75" customHeight="1" x14ac:dyDescent="0.3">
      <c r="CK2197" s="481"/>
    </row>
    <row r="2198" spans="89:89" s="299" customFormat="1" ht="12.75" customHeight="1" x14ac:dyDescent="0.3">
      <c r="CK2198" s="481"/>
    </row>
    <row r="2199" spans="89:89" s="299" customFormat="1" ht="12.75" customHeight="1" x14ac:dyDescent="0.3">
      <c r="CK2199" s="481"/>
    </row>
    <row r="2200" spans="89:89" s="299" customFormat="1" ht="12.75" customHeight="1" x14ac:dyDescent="0.3">
      <c r="CK2200" s="481"/>
    </row>
    <row r="2201" spans="89:89" s="299" customFormat="1" ht="12.75" customHeight="1" x14ac:dyDescent="0.3">
      <c r="CK2201" s="481"/>
    </row>
    <row r="2202" spans="89:89" s="299" customFormat="1" ht="12.75" customHeight="1" x14ac:dyDescent="0.3">
      <c r="CK2202" s="481"/>
    </row>
    <row r="2203" spans="89:89" s="299" customFormat="1" ht="12.75" customHeight="1" x14ac:dyDescent="0.3">
      <c r="CK2203" s="481"/>
    </row>
    <row r="2204" spans="89:89" s="299" customFormat="1" ht="12.75" customHeight="1" x14ac:dyDescent="0.3">
      <c r="CK2204" s="481"/>
    </row>
    <row r="2205" spans="89:89" s="299" customFormat="1" ht="12.75" customHeight="1" x14ac:dyDescent="0.3">
      <c r="CK2205" s="481"/>
    </row>
    <row r="2206" spans="89:89" s="299" customFormat="1" ht="12.75" customHeight="1" x14ac:dyDescent="0.3">
      <c r="CK2206" s="481"/>
    </row>
    <row r="2207" spans="89:89" s="299" customFormat="1" ht="12.75" customHeight="1" x14ac:dyDescent="0.3">
      <c r="CK2207" s="481"/>
    </row>
    <row r="2208" spans="89:89" s="299" customFormat="1" ht="12.75" customHeight="1" x14ac:dyDescent="0.3">
      <c r="CK2208" s="481"/>
    </row>
    <row r="2209" spans="89:89" s="299" customFormat="1" ht="12.75" customHeight="1" x14ac:dyDescent="0.3">
      <c r="CK2209" s="481"/>
    </row>
    <row r="2210" spans="89:89" s="299" customFormat="1" ht="12.75" customHeight="1" x14ac:dyDescent="0.3">
      <c r="CK2210" s="481"/>
    </row>
    <row r="2211" spans="89:89" s="299" customFormat="1" ht="12.75" customHeight="1" x14ac:dyDescent="0.3">
      <c r="CK2211" s="481"/>
    </row>
    <row r="2212" spans="89:89" s="299" customFormat="1" ht="12.75" customHeight="1" x14ac:dyDescent="0.3">
      <c r="CK2212" s="481"/>
    </row>
    <row r="2213" spans="89:89" s="299" customFormat="1" ht="12.75" customHeight="1" x14ac:dyDescent="0.3">
      <c r="CK2213" s="481"/>
    </row>
    <row r="2214" spans="89:89" s="299" customFormat="1" ht="12.75" customHeight="1" x14ac:dyDescent="0.3">
      <c r="CK2214" s="481"/>
    </row>
    <row r="2215" spans="89:89" s="299" customFormat="1" ht="12.75" customHeight="1" x14ac:dyDescent="0.3">
      <c r="CK2215" s="481"/>
    </row>
    <row r="2216" spans="89:89" s="299" customFormat="1" ht="12.75" customHeight="1" x14ac:dyDescent="0.3">
      <c r="CK2216" s="481"/>
    </row>
    <row r="2217" spans="89:89" s="299" customFormat="1" ht="12.75" customHeight="1" x14ac:dyDescent="0.3">
      <c r="CK2217" s="481"/>
    </row>
    <row r="2218" spans="89:89" s="299" customFormat="1" ht="12.75" customHeight="1" x14ac:dyDescent="0.3">
      <c r="CK2218" s="481"/>
    </row>
    <row r="2219" spans="89:89" s="299" customFormat="1" ht="12.75" customHeight="1" x14ac:dyDescent="0.3">
      <c r="CK2219" s="481"/>
    </row>
    <row r="2220" spans="89:89" s="299" customFormat="1" ht="12.75" customHeight="1" x14ac:dyDescent="0.3">
      <c r="CK2220" s="481"/>
    </row>
    <row r="2221" spans="89:89" s="299" customFormat="1" ht="12.75" customHeight="1" x14ac:dyDescent="0.3">
      <c r="CK2221" s="481"/>
    </row>
    <row r="2222" spans="89:89" s="299" customFormat="1" ht="12.75" customHeight="1" x14ac:dyDescent="0.3">
      <c r="CK2222" s="481"/>
    </row>
    <row r="2223" spans="89:89" s="299" customFormat="1" ht="12.75" customHeight="1" x14ac:dyDescent="0.3">
      <c r="CK2223" s="481"/>
    </row>
    <row r="2224" spans="89:89" s="299" customFormat="1" ht="12.75" customHeight="1" x14ac:dyDescent="0.3">
      <c r="CK2224" s="481"/>
    </row>
    <row r="2225" spans="89:89" s="299" customFormat="1" ht="12.75" customHeight="1" x14ac:dyDescent="0.3">
      <c r="CK2225" s="481"/>
    </row>
    <row r="2226" spans="89:89" s="299" customFormat="1" ht="12.75" customHeight="1" x14ac:dyDescent="0.3">
      <c r="CK2226" s="481"/>
    </row>
    <row r="2227" spans="89:89" s="299" customFormat="1" ht="12.75" customHeight="1" x14ac:dyDescent="0.3">
      <c r="CK2227" s="481"/>
    </row>
    <row r="2228" spans="89:89" s="299" customFormat="1" ht="12.75" customHeight="1" x14ac:dyDescent="0.3">
      <c r="CK2228" s="481"/>
    </row>
    <row r="2229" spans="89:89" s="299" customFormat="1" ht="12.75" customHeight="1" x14ac:dyDescent="0.3">
      <c r="CK2229" s="481"/>
    </row>
    <row r="2230" spans="89:89" s="299" customFormat="1" ht="12.75" customHeight="1" x14ac:dyDescent="0.3">
      <c r="CK2230" s="481"/>
    </row>
    <row r="2231" spans="89:89" s="299" customFormat="1" ht="12.75" customHeight="1" x14ac:dyDescent="0.3">
      <c r="CK2231" s="481"/>
    </row>
    <row r="2232" spans="89:89" s="299" customFormat="1" ht="12.75" customHeight="1" x14ac:dyDescent="0.3">
      <c r="CK2232" s="481"/>
    </row>
    <row r="2233" spans="89:89" s="299" customFormat="1" ht="12.75" customHeight="1" x14ac:dyDescent="0.3">
      <c r="CK2233" s="481"/>
    </row>
    <row r="2234" spans="89:89" s="299" customFormat="1" ht="12.75" customHeight="1" x14ac:dyDescent="0.3">
      <c r="CK2234" s="481"/>
    </row>
    <row r="2235" spans="89:89" s="299" customFormat="1" ht="12.75" customHeight="1" x14ac:dyDescent="0.3">
      <c r="CK2235" s="481"/>
    </row>
    <row r="2236" spans="89:89" s="299" customFormat="1" ht="12.75" customHeight="1" x14ac:dyDescent="0.3">
      <c r="CK2236" s="481"/>
    </row>
    <row r="2237" spans="89:89" s="299" customFormat="1" ht="12.75" customHeight="1" x14ac:dyDescent="0.3">
      <c r="CK2237" s="481"/>
    </row>
    <row r="2238" spans="89:89" s="299" customFormat="1" ht="12.75" customHeight="1" x14ac:dyDescent="0.3">
      <c r="CK2238" s="481"/>
    </row>
    <row r="2239" spans="89:89" s="299" customFormat="1" ht="12.75" customHeight="1" x14ac:dyDescent="0.3">
      <c r="CK2239" s="481"/>
    </row>
    <row r="2240" spans="89:89" s="299" customFormat="1" ht="12.75" customHeight="1" x14ac:dyDescent="0.3">
      <c r="CK2240" s="481"/>
    </row>
    <row r="2241" spans="89:89" s="299" customFormat="1" ht="12.75" customHeight="1" x14ac:dyDescent="0.3">
      <c r="CK2241" s="481"/>
    </row>
    <row r="2242" spans="89:89" s="299" customFormat="1" ht="12.75" customHeight="1" x14ac:dyDescent="0.3">
      <c r="CK2242" s="481"/>
    </row>
    <row r="2243" spans="89:89" s="299" customFormat="1" ht="12.75" customHeight="1" x14ac:dyDescent="0.3">
      <c r="CK2243" s="481"/>
    </row>
    <row r="2244" spans="89:89" s="299" customFormat="1" ht="12.75" customHeight="1" x14ac:dyDescent="0.3">
      <c r="CK2244" s="481"/>
    </row>
    <row r="2245" spans="89:89" s="299" customFormat="1" ht="12.75" customHeight="1" x14ac:dyDescent="0.3">
      <c r="CK2245" s="481"/>
    </row>
    <row r="2246" spans="89:89" s="299" customFormat="1" ht="12.75" customHeight="1" x14ac:dyDescent="0.3">
      <c r="CK2246" s="481"/>
    </row>
    <row r="2247" spans="89:89" s="299" customFormat="1" ht="12.75" customHeight="1" x14ac:dyDescent="0.3">
      <c r="CK2247" s="481"/>
    </row>
    <row r="2248" spans="89:89" s="299" customFormat="1" ht="12.75" customHeight="1" x14ac:dyDescent="0.3">
      <c r="CK2248" s="481"/>
    </row>
    <row r="2249" spans="89:89" s="299" customFormat="1" ht="12.75" customHeight="1" x14ac:dyDescent="0.3">
      <c r="CK2249" s="481"/>
    </row>
    <row r="2250" spans="89:89" s="299" customFormat="1" ht="12.75" customHeight="1" x14ac:dyDescent="0.3">
      <c r="CK2250" s="481"/>
    </row>
    <row r="2251" spans="89:89" s="299" customFormat="1" ht="12.75" customHeight="1" x14ac:dyDescent="0.3">
      <c r="CK2251" s="481"/>
    </row>
    <row r="2252" spans="89:89" s="299" customFormat="1" ht="12.75" customHeight="1" x14ac:dyDescent="0.3">
      <c r="CK2252" s="481"/>
    </row>
    <row r="2253" spans="89:89" s="299" customFormat="1" ht="12.75" customHeight="1" x14ac:dyDescent="0.3">
      <c r="CK2253" s="481"/>
    </row>
    <row r="2254" spans="89:89" s="299" customFormat="1" ht="12.75" customHeight="1" x14ac:dyDescent="0.3">
      <c r="CK2254" s="481"/>
    </row>
    <row r="2255" spans="89:89" s="299" customFormat="1" ht="12.75" customHeight="1" x14ac:dyDescent="0.3">
      <c r="CK2255" s="481"/>
    </row>
    <row r="2256" spans="89:89" s="299" customFormat="1" ht="12.75" customHeight="1" x14ac:dyDescent="0.3">
      <c r="CK2256" s="481"/>
    </row>
    <row r="2257" spans="89:89" s="299" customFormat="1" ht="12.75" customHeight="1" x14ac:dyDescent="0.3">
      <c r="CK2257" s="481"/>
    </row>
    <row r="2258" spans="89:89" s="299" customFormat="1" ht="12.75" customHeight="1" x14ac:dyDescent="0.3">
      <c r="CK2258" s="481"/>
    </row>
    <row r="2259" spans="89:89" s="299" customFormat="1" ht="12.75" customHeight="1" x14ac:dyDescent="0.3">
      <c r="CK2259" s="481"/>
    </row>
    <row r="2260" spans="89:89" s="299" customFormat="1" ht="12.75" customHeight="1" x14ac:dyDescent="0.3">
      <c r="CK2260" s="481"/>
    </row>
    <row r="2261" spans="89:89" s="299" customFormat="1" ht="12.75" customHeight="1" x14ac:dyDescent="0.3">
      <c r="CK2261" s="481"/>
    </row>
    <row r="2262" spans="89:89" s="299" customFormat="1" ht="12.75" customHeight="1" x14ac:dyDescent="0.3">
      <c r="CK2262" s="481"/>
    </row>
    <row r="2263" spans="89:89" s="299" customFormat="1" ht="12.75" customHeight="1" x14ac:dyDescent="0.3">
      <c r="CK2263" s="481"/>
    </row>
    <row r="2264" spans="89:89" s="299" customFormat="1" ht="12.75" customHeight="1" x14ac:dyDescent="0.3">
      <c r="CK2264" s="481"/>
    </row>
    <row r="2265" spans="89:89" s="299" customFormat="1" ht="12.75" customHeight="1" x14ac:dyDescent="0.3">
      <c r="CK2265" s="481"/>
    </row>
    <row r="2266" spans="89:89" s="299" customFormat="1" ht="12.75" customHeight="1" x14ac:dyDescent="0.3">
      <c r="CK2266" s="481"/>
    </row>
    <row r="2267" spans="89:89" s="299" customFormat="1" ht="12.75" customHeight="1" x14ac:dyDescent="0.3">
      <c r="CK2267" s="481"/>
    </row>
    <row r="2268" spans="89:89" s="299" customFormat="1" ht="12.75" customHeight="1" x14ac:dyDescent="0.3">
      <c r="CK2268" s="481"/>
    </row>
    <row r="2269" spans="89:89" s="299" customFormat="1" ht="12.75" customHeight="1" x14ac:dyDescent="0.3">
      <c r="CK2269" s="481"/>
    </row>
    <row r="2270" spans="89:89" s="299" customFormat="1" ht="12.75" customHeight="1" x14ac:dyDescent="0.3">
      <c r="CK2270" s="481"/>
    </row>
    <row r="2271" spans="89:89" s="299" customFormat="1" ht="12.75" customHeight="1" x14ac:dyDescent="0.3">
      <c r="CK2271" s="481"/>
    </row>
    <row r="2272" spans="89:89" s="299" customFormat="1" ht="12.75" customHeight="1" x14ac:dyDescent="0.3">
      <c r="CK2272" s="481"/>
    </row>
    <row r="2273" spans="89:89" s="299" customFormat="1" ht="12.75" customHeight="1" x14ac:dyDescent="0.3">
      <c r="CK2273" s="481"/>
    </row>
    <row r="2274" spans="89:89" s="299" customFormat="1" ht="12.75" customHeight="1" x14ac:dyDescent="0.3">
      <c r="CK2274" s="481"/>
    </row>
    <row r="2275" spans="89:89" s="299" customFormat="1" ht="12.75" customHeight="1" x14ac:dyDescent="0.3">
      <c r="CK2275" s="481"/>
    </row>
    <row r="2276" spans="89:89" s="299" customFormat="1" ht="12.75" customHeight="1" x14ac:dyDescent="0.3">
      <c r="CK2276" s="481"/>
    </row>
    <row r="2277" spans="89:89" s="299" customFormat="1" ht="12.75" customHeight="1" x14ac:dyDescent="0.3">
      <c r="CK2277" s="481"/>
    </row>
    <row r="2278" spans="89:89" s="299" customFormat="1" ht="12.75" customHeight="1" x14ac:dyDescent="0.3">
      <c r="CK2278" s="481"/>
    </row>
    <row r="2279" spans="89:89" s="299" customFormat="1" ht="12.75" customHeight="1" x14ac:dyDescent="0.3">
      <c r="CK2279" s="481"/>
    </row>
    <row r="2280" spans="89:89" s="299" customFormat="1" ht="12.75" customHeight="1" x14ac:dyDescent="0.3">
      <c r="CK2280" s="481"/>
    </row>
    <row r="2281" spans="89:89" s="299" customFormat="1" ht="12.75" customHeight="1" x14ac:dyDescent="0.3">
      <c r="CK2281" s="481"/>
    </row>
    <row r="2282" spans="89:89" s="299" customFormat="1" ht="12.75" customHeight="1" x14ac:dyDescent="0.3">
      <c r="CK2282" s="481"/>
    </row>
    <row r="2283" spans="89:89" s="299" customFormat="1" ht="12.75" customHeight="1" x14ac:dyDescent="0.3">
      <c r="CK2283" s="481"/>
    </row>
    <row r="2284" spans="89:89" s="299" customFormat="1" ht="12.75" customHeight="1" x14ac:dyDescent="0.3">
      <c r="CK2284" s="481"/>
    </row>
    <row r="2285" spans="89:89" s="299" customFormat="1" ht="12.75" customHeight="1" x14ac:dyDescent="0.3">
      <c r="CK2285" s="481"/>
    </row>
    <row r="2286" spans="89:89" s="299" customFormat="1" ht="12.75" customHeight="1" x14ac:dyDescent="0.3">
      <c r="CK2286" s="481"/>
    </row>
    <row r="2287" spans="89:89" s="299" customFormat="1" ht="12.75" customHeight="1" x14ac:dyDescent="0.3">
      <c r="CK2287" s="481"/>
    </row>
    <row r="2288" spans="89:89" s="299" customFormat="1" ht="12.75" customHeight="1" x14ac:dyDescent="0.3">
      <c r="CK2288" s="481"/>
    </row>
    <row r="2289" spans="89:89" s="299" customFormat="1" ht="12.75" customHeight="1" x14ac:dyDescent="0.3">
      <c r="CK2289" s="481"/>
    </row>
    <row r="2290" spans="89:89" s="299" customFormat="1" ht="12.75" customHeight="1" x14ac:dyDescent="0.3">
      <c r="CK2290" s="481"/>
    </row>
    <row r="2291" spans="89:89" s="299" customFormat="1" ht="12.75" customHeight="1" x14ac:dyDescent="0.3">
      <c r="CK2291" s="481"/>
    </row>
    <row r="2292" spans="89:89" s="299" customFormat="1" ht="12.75" customHeight="1" x14ac:dyDescent="0.3">
      <c r="CK2292" s="481"/>
    </row>
    <row r="2293" spans="89:89" s="299" customFormat="1" ht="12.75" customHeight="1" x14ac:dyDescent="0.3">
      <c r="CK2293" s="481"/>
    </row>
    <row r="2294" spans="89:89" s="299" customFormat="1" ht="12.75" customHeight="1" x14ac:dyDescent="0.3">
      <c r="CK2294" s="481"/>
    </row>
    <row r="2295" spans="89:89" s="299" customFormat="1" ht="12.75" customHeight="1" x14ac:dyDescent="0.3">
      <c r="CK2295" s="481"/>
    </row>
    <row r="2296" spans="89:89" s="299" customFormat="1" ht="12.75" customHeight="1" x14ac:dyDescent="0.3">
      <c r="CK2296" s="481"/>
    </row>
    <row r="2297" spans="89:89" s="299" customFormat="1" ht="12.75" customHeight="1" x14ac:dyDescent="0.3">
      <c r="CK2297" s="481"/>
    </row>
    <row r="2298" spans="89:89" s="299" customFormat="1" ht="12.75" customHeight="1" x14ac:dyDescent="0.3">
      <c r="CK2298" s="481"/>
    </row>
    <row r="2299" spans="89:89" s="299" customFormat="1" ht="12.75" customHeight="1" x14ac:dyDescent="0.3">
      <c r="CK2299" s="481"/>
    </row>
    <row r="2300" spans="89:89" s="299" customFormat="1" ht="12.75" customHeight="1" x14ac:dyDescent="0.3">
      <c r="CK2300" s="481"/>
    </row>
    <row r="2301" spans="89:89" s="299" customFormat="1" ht="12.75" customHeight="1" x14ac:dyDescent="0.3">
      <c r="CK2301" s="481"/>
    </row>
    <row r="2302" spans="89:89" s="299" customFormat="1" ht="12.75" customHeight="1" x14ac:dyDescent="0.3">
      <c r="CK2302" s="481"/>
    </row>
    <row r="2303" spans="89:89" s="299" customFormat="1" ht="12.75" customHeight="1" x14ac:dyDescent="0.3">
      <c r="CK2303" s="481"/>
    </row>
    <row r="2304" spans="89:89" s="299" customFormat="1" ht="12.75" customHeight="1" x14ac:dyDescent="0.3">
      <c r="CK2304" s="481"/>
    </row>
    <row r="2305" spans="89:89" s="299" customFormat="1" ht="12.75" customHeight="1" x14ac:dyDescent="0.3">
      <c r="CK2305" s="481"/>
    </row>
    <row r="2306" spans="89:89" s="299" customFormat="1" ht="12.75" customHeight="1" x14ac:dyDescent="0.3">
      <c r="CK2306" s="481"/>
    </row>
    <row r="2307" spans="89:89" s="299" customFormat="1" ht="12.75" customHeight="1" x14ac:dyDescent="0.3">
      <c r="CK2307" s="481"/>
    </row>
    <row r="2308" spans="89:89" s="299" customFormat="1" ht="12.75" customHeight="1" x14ac:dyDescent="0.3">
      <c r="CK2308" s="481"/>
    </row>
    <row r="2309" spans="89:89" s="299" customFormat="1" ht="12.75" customHeight="1" x14ac:dyDescent="0.3">
      <c r="CK2309" s="481"/>
    </row>
    <row r="2310" spans="89:89" s="299" customFormat="1" ht="12.75" customHeight="1" x14ac:dyDescent="0.3">
      <c r="CK2310" s="481"/>
    </row>
    <row r="2311" spans="89:89" s="299" customFormat="1" ht="12.75" customHeight="1" x14ac:dyDescent="0.3">
      <c r="CK2311" s="481"/>
    </row>
    <row r="2312" spans="89:89" s="299" customFormat="1" ht="12.75" customHeight="1" x14ac:dyDescent="0.3">
      <c r="CK2312" s="481"/>
    </row>
    <row r="2313" spans="89:89" s="299" customFormat="1" ht="12.75" customHeight="1" x14ac:dyDescent="0.3">
      <c r="CK2313" s="481"/>
    </row>
    <row r="2314" spans="89:89" s="299" customFormat="1" ht="12.75" customHeight="1" x14ac:dyDescent="0.3">
      <c r="CK2314" s="481"/>
    </row>
    <row r="2315" spans="89:89" s="299" customFormat="1" ht="12.75" customHeight="1" x14ac:dyDescent="0.3">
      <c r="CK2315" s="481"/>
    </row>
    <row r="2316" spans="89:89" s="299" customFormat="1" ht="12.75" customHeight="1" x14ac:dyDescent="0.3">
      <c r="CK2316" s="481"/>
    </row>
    <row r="2317" spans="89:89" s="299" customFormat="1" ht="12.75" customHeight="1" x14ac:dyDescent="0.3">
      <c r="CK2317" s="481"/>
    </row>
    <row r="2318" spans="89:89" s="299" customFormat="1" ht="12.75" customHeight="1" x14ac:dyDescent="0.3">
      <c r="CK2318" s="481"/>
    </row>
    <row r="2319" spans="89:89" s="299" customFormat="1" ht="12.75" customHeight="1" x14ac:dyDescent="0.3">
      <c r="CK2319" s="481"/>
    </row>
    <row r="2320" spans="89:89" s="299" customFormat="1" ht="12.75" customHeight="1" x14ac:dyDescent="0.3">
      <c r="CK2320" s="481"/>
    </row>
    <row r="2321" spans="89:89" s="299" customFormat="1" ht="12.75" customHeight="1" x14ac:dyDescent="0.3">
      <c r="CK2321" s="481"/>
    </row>
    <row r="2322" spans="89:89" s="299" customFormat="1" ht="12.75" customHeight="1" x14ac:dyDescent="0.3">
      <c r="CK2322" s="481"/>
    </row>
    <row r="2323" spans="89:89" s="299" customFormat="1" ht="12.75" customHeight="1" x14ac:dyDescent="0.3">
      <c r="CK2323" s="481"/>
    </row>
    <row r="2324" spans="89:89" s="299" customFormat="1" ht="12.75" customHeight="1" x14ac:dyDescent="0.3">
      <c r="CK2324" s="481"/>
    </row>
    <row r="2325" spans="89:89" s="299" customFormat="1" ht="12.75" customHeight="1" x14ac:dyDescent="0.3">
      <c r="CK2325" s="481"/>
    </row>
    <row r="2326" spans="89:89" s="299" customFormat="1" ht="12.75" customHeight="1" x14ac:dyDescent="0.3">
      <c r="CK2326" s="481"/>
    </row>
    <row r="2327" spans="89:89" s="299" customFormat="1" ht="12.75" customHeight="1" x14ac:dyDescent="0.3">
      <c r="CK2327" s="481"/>
    </row>
    <row r="2328" spans="89:89" s="299" customFormat="1" ht="12.75" customHeight="1" x14ac:dyDescent="0.3">
      <c r="CK2328" s="481"/>
    </row>
    <row r="2329" spans="89:89" s="299" customFormat="1" ht="12.75" customHeight="1" x14ac:dyDescent="0.3">
      <c r="CK2329" s="481"/>
    </row>
    <row r="2330" spans="89:89" s="299" customFormat="1" ht="12.75" customHeight="1" x14ac:dyDescent="0.3">
      <c r="CK2330" s="481"/>
    </row>
    <row r="2331" spans="89:89" s="299" customFormat="1" ht="12.75" customHeight="1" x14ac:dyDescent="0.3">
      <c r="CK2331" s="481"/>
    </row>
    <row r="2332" spans="89:89" s="299" customFormat="1" ht="12.75" customHeight="1" x14ac:dyDescent="0.3">
      <c r="CK2332" s="481"/>
    </row>
    <row r="2333" spans="89:89" s="299" customFormat="1" ht="12.75" customHeight="1" x14ac:dyDescent="0.3">
      <c r="CK2333" s="481"/>
    </row>
    <row r="2334" spans="89:89" s="299" customFormat="1" ht="12.75" customHeight="1" x14ac:dyDescent="0.3">
      <c r="CK2334" s="481"/>
    </row>
    <row r="2335" spans="89:89" s="299" customFormat="1" ht="12.75" customHeight="1" x14ac:dyDescent="0.3">
      <c r="CK2335" s="481"/>
    </row>
    <row r="2336" spans="89:89" s="299" customFormat="1" ht="12.75" customHeight="1" x14ac:dyDescent="0.3">
      <c r="CK2336" s="481"/>
    </row>
    <row r="2337" spans="89:89" s="299" customFormat="1" ht="12.75" customHeight="1" x14ac:dyDescent="0.3">
      <c r="CK2337" s="481"/>
    </row>
    <row r="2338" spans="89:89" s="299" customFormat="1" ht="12.75" customHeight="1" x14ac:dyDescent="0.3">
      <c r="CK2338" s="481"/>
    </row>
    <row r="2339" spans="89:89" s="299" customFormat="1" ht="12.75" customHeight="1" x14ac:dyDescent="0.3">
      <c r="CK2339" s="481"/>
    </row>
    <row r="2340" spans="89:89" s="299" customFormat="1" ht="12.75" customHeight="1" x14ac:dyDescent="0.3">
      <c r="CK2340" s="481"/>
    </row>
    <row r="2341" spans="89:89" s="299" customFormat="1" ht="12.75" customHeight="1" x14ac:dyDescent="0.3">
      <c r="CK2341" s="481"/>
    </row>
    <row r="2342" spans="89:89" s="299" customFormat="1" ht="12.75" customHeight="1" x14ac:dyDescent="0.3">
      <c r="CK2342" s="481"/>
    </row>
    <row r="2343" spans="89:89" s="299" customFormat="1" ht="12.75" customHeight="1" x14ac:dyDescent="0.3">
      <c r="CK2343" s="481"/>
    </row>
    <row r="2344" spans="89:89" s="299" customFormat="1" ht="12.75" customHeight="1" x14ac:dyDescent="0.3">
      <c r="CK2344" s="481"/>
    </row>
    <row r="2345" spans="89:89" s="299" customFormat="1" ht="12.75" customHeight="1" x14ac:dyDescent="0.3">
      <c r="CK2345" s="481"/>
    </row>
    <row r="2346" spans="89:89" s="299" customFormat="1" ht="12.75" customHeight="1" x14ac:dyDescent="0.3">
      <c r="CK2346" s="481"/>
    </row>
    <row r="2347" spans="89:89" s="299" customFormat="1" ht="12.75" customHeight="1" x14ac:dyDescent="0.3">
      <c r="CK2347" s="481"/>
    </row>
    <row r="2348" spans="89:89" s="299" customFormat="1" ht="12.75" customHeight="1" x14ac:dyDescent="0.3">
      <c r="CK2348" s="481"/>
    </row>
    <row r="2349" spans="89:89" s="299" customFormat="1" ht="12.75" customHeight="1" x14ac:dyDescent="0.3">
      <c r="CK2349" s="481"/>
    </row>
    <row r="2350" spans="89:89" s="299" customFormat="1" ht="12.75" customHeight="1" x14ac:dyDescent="0.3">
      <c r="CK2350" s="481"/>
    </row>
    <row r="2351" spans="89:89" s="299" customFormat="1" ht="12.75" customHeight="1" x14ac:dyDescent="0.3">
      <c r="CK2351" s="481"/>
    </row>
    <row r="2352" spans="89:89" s="299" customFormat="1" ht="12.75" customHeight="1" x14ac:dyDescent="0.3">
      <c r="CK2352" s="481"/>
    </row>
    <row r="2353" spans="89:89" s="299" customFormat="1" ht="12.75" customHeight="1" x14ac:dyDescent="0.3">
      <c r="CK2353" s="481"/>
    </row>
    <row r="2354" spans="89:89" s="299" customFormat="1" ht="12.75" customHeight="1" x14ac:dyDescent="0.3">
      <c r="CK2354" s="481"/>
    </row>
    <row r="2355" spans="89:89" s="299" customFormat="1" ht="12.75" customHeight="1" x14ac:dyDescent="0.3">
      <c r="CK2355" s="481"/>
    </row>
    <row r="2356" spans="89:89" s="299" customFormat="1" ht="12.75" customHeight="1" x14ac:dyDescent="0.3">
      <c r="CK2356" s="481"/>
    </row>
    <row r="2357" spans="89:89" s="299" customFormat="1" ht="12.75" customHeight="1" x14ac:dyDescent="0.3">
      <c r="CK2357" s="481"/>
    </row>
    <row r="2358" spans="89:89" s="299" customFormat="1" ht="12.75" customHeight="1" x14ac:dyDescent="0.3">
      <c r="CK2358" s="481"/>
    </row>
    <row r="2359" spans="89:89" s="299" customFormat="1" ht="12.75" customHeight="1" x14ac:dyDescent="0.3">
      <c r="CK2359" s="481"/>
    </row>
    <row r="2360" spans="89:89" s="299" customFormat="1" ht="12.75" customHeight="1" x14ac:dyDescent="0.3">
      <c r="CK2360" s="481"/>
    </row>
    <row r="2361" spans="89:89" s="299" customFormat="1" ht="12.75" customHeight="1" x14ac:dyDescent="0.3">
      <c r="CK2361" s="481"/>
    </row>
    <row r="2362" spans="89:89" s="299" customFormat="1" ht="12.75" customHeight="1" x14ac:dyDescent="0.3">
      <c r="CK2362" s="481"/>
    </row>
    <row r="2363" spans="89:89" s="299" customFormat="1" ht="12.75" customHeight="1" x14ac:dyDescent="0.3">
      <c r="CK2363" s="481"/>
    </row>
    <row r="2364" spans="89:89" s="299" customFormat="1" ht="12.75" customHeight="1" x14ac:dyDescent="0.3">
      <c r="CK2364" s="481"/>
    </row>
    <row r="2365" spans="89:89" s="299" customFormat="1" ht="12.75" customHeight="1" x14ac:dyDescent="0.3">
      <c r="CK2365" s="481"/>
    </row>
    <row r="2366" spans="89:89" s="299" customFormat="1" ht="12.75" customHeight="1" x14ac:dyDescent="0.3">
      <c r="CK2366" s="481"/>
    </row>
    <row r="2367" spans="89:89" s="299" customFormat="1" ht="12.75" customHeight="1" x14ac:dyDescent="0.3">
      <c r="CK2367" s="481"/>
    </row>
    <row r="2368" spans="89:89" s="299" customFormat="1" ht="12.75" customHeight="1" x14ac:dyDescent="0.3">
      <c r="CK2368" s="481"/>
    </row>
    <row r="2369" spans="89:89" s="299" customFormat="1" ht="12.75" customHeight="1" x14ac:dyDescent="0.3">
      <c r="CK2369" s="481"/>
    </row>
    <row r="2370" spans="89:89" s="299" customFormat="1" ht="12.75" customHeight="1" x14ac:dyDescent="0.3">
      <c r="CK2370" s="481"/>
    </row>
    <row r="2371" spans="89:89" s="299" customFormat="1" ht="12.75" customHeight="1" x14ac:dyDescent="0.3">
      <c r="CK2371" s="481"/>
    </row>
    <row r="2372" spans="89:89" s="299" customFormat="1" ht="12.75" customHeight="1" x14ac:dyDescent="0.3">
      <c r="CK2372" s="481"/>
    </row>
    <row r="2373" spans="89:89" s="299" customFormat="1" ht="12.75" customHeight="1" x14ac:dyDescent="0.3">
      <c r="CK2373" s="481"/>
    </row>
    <row r="2374" spans="89:89" s="299" customFormat="1" ht="12.75" customHeight="1" x14ac:dyDescent="0.3">
      <c r="CK2374" s="481"/>
    </row>
    <row r="2375" spans="89:89" s="299" customFormat="1" ht="12.75" customHeight="1" x14ac:dyDescent="0.3">
      <c r="CK2375" s="481"/>
    </row>
    <row r="2376" spans="89:89" s="299" customFormat="1" ht="12.75" customHeight="1" x14ac:dyDescent="0.3">
      <c r="CK2376" s="481"/>
    </row>
    <row r="2377" spans="89:89" s="299" customFormat="1" ht="12.75" customHeight="1" x14ac:dyDescent="0.3">
      <c r="CK2377" s="481"/>
    </row>
    <row r="2378" spans="89:89" s="299" customFormat="1" ht="12.75" customHeight="1" x14ac:dyDescent="0.3">
      <c r="CK2378" s="481"/>
    </row>
    <row r="2379" spans="89:89" s="299" customFormat="1" ht="12.75" customHeight="1" x14ac:dyDescent="0.3">
      <c r="CK2379" s="481"/>
    </row>
    <row r="2380" spans="89:89" s="299" customFormat="1" ht="12.75" customHeight="1" x14ac:dyDescent="0.3">
      <c r="CK2380" s="481"/>
    </row>
    <row r="2381" spans="89:89" s="299" customFormat="1" ht="12.75" customHeight="1" x14ac:dyDescent="0.3">
      <c r="CK2381" s="481"/>
    </row>
    <row r="2382" spans="89:89" s="299" customFormat="1" ht="12.75" customHeight="1" x14ac:dyDescent="0.3">
      <c r="CK2382" s="481"/>
    </row>
    <row r="2383" spans="89:89" s="299" customFormat="1" ht="12.75" customHeight="1" x14ac:dyDescent="0.3">
      <c r="CK2383" s="481"/>
    </row>
    <row r="2384" spans="89:89" s="299" customFormat="1" ht="12.75" customHeight="1" x14ac:dyDescent="0.3">
      <c r="CK2384" s="481"/>
    </row>
    <row r="2385" spans="89:89" s="299" customFormat="1" ht="12.75" customHeight="1" x14ac:dyDescent="0.3">
      <c r="CK2385" s="481"/>
    </row>
    <row r="2386" spans="89:89" s="299" customFormat="1" ht="12.75" customHeight="1" x14ac:dyDescent="0.3">
      <c r="CK2386" s="481"/>
    </row>
    <row r="2387" spans="89:89" s="299" customFormat="1" ht="12.75" customHeight="1" x14ac:dyDescent="0.3">
      <c r="CK2387" s="481"/>
    </row>
    <row r="2388" spans="89:89" s="299" customFormat="1" ht="12.75" customHeight="1" x14ac:dyDescent="0.3">
      <c r="CK2388" s="481"/>
    </row>
    <row r="2389" spans="89:89" s="299" customFormat="1" ht="12.75" customHeight="1" x14ac:dyDescent="0.3">
      <c r="CK2389" s="481"/>
    </row>
    <row r="2390" spans="89:89" s="299" customFormat="1" ht="12.75" customHeight="1" x14ac:dyDescent="0.3">
      <c r="CK2390" s="481"/>
    </row>
    <row r="2391" spans="89:89" s="299" customFormat="1" ht="12.75" customHeight="1" x14ac:dyDescent="0.3">
      <c r="CK2391" s="481"/>
    </row>
    <row r="2392" spans="89:89" s="299" customFormat="1" ht="12.75" customHeight="1" x14ac:dyDescent="0.3">
      <c r="CK2392" s="481"/>
    </row>
    <row r="2393" spans="89:89" s="299" customFormat="1" ht="12.75" customHeight="1" x14ac:dyDescent="0.3">
      <c r="CK2393" s="481"/>
    </row>
    <row r="2394" spans="89:89" s="299" customFormat="1" ht="12.75" customHeight="1" x14ac:dyDescent="0.3">
      <c r="CK2394" s="481"/>
    </row>
    <row r="2395" spans="89:89" s="299" customFormat="1" ht="12.75" customHeight="1" x14ac:dyDescent="0.3">
      <c r="CK2395" s="481"/>
    </row>
    <row r="2396" spans="89:89" s="299" customFormat="1" ht="12.75" customHeight="1" x14ac:dyDescent="0.3">
      <c r="CK2396" s="481"/>
    </row>
    <row r="2397" spans="89:89" s="299" customFormat="1" ht="12.75" customHeight="1" x14ac:dyDescent="0.3">
      <c r="CK2397" s="481"/>
    </row>
    <row r="2398" spans="89:89" s="299" customFormat="1" ht="12.75" customHeight="1" x14ac:dyDescent="0.3">
      <c r="CK2398" s="481"/>
    </row>
    <row r="2399" spans="89:89" s="299" customFormat="1" ht="12.75" customHeight="1" x14ac:dyDescent="0.3">
      <c r="CK2399" s="481"/>
    </row>
    <row r="2400" spans="89:89" s="299" customFormat="1" ht="12.75" customHeight="1" x14ac:dyDescent="0.3">
      <c r="CK2400" s="481"/>
    </row>
    <row r="2401" spans="89:89" s="299" customFormat="1" ht="12.75" customHeight="1" x14ac:dyDescent="0.3">
      <c r="CK2401" s="481"/>
    </row>
    <row r="2402" spans="89:89" s="299" customFormat="1" ht="12.75" customHeight="1" x14ac:dyDescent="0.3">
      <c r="CK2402" s="481"/>
    </row>
    <row r="2403" spans="89:89" s="299" customFormat="1" ht="12.75" customHeight="1" x14ac:dyDescent="0.3">
      <c r="CK2403" s="481"/>
    </row>
    <row r="2404" spans="89:89" s="299" customFormat="1" ht="12.75" customHeight="1" x14ac:dyDescent="0.3">
      <c r="CK2404" s="481"/>
    </row>
    <row r="2405" spans="89:89" s="299" customFormat="1" ht="12.75" customHeight="1" x14ac:dyDescent="0.3">
      <c r="CK2405" s="481"/>
    </row>
    <row r="2406" spans="89:89" s="299" customFormat="1" ht="12.75" customHeight="1" x14ac:dyDescent="0.3">
      <c r="CK2406" s="481"/>
    </row>
    <row r="2407" spans="89:89" s="299" customFormat="1" ht="12.75" customHeight="1" x14ac:dyDescent="0.3">
      <c r="CK2407" s="481"/>
    </row>
    <row r="2408" spans="89:89" s="299" customFormat="1" ht="12.75" customHeight="1" x14ac:dyDescent="0.3">
      <c r="CK2408" s="481"/>
    </row>
    <row r="2409" spans="89:89" s="299" customFormat="1" ht="12.75" customHeight="1" x14ac:dyDescent="0.3">
      <c r="CK2409" s="481"/>
    </row>
    <row r="2410" spans="89:89" s="299" customFormat="1" ht="12.75" customHeight="1" x14ac:dyDescent="0.3">
      <c r="CK2410" s="481"/>
    </row>
    <row r="2411" spans="89:89" s="299" customFormat="1" ht="12.75" customHeight="1" x14ac:dyDescent="0.3">
      <c r="CK2411" s="481"/>
    </row>
    <row r="2412" spans="89:89" s="299" customFormat="1" ht="12.75" customHeight="1" x14ac:dyDescent="0.3">
      <c r="CK2412" s="481"/>
    </row>
    <row r="2413" spans="89:89" s="299" customFormat="1" ht="12.75" customHeight="1" x14ac:dyDescent="0.3">
      <c r="CK2413" s="481"/>
    </row>
    <row r="2414" spans="89:89" s="299" customFormat="1" ht="12.75" customHeight="1" x14ac:dyDescent="0.3">
      <c r="CK2414" s="481"/>
    </row>
    <row r="2415" spans="89:89" s="299" customFormat="1" ht="12.75" customHeight="1" x14ac:dyDescent="0.3">
      <c r="CK2415" s="481"/>
    </row>
    <row r="2416" spans="89:89" s="299" customFormat="1" ht="12.75" customHeight="1" x14ac:dyDescent="0.3">
      <c r="CK2416" s="481"/>
    </row>
    <row r="2417" spans="89:89" s="299" customFormat="1" ht="12.75" customHeight="1" x14ac:dyDescent="0.3">
      <c r="CK2417" s="481"/>
    </row>
    <row r="2418" spans="89:89" s="299" customFormat="1" ht="12.75" customHeight="1" x14ac:dyDescent="0.3">
      <c r="CK2418" s="481"/>
    </row>
    <row r="2419" spans="89:89" s="299" customFormat="1" ht="12.75" customHeight="1" x14ac:dyDescent="0.3">
      <c r="CK2419" s="481"/>
    </row>
    <row r="2420" spans="89:89" s="299" customFormat="1" ht="12.75" customHeight="1" x14ac:dyDescent="0.3">
      <c r="CK2420" s="481"/>
    </row>
    <row r="2421" spans="89:89" s="299" customFormat="1" ht="12.75" customHeight="1" x14ac:dyDescent="0.3">
      <c r="CK2421" s="481"/>
    </row>
    <row r="2422" spans="89:89" s="299" customFormat="1" ht="12.75" customHeight="1" x14ac:dyDescent="0.3">
      <c r="CK2422" s="481"/>
    </row>
    <row r="2423" spans="89:89" s="299" customFormat="1" ht="12.75" customHeight="1" x14ac:dyDescent="0.3">
      <c r="CK2423" s="481"/>
    </row>
    <row r="2424" spans="89:89" s="299" customFormat="1" ht="12.75" customHeight="1" x14ac:dyDescent="0.3">
      <c r="CK2424" s="481"/>
    </row>
    <row r="2425" spans="89:89" s="299" customFormat="1" ht="12.75" customHeight="1" x14ac:dyDescent="0.3">
      <c r="CK2425" s="481"/>
    </row>
    <row r="2426" spans="89:89" s="299" customFormat="1" ht="12.75" customHeight="1" x14ac:dyDescent="0.3">
      <c r="CK2426" s="481"/>
    </row>
    <row r="2427" spans="89:89" s="299" customFormat="1" ht="12.75" customHeight="1" x14ac:dyDescent="0.3">
      <c r="CK2427" s="481"/>
    </row>
    <row r="2428" spans="89:89" s="299" customFormat="1" ht="12.75" customHeight="1" x14ac:dyDescent="0.3">
      <c r="CK2428" s="481"/>
    </row>
    <row r="2429" spans="89:89" s="299" customFormat="1" ht="12.75" customHeight="1" x14ac:dyDescent="0.3">
      <c r="CK2429" s="481"/>
    </row>
    <row r="2430" spans="89:89" s="299" customFormat="1" ht="12.75" customHeight="1" x14ac:dyDescent="0.3">
      <c r="CK2430" s="481"/>
    </row>
    <row r="2431" spans="89:89" s="299" customFormat="1" ht="12.75" customHeight="1" x14ac:dyDescent="0.3">
      <c r="CK2431" s="481"/>
    </row>
    <row r="2432" spans="89:89" s="299" customFormat="1" ht="12.75" customHeight="1" x14ac:dyDescent="0.3">
      <c r="CK2432" s="481"/>
    </row>
    <row r="2433" spans="89:89" s="299" customFormat="1" ht="12.75" customHeight="1" x14ac:dyDescent="0.3">
      <c r="CK2433" s="481"/>
    </row>
    <row r="2434" spans="89:89" s="299" customFormat="1" ht="12.75" customHeight="1" x14ac:dyDescent="0.3">
      <c r="CK2434" s="481"/>
    </row>
    <row r="2435" spans="89:89" s="299" customFormat="1" ht="12.75" customHeight="1" x14ac:dyDescent="0.3">
      <c r="CK2435" s="481"/>
    </row>
    <row r="2436" spans="89:89" s="299" customFormat="1" ht="12.75" customHeight="1" x14ac:dyDescent="0.3">
      <c r="CK2436" s="481"/>
    </row>
    <row r="2437" spans="89:89" s="299" customFormat="1" ht="12.75" customHeight="1" x14ac:dyDescent="0.3">
      <c r="CK2437" s="481"/>
    </row>
    <row r="2438" spans="89:89" s="299" customFormat="1" ht="12.75" customHeight="1" x14ac:dyDescent="0.3">
      <c r="CK2438" s="481"/>
    </row>
    <row r="2439" spans="89:89" s="299" customFormat="1" ht="12.75" customHeight="1" x14ac:dyDescent="0.3">
      <c r="CK2439" s="481"/>
    </row>
    <row r="2440" spans="89:89" s="299" customFormat="1" ht="12.75" customHeight="1" x14ac:dyDescent="0.3">
      <c r="CK2440" s="481"/>
    </row>
    <row r="2441" spans="89:89" s="299" customFormat="1" ht="12.75" customHeight="1" x14ac:dyDescent="0.3">
      <c r="CK2441" s="481"/>
    </row>
    <row r="2442" spans="89:89" s="299" customFormat="1" ht="12.75" customHeight="1" x14ac:dyDescent="0.3">
      <c r="CK2442" s="481"/>
    </row>
    <row r="2443" spans="89:89" s="299" customFormat="1" ht="12.75" customHeight="1" x14ac:dyDescent="0.3">
      <c r="CK2443" s="481"/>
    </row>
    <row r="2444" spans="89:89" s="299" customFormat="1" ht="12.75" customHeight="1" x14ac:dyDescent="0.3">
      <c r="CK2444" s="481"/>
    </row>
    <row r="2445" spans="89:89" s="299" customFormat="1" ht="12.75" customHeight="1" x14ac:dyDescent="0.3">
      <c r="CK2445" s="481"/>
    </row>
    <row r="2446" spans="89:89" s="299" customFormat="1" ht="12.75" customHeight="1" x14ac:dyDescent="0.3">
      <c r="CK2446" s="481"/>
    </row>
    <row r="2447" spans="89:89" s="299" customFormat="1" ht="12.75" customHeight="1" x14ac:dyDescent="0.3">
      <c r="CK2447" s="481"/>
    </row>
    <row r="2448" spans="89:89" s="299" customFormat="1" ht="12.75" customHeight="1" x14ac:dyDescent="0.3">
      <c r="CK2448" s="481"/>
    </row>
    <row r="2449" spans="89:89" s="299" customFormat="1" ht="12.75" customHeight="1" x14ac:dyDescent="0.3">
      <c r="CK2449" s="481"/>
    </row>
    <row r="2450" spans="89:89" s="299" customFormat="1" ht="12.75" customHeight="1" x14ac:dyDescent="0.3">
      <c r="CK2450" s="481"/>
    </row>
    <row r="2451" spans="89:89" s="299" customFormat="1" ht="12.75" customHeight="1" x14ac:dyDescent="0.3">
      <c r="CK2451" s="481"/>
    </row>
    <row r="2452" spans="89:89" s="299" customFormat="1" ht="12.75" customHeight="1" x14ac:dyDescent="0.3">
      <c r="CK2452" s="481"/>
    </row>
    <row r="2453" spans="89:89" s="299" customFormat="1" ht="12.75" customHeight="1" x14ac:dyDescent="0.3">
      <c r="CK2453" s="481"/>
    </row>
    <row r="2454" spans="89:89" s="299" customFormat="1" ht="12.75" customHeight="1" x14ac:dyDescent="0.3">
      <c r="CK2454" s="481"/>
    </row>
    <row r="2455" spans="89:89" s="299" customFormat="1" ht="12.75" customHeight="1" x14ac:dyDescent="0.3">
      <c r="CK2455" s="481"/>
    </row>
    <row r="2456" spans="89:89" s="299" customFormat="1" ht="12.75" customHeight="1" x14ac:dyDescent="0.3">
      <c r="CK2456" s="481"/>
    </row>
    <row r="2457" spans="89:89" s="299" customFormat="1" ht="12.75" customHeight="1" x14ac:dyDescent="0.3">
      <c r="CK2457" s="481"/>
    </row>
    <row r="2458" spans="89:89" s="299" customFormat="1" ht="12.75" customHeight="1" x14ac:dyDescent="0.3">
      <c r="CK2458" s="481"/>
    </row>
    <row r="2459" spans="89:89" s="299" customFormat="1" ht="12.75" customHeight="1" x14ac:dyDescent="0.3">
      <c r="CK2459" s="481"/>
    </row>
    <row r="2460" spans="89:89" s="299" customFormat="1" ht="12.75" customHeight="1" x14ac:dyDescent="0.3">
      <c r="CK2460" s="481"/>
    </row>
    <row r="2461" spans="89:89" s="299" customFormat="1" ht="12.75" customHeight="1" x14ac:dyDescent="0.3">
      <c r="CK2461" s="481"/>
    </row>
    <row r="2462" spans="89:89" s="299" customFormat="1" ht="12.75" customHeight="1" x14ac:dyDescent="0.3">
      <c r="CK2462" s="481"/>
    </row>
    <row r="2463" spans="89:89" s="299" customFormat="1" ht="12.75" customHeight="1" x14ac:dyDescent="0.3">
      <c r="CK2463" s="481"/>
    </row>
    <row r="2464" spans="89:89" s="299" customFormat="1" ht="12.75" customHeight="1" x14ac:dyDescent="0.3">
      <c r="CK2464" s="481"/>
    </row>
    <row r="2465" spans="89:89" s="299" customFormat="1" ht="12.75" customHeight="1" x14ac:dyDescent="0.3">
      <c r="CK2465" s="481"/>
    </row>
    <row r="2466" spans="89:89" s="299" customFormat="1" ht="12.75" customHeight="1" x14ac:dyDescent="0.3">
      <c r="CK2466" s="481"/>
    </row>
    <row r="2467" spans="89:89" s="299" customFormat="1" ht="12.75" customHeight="1" x14ac:dyDescent="0.3">
      <c r="CK2467" s="481"/>
    </row>
    <row r="2468" spans="89:89" s="299" customFormat="1" ht="12.75" customHeight="1" x14ac:dyDescent="0.3">
      <c r="CK2468" s="481"/>
    </row>
    <row r="2469" spans="89:89" s="299" customFormat="1" ht="12.75" customHeight="1" x14ac:dyDescent="0.3">
      <c r="CK2469" s="481"/>
    </row>
    <row r="2470" spans="89:89" s="299" customFormat="1" ht="12.75" customHeight="1" x14ac:dyDescent="0.3">
      <c r="CK2470" s="481"/>
    </row>
    <row r="2471" spans="89:89" s="299" customFormat="1" ht="12.75" customHeight="1" x14ac:dyDescent="0.3">
      <c r="CK2471" s="481"/>
    </row>
    <row r="2472" spans="89:89" s="299" customFormat="1" ht="12.75" customHeight="1" x14ac:dyDescent="0.3">
      <c r="CK2472" s="481"/>
    </row>
    <row r="2473" spans="89:89" s="299" customFormat="1" ht="12.75" customHeight="1" x14ac:dyDescent="0.3">
      <c r="CK2473" s="481"/>
    </row>
    <row r="2474" spans="89:89" s="299" customFormat="1" ht="12.75" customHeight="1" x14ac:dyDescent="0.3">
      <c r="CK2474" s="481"/>
    </row>
    <row r="2475" spans="89:89" s="299" customFormat="1" ht="12.75" customHeight="1" x14ac:dyDescent="0.3">
      <c r="CK2475" s="481"/>
    </row>
    <row r="2476" spans="89:89" s="299" customFormat="1" ht="12.75" customHeight="1" x14ac:dyDescent="0.3">
      <c r="CK2476" s="481"/>
    </row>
    <row r="2477" spans="89:89" s="299" customFormat="1" ht="12.75" customHeight="1" x14ac:dyDescent="0.3">
      <c r="CK2477" s="481"/>
    </row>
    <row r="2478" spans="89:89" s="299" customFormat="1" ht="12.75" customHeight="1" x14ac:dyDescent="0.3">
      <c r="CK2478" s="481"/>
    </row>
    <row r="2479" spans="89:89" s="299" customFormat="1" ht="12.75" customHeight="1" x14ac:dyDescent="0.3">
      <c r="CK2479" s="481"/>
    </row>
    <row r="2480" spans="89:89" s="299" customFormat="1" ht="12.75" customHeight="1" x14ac:dyDescent="0.3">
      <c r="CK2480" s="481"/>
    </row>
    <row r="2481" spans="89:89" s="299" customFormat="1" ht="12.75" customHeight="1" x14ac:dyDescent="0.3">
      <c r="CK2481" s="481"/>
    </row>
    <row r="2482" spans="89:89" s="299" customFormat="1" ht="12.75" customHeight="1" x14ac:dyDescent="0.3">
      <c r="CK2482" s="481"/>
    </row>
    <row r="2483" spans="89:89" s="299" customFormat="1" ht="12.75" customHeight="1" x14ac:dyDescent="0.3">
      <c r="CK2483" s="481"/>
    </row>
    <row r="2484" spans="89:89" s="299" customFormat="1" ht="12.75" customHeight="1" x14ac:dyDescent="0.3">
      <c r="CK2484" s="481"/>
    </row>
    <row r="2485" spans="89:89" s="299" customFormat="1" ht="12.75" customHeight="1" x14ac:dyDescent="0.3">
      <c r="CK2485" s="481"/>
    </row>
    <row r="2486" spans="89:89" s="299" customFormat="1" ht="12.75" customHeight="1" x14ac:dyDescent="0.3">
      <c r="CK2486" s="481"/>
    </row>
    <row r="2487" spans="89:89" s="299" customFormat="1" ht="12.75" customHeight="1" x14ac:dyDescent="0.3">
      <c r="CK2487" s="481"/>
    </row>
    <row r="2488" spans="89:89" s="299" customFormat="1" ht="12.75" customHeight="1" x14ac:dyDescent="0.3">
      <c r="CK2488" s="481"/>
    </row>
    <row r="2489" spans="89:89" s="299" customFormat="1" ht="12.75" customHeight="1" x14ac:dyDescent="0.3">
      <c r="CK2489" s="481"/>
    </row>
    <row r="2490" spans="89:89" s="299" customFormat="1" ht="12.75" customHeight="1" x14ac:dyDescent="0.3">
      <c r="CK2490" s="481"/>
    </row>
    <row r="2491" spans="89:89" s="299" customFormat="1" ht="12.75" customHeight="1" x14ac:dyDescent="0.3">
      <c r="CK2491" s="481"/>
    </row>
    <row r="2492" spans="89:89" s="299" customFormat="1" ht="12.75" customHeight="1" x14ac:dyDescent="0.3">
      <c r="CK2492" s="481"/>
    </row>
    <row r="2493" spans="89:89" s="299" customFormat="1" ht="12.75" customHeight="1" x14ac:dyDescent="0.3">
      <c r="CK2493" s="481"/>
    </row>
    <row r="2494" spans="89:89" s="299" customFormat="1" ht="12.75" customHeight="1" x14ac:dyDescent="0.3">
      <c r="CK2494" s="481"/>
    </row>
    <row r="2495" spans="89:89" s="299" customFormat="1" ht="12.75" customHeight="1" x14ac:dyDescent="0.3">
      <c r="CK2495" s="481"/>
    </row>
    <row r="2496" spans="89:89" s="299" customFormat="1" ht="12.75" customHeight="1" x14ac:dyDescent="0.3">
      <c r="CK2496" s="481"/>
    </row>
    <row r="2497" spans="89:89" s="299" customFormat="1" ht="12.75" customHeight="1" x14ac:dyDescent="0.3">
      <c r="CK2497" s="481"/>
    </row>
    <row r="2498" spans="89:89" s="299" customFormat="1" ht="12.75" customHeight="1" x14ac:dyDescent="0.3">
      <c r="CK2498" s="481"/>
    </row>
    <row r="2499" spans="89:89" s="299" customFormat="1" ht="12.75" customHeight="1" x14ac:dyDescent="0.3">
      <c r="CK2499" s="481"/>
    </row>
    <row r="2500" spans="89:89" s="299" customFormat="1" ht="12.75" customHeight="1" x14ac:dyDescent="0.3">
      <c r="CK2500" s="481"/>
    </row>
    <row r="2501" spans="89:89" s="299" customFormat="1" ht="12.75" customHeight="1" x14ac:dyDescent="0.3">
      <c r="CK2501" s="481"/>
    </row>
    <row r="2502" spans="89:89" s="299" customFormat="1" ht="12.75" customHeight="1" x14ac:dyDescent="0.3">
      <c r="CK2502" s="481"/>
    </row>
    <row r="2503" spans="89:89" s="299" customFormat="1" ht="12.75" customHeight="1" x14ac:dyDescent="0.3">
      <c r="CK2503" s="481"/>
    </row>
    <row r="2504" spans="89:89" s="299" customFormat="1" ht="12.75" customHeight="1" x14ac:dyDescent="0.3">
      <c r="CK2504" s="481"/>
    </row>
    <row r="2505" spans="89:89" s="299" customFormat="1" ht="12.75" customHeight="1" x14ac:dyDescent="0.3">
      <c r="CK2505" s="481"/>
    </row>
    <row r="2506" spans="89:89" s="299" customFormat="1" ht="12.75" customHeight="1" x14ac:dyDescent="0.3">
      <c r="CK2506" s="481"/>
    </row>
    <row r="2507" spans="89:89" s="299" customFormat="1" ht="12.75" customHeight="1" x14ac:dyDescent="0.3">
      <c r="CK2507" s="481"/>
    </row>
    <row r="2508" spans="89:89" s="299" customFormat="1" ht="12.75" customHeight="1" x14ac:dyDescent="0.3">
      <c r="CK2508" s="481"/>
    </row>
    <row r="2509" spans="89:89" s="299" customFormat="1" ht="12.75" customHeight="1" x14ac:dyDescent="0.3">
      <c r="CK2509" s="481"/>
    </row>
    <row r="2510" spans="89:89" s="299" customFormat="1" ht="12.75" customHeight="1" x14ac:dyDescent="0.3">
      <c r="CK2510" s="481"/>
    </row>
    <row r="2511" spans="89:89" s="299" customFormat="1" ht="12.75" customHeight="1" x14ac:dyDescent="0.3">
      <c r="CK2511" s="481"/>
    </row>
    <row r="2512" spans="89:89" s="299" customFormat="1" ht="12.75" customHeight="1" x14ac:dyDescent="0.3">
      <c r="CK2512" s="481"/>
    </row>
    <row r="2513" spans="89:89" s="299" customFormat="1" ht="12.75" customHeight="1" x14ac:dyDescent="0.3">
      <c r="CK2513" s="481"/>
    </row>
    <row r="2514" spans="89:89" s="299" customFormat="1" ht="12.75" customHeight="1" x14ac:dyDescent="0.3">
      <c r="CK2514" s="481"/>
    </row>
    <row r="2515" spans="89:89" s="299" customFormat="1" ht="12.75" customHeight="1" x14ac:dyDescent="0.3">
      <c r="CK2515" s="481"/>
    </row>
    <row r="2516" spans="89:89" s="299" customFormat="1" ht="12.75" customHeight="1" x14ac:dyDescent="0.3">
      <c r="CK2516" s="481"/>
    </row>
    <row r="2517" spans="89:89" s="299" customFormat="1" ht="12.75" customHeight="1" x14ac:dyDescent="0.3">
      <c r="CK2517" s="481"/>
    </row>
    <row r="2518" spans="89:89" s="299" customFormat="1" ht="12.75" customHeight="1" x14ac:dyDescent="0.3">
      <c r="CK2518" s="481"/>
    </row>
    <row r="2519" spans="89:89" s="299" customFormat="1" ht="12.75" customHeight="1" x14ac:dyDescent="0.3">
      <c r="CK2519" s="481"/>
    </row>
    <row r="2520" spans="89:89" s="299" customFormat="1" ht="12.75" customHeight="1" x14ac:dyDescent="0.3">
      <c r="CK2520" s="481"/>
    </row>
    <row r="2521" spans="89:89" s="299" customFormat="1" ht="12.75" customHeight="1" x14ac:dyDescent="0.3">
      <c r="CK2521" s="481"/>
    </row>
    <row r="2522" spans="89:89" s="299" customFormat="1" ht="12.75" customHeight="1" x14ac:dyDescent="0.3">
      <c r="CK2522" s="481"/>
    </row>
    <row r="2523" spans="89:89" s="299" customFormat="1" ht="12.75" customHeight="1" x14ac:dyDescent="0.3">
      <c r="CK2523" s="481"/>
    </row>
    <row r="2524" spans="89:89" s="299" customFormat="1" ht="12.75" customHeight="1" x14ac:dyDescent="0.3">
      <c r="CK2524" s="481"/>
    </row>
    <row r="2525" spans="89:89" s="299" customFormat="1" ht="12.75" customHeight="1" x14ac:dyDescent="0.3">
      <c r="CK2525" s="481"/>
    </row>
    <row r="2526" spans="89:89" s="299" customFormat="1" ht="12.75" customHeight="1" x14ac:dyDescent="0.3">
      <c r="CK2526" s="481"/>
    </row>
    <row r="2527" spans="89:89" s="299" customFormat="1" ht="12.75" customHeight="1" x14ac:dyDescent="0.3">
      <c r="CK2527" s="481"/>
    </row>
    <row r="2528" spans="89:89" s="299" customFormat="1" ht="12.75" customHeight="1" x14ac:dyDescent="0.3">
      <c r="CK2528" s="481"/>
    </row>
    <row r="2529" spans="89:89" s="299" customFormat="1" ht="12.75" customHeight="1" x14ac:dyDescent="0.3">
      <c r="CK2529" s="481"/>
    </row>
    <row r="2530" spans="89:89" s="299" customFormat="1" ht="12.75" customHeight="1" x14ac:dyDescent="0.3">
      <c r="CK2530" s="481"/>
    </row>
    <row r="2531" spans="89:89" s="299" customFormat="1" ht="12.75" customHeight="1" x14ac:dyDescent="0.3">
      <c r="CK2531" s="481"/>
    </row>
    <row r="2532" spans="89:89" s="299" customFormat="1" ht="12.75" customHeight="1" x14ac:dyDescent="0.3">
      <c r="CK2532" s="481"/>
    </row>
    <row r="2533" spans="89:89" s="299" customFormat="1" ht="12.75" customHeight="1" x14ac:dyDescent="0.3">
      <c r="CK2533" s="481"/>
    </row>
    <row r="2534" spans="89:89" s="299" customFormat="1" ht="12.75" customHeight="1" x14ac:dyDescent="0.3">
      <c r="CK2534" s="481"/>
    </row>
    <row r="2535" spans="89:89" s="299" customFormat="1" ht="12.75" customHeight="1" x14ac:dyDescent="0.3">
      <c r="CK2535" s="481"/>
    </row>
    <row r="2536" spans="89:89" s="299" customFormat="1" ht="12.75" customHeight="1" x14ac:dyDescent="0.3">
      <c r="CK2536" s="481"/>
    </row>
    <row r="2537" spans="89:89" s="299" customFormat="1" ht="12.75" customHeight="1" x14ac:dyDescent="0.3">
      <c r="CK2537" s="481"/>
    </row>
    <row r="2538" spans="89:89" s="299" customFormat="1" ht="12.75" customHeight="1" x14ac:dyDescent="0.3">
      <c r="CK2538" s="481"/>
    </row>
    <row r="2539" spans="89:89" s="299" customFormat="1" ht="12.75" customHeight="1" x14ac:dyDescent="0.3">
      <c r="CK2539" s="481"/>
    </row>
    <row r="2540" spans="89:89" s="299" customFormat="1" ht="12.75" customHeight="1" x14ac:dyDescent="0.3">
      <c r="CK2540" s="481"/>
    </row>
    <row r="2541" spans="89:89" s="299" customFormat="1" ht="12.75" customHeight="1" x14ac:dyDescent="0.3">
      <c r="CK2541" s="481"/>
    </row>
    <row r="2542" spans="89:89" s="299" customFormat="1" ht="12.75" customHeight="1" x14ac:dyDescent="0.3">
      <c r="CK2542" s="481"/>
    </row>
    <row r="2543" spans="89:89" s="299" customFormat="1" ht="12.75" customHeight="1" x14ac:dyDescent="0.3">
      <c r="CK2543" s="481"/>
    </row>
    <row r="2544" spans="89:89" s="299" customFormat="1" ht="12.75" customHeight="1" x14ac:dyDescent="0.3">
      <c r="CK2544" s="481"/>
    </row>
    <row r="2545" spans="89:89" s="299" customFormat="1" ht="12.75" customHeight="1" x14ac:dyDescent="0.3">
      <c r="CK2545" s="481"/>
    </row>
    <row r="2546" spans="89:89" s="299" customFormat="1" ht="12.75" customHeight="1" x14ac:dyDescent="0.3">
      <c r="CK2546" s="481"/>
    </row>
    <row r="2547" spans="89:89" s="299" customFormat="1" ht="12.75" customHeight="1" x14ac:dyDescent="0.3">
      <c r="CK2547" s="481"/>
    </row>
    <row r="2548" spans="89:89" s="299" customFormat="1" ht="12.75" customHeight="1" x14ac:dyDescent="0.3">
      <c r="CK2548" s="481"/>
    </row>
    <row r="2549" spans="89:89" s="299" customFormat="1" ht="12.75" customHeight="1" x14ac:dyDescent="0.3">
      <c r="CK2549" s="481"/>
    </row>
    <row r="2550" spans="89:89" s="299" customFormat="1" ht="12.75" customHeight="1" x14ac:dyDescent="0.3">
      <c r="CK2550" s="481"/>
    </row>
    <row r="2551" spans="89:89" s="299" customFormat="1" ht="12.75" customHeight="1" x14ac:dyDescent="0.3">
      <c r="CK2551" s="481"/>
    </row>
    <row r="2552" spans="89:89" s="299" customFormat="1" ht="12.75" customHeight="1" x14ac:dyDescent="0.3">
      <c r="CK2552" s="481"/>
    </row>
    <row r="2553" spans="89:89" s="299" customFormat="1" ht="12.75" customHeight="1" x14ac:dyDescent="0.3">
      <c r="CK2553" s="481"/>
    </row>
    <row r="2554" spans="89:89" s="299" customFormat="1" ht="12.75" customHeight="1" x14ac:dyDescent="0.3">
      <c r="CK2554" s="481"/>
    </row>
    <row r="2555" spans="89:89" s="299" customFormat="1" ht="12.75" customHeight="1" x14ac:dyDescent="0.3">
      <c r="CK2555" s="481"/>
    </row>
    <row r="2556" spans="89:89" s="299" customFormat="1" ht="12.75" customHeight="1" x14ac:dyDescent="0.3">
      <c r="CK2556" s="481"/>
    </row>
    <row r="2557" spans="89:89" s="299" customFormat="1" ht="12.75" customHeight="1" x14ac:dyDescent="0.3">
      <c r="CK2557" s="481"/>
    </row>
    <row r="2558" spans="89:89" s="299" customFormat="1" ht="12.75" customHeight="1" x14ac:dyDescent="0.3">
      <c r="CK2558" s="481"/>
    </row>
    <row r="2559" spans="89:89" s="299" customFormat="1" ht="12.75" customHeight="1" x14ac:dyDescent="0.3">
      <c r="CK2559" s="481"/>
    </row>
    <row r="2560" spans="89:89" s="299" customFormat="1" ht="12.75" customHeight="1" x14ac:dyDescent="0.3">
      <c r="CK2560" s="481"/>
    </row>
    <row r="2561" spans="89:89" s="299" customFormat="1" ht="12.75" customHeight="1" x14ac:dyDescent="0.3">
      <c r="CK2561" s="481"/>
    </row>
    <row r="2562" spans="89:89" s="299" customFormat="1" ht="12.75" customHeight="1" x14ac:dyDescent="0.3">
      <c r="CK2562" s="481"/>
    </row>
    <row r="2563" spans="89:89" s="299" customFormat="1" ht="12.75" customHeight="1" x14ac:dyDescent="0.3">
      <c r="CK2563" s="481"/>
    </row>
    <row r="2564" spans="89:89" s="299" customFormat="1" ht="12.75" customHeight="1" x14ac:dyDescent="0.3">
      <c r="CK2564" s="481"/>
    </row>
    <row r="2565" spans="89:89" s="299" customFormat="1" ht="12.75" customHeight="1" x14ac:dyDescent="0.3">
      <c r="CK2565" s="481"/>
    </row>
    <row r="2566" spans="89:89" s="299" customFormat="1" ht="12.75" customHeight="1" x14ac:dyDescent="0.3">
      <c r="CK2566" s="481"/>
    </row>
    <row r="2567" spans="89:89" s="299" customFormat="1" ht="12.75" customHeight="1" x14ac:dyDescent="0.3">
      <c r="CK2567" s="481"/>
    </row>
    <row r="2568" spans="89:89" s="299" customFormat="1" ht="12.75" customHeight="1" x14ac:dyDescent="0.3">
      <c r="CK2568" s="481"/>
    </row>
    <row r="2569" spans="89:89" s="299" customFormat="1" ht="12.75" customHeight="1" x14ac:dyDescent="0.3">
      <c r="CK2569" s="481"/>
    </row>
    <row r="2570" spans="89:89" s="299" customFormat="1" ht="12.75" customHeight="1" x14ac:dyDescent="0.3">
      <c r="CK2570" s="481"/>
    </row>
    <row r="2571" spans="89:89" s="299" customFormat="1" ht="12.75" customHeight="1" x14ac:dyDescent="0.3">
      <c r="CK2571" s="481"/>
    </row>
    <row r="2572" spans="89:89" s="299" customFormat="1" ht="12.75" customHeight="1" x14ac:dyDescent="0.3">
      <c r="CK2572" s="481"/>
    </row>
    <row r="2573" spans="89:89" s="299" customFormat="1" ht="12.75" customHeight="1" x14ac:dyDescent="0.3">
      <c r="CK2573" s="481"/>
    </row>
    <row r="2574" spans="89:89" s="299" customFormat="1" ht="12.75" customHeight="1" x14ac:dyDescent="0.3">
      <c r="CK2574" s="481"/>
    </row>
    <row r="2575" spans="89:89" s="299" customFormat="1" ht="12.75" customHeight="1" x14ac:dyDescent="0.3">
      <c r="CK2575" s="481"/>
    </row>
    <row r="2576" spans="89:89" s="299" customFormat="1" ht="12.75" customHeight="1" x14ac:dyDescent="0.3">
      <c r="CK2576" s="481"/>
    </row>
    <row r="2577" spans="89:89" s="299" customFormat="1" ht="12.75" customHeight="1" x14ac:dyDescent="0.3">
      <c r="CK2577" s="481"/>
    </row>
    <row r="2578" spans="89:89" s="299" customFormat="1" ht="12.75" customHeight="1" x14ac:dyDescent="0.3">
      <c r="CK2578" s="481"/>
    </row>
    <row r="2579" spans="89:89" s="299" customFormat="1" ht="12.75" customHeight="1" x14ac:dyDescent="0.3">
      <c r="CK2579" s="481"/>
    </row>
    <row r="2580" spans="89:89" s="299" customFormat="1" ht="12.75" customHeight="1" x14ac:dyDescent="0.3">
      <c r="CK2580" s="481"/>
    </row>
    <row r="2581" spans="89:89" s="299" customFormat="1" ht="12.75" customHeight="1" x14ac:dyDescent="0.3">
      <c r="CK2581" s="481"/>
    </row>
    <row r="2582" spans="89:89" s="299" customFormat="1" ht="12.75" customHeight="1" x14ac:dyDescent="0.3">
      <c r="CK2582" s="481"/>
    </row>
    <row r="2583" spans="89:89" s="299" customFormat="1" ht="12.75" customHeight="1" x14ac:dyDescent="0.3">
      <c r="CK2583" s="481"/>
    </row>
    <row r="2584" spans="89:89" s="299" customFormat="1" ht="12.75" customHeight="1" x14ac:dyDescent="0.3">
      <c r="CK2584" s="481"/>
    </row>
    <row r="2585" spans="89:89" s="299" customFormat="1" ht="12.75" customHeight="1" x14ac:dyDescent="0.3">
      <c r="CK2585" s="481"/>
    </row>
    <row r="2586" spans="89:89" s="299" customFormat="1" ht="12.75" customHeight="1" x14ac:dyDescent="0.3">
      <c r="CK2586" s="481"/>
    </row>
    <row r="2587" spans="89:89" s="299" customFormat="1" ht="12.75" customHeight="1" x14ac:dyDescent="0.3">
      <c r="CK2587" s="481"/>
    </row>
    <row r="2588" spans="89:89" s="299" customFormat="1" ht="12.75" customHeight="1" x14ac:dyDescent="0.3">
      <c r="CK2588" s="481"/>
    </row>
    <row r="2589" spans="89:89" s="299" customFormat="1" ht="12.75" customHeight="1" x14ac:dyDescent="0.3">
      <c r="CK2589" s="481"/>
    </row>
    <row r="2590" spans="89:89" s="299" customFormat="1" ht="12.75" customHeight="1" x14ac:dyDescent="0.3">
      <c r="CK2590" s="481"/>
    </row>
    <row r="2591" spans="89:89" s="299" customFormat="1" ht="12.75" customHeight="1" x14ac:dyDescent="0.3">
      <c r="CK2591" s="481"/>
    </row>
    <row r="2592" spans="89:89" s="299" customFormat="1" ht="12.75" customHeight="1" x14ac:dyDescent="0.3">
      <c r="CK2592" s="481"/>
    </row>
    <row r="2593" spans="89:89" s="299" customFormat="1" ht="12.75" customHeight="1" x14ac:dyDescent="0.3">
      <c r="CK2593" s="481"/>
    </row>
    <row r="2594" spans="89:89" s="299" customFormat="1" ht="12.75" customHeight="1" x14ac:dyDescent="0.3">
      <c r="CK2594" s="481"/>
    </row>
    <row r="2595" spans="89:89" s="299" customFormat="1" ht="12.75" customHeight="1" x14ac:dyDescent="0.3">
      <c r="CK2595" s="481"/>
    </row>
    <row r="2596" spans="89:89" s="299" customFormat="1" ht="12.75" customHeight="1" x14ac:dyDescent="0.3">
      <c r="CK2596" s="481"/>
    </row>
    <row r="2597" spans="89:89" s="299" customFormat="1" ht="12.75" customHeight="1" x14ac:dyDescent="0.3">
      <c r="CK2597" s="481"/>
    </row>
    <row r="2598" spans="89:89" s="299" customFormat="1" ht="12.75" customHeight="1" x14ac:dyDescent="0.3">
      <c r="CK2598" s="481"/>
    </row>
    <row r="2599" spans="89:89" s="299" customFormat="1" ht="12.75" customHeight="1" x14ac:dyDescent="0.3">
      <c r="CK2599" s="481"/>
    </row>
    <row r="2600" spans="89:89" s="299" customFormat="1" ht="12.75" customHeight="1" x14ac:dyDescent="0.3">
      <c r="CK2600" s="481"/>
    </row>
    <row r="2601" spans="89:89" s="299" customFormat="1" ht="12.75" customHeight="1" x14ac:dyDescent="0.3">
      <c r="CK2601" s="481"/>
    </row>
    <row r="2602" spans="89:89" s="299" customFormat="1" ht="12.75" customHeight="1" x14ac:dyDescent="0.3">
      <c r="CK2602" s="481"/>
    </row>
    <row r="2603" spans="89:89" s="299" customFormat="1" ht="12.75" customHeight="1" x14ac:dyDescent="0.3">
      <c r="CK2603" s="481"/>
    </row>
    <row r="2604" spans="89:89" s="299" customFormat="1" ht="12.75" customHeight="1" x14ac:dyDescent="0.3">
      <c r="CK2604" s="481"/>
    </row>
    <row r="2605" spans="89:89" s="299" customFormat="1" ht="12.75" customHeight="1" x14ac:dyDescent="0.3">
      <c r="CK2605" s="481"/>
    </row>
    <row r="2606" spans="89:89" s="299" customFormat="1" ht="12.75" customHeight="1" x14ac:dyDescent="0.3">
      <c r="CK2606" s="481"/>
    </row>
    <row r="2607" spans="89:89" s="299" customFormat="1" ht="12.75" customHeight="1" x14ac:dyDescent="0.3">
      <c r="CK2607" s="481"/>
    </row>
    <row r="2608" spans="89:89" s="299" customFormat="1" ht="12.75" customHeight="1" x14ac:dyDescent="0.3">
      <c r="CK2608" s="481"/>
    </row>
    <row r="2609" spans="89:89" s="299" customFormat="1" ht="12.75" customHeight="1" x14ac:dyDescent="0.3">
      <c r="CK2609" s="481"/>
    </row>
    <row r="2610" spans="89:89" s="299" customFormat="1" ht="12.75" customHeight="1" x14ac:dyDescent="0.3">
      <c r="CK2610" s="481"/>
    </row>
    <row r="2611" spans="89:89" s="299" customFormat="1" ht="12.75" customHeight="1" x14ac:dyDescent="0.3">
      <c r="CK2611" s="481"/>
    </row>
    <row r="2612" spans="89:89" s="299" customFormat="1" ht="12.75" customHeight="1" x14ac:dyDescent="0.3">
      <c r="CK2612" s="481"/>
    </row>
    <row r="2613" spans="89:89" s="299" customFormat="1" ht="12.75" customHeight="1" x14ac:dyDescent="0.3">
      <c r="CK2613" s="481"/>
    </row>
    <row r="2614" spans="89:89" s="299" customFormat="1" ht="12.75" customHeight="1" x14ac:dyDescent="0.3">
      <c r="CK2614" s="481"/>
    </row>
    <row r="2615" spans="89:89" s="299" customFormat="1" ht="12.75" customHeight="1" x14ac:dyDescent="0.3">
      <c r="CK2615" s="481"/>
    </row>
    <row r="2616" spans="89:89" s="299" customFormat="1" ht="12.75" customHeight="1" x14ac:dyDescent="0.3">
      <c r="CK2616" s="481"/>
    </row>
    <row r="2617" spans="89:89" s="299" customFormat="1" ht="12.75" customHeight="1" x14ac:dyDescent="0.3">
      <c r="CK2617" s="481"/>
    </row>
    <row r="2618" spans="89:89" s="299" customFormat="1" ht="12.75" customHeight="1" x14ac:dyDescent="0.3">
      <c r="CK2618" s="481"/>
    </row>
    <row r="2619" spans="89:89" s="299" customFormat="1" ht="12.75" customHeight="1" x14ac:dyDescent="0.3">
      <c r="CK2619" s="481"/>
    </row>
    <row r="2620" spans="89:89" s="299" customFormat="1" ht="12.75" customHeight="1" x14ac:dyDescent="0.3">
      <c r="CK2620" s="481"/>
    </row>
    <row r="2621" spans="89:89" s="299" customFormat="1" ht="12.75" customHeight="1" x14ac:dyDescent="0.3">
      <c r="CK2621" s="481"/>
    </row>
    <row r="2622" spans="89:89" s="299" customFormat="1" ht="12.75" customHeight="1" x14ac:dyDescent="0.3">
      <c r="CK2622" s="481"/>
    </row>
    <row r="2623" spans="89:89" s="299" customFormat="1" ht="12.75" customHeight="1" x14ac:dyDescent="0.3">
      <c r="CK2623" s="481"/>
    </row>
    <row r="2624" spans="89:89" s="299" customFormat="1" ht="12.75" customHeight="1" x14ac:dyDescent="0.3">
      <c r="CK2624" s="481"/>
    </row>
    <row r="2625" spans="89:89" s="299" customFormat="1" ht="12.75" customHeight="1" x14ac:dyDescent="0.3">
      <c r="CK2625" s="481"/>
    </row>
    <row r="2626" spans="89:89" s="299" customFormat="1" ht="12.75" customHeight="1" x14ac:dyDescent="0.3">
      <c r="CK2626" s="481"/>
    </row>
    <row r="2627" spans="89:89" s="299" customFormat="1" ht="12.75" customHeight="1" x14ac:dyDescent="0.3">
      <c r="CK2627" s="481"/>
    </row>
    <row r="2628" spans="89:89" s="299" customFormat="1" ht="12.75" customHeight="1" x14ac:dyDescent="0.3">
      <c r="CK2628" s="481"/>
    </row>
    <row r="2629" spans="89:89" s="299" customFormat="1" ht="12.75" customHeight="1" x14ac:dyDescent="0.3">
      <c r="CK2629" s="481"/>
    </row>
    <row r="2630" spans="89:89" s="299" customFormat="1" ht="12.75" customHeight="1" x14ac:dyDescent="0.3">
      <c r="CK2630" s="481"/>
    </row>
    <row r="2631" spans="89:89" s="299" customFormat="1" ht="12.75" customHeight="1" x14ac:dyDescent="0.3">
      <c r="CK2631" s="481"/>
    </row>
    <row r="2632" spans="89:89" s="299" customFormat="1" ht="12.75" customHeight="1" x14ac:dyDescent="0.3">
      <c r="CK2632" s="481"/>
    </row>
    <row r="2633" spans="89:89" s="299" customFormat="1" ht="12.75" customHeight="1" x14ac:dyDescent="0.3">
      <c r="CK2633" s="481"/>
    </row>
    <row r="2634" spans="89:89" s="299" customFormat="1" ht="12.75" customHeight="1" x14ac:dyDescent="0.3">
      <c r="CK2634" s="481"/>
    </row>
    <row r="2635" spans="89:89" s="299" customFormat="1" ht="12.75" customHeight="1" x14ac:dyDescent="0.3">
      <c r="CK2635" s="481"/>
    </row>
    <row r="2636" spans="89:89" s="299" customFormat="1" ht="12.75" customHeight="1" x14ac:dyDescent="0.3">
      <c r="CK2636" s="481"/>
    </row>
    <row r="2637" spans="89:89" s="299" customFormat="1" ht="12.75" customHeight="1" x14ac:dyDescent="0.3">
      <c r="CK2637" s="481"/>
    </row>
    <row r="2638" spans="89:89" s="299" customFormat="1" ht="12.75" customHeight="1" x14ac:dyDescent="0.3">
      <c r="CK2638" s="481"/>
    </row>
    <row r="2639" spans="89:89" s="299" customFormat="1" ht="12.75" customHeight="1" x14ac:dyDescent="0.3">
      <c r="CK2639" s="481"/>
    </row>
    <row r="2640" spans="89:89" s="299" customFormat="1" ht="12.75" customHeight="1" x14ac:dyDescent="0.3">
      <c r="CK2640" s="481"/>
    </row>
    <row r="2641" spans="89:89" s="299" customFormat="1" ht="12.75" customHeight="1" x14ac:dyDescent="0.3">
      <c r="CK2641" s="481"/>
    </row>
    <row r="2642" spans="89:89" s="299" customFormat="1" ht="12.75" customHeight="1" x14ac:dyDescent="0.3">
      <c r="CK2642" s="481"/>
    </row>
    <row r="2643" spans="89:89" s="299" customFormat="1" ht="12.75" customHeight="1" x14ac:dyDescent="0.3">
      <c r="CK2643" s="481"/>
    </row>
    <row r="2644" spans="89:89" s="299" customFormat="1" ht="12.75" customHeight="1" x14ac:dyDescent="0.3">
      <c r="CK2644" s="481"/>
    </row>
    <row r="2645" spans="89:89" s="299" customFormat="1" ht="12.75" customHeight="1" x14ac:dyDescent="0.3">
      <c r="CK2645" s="481"/>
    </row>
    <row r="2646" spans="89:89" s="299" customFormat="1" ht="12.75" customHeight="1" x14ac:dyDescent="0.3">
      <c r="CK2646" s="481"/>
    </row>
    <row r="2647" spans="89:89" s="299" customFormat="1" ht="12.75" customHeight="1" x14ac:dyDescent="0.3">
      <c r="CK2647" s="481"/>
    </row>
    <row r="2648" spans="89:89" s="299" customFormat="1" ht="12.75" customHeight="1" x14ac:dyDescent="0.3">
      <c r="CK2648" s="481"/>
    </row>
    <row r="2649" spans="89:89" s="299" customFormat="1" ht="12.75" customHeight="1" x14ac:dyDescent="0.3">
      <c r="CK2649" s="481"/>
    </row>
    <row r="2650" spans="89:89" s="299" customFormat="1" ht="12.75" customHeight="1" x14ac:dyDescent="0.3">
      <c r="CK2650" s="481"/>
    </row>
    <row r="2651" spans="89:89" s="299" customFormat="1" ht="12.75" customHeight="1" x14ac:dyDescent="0.3">
      <c r="CK2651" s="481"/>
    </row>
    <row r="2652" spans="89:89" s="299" customFormat="1" ht="12.75" customHeight="1" x14ac:dyDescent="0.3">
      <c r="CK2652" s="481"/>
    </row>
    <row r="2653" spans="89:89" s="299" customFormat="1" ht="12.75" customHeight="1" x14ac:dyDescent="0.3">
      <c r="CK2653" s="481"/>
    </row>
    <row r="2654" spans="89:89" s="299" customFormat="1" ht="12.75" customHeight="1" x14ac:dyDescent="0.3">
      <c r="CK2654" s="481"/>
    </row>
    <row r="2655" spans="89:89" s="299" customFormat="1" ht="12.75" customHeight="1" x14ac:dyDescent="0.3">
      <c r="CK2655" s="481"/>
    </row>
    <row r="2656" spans="89:89" s="299" customFormat="1" ht="12.75" customHeight="1" x14ac:dyDescent="0.3">
      <c r="CK2656" s="481"/>
    </row>
    <row r="2657" spans="89:89" s="299" customFormat="1" ht="12.75" customHeight="1" x14ac:dyDescent="0.3">
      <c r="CK2657" s="481"/>
    </row>
    <row r="2658" spans="89:89" s="299" customFormat="1" ht="12.75" customHeight="1" x14ac:dyDescent="0.3">
      <c r="CK2658" s="481"/>
    </row>
    <row r="2659" spans="89:89" s="299" customFormat="1" ht="12.75" customHeight="1" x14ac:dyDescent="0.3">
      <c r="CK2659" s="481"/>
    </row>
    <row r="2660" spans="89:89" s="299" customFormat="1" ht="12.75" customHeight="1" x14ac:dyDescent="0.3">
      <c r="CK2660" s="481"/>
    </row>
    <row r="2661" spans="89:89" s="299" customFormat="1" ht="12.75" customHeight="1" x14ac:dyDescent="0.3">
      <c r="CK2661" s="481"/>
    </row>
    <row r="2662" spans="89:89" s="299" customFormat="1" ht="12.75" customHeight="1" x14ac:dyDescent="0.3">
      <c r="CK2662" s="481"/>
    </row>
    <row r="2663" spans="89:89" s="299" customFormat="1" ht="12.75" customHeight="1" x14ac:dyDescent="0.3">
      <c r="CK2663" s="481"/>
    </row>
    <row r="2664" spans="89:89" s="299" customFormat="1" ht="12.75" customHeight="1" x14ac:dyDescent="0.3">
      <c r="CK2664" s="481"/>
    </row>
    <row r="2665" spans="89:89" s="299" customFormat="1" ht="12.75" customHeight="1" x14ac:dyDescent="0.3">
      <c r="CK2665" s="481"/>
    </row>
    <row r="2666" spans="89:89" s="299" customFormat="1" ht="12.75" customHeight="1" x14ac:dyDescent="0.3">
      <c r="CK2666" s="481"/>
    </row>
    <row r="2667" spans="89:89" s="299" customFormat="1" ht="12.75" customHeight="1" x14ac:dyDescent="0.3">
      <c r="CK2667" s="481"/>
    </row>
    <row r="2668" spans="89:89" s="299" customFormat="1" ht="12.75" customHeight="1" x14ac:dyDescent="0.3">
      <c r="CK2668" s="481"/>
    </row>
    <row r="2669" spans="89:89" s="299" customFormat="1" ht="12.75" customHeight="1" x14ac:dyDescent="0.3">
      <c r="CK2669" s="481"/>
    </row>
    <row r="2670" spans="89:89" s="299" customFormat="1" ht="12.75" customHeight="1" x14ac:dyDescent="0.3">
      <c r="CK2670" s="481"/>
    </row>
    <row r="2671" spans="89:89" s="299" customFormat="1" ht="12.75" customHeight="1" x14ac:dyDescent="0.3">
      <c r="CK2671" s="481"/>
    </row>
    <row r="2672" spans="89:89" s="299" customFormat="1" ht="12.75" customHeight="1" x14ac:dyDescent="0.3">
      <c r="CK2672" s="481"/>
    </row>
    <row r="2673" spans="89:89" s="299" customFormat="1" ht="12.75" customHeight="1" x14ac:dyDescent="0.3">
      <c r="CK2673" s="481"/>
    </row>
    <row r="2674" spans="89:89" s="299" customFormat="1" ht="12.75" customHeight="1" x14ac:dyDescent="0.3">
      <c r="CK2674" s="481"/>
    </row>
    <row r="2675" spans="89:89" s="299" customFormat="1" ht="12.75" customHeight="1" x14ac:dyDescent="0.3">
      <c r="CK2675" s="481"/>
    </row>
    <row r="2676" spans="89:89" s="299" customFormat="1" ht="12.75" customHeight="1" x14ac:dyDescent="0.3">
      <c r="CK2676" s="481"/>
    </row>
    <row r="2677" spans="89:89" s="299" customFormat="1" ht="12.75" customHeight="1" x14ac:dyDescent="0.3">
      <c r="CK2677" s="481"/>
    </row>
    <row r="2678" spans="89:89" s="299" customFormat="1" ht="12.75" customHeight="1" x14ac:dyDescent="0.3">
      <c r="CK2678" s="481"/>
    </row>
    <row r="2679" spans="89:89" s="299" customFormat="1" ht="12.75" customHeight="1" x14ac:dyDescent="0.3">
      <c r="CK2679" s="481"/>
    </row>
    <row r="2680" spans="89:89" s="299" customFormat="1" ht="12.75" customHeight="1" x14ac:dyDescent="0.3">
      <c r="CK2680" s="481"/>
    </row>
    <row r="2681" spans="89:89" s="299" customFormat="1" ht="12.75" customHeight="1" x14ac:dyDescent="0.3">
      <c r="CK2681" s="481"/>
    </row>
    <row r="2682" spans="89:89" s="299" customFormat="1" ht="12.75" customHeight="1" x14ac:dyDescent="0.3">
      <c r="CK2682" s="481"/>
    </row>
    <row r="2683" spans="89:89" s="299" customFormat="1" ht="12.75" customHeight="1" x14ac:dyDescent="0.3">
      <c r="CK2683" s="481"/>
    </row>
    <row r="2684" spans="89:89" s="299" customFormat="1" ht="12.75" customHeight="1" x14ac:dyDescent="0.3">
      <c r="CK2684" s="481"/>
    </row>
    <row r="2685" spans="89:89" s="299" customFormat="1" ht="12.75" customHeight="1" x14ac:dyDescent="0.3">
      <c r="CK2685" s="481"/>
    </row>
    <row r="2686" spans="89:89" s="299" customFormat="1" ht="12.75" customHeight="1" x14ac:dyDescent="0.3">
      <c r="CK2686" s="481"/>
    </row>
    <row r="2687" spans="89:89" s="299" customFormat="1" ht="12.75" customHeight="1" x14ac:dyDescent="0.3">
      <c r="CK2687" s="481"/>
    </row>
    <row r="2688" spans="89:89" s="299" customFormat="1" ht="12.75" customHeight="1" x14ac:dyDescent="0.3">
      <c r="CK2688" s="481"/>
    </row>
    <row r="2689" spans="89:89" s="299" customFormat="1" ht="12.75" customHeight="1" x14ac:dyDescent="0.3">
      <c r="CK2689" s="481"/>
    </row>
    <row r="2690" spans="89:89" s="299" customFormat="1" ht="12.75" customHeight="1" x14ac:dyDescent="0.3">
      <c r="CK2690" s="481"/>
    </row>
    <row r="2691" spans="89:89" s="299" customFormat="1" ht="12.75" customHeight="1" x14ac:dyDescent="0.3">
      <c r="CK2691" s="481"/>
    </row>
    <row r="2692" spans="89:89" s="299" customFormat="1" ht="12.75" customHeight="1" x14ac:dyDescent="0.3">
      <c r="CK2692" s="481"/>
    </row>
    <row r="2693" spans="89:89" s="299" customFormat="1" ht="12.75" customHeight="1" x14ac:dyDescent="0.3">
      <c r="CK2693" s="481"/>
    </row>
    <row r="2694" spans="89:89" s="299" customFormat="1" ht="12.75" customHeight="1" x14ac:dyDescent="0.3">
      <c r="CK2694" s="481"/>
    </row>
    <row r="2695" spans="89:89" s="299" customFormat="1" ht="12.75" customHeight="1" x14ac:dyDescent="0.3">
      <c r="CK2695" s="481"/>
    </row>
    <row r="2696" spans="89:89" s="299" customFormat="1" ht="12.75" customHeight="1" x14ac:dyDescent="0.3">
      <c r="CK2696" s="481"/>
    </row>
    <row r="2697" spans="89:89" s="299" customFormat="1" ht="12.75" customHeight="1" x14ac:dyDescent="0.3">
      <c r="CK2697" s="481"/>
    </row>
    <row r="2698" spans="89:89" s="299" customFormat="1" ht="12.75" customHeight="1" x14ac:dyDescent="0.3">
      <c r="CK2698" s="481"/>
    </row>
    <row r="2699" spans="89:89" s="299" customFormat="1" ht="12.75" customHeight="1" x14ac:dyDescent="0.3">
      <c r="CK2699" s="481"/>
    </row>
    <row r="2700" spans="89:89" s="299" customFormat="1" ht="12.75" customHeight="1" x14ac:dyDescent="0.3">
      <c r="CK2700" s="481"/>
    </row>
    <row r="2701" spans="89:89" s="299" customFormat="1" ht="12.75" customHeight="1" x14ac:dyDescent="0.3">
      <c r="CK2701" s="481"/>
    </row>
    <row r="2702" spans="89:89" s="299" customFormat="1" ht="12.75" customHeight="1" x14ac:dyDescent="0.3">
      <c r="CK2702" s="481"/>
    </row>
    <row r="2703" spans="89:89" s="299" customFormat="1" ht="12.75" customHeight="1" x14ac:dyDescent="0.3">
      <c r="CK2703" s="481"/>
    </row>
    <row r="2704" spans="89:89" s="299" customFormat="1" ht="12.75" customHeight="1" x14ac:dyDescent="0.3">
      <c r="CK2704" s="481"/>
    </row>
    <row r="2705" spans="89:89" s="299" customFormat="1" ht="12.75" customHeight="1" x14ac:dyDescent="0.3">
      <c r="CK2705" s="481"/>
    </row>
    <row r="2706" spans="89:89" s="299" customFormat="1" ht="12.75" customHeight="1" x14ac:dyDescent="0.3">
      <c r="CK2706" s="481"/>
    </row>
    <row r="2707" spans="89:89" s="299" customFormat="1" ht="12.75" customHeight="1" x14ac:dyDescent="0.3">
      <c r="CK2707" s="481"/>
    </row>
    <row r="2708" spans="89:89" s="299" customFormat="1" ht="12.75" customHeight="1" x14ac:dyDescent="0.3">
      <c r="CK2708" s="481"/>
    </row>
    <row r="2709" spans="89:89" s="299" customFormat="1" ht="12.75" customHeight="1" x14ac:dyDescent="0.3">
      <c r="CK2709" s="481"/>
    </row>
    <row r="2710" spans="89:89" s="299" customFormat="1" ht="12.75" customHeight="1" x14ac:dyDescent="0.3">
      <c r="CK2710" s="481"/>
    </row>
    <row r="2711" spans="89:89" s="299" customFormat="1" ht="12.75" customHeight="1" x14ac:dyDescent="0.3">
      <c r="CK2711" s="481"/>
    </row>
    <row r="2712" spans="89:89" s="299" customFormat="1" ht="12.75" customHeight="1" x14ac:dyDescent="0.3">
      <c r="CK2712" s="481"/>
    </row>
    <row r="2713" spans="89:89" s="299" customFormat="1" ht="12.75" customHeight="1" x14ac:dyDescent="0.3">
      <c r="CK2713" s="481"/>
    </row>
    <row r="2714" spans="89:89" s="299" customFormat="1" ht="12.75" customHeight="1" x14ac:dyDescent="0.3">
      <c r="CK2714" s="481"/>
    </row>
    <row r="2715" spans="89:89" s="299" customFormat="1" ht="12.75" customHeight="1" x14ac:dyDescent="0.3">
      <c r="CK2715" s="481"/>
    </row>
    <row r="2716" spans="89:89" s="299" customFormat="1" ht="12.75" customHeight="1" x14ac:dyDescent="0.3">
      <c r="CK2716" s="481"/>
    </row>
    <row r="2717" spans="89:89" s="299" customFormat="1" ht="12.75" customHeight="1" x14ac:dyDescent="0.3">
      <c r="CK2717" s="481"/>
    </row>
    <row r="2718" spans="89:89" s="299" customFormat="1" ht="12.75" customHeight="1" x14ac:dyDescent="0.3">
      <c r="CK2718" s="481"/>
    </row>
    <row r="2719" spans="89:89" s="299" customFormat="1" ht="12.75" customHeight="1" x14ac:dyDescent="0.3">
      <c r="CK2719" s="481"/>
    </row>
    <row r="2720" spans="89:89" s="299" customFormat="1" ht="12.75" customHeight="1" x14ac:dyDescent="0.3">
      <c r="CK2720" s="481"/>
    </row>
    <row r="2721" spans="89:89" s="299" customFormat="1" ht="12.75" customHeight="1" x14ac:dyDescent="0.3">
      <c r="CK2721" s="481"/>
    </row>
    <row r="2722" spans="89:89" s="299" customFormat="1" ht="12.75" customHeight="1" x14ac:dyDescent="0.3">
      <c r="CK2722" s="481"/>
    </row>
    <row r="2723" spans="89:89" s="299" customFormat="1" ht="12.75" customHeight="1" x14ac:dyDescent="0.3">
      <c r="CK2723" s="481"/>
    </row>
    <row r="2724" spans="89:89" s="299" customFormat="1" ht="12.75" customHeight="1" x14ac:dyDescent="0.3">
      <c r="CK2724" s="481"/>
    </row>
    <row r="2725" spans="89:89" s="299" customFormat="1" ht="12.75" customHeight="1" x14ac:dyDescent="0.3">
      <c r="CK2725" s="481"/>
    </row>
    <row r="2726" spans="89:89" s="299" customFormat="1" ht="12.75" customHeight="1" x14ac:dyDescent="0.3">
      <c r="CK2726" s="481"/>
    </row>
    <row r="2727" spans="89:89" s="299" customFormat="1" ht="12.75" customHeight="1" x14ac:dyDescent="0.3">
      <c r="CK2727" s="481"/>
    </row>
    <row r="2728" spans="89:89" s="299" customFormat="1" ht="12.75" customHeight="1" x14ac:dyDescent="0.3">
      <c r="CK2728" s="481"/>
    </row>
    <row r="2729" spans="89:89" s="299" customFormat="1" ht="12.75" customHeight="1" x14ac:dyDescent="0.3">
      <c r="CK2729" s="481"/>
    </row>
    <row r="2730" spans="89:89" s="299" customFormat="1" ht="12.75" customHeight="1" x14ac:dyDescent="0.3">
      <c r="CK2730" s="481"/>
    </row>
    <row r="2731" spans="89:89" s="299" customFormat="1" ht="12.75" customHeight="1" x14ac:dyDescent="0.3">
      <c r="CK2731" s="481"/>
    </row>
    <row r="2732" spans="89:89" s="299" customFormat="1" ht="12.75" customHeight="1" x14ac:dyDescent="0.3">
      <c r="CK2732" s="481"/>
    </row>
    <row r="2733" spans="89:89" s="299" customFormat="1" ht="12.75" customHeight="1" x14ac:dyDescent="0.3">
      <c r="CK2733" s="481"/>
    </row>
    <row r="2734" spans="89:89" s="299" customFormat="1" ht="12.75" customHeight="1" x14ac:dyDescent="0.3">
      <c r="CK2734" s="481"/>
    </row>
    <row r="2735" spans="89:89" s="299" customFormat="1" ht="12.75" customHeight="1" x14ac:dyDescent="0.3">
      <c r="CK2735" s="481"/>
    </row>
    <row r="2736" spans="89:89" s="299" customFormat="1" ht="12.75" customHeight="1" x14ac:dyDescent="0.3">
      <c r="CK2736" s="481"/>
    </row>
    <row r="2737" spans="89:89" s="299" customFormat="1" ht="12.75" customHeight="1" x14ac:dyDescent="0.3">
      <c r="CK2737" s="481"/>
    </row>
    <row r="2738" spans="89:89" s="299" customFormat="1" ht="12.75" customHeight="1" x14ac:dyDescent="0.3">
      <c r="CK2738" s="481"/>
    </row>
    <row r="2739" spans="89:89" s="299" customFormat="1" ht="12.75" customHeight="1" x14ac:dyDescent="0.3">
      <c r="CK2739" s="481"/>
    </row>
    <row r="2740" spans="89:89" s="299" customFormat="1" ht="12.75" customHeight="1" x14ac:dyDescent="0.3">
      <c r="CK2740" s="481"/>
    </row>
    <row r="2741" spans="89:89" s="299" customFormat="1" ht="12.75" customHeight="1" x14ac:dyDescent="0.3">
      <c r="CK2741" s="481"/>
    </row>
    <row r="2742" spans="89:89" s="299" customFormat="1" ht="12.75" customHeight="1" x14ac:dyDescent="0.3">
      <c r="CK2742" s="481"/>
    </row>
    <row r="2743" spans="89:89" s="299" customFormat="1" ht="12.75" customHeight="1" x14ac:dyDescent="0.3">
      <c r="CK2743" s="481"/>
    </row>
    <row r="2744" spans="89:89" s="299" customFormat="1" ht="12.75" customHeight="1" x14ac:dyDescent="0.3">
      <c r="CK2744" s="481"/>
    </row>
    <row r="2745" spans="89:89" s="299" customFormat="1" ht="12.75" customHeight="1" x14ac:dyDescent="0.3">
      <c r="CK2745" s="481"/>
    </row>
    <row r="2746" spans="89:89" s="299" customFormat="1" ht="12.75" customHeight="1" x14ac:dyDescent="0.3">
      <c r="CK2746" s="481"/>
    </row>
    <row r="2747" spans="89:89" s="299" customFormat="1" ht="12.75" customHeight="1" x14ac:dyDescent="0.3">
      <c r="CK2747" s="481"/>
    </row>
    <row r="2748" spans="89:89" s="299" customFormat="1" ht="12.75" customHeight="1" x14ac:dyDescent="0.3">
      <c r="CK2748" s="481"/>
    </row>
    <row r="2749" spans="89:89" s="299" customFormat="1" ht="12.75" customHeight="1" x14ac:dyDescent="0.3">
      <c r="CK2749" s="481"/>
    </row>
    <row r="2750" spans="89:89" s="299" customFormat="1" ht="12.75" customHeight="1" x14ac:dyDescent="0.3">
      <c r="CK2750" s="481"/>
    </row>
    <row r="2751" spans="89:89" s="299" customFormat="1" ht="12.75" customHeight="1" x14ac:dyDescent="0.3">
      <c r="CK2751" s="481"/>
    </row>
    <row r="2752" spans="89:89" s="299" customFormat="1" ht="12.75" customHeight="1" x14ac:dyDescent="0.3">
      <c r="CK2752" s="481"/>
    </row>
    <row r="2753" spans="89:89" s="299" customFormat="1" ht="12.75" customHeight="1" x14ac:dyDescent="0.3">
      <c r="CK2753" s="481"/>
    </row>
    <row r="2754" spans="89:89" s="299" customFormat="1" ht="12.75" customHeight="1" x14ac:dyDescent="0.3">
      <c r="CK2754" s="481"/>
    </row>
    <row r="2755" spans="89:89" s="299" customFormat="1" ht="12.75" customHeight="1" x14ac:dyDescent="0.3">
      <c r="CK2755" s="481"/>
    </row>
    <row r="2756" spans="89:89" s="299" customFormat="1" ht="12.75" customHeight="1" x14ac:dyDescent="0.3">
      <c r="CK2756" s="481"/>
    </row>
    <row r="2757" spans="89:89" s="299" customFormat="1" ht="12.75" customHeight="1" x14ac:dyDescent="0.3">
      <c r="CK2757" s="481"/>
    </row>
    <row r="2758" spans="89:89" s="299" customFormat="1" ht="12.75" customHeight="1" x14ac:dyDescent="0.3">
      <c r="CK2758" s="481"/>
    </row>
    <row r="2759" spans="89:89" s="299" customFormat="1" ht="12.75" customHeight="1" x14ac:dyDescent="0.3">
      <c r="CK2759" s="481"/>
    </row>
    <row r="2760" spans="89:89" s="299" customFormat="1" ht="12.75" customHeight="1" x14ac:dyDescent="0.3">
      <c r="CK2760" s="481"/>
    </row>
    <row r="2761" spans="89:89" s="299" customFormat="1" ht="12.75" customHeight="1" x14ac:dyDescent="0.3">
      <c r="CK2761" s="481"/>
    </row>
    <row r="2762" spans="89:89" s="299" customFormat="1" ht="12.75" customHeight="1" x14ac:dyDescent="0.3">
      <c r="CK2762" s="481"/>
    </row>
    <row r="2763" spans="89:89" s="299" customFormat="1" ht="12.75" customHeight="1" x14ac:dyDescent="0.3">
      <c r="CK2763" s="481"/>
    </row>
    <row r="2764" spans="89:89" s="299" customFormat="1" ht="12.75" customHeight="1" x14ac:dyDescent="0.3">
      <c r="CK2764" s="481"/>
    </row>
    <row r="2765" spans="89:89" s="299" customFormat="1" ht="12.75" customHeight="1" x14ac:dyDescent="0.3">
      <c r="CK2765" s="481"/>
    </row>
    <row r="2766" spans="89:89" s="299" customFormat="1" ht="12.75" customHeight="1" x14ac:dyDescent="0.3">
      <c r="CK2766" s="481"/>
    </row>
    <row r="2767" spans="89:89" s="299" customFormat="1" ht="12.75" customHeight="1" x14ac:dyDescent="0.3">
      <c r="CK2767" s="481"/>
    </row>
    <row r="2768" spans="89:89" s="299" customFormat="1" ht="12.75" customHeight="1" x14ac:dyDescent="0.3">
      <c r="CK2768" s="481"/>
    </row>
    <row r="2769" spans="89:89" s="299" customFormat="1" ht="12.75" customHeight="1" x14ac:dyDescent="0.3">
      <c r="CK2769" s="481"/>
    </row>
    <row r="2770" spans="89:89" s="299" customFormat="1" ht="12.75" customHeight="1" x14ac:dyDescent="0.3">
      <c r="CK2770" s="481"/>
    </row>
    <row r="2771" spans="89:89" s="299" customFormat="1" ht="12.75" customHeight="1" x14ac:dyDescent="0.3">
      <c r="CK2771" s="481"/>
    </row>
    <row r="2772" spans="89:89" s="299" customFormat="1" ht="12.75" customHeight="1" x14ac:dyDescent="0.3">
      <c r="CK2772" s="481"/>
    </row>
    <row r="2773" spans="89:89" s="299" customFormat="1" ht="12.75" customHeight="1" x14ac:dyDescent="0.3">
      <c r="CK2773" s="481"/>
    </row>
    <row r="2774" spans="89:89" s="299" customFormat="1" ht="12.75" customHeight="1" x14ac:dyDescent="0.3">
      <c r="CK2774" s="481"/>
    </row>
    <row r="2775" spans="89:89" s="299" customFormat="1" ht="12.75" customHeight="1" x14ac:dyDescent="0.3">
      <c r="CK2775" s="481"/>
    </row>
    <row r="2776" spans="89:89" s="299" customFormat="1" ht="12.75" customHeight="1" x14ac:dyDescent="0.3">
      <c r="CK2776" s="481"/>
    </row>
    <row r="2777" spans="89:89" s="299" customFormat="1" ht="12.75" customHeight="1" x14ac:dyDescent="0.3">
      <c r="CK2777" s="481"/>
    </row>
    <row r="2778" spans="89:89" s="299" customFormat="1" ht="12.75" customHeight="1" x14ac:dyDescent="0.3">
      <c r="CK2778" s="481"/>
    </row>
    <row r="2779" spans="89:89" s="299" customFormat="1" ht="12.75" customHeight="1" x14ac:dyDescent="0.3">
      <c r="CK2779" s="481"/>
    </row>
    <row r="2780" spans="89:89" s="299" customFormat="1" ht="12.75" customHeight="1" x14ac:dyDescent="0.3">
      <c r="CK2780" s="481"/>
    </row>
    <row r="2781" spans="89:89" s="299" customFormat="1" ht="12.75" customHeight="1" x14ac:dyDescent="0.3">
      <c r="CK2781" s="481"/>
    </row>
    <row r="2782" spans="89:89" s="299" customFormat="1" ht="12.75" customHeight="1" x14ac:dyDescent="0.3">
      <c r="CK2782" s="481"/>
    </row>
    <row r="2783" spans="89:89" s="299" customFormat="1" ht="12.75" customHeight="1" x14ac:dyDescent="0.3">
      <c r="CK2783" s="481"/>
    </row>
    <row r="2784" spans="89:89" s="299" customFormat="1" ht="12.75" customHeight="1" x14ac:dyDescent="0.3">
      <c r="CK2784" s="481"/>
    </row>
    <row r="2785" spans="89:89" s="299" customFormat="1" ht="12.75" customHeight="1" x14ac:dyDescent="0.3">
      <c r="CK2785" s="481"/>
    </row>
    <row r="2786" spans="89:89" s="299" customFormat="1" ht="12.75" customHeight="1" x14ac:dyDescent="0.3">
      <c r="CK2786" s="481"/>
    </row>
    <row r="2787" spans="89:89" s="299" customFormat="1" ht="12.75" customHeight="1" x14ac:dyDescent="0.3">
      <c r="CK2787" s="481"/>
    </row>
    <row r="2788" spans="89:89" s="299" customFormat="1" ht="12.75" customHeight="1" x14ac:dyDescent="0.3">
      <c r="CK2788" s="481"/>
    </row>
    <row r="2789" spans="89:89" s="299" customFormat="1" ht="12.75" customHeight="1" x14ac:dyDescent="0.3">
      <c r="CK2789" s="481"/>
    </row>
    <row r="2790" spans="89:89" s="299" customFormat="1" ht="12.75" customHeight="1" x14ac:dyDescent="0.3">
      <c r="CK2790" s="481"/>
    </row>
    <row r="2791" spans="89:89" s="299" customFormat="1" ht="12.75" customHeight="1" x14ac:dyDescent="0.3">
      <c r="CK2791" s="481"/>
    </row>
    <row r="2792" spans="89:89" s="299" customFormat="1" ht="12.75" customHeight="1" x14ac:dyDescent="0.3">
      <c r="CK2792" s="481"/>
    </row>
    <row r="2793" spans="89:89" s="299" customFormat="1" ht="12.75" customHeight="1" x14ac:dyDescent="0.3">
      <c r="CK2793" s="481"/>
    </row>
    <row r="2794" spans="89:89" s="299" customFormat="1" ht="12.75" customHeight="1" x14ac:dyDescent="0.3">
      <c r="CK2794" s="481"/>
    </row>
    <row r="2795" spans="89:89" s="299" customFormat="1" ht="12.75" customHeight="1" x14ac:dyDescent="0.3">
      <c r="CK2795" s="481"/>
    </row>
    <row r="2796" spans="89:89" s="299" customFormat="1" ht="12.75" customHeight="1" x14ac:dyDescent="0.3">
      <c r="CK2796" s="481"/>
    </row>
    <row r="2797" spans="89:89" s="299" customFormat="1" ht="12.75" customHeight="1" x14ac:dyDescent="0.3">
      <c r="CK2797" s="481"/>
    </row>
    <row r="2798" spans="89:89" s="299" customFormat="1" ht="12.75" customHeight="1" x14ac:dyDescent="0.3">
      <c r="CK2798" s="481"/>
    </row>
    <row r="2799" spans="89:89" s="299" customFormat="1" ht="12.75" customHeight="1" x14ac:dyDescent="0.3">
      <c r="CK2799" s="481"/>
    </row>
    <row r="2800" spans="89:89" s="299" customFormat="1" ht="12.75" customHeight="1" x14ac:dyDescent="0.3">
      <c r="CK2800" s="481"/>
    </row>
    <row r="2801" spans="89:89" s="299" customFormat="1" ht="12.75" customHeight="1" x14ac:dyDescent="0.3">
      <c r="CK2801" s="481"/>
    </row>
    <row r="2802" spans="89:89" s="299" customFormat="1" ht="12.75" customHeight="1" x14ac:dyDescent="0.3">
      <c r="CK2802" s="481"/>
    </row>
    <row r="2803" spans="89:89" s="299" customFormat="1" ht="12.75" customHeight="1" x14ac:dyDescent="0.3">
      <c r="CK2803" s="481"/>
    </row>
    <row r="2804" spans="89:89" s="299" customFormat="1" ht="12.75" customHeight="1" x14ac:dyDescent="0.3">
      <c r="CK2804" s="481"/>
    </row>
    <row r="2805" spans="89:89" s="299" customFormat="1" ht="12.75" customHeight="1" x14ac:dyDescent="0.3">
      <c r="CK2805" s="481"/>
    </row>
    <row r="2806" spans="89:89" s="299" customFormat="1" ht="12.75" customHeight="1" x14ac:dyDescent="0.3">
      <c r="CK2806" s="481"/>
    </row>
    <row r="2807" spans="89:89" s="299" customFormat="1" ht="12.75" customHeight="1" x14ac:dyDescent="0.3">
      <c r="CK2807" s="481"/>
    </row>
    <row r="2808" spans="89:89" s="299" customFormat="1" ht="12.75" customHeight="1" x14ac:dyDescent="0.3">
      <c r="CK2808" s="481"/>
    </row>
    <row r="2809" spans="89:89" s="299" customFormat="1" ht="12.75" customHeight="1" x14ac:dyDescent="0.3">
      <c r="CK2809" s="481"/>
    </row>
    <row r="2810" spans="89:89" s="299" customFormat="1" ht="12.75" customHeight="1" x14ac:dyDescent="0.3">
      <c r="CK2810" s="481"/>
    </row>
    <row r="2811" spans="89:89" s="299" customFormat="1" ht="12.75" customHeight="1" x14ac:dyDescent="0.3">
      <c r="CK2811" s="481"/>
    </row>
    <row r="2812" spans="89:89" s="299" customFormat="1" ht="12.75" customHeight="1" x14ac:dyDescent="0.3">
      <c r="CK2812" s="481"/>
    </row>
    <row r="2813" spans="89:89" s="299" customFormat="1" ht="12.75" customHeight="1" x14ac:dyDescent="0.3">
      <c r="CK2813" s="481"/>
    </row>
    <row r="2814" spans="89:89" s="299" customFormat="1" ht="12.75" customHeight="1" x14ac:dyDescent="0.3">
      <c r="CK2814" s="481"/>
    </row>
    <row r="2815" spans="89:89" s="299" customFormat="1" ht="12.75" customHeight="1" x14ac:dyDescent="0.3">
      <c r="CK2815" s="481"/>
    </row>
    <row r="2816" spans="89:89" s="299" customFormat="1" ht="12.75" customHeight="1" x14ac:dyDescent="0.3">
      <c r="CK2816" s="481"/>
    </row>
    <row r="2817" spans="89:89" s="299" customFormat="1" ht="12.75" customHeight="1" x14ac:dyDescent="0.3">
      <c r="CK2817" s="481"/>
    </row>
    <row r="2818" spans="89:89" s="299" customFormat="1" ht="12.75" customHeight="1" x14ac:dyDescent="0.3">
      <c r="CK2818" s="481"/>
    </row>
    <row r="2819" spans="89:89" s="299" customFormat="1" ht="12.75" customHeight="1" x14ac:dyDescent="0.3">
      <c r="CK2819" s="481"/>
    </row>
    <row r="2820" spans="89:89" s="299" customFormat="1" ht="12.75" customHeight="1" x14ac:dyDescent="0.3">
      <c r="CK2820" s="481"/>
    </row>
    <row r="2821" spans="89:89" s="299" customFormat="1" ht="12.75" customHeight="1" x14ac:dyDescent="0.3">
      <c r="CK2821" s="481"/>
    </row>
    <row r="2822" spans="89:89" s="299" customFormat="1" ht="12.75" customHeight="1" x14ac:dyDescent="0.3">
      <c r="CK2822" s="481"/>
    </row>
    <row r="2823" spans="89:89" s="299" customFormat="1" ht="12.75" customHeight="1" x14ac:dyDescent="0.3">
      <c r="CK2823" s="481"/>
    </row>
    <row r="2824" spans="89:89" s="299" customFormat="1" ht="12.75" customHeight="1" x14ac:dyDescent="0.3">
      <c r="CK2824" s="481"/>
    </row>
    <row r="2825" spans="89:89" s="299" customFormat="1" ht="12.75" customHeight="1" x14ac:dyDescent="0.3">
      <c r="CK2825" s="481"/>
    </row>
    <row r="2826" spans="89:89" s="299" customFormat="1" ht="12.75" customHeight="1" x14ac:dyDescent="0.3">
      <c r="CK2826" s="481"/>
    </row>
    <row r="2827" spans="89:89" s="299" customFormat="1" ht="12.75" customHeight="1" x14ac:dyDescent="0.3">
      <c r="CK2827" s="481"/>
    </row>
    <row r="2828" spans="89:89" s="299" customFormat="1" ht="12.75" customHeight="1" x14ac:dyDescent="0.3">
      <c r="CK2828" s="481"/>
    </row>
    <row r="2829" spans="89:89" s="299" customFormat="1" ht="12.75" customHeight="1" x14ac:dyDescent="0.3">
      <c r="CK2829" s="481"/>
    </row>
    <row r="2830" spans="89:89" s="299" customFormat="1" ht="12.75" customHeight="1" x14ac:dyDescent="0.3">
      <c r="CK2830" s="481"/>
    </row>
    <row r="2831" spans="89:89" s="299" customFormat="1" ht="12.75" customHeight="1" x14ac:dyDescent="0.3">
      <c r="CK2831" s="481"/>
    </row>
    <row r="2832" spans="89:89" s="299" customFormat="1" ht="12.75" customHeight="1" x14ac:dyDescent="0.3">
      <c r="CK2832" s="481"/>
    </row>
    <row r="2833" spans="89:89" s="299" customFormat="1" ht="12.75" customHeight="1" x14ac:dyDescent="0.3">
      <c r="CK2833" s="481"/>
    </row>
    <row r="2834" spans="89:89" s="299" customFormat="1" ht="12.75" customHeight="1" x14ac:dyDescent="0.3">
      <c r="CK2834" s="481"/>
    </row>
    <row r="2835" spans="89:89" s="299" customFormat="1" ht="12.75" customHeight="1" x14ac:dyDescent="0.3">
      <c r="CK2835" s="481"/>
    </row>
    <row r="2836" spans="89:89" s="299" customFormat="1" ht="12.75" customHeight="1" x14ac:dyDescent="0.3">
      <c r="CK2836" s="481"/>
    </row>
    <row r="2837" spans="89:89" s="299" customFormat="1" ht="12.75" customHeight="1" x14ac:dyDescent="0.3">
      <c r="CK2837" s="481"/>
    </row>
    <row r="2838" spans="89:89" s="299" customFormat="1" ht="12.75" customHeight="1" x14ac:dyDescent="0.3">
      <c r="CK2838" s="481"/>
    </row>
    <row r="2839" spans="89:89" s="299" customFormat="1" ht="12.75" customHeight="1" x14ac:dyDescent="0.3">
      <c r="CK2839" s="481"/>
    </row>
    <row r="2840" spans="89:89" s="299" customFormat="1" ht="12.75" customHeight="1" x14ac:dyDescent="0.3">
      <c r="CK2840" s="481"/>
    </row>
    <row r="2841" spans="89:89" s="299" customFormat="1" ht="12.75" customHeight="1" x14ac:dyDescent="0.3">
      <c r="CK2841" s="481"/>
    </row>
    <row r="2842" spans="89:89" s="299" customFormat="1" ht="12.75" customHeight="1" x14ac:dyDescent="0.3">
      <c r="CK2842" s="481"/>
    </row>
    <row r="2843" spans="89:89" s="299" customFormat="1" ht="12.75" customHeight="1" x14ac:dyDescent="0.3">
      <c r="CK2843" s="481"/>
    </row>
    <row r="2844" spans="89:89" s="299" customFormat="1" ht="12.75" customHeight="1" x14ac:dyDescent="0.3">
      <c r="CK2844" s="481"/>
    </row>
    <row r="2845" spans="89:89" s="299" customFormat="1" ht="12.75" customHeight="1" x14ac:dyDescent="0.3">
      <c r="CK2845" s="481"/>
    </row>
    <row r="2846" spans="89:89" s="299" customFormat="1" ht="12.75" customHeight="1" x14ac:dyDescent="0.3">
      <c r="CK2846" s="481"/>
    </row>
    <row r="2847" spans="89:89" s="299" customFormat="1" ht="12.75" customHeight="1" x14ac:dyDescent="0.3">
      <c r="CK2847" s="481"/>
    </row>
    <row r="2848" spans="89:89" s="299" customFormat="1" ht="12.75" customHeight="1" x14ac:dyDescent="0.3">
      <c r="CK2848" s="481"/>
    </row>
    <row r="2849" spans="89:89" s="299" customFormat="1" ht="12.75" customHeight="1" x14ac:dyDescent="0.3">
      <c r="CK2849" s="481"/>
    </row>
    <row r="2850" spans="89:89" s="299" customFormat="1" ht="12.75" customHeight="1" x14ac:dyDescent="0.3">
      <c r="CK2850" s="481"/>
    </row>
    <row r="2851" spans="89:89" s="299" customFormat="1" ht="12.75" customHeight="1" x14ac:dyDescent="0.3">
      <c r="CK2851" s="481"/>
    </row>
    <row r="2852" spans="89:89" s="299" customFormat="1" ht="12.75" customHeight="1" x14ac:dyDescent="0.3">
      <c r="CK2852" s="481"/>
    </row>
    <row r="2853" spans="89:89" s="299" customFormat="1" ht="12.75" customHeight="1" x14ac:dyDescent="0.3">
      <c r="CK2853" s="481"/>
    </row>
    <row r="2854" spans="89:89" s="299" customFormat="1" ht="12.75" customHeight="1" x14ac:dyDescent="0.3">
      <c r="CK2854" s="481"/>
    </row>
    <row r="2855" spans="89:89" s="299" customFormat="1" ht="12.75" customHeight="1" x14ac:dyDescent="0.3">
      <c r="CK2855" s="481"/>
    </row>
    <row r="2856" spans="89:89" s="299" customFormat="1" ht="12.75" customHeight="1" x14ac:dyDescent="0.3">
      <c r="CK2856" s="481"/>
    </row>
    <row r="2857" spans="89:89" s="299" customFormat="1" ht="12.75" customHeight="1" x14ac:dyDescent="0.3">
      <c r="CK2857" s="481"/>
    </row>
    <row r="2858" spans="89:89" s="299" customFormat="1" ht="12.75" customHeight="1" x14ac:dyDescent="0.3">
      <c r="CK2858" s="481"/>
    </row>
    <row r="2859" spans="89:89" s="299" customFormat="1" ht="12.75" customHeight="1" x14ac:dyDescent="0.3">
      <c r="CK2859" s="481"/>
    </row>
    <row r="2860" spans="89:89" s="299" customFormat="1" ht="12.75" customHeight="1" x14ac:dyDescent="0.3">
      <c r="CK2860" s="481"/>
    </row>
    <row r="2861" spans="89:89" s="299" customFormat="1" ht="12.75" customHeight="1" x14ac:dyDescent="0.3">
      <c r="CK2861" s="481"/>
    </row>
    <row r="2862" spans="89:89" s="299" customFormat="1" ht="12.75" customHeight="1" x14ac:dyDescent="0.3">
      <c r="CK2862" s="481"/>
    </row>
    <row r="2863" spans="89:89" s="299" customFormat="1" ht="12.75" customHeight="1" x14ac:dyDescent="0.3">
      <c r="CK2863" s="481"/>
    </row>
    <row r="2864" spans="89:89" s="299" customFormat="1" ht="12.75" customHeight="1" x14ac:dyDescent="0.3">
      <c r="CK2864" s="481"/>
    </row>
    <row r="2865" spans="89:89" s="299" customFormat="1" ht="12.75" customHeight="1" x14ac:dyDescent="0.3">
      <c r="CK2865" s="481"/>
    </row>
    <row r="2866" spans="89:89" s="299" customFormat="1" ht="12.75" customHeight="1" x14ac:dyDescent="0.3">
      <c r="CK2866" s="481"/>
    </row>
    <row r="2867" spans="89:89" s="299" customFormat="1" ht="12.75" customHeight="1" x14ac:dyDescent="0.3">
      <c r="CK2867" s="481"/>
    </row>
    <row r="2868" spans="89:89" s="299" customFormat="1" ht="12.75" customHeight="1" x14ac:dyDescent="0.3">
      <c r="CK2868" s="481"/>
    </row>
    <row r="2869" spans="89:89" s="299" customFormat="1" ht="12.75" customHeight="1" x14ac:dyDescent="0.3">
      <c r="CK2869" s="481"/>
    </row>
    <row r="2870" spans="89:89" s="299" customFormat="1" ht="12.75" customHeight="1" x14ac:dyDescent="0.3">
      <c r="CK2870" s="481"/>
    </row>
    <row r="2871" spans="89:89" s="299" customFormat="1" ht="12.75" customHeight="1" x14ac:dyDescent="0.3">
      <c r="CK2871" s="481"/>
    </row>
    <row r="2872" spans="89:89" s="299" customFormat="1" ht="12.75" customHeight="1" x14ac:dyDescent="0.3">
      <c r="CK2872" s="481"/>
    </row>
    <row r="2873" spans="89:89" s="299" customFormat="1" ht="12.75" customHeight="1" x14ac:dyDescent="0.3">
      <c r="CK2873" s="481"/>
    </row>
    <row r="2874" spans="89:89" s="299" customFormat="1" ht="12.75" customHeight="1" x14ac:dyDescent="0.3">
      <c r="CK2874" s="481"/>
    </row>
    <row r="2875" spans="89:89" s="299" customFormat="1" ht="12.75" customHeight="1" x14ac:dyDescent="0.3">
      <c r="CK2875" s="481"/>
    </row>
    <row r="2876" spans="89:89" s="299" customFormat="1" ht="12.75" customHeight="1" x14ac:dyDescent="0.3">
      <c r="CK2876" s="481"/>
    </row>
    <row r="2877" spans="89:89" s="299" customFormat="1" ht="12.75" customHeight="1" x14ac:dyDescent="0.3">
      <c r="CK2877" s="481"/>
    </row>
    <row r="2878" spans="89:89" s="299" customFormat="1" ht="12.75" customHeight="1" x14ac:dyDescent="0.3">
      <c r="CK2878" s="481"/>
    </row>
    <row r="2879" spans="89:89" s="299" customFormat="1" ht="12.75" customHeight="1" x14ac:dyDescent="0.3">
      <c r="CK2879" s="481"/>
    </row>
    <row r="2880" spans="89:89" s="299" customFormat="1" ht="12.75" customHeight="1" x14ac:dyDescent="0.3">
      <c r="CK2880" s="481"/>
    </row>
    <row r="2881" spans="89:89" s="299" customFormat="1" ht="12.75" customHeight="1" x14ac:dyDescent="0.3">
      <c r="CK2881" s="481"/>
    </row>
    <row r="2882" spans="89:89" s="299" customFormat="1" ht="12.75" customHeight="1" x14ac:dyDescent="0.3">
      <c r="CK2882" s="481"/>
    </row>
    <row r="2883" spans="89:89" s="299" customFormat="1" ht="12.75" customHeight="1" x14ac:dyDescent="0.3">
      <c r="CK2883" s="481"/>
    </row>
    <row r="2884" spans="89:89" s="299" customFormat="1" ht="12.75" customHeight="1" x14ac:dyDescent="0.3">
      <c r="CK2884" s="481"/>
    </row>
    <row r="2885" spans="89:89" s="299" customFormat="1" ht="12.75" customHeight="1" x14ac:dyDescent="0.3">
      <c r="CK2885" s="481"/>
    </row>
    <row r="2886" spans="89:89" s="299" customFormat="1" ht="12.75" customHeight="1" x14ac:dyDescent="0.3">
      <c r="CK2886" s="481"/>
    </row>
    <row r="2887" spans="89:89" s="299" customFormat="1" ht="12.75" customHeight="1" x14ac:dyDescent="0.3">
      <c r="CK2887" s="481"/>
    </row>
    <row r="2888" spans="89:89" s="299" customFormat="1" ht="12.75" customHeight="1" x14ac:dyDescent="0.3">
      <c r="CK2888" s="481"/>
    </row>
    <row r="2889" spans="89:89" s="299" customFormat="1" ht="12.75" customHeight="1" x14ac:dyDescent="0.3">
      <c r="CK2889" s="481"/>
    </row>
    <row r="2890" spans="89:89" s="299" customFormat="1" ht="12.75" customHeight="1" x14ac:dyDescent="0.3">
      <c r="CK2890" s="481"/>
    </row>
    <row r="2891" spans="89:89" s="299" customFormat="1" ht="12.75" customHeight="1" x14ac:dyDescent="0.3">
      <c r="CK2891" s="481"/>
    </row>
    <row r="2892" spans="89:89" s="299" customFormat="1" ht="12.75" customHeight="1" x14ac:dyDescent="0.3">
      <c r="CK2892" s="481"/>
    </row>
    <row r="2893" spans="89:89" s="299" customFormat="1" ht="12.75" customHeight="1" x14ac:dyDescent="0.3">
      <c r="CK2893" s="481"/>
    </row>
    <row r="2894" spans="89:89" s="299" customFormat="1" ht="12.75" customHeight="1" x14ac:dyDescent="0.3">
      <c r="CK2894" s="481"/>
    </row>
    <row r="2895" spans="89:89" s="299" customFormat="1" ht="12.75" customHeight="1" x14ac:dyDescent="0.3">
      <c r="CK2895" s="481"/>
    </row>
    <row r="2896" spans="89:89" s="299" customFormat="1" ht="12.75" customHeight="1" x14ac:dyDescent="0.3">
      <c r="CK2896" s="481"/>
    </row>
    <row r="2897" spans="89:89" s="299" customFormat="1" ht="12.75" customHeight="1" x14ac:dyDescent="0.3">
      <c r="CK2897" s="481"/>
    </row>
    <row r="2898" spans="89:89" s="299" customFormat="1" ht="12.75" customHeight="1" x14ac:dyDescent="0.3">
      <c r="CK2898" s="481"/>
    </row>
    <row r="2899" spans="89:89" s="299" customFormat="1" ht="12.75" customHeight="1" x14ac:dyDescent="0.3">
      <c r="CK2899" s="481"/>
    </row>
    <row r="2900" spans="89:89" s="299" customFormat="1" ht="12.75" customHeight="1" x14ac:dyDescent="0.3">
      <c r="CK2900" s="481"/>
    </row>
    <row r="2901" spans="89:89" s="299" customFormat="1" ht="12.75" customHeight="1" x14ac:dyDescent="0.3">
      <c r="CK2901" s="481"/>
    </row>
    <row r="2902" spans="89:89" s="299" customFormat="1" ht="12.75" customHeight="1" x14ac:dyDescent="0.3">
      <c r="CK2902" s="481"/>
    </row>
    <row r="2903" spans="89:89" s="299" customFormat="1" ht="12.75" customHeight="1" x14ac:dyDescent="0.3">
      <c r="CK2903" s="481"/>
    </row>
    <row r="2904" spans="89:89" s="299" customFormat="1" ht="12.75" customHeight="1" x14ac:dyDescent="0.3">
      <c r="CK2904" s="481"/>
    </row>
    <row r="2905" spans="89:89" s="299" customFormat="1" ht="12.75" customHeight="1" x14ac:dyDescent="0.3">
      <c r="CK2905" s="481"/>
    </row>
    <row r="2906" spans="89:89" s="299" customFormat="1" ht="12.75" customHeight="1" x14ac:dyDescent="0.3">
      <c r="CK2906" s="481"/>
    </row>
    <row r="2907" spans="89:89" s="299" customFormat="1" ht="12.75" customHeight="1" x14ac:dyDescent="0.3">
      <c r="CK2907" s="481"/>
    </row>
    <row r="2908" spans="89:89" s="299" customFormat="1" ht="12.75" customHeight="1" x14ac:dyDescent="0.3">
      <c r="CK2908" s="481"/>
    </row>
    <row r="2909" spans="89:89" s="299" customFormat="1" ht="12.75" customHeight="1" x14ac:dyDescent="0.3">
      <c r="CK2909" s="481"/>
    </row>
    <row r="2910" spans="89:89" s="299" customFormat="1" ht="12.75" customHeight="1" x14ac:dyDescent="0.3">
      <c r="CK2910" s="481"/>
    </row>
    <row r="2911" spans="89:89" s="299" customFormat="1" ht="12.75" customHeight="1" x14ac:dyDescent="0.3">
      <c r="CK2911" s="481"/>
    </row>
    <row r="2912" spans="89:89" s="299" customFormat="1" ht="12.75" customHeight="1" x14ac:dyDescent="0.3">
      <c r="CK2912" s="481"/>
    </row>
    <row r="2913" spans="89:89" s="299" customFormat="1" ht="12.75" customHeight="1" x14ac:dyDescent="0.3">
      <c r="CK2913" s="481"/>
    </row>
    <row r="2914" spans="89:89" s="299" customFormat="1" ht="12.75" customHeight="1" x14ac:dyDescent="0.3">
      <c r="CK2914" s="481"/>
    </row>
    <row r="2915" spans="89:89" s="299" customFormat="1" ht="12.75" customHeight="1" x14ac:dyDescent="0.3">
      <c r="CK2915" s="481"/>
    </row>
    <row r="2916" spans="89:89" s="299" customFormat="1" ht="12.75" customHeight="1" x14ac:dyDescent="0.3">
      <c r="CK2916" s="481"/>
    </row>
    <row r="2917" spans="89:89" s="299" customFormat="1" ht="12.75" customHeight="1" x14ac:dyDescent="0.3">
      <c r="CK2917" s="481"/>
    </row>
    <row r="2918" spans="89:89" s="299" customFormat="1" ht="12.75" customHeight="1" x14ac:dyDescent="0.3">
      <c r="CK2918" s="481"/>
    </row>
    <row r="2919" spans="89:89" s="299" customFormat="1" ht="12.75" customHeight="1" x14ac:dyDescent="0.3">
      <c r="CK2919" s="481"/>
    </row>
    <row r="2920" spans="89:89" s="299" customFormat="1" ht="12.75" customHeight="1" x14ac:dyDescent="0.3">
      <c r="CK2920" s="481"/>
    </row>
    <row r="2921" spans="89:89" s="299" customFormat="1" ht="12.75" customHeight="1" x14ac:dyDescent="0.3">
      <c r="CK2921" s="481"/>
    </row>
    <row r="2922" spans="89:89" s="299" customFormat="1" ht="12.75" customHeight="1" x14ac:dyDescent="0.3">
      <c r="CK2922" s="481"/>
    </row>
    <row r="2923" spans="89:89" s="299" customFormat="1" ht="12.75" customHeight="1" x14ac:dyDescent="0.3">
      <c r="CK2923" s="481"/>
    </row>
    <row r="2924" spans="89:89" s="299" customFormat="1" ht="12.75" customHeight="1" x14ac:dyDescent="0.3">
      <c r="CK2924" s="481"/>
    </row>
    <row r="2925" spans="89:89" s="299" customFormat="1" ht="12.75" customHeight="1" x14ac:dyDescent="0.3">
      <c r="CK2925" s="481"/>
    </row>
    <row r="2926" spans="89:89" s="299" customFormat="1" ht="12.75" customHeight="1" x14ac:dyDescent="0.3">
      <c r="CK2926" s="481"/>
    </row>
    <row r="2927" spans="89:89" s="299" customFormat="1" ht="12.75" customHeight="1" x14ac:dyDescent="0.3">
      <c r="CK2927" s="481"/>
    </row>
    <row r="2928" spans="89:89" s="299" customFormat="1" ht="12.75" customHeight="1" x14ac:dyDescent="0.3">
      <c r="CK2928" s="481"/>
    </row>
    <row r="2929" spans="89:89" s="299" customFormat="1" ht="12.75" customHeight="1" x14ac:dyDescent="0.3">
      <c r="CK2929" s="481"/>
    </row>
    <row r="2930" spans="89:89" s="299" customFormat="1" ht="12.75" customHeight="1" x14ac:dyDescent="0.3">
      <c r="CK2930" s="481"/>
    </row>
    <row r="2931" spans="89:89" s="299" customFormat="1" ht="12.75" customHeight="1" x14ac:dyDescent="0.3">
      <c r="CK2931" s="481"/>
    </row>
    <row r="2932" spans="89:89" s="299" customFormat="1" ht="12.75" customHeight="1" x14ac:dyDescent="0.3">
      <c r="CK2932" s="481"/>
    </row>
    <row r="2933" spans="89:89" s="299" customFormat="1" ht="12.75" customHeight="1" x14ac:dyDescent="0.3">
      <c r="CK2933" s="481"/>
    </row>
    <row r="2934" spans="89:89" s="299" customFormat="1" ht="12.75" customHeight="1" x14ac:dyDescent="0.3">
      <c r="CK2934" s="481"/>
    </row>
    <row r="2935" spans="89:89" s="299" customFormat="1" ht="12.75" customHeight="1" x14ac:dyDescent="0.3">
      <c r="CK2935" s="481"/>
    </row>
    <row r="2936" spans="89:89" s="299" customFormat="1" ht="12.75" customHeight="1" x14ac:dyDescent="0.3">
      <c r="CK2936" s="481"/>
    </row>
    <row r="2937" spans="89:89" s="299" customFormat="1" ht="12.75" customHeight="1" x14ac:dyDescent="0.3">
      <c r="CK2937" s="481"/>
    </row>
    <row r="2938" spans="89:89" s="299" customFormat="1" ht="12.75" customHeight="1" x14ac:dyDescent="0.3">
      <c r="CK2938" s="481"/>
    </row>
    <row r="2939" spans="89:89" s="299" customFormat="1" ht="12.75" customHeight="1" x14ac:dyDescent="0.3">
      <c r="CK2939" s="481"/>
    </row>
    <row r="2940" spans="89:89" s="299" customFormat="1" ht="12.75" customHeight="1" x14ac:dyDescent="0.3">
      <c r="CK2940" s="481"/>
    </row>
    <row r="2941" spans="89:89" s="299" customFormat="1" ht="12.75" customHeight="1" x14ac:dyDescent="0.3">
      <c r="CK2941" s="481"/>
    </row>
    <row r="2942" spans="89:89" s="299" customFormat="1" ht="12.75" customHeight="1" x14ac:dyDescent="0.3">
      <c r="CK2942" s="481"/>
    </row>
    <row r="2943" spans="89:89" s="299" customFormat="1" ht="12.75" customHeight="1" x14ac:dyDescent="0.3">
      <c r="CK2943" s="481"/>
    </row>
    <row r="2944" spans="89:89" s="299" customFormat="1" ht="12.75" customHeight="1" x14ac:dyDescent="0.3">
      <c r="CK2944" s="481"/>
    </row>
    <row r="2945" spans="89:89" s="299" customFormat="1" ht="12.75" customHeight="1" x14ac:dyDescent="0.3">
      <c r="CK2945" s="481"/>
    </row>
    <row r="2946" spans="89:89" s="299" customFormat="1" ht="12.75" customHeight="1" x14ac:dyDescent="0.3">
      <c r="CK2946" s="481"/>
    </row>
    <row r="2947" spans="89:89" s="299" customFormat="1" ht="12.75" customHeight="1" x14ac:dyDescent="0.3">
      <c r="CK2947" s="481"/>
    </row>
    <row r="2948" spans="89:89" s="299" customFormat="1" ht="12.75" customHeight="1" x14ac:dyDescent="0.3">
      <c r="CK2948" s="481"/>
    </row>
    <row r="2949" spans="89:89" s="299" customFormat="1" ht="12.75" customHeight="1" x14ac:dyDescent="0.3">
      <c r="CK2949" s="481"/>
    </row>
    <row r="2950" spans="89:89" s="299" customFormat="1" ht="12.75" customHeight="1" x14ac:dyDescent="0.3">
      <c r="CK2950" s="481"/>
    </row>
    <row r="2951" spans="89:89" s="299" customFormat="1" ht="12.75" customHeight="1" x14ac:dyDescent="0.3">
      <c r="CK2951" s="481"/>
    </row>
    <row r="2952" spans="89:89" s="299" customFormat="1" ht="12.75" customHeight="1" x14ac:dyDescent="0.3">
      <c r="CK2952" s="481"/>
    </row>
    <row r="2953" spans="89:89" s="299" customFormat="1" ht="12.75" customHeight="1" x14ac:dyDescent="0.3">
      <c r="CK2953" s="481"/>
    </row>
    <row r="2954" spans="89:89" s="299" customFormat="1" ht="12.75" customHeight="1" x14ac:dyDescent="0.3">
      <c r="CK2954" s="481"/>
    </row>
    <row r="2955" spans="89:89" s="299" customFormat="1" ht="12.75" customHeight="1" x14ac:dyDescent="0.3">
      <c r="CK2955" s="481"/>
    </row>
    <row r="2956" spans="89:89" s="299" customFormat="1" ht="12.75" customHeight="1" x14ac:dyDescent="0.3">
      <c r="CK2956" s="481"/>
    </row>
    <row r="2957" spans="89:89" s="299" customFormat="1" ht="12.75" customHeight="1" x14ac:dyDescent="0.3">
      <c r="CK2957" s="481"/>
    </row>
    <row r="2958" spans="89:89" s="299" customFormat="1" ht="12.75" customHeight="1" x14ac:dyDescent="0.3">
      <c r="CK2958" s="481"/>
    </row>
    <row r="2959" spans="89:89" s="299" customFormat="1" ht="12.75" customHeight="1" x14ac:dyDescent="0.3">
      <c r="CK2959" s="481"/>
    </row>
    <row r="2960" spans="89:89" s="299" customFormat="1" ht="12.75" customHeight="1" x14ac:dyDescent="0.3">
      <c r="CK2960" s="481"/>
    </row>
    <row r="2961" spans="89:89" s="299" customFormat="1" ht="12.75" customHeight="1" x14ac:dyDescent="0.3">
      <c r="CK2961" s="481"/>
    </row>
    <row r="2962" spans="89:89" s="299" customFormat="1" ht="12.75" customHeight="1" x14ac:dyDescent="0.3">
      <c r="CK2962" s="481"/>
    </row>
    <row r="2963" spans="89:89" s="299" customFormat="1" ht="12.75" customHeight="1" x14ac:dyDescent="0.3">
      <c r="CK2963" s="481"/>
    </row>
    <row r="2964" spans="89:89" s="299" customFormat="1" ht="12.75" customHeight="1" x14ac:dyDescent="0.3">
      <c r="CK2964" s="481"/>
    </row>
    <row r="2965" spans="89:89" s="299" customFormat="1" ht="12.75" customHeight="1" x14ac:dyDescent="0.3">
      <c r="CK2965" s="481"/>
    </row>
    <row r="2966" spans="89:89" s="299" customFormat="1" ht="12.75" customHeight="1" x14ac:dyDescent="0.3">
      <c r="CK2966" s="481"/>
    </row>
    <row r="2967" spans="89:89" s="299" customFormat="1" ht="12.75" customHeight="1" x14ac:dyDescent="0.3">
      <c r="CK2967" s="481"/>
    </row>
    <row r="2968" spans="89:89" s="299" customFormat="1" ht="12.75" customHeight="1" x14ac:dyDescent="0.3">
      <c r="CK2968" s="481"/>
    </row>
    <row r="2969" spans="89:89" s="299" customFormat="1" ht="12.75" customHeight="1" x14ac:dyDescent="0.3">
      <c r="CK2969" s="481"/>
    </row>
    <row r="2970" spans="89:89" s="299" customFormat="1" ht="12.75" customHeight="1" x14ac:dyDescent="0.3">
      <c r="CK2970" s="481"/>
    </row>
    <row r="2971" spans="89:89" s="299" customFormat="1" ht="12.75" customHeight="1" x14ac:dyDescent="0.3">
      <c r="CK2971" s="481"/>
    </row>
    <row r="2972" spans="89:89" s="299" customFormat="1" ht="12.75" customHeight="1" x14ac:dyDescent="0.3">
      <c r="CK2972" s="481"/>
    </row>
    <row r="2973" spans="89:89" s="299" customFormat="1" ht="12.75" customHeight="1" x14ac:dyDescent="0.3">
      <c r="CK2973" s="481"/>
    </row>
    <row r="2974" spans="89:89" s="299" customFormat="1" ht="12.75" customHeight="1" x14ac:dyDescent="0.3">
      <c r="CK2974" s="481"/>
    </row>
    <row r="2975" spans="89:89" s="299" customFormat="1" ht="12.75" customHeight="1" x14ac:dyDescent="0.3">
      <c r="CK2975" s="481"/>
    </row>
    <row r="2976" spans="89:89" s="299" customFormat="1" ht="12.75" customHeight="1" x14ac:dyDescent="0.3">
      <c r="CK2976" s="481"/>
    </row>
    <row r="2977" spans="89:89" s="299" customFormat="1" ht="12.75" customHeight="1" x14ac:dyDescent="0.3">
      <c r="CK2977" s="481"/>
    </row>
    <row r="2978" spans="89:89" s="299" customFormat="1" ht="12.75" customHeight="1" x14ac:dyDescent="0.3">
      <c r="CK2978" s="481"/>
    </row>
    <row r="2979" spans="89:89" s="299" customFormat="1" ht="12.75" customHeight="1" x14ac:dyDescent="0.3">
      <c r="CK2979" s="481"/>
    </row>
    <row r="2980" spans="89:89" s="299" customFormat="1" ht="12.75" customHeight="1" x14ac:dyDescent="0.3">
      <c r="CK2980" s="481"/>
    </row>
    <row r="2981" spans="89:89" s="299" customFormat="1" ht="12.75" customHeight="1" x14ac:dyDescent="0.3">
      <c r="CK2981" s="481"/>
    </row>
    <row r="2982" spans="89:89" s="299" customFormat="1" ht="12.75" customHeight="1" x14ac:dyDescent="0.3">
      <c r="CK2982" s="481"/>
    </row>
    <row r="2983" spans="89:89" s="299" customFormat="1" ht="12.75" customHeight="1" x14ac:dyDescent="0.3">
      <c r="CK2983" s="481"/>
    </row>
    <row r="2984" spans="89:89" s="299" customFormat="1" ht="12.75" customHeight="1" x14ac:dyDescent="0.3">
      <c r="CK2984" s="481"/>
    </row>
    <row r="2985" spans="89:89" s="299" customFormat="1" ht="12.75" customHeight="1" x14ac:dyDescent="0.3">
      <c r="CK2985" s="481"/>
    </row>
    <row r="2986" spans="89:89" s="299" customFormat="1" ht="12.75" customHeight="1" x14ac:dyDescent="0.3">
      <c r="CK2986" s="481"/>
    </row>
    <row r="2987" spans="89:89" s="299" customFormat="1" ht="12.75" customHeight="1" x14ac:dyDescent="0.3">
      <c r="CK2987" s="481"/>
    </row>
    <row r="2988" spans="89:89" s="299" customFormat="1" ht="12.75" customHeight="1" x14ac:dyDescent="0.3">
      <c r="CK2988" s="481"/>
    </row>
    <row r="2989" spans="89:89" s="299" customFormat="1" ht="12.75" customHeight="1" x14ac:dyDescent="0.3">
      <c r="CK2989" s="481"/>
    </row>
    <row r="2990" spans="89:89" s="299" customFormat="1" ht="12.75" customHeight="1" x14ac:dyDescent="0.3">
      <c r="CK2990" s="481"/>
    </row>
    <row r="2991" spans="89:89" s="299" customFormat="1" ht="12.75" customHeight="1" x14ac:dyDescent="0.3">
      <c r="CK2991" s="481"/>
    </row>
    <row r="2992" spans="89:89" s="299" customFormat="1" ht="12.75" customHeight="1" x14ac:dyDescent="0.3">
      <c r="CK2992" s="481"/>
    </row>
    <row r="2993" spans="89:89" s="299" customFormat="1" ht="12.75" customHeight="1" x14ac:dyDescent="0.3">
      <c r="CK2993" s="481"/>
    </row>
    <row r="2994" spans="89:89" s="299" customFormat="1" ht="12.75" customHeight="1" x14ac:dyDescent="0.3">
      <c r="CK2994" s="481"/>
    </row>
    <row r="2995" spans="89:89" s="299" customFormat="1" ht="12.75" customHeight="1" x14ac:dyDescent="0.3">
      <c r="CK2995" s="481"/>
    </row>
    <row r="2996" spans="89:89" s="299" customFormat="1" ht="12.75" customHeight="1" x14ac:dyDescent="0.3">
      <c r="CK2996" s="481"/>
    </row>
    <row r="2997" spans="89:89" s="299" customFormat="1" ht="12.75" customHeight="1" x14ac:dyDescent="0.3">
      <c r="CK2997" s="481"/>
    </row>
    <row r="2998" spans="89:89" s="299" customFormat="1" ht="12.75" customHeight="1" x14ac:dyDescent="0.3">
      <c r="CK2998" s="481"/>
    </row>
    <row r="2999" spans="89:89" s="299" customFormat="1" ht="12.75" customHeight="1" x14ac:dyDescent="0.3">
      <c r="CK2999" s="481"/>
    </row>
    <row r="3000" spans="89:89" s="299" customFormat="1" ht="12.75" customHeight="1" x14ac:dyDescent="0.3">
      <c r="CK3000" s="481"/>
    </row>
    <row r="3001" spans="89:89" s="299" customFormat="1" ht="12.75" customHeight="1" x14ac:dyDescent="0.3">
      <c r="CK3001" s="481"/>
    </row>
    <row r="3002" spans="89:89" s="299" customFormat="1" ht="12.75" customHeight="1" x14ac:dyDescent="0.3">
      <c r="CK3002" s="481"/>
    </row>
    <row r="3003" spans="89:89" s="299" customFormat="1" ht="12.75" customHeight="1" x14ac:dyDescent="0.3">
      <c r="CK3003" s="481"/>
    </row>
    <row r="3004" spans="89:89" s="299" customFormat="1" ht="12.75" customHeight="1" x14ac:dyDescent="0.3">
      <c r="CK3004" s="481"/>
    </row>
    <row r="3005" spans="89:89" s="299" customFormat="1" ht="12.75" customHeight="1" x14ac:dyDescent="0.3">
      <c r="CK3005" s="481"/>
    </row>
    <row r="3006" spans="89:89" s="299" customFormat="1" ht="12.75" customHeight="1" x14ac:dyDescent="0.3">
      <c r="CK3006" s="481"/>
    </row>
    <row r="3007" spans="89:89" s="299" customFormat="1" ht="12.75" customHeight="1" x14ac:dyDescent="0.3">
      <c r="CK3007" s="481"/>
    </row>
    <row r="3008" spans="89:89" s="299" customFormat="1" ht="12.75" customHeight="1" x14ac:dyDescent="0.3">
      <c r="CK3008" s="481"/>
    </row>
    <row r="3009" spans="89:89" s="299" customFormat="1" ht="12.75" customHeight="1" x14ac:dyDescent="0.3">
      <c r="CK3009" s="481"/>
    </row>
    <row r="3010" spans="89:89" s="299" customFormat="1" ht="12.75" customHeight="1" x14ac:dyDescent="0.3">
      <c r="CK3010" s="481"/>
    </row>
    <row r="3011" spans="89:89" s="299" customFormat="1" ht="12.75" customHeight="1" x14ac:dyDescent="0.3">
      <c r="CK3011" s="481"/>
    </row>
    <row r="3012" spans="89:89" s="299" customFormat="1" ht="12.75" customHeight="1" x14ac:dyDescent="0.3">
      <c r="CK3012" s="481"/>
    </row>
    <row r="3013" spans="89:89" s="299" customFormat="1" ht="12.75" customHeight="1" x14ac:dyDescent="0.3">
      <c r="CK3013" s="481"/>
    </row>
    <row r="3014" spans="89:89" s="299" customFormat="1" ht="12.75" customHeight="1" x14ac:dyDescent="0.3">
      <c r="CK3014" s="481"/>
    </row>
    <row r="3015" spans="89:89" s="299" customFormat="1" ht="12.75" customHeight="1" x14ac:dyDescent="0.3">
      <c r="CK3015" s="481"/>
    </row>
    <row r="3016" spans="89:89" s="299" customFormat="1" ht="12.75" customHeight="1" x14ac:dyDescent="0.3">
      <c r="CK3016" s="481"/>
    </row>
    <row r="3017" spans="89:89" s="299" customFormat="1" ht="12.75" customHeight="1" x14ac:dyDescent="0.3">
      <c r="CK3017" s="481"/>
    </row>
    <row r="3018" spans="89:89" s="299" customFormat="1" ht="12.75" customHeight="1" x14ac:dyDescent="0.3">
      <c r="CK3018" s="481"/>
    </row>
    <row r="3019" spans="89:89" s="299" customFormat="1" ht="12.75" customHeight="1" x14ac:dyDescent="0.3">
      <c r="CK3019" s="481"/>
    </row>
    <row r="3020" spans="89:89" s="299" customFormat="1" ht="12.75" customHeight="1" x14ac:dyDescent="0.3">
      <c r="CK3020" s="481"/>
    </row>
    <row r="3021" spans="89:89" s="299" customFormat="1" ht="12.75" customHeight="1" x14ac:dyDescent="0.3">
      <c r="CK3021" s="481"/>
    </row>
    <row r="3022" spans="89:89" s="299" customFormat="1" ht="12.75" customHeight="1" x14ac:dyDescent="0.3">
      <c r="CK3022" s="481"/>
    </row>
    <row r="3023" spans="89:89" s="299" customFormat="1" ht="12.75" customHeight="1" x14ac:dyDescent="0.3">
      <c r="CK3023" s="481"/>
    </row>
    <row r="3024" spans="89:89" s="299" customFormat="1" ht="12.75" customHeight="1" x14ac:dyDescent="0.3">
      <c r="CK3024" s="481"/>
    </row>
    <row r="3025" spans="89:89" s="299" customFormat="1" ht="12.75" customHeight="1" x14ac:dyDescent="0.3">
      <c r="CK3025" s="481"/>
    </row>
    <row r="3026" spans="89:89" s="299" customFormat="1" ht="12.75" customHeight="1" x14ac:dyDescent="0.3">
      <c r="CK3026" s="481"/>
    </row>
    <row r="3027" spans="89:89" s="299" customFormat="1" ht="12.75" customHeight="1" x14ac:dyDescent="0.3">
      <c r="CK3027" s="481"/>
    </row>
    <row r="3028" spans="89:89" s="299" customFormat="1" ht="12.75" customHeight="1" x14ac:dyDescent="0.3">
      <c r="CK3028" s="481"/>
    </row>
    <row r="3029" spans="89:89" s="299" customFormat="1" ht="12.75" customHeight="1" x14ac:dyDescent="0.3">
      <c r="CK3029" s="481"/>
    </row>
    <row r="3030" spans="89:89" s="299" customFormat="1" ht="12.75" customHeight="1" x14ac:dyDescent="0.3">
      <c r="CK3030" s="481"/>
    </row>
    <row r="3031" spans="89:89" s="299" customFormat="1" ht="12.75" customHeight="1" x14ac:dyDescent="0.3">
      <c r="CK3031" s="481"/>
    </row>
    <row r="3032" spans="89:89" s="299" customFormat="1" ht="12.75" customHeight="1" x14ac:dyDescent="0.3">
      <c r="CK3032" s="481"/>
    </row>
    <row r="3033" spans="89:89" s="299" customFormat="1" ht="12.75" customHeight="1" x14ac:dyDescent="0.3">
      <c r="CK3033" s="481"/>
    </row>
    <row r="3034" spans="89:89" s="299" customFormat="1" ht="12.75" customHeight="1" x14ac:dyDescent="0.3">
      <c r="CK3034" s="481"/>
    </row>
    <row r="3035" spans="89:89" s="299" customFormat="1" ht="12.75" customHeight="1" x14ac:dyDescent="0.3">
      <c r="CK3035" s="481"/>
    </row>
    <row r="3036" spans="89:89" s="299" customFormat="1" ht="12.75" customHeight="1" x14ac:dyDescent="0.3">
      <c r="CK3036" s="481"/>
    </row>
    <row r="3037" spans="89:89" s="299" customFormat="1" ht="12.75" customHeight="1" x14ac:dyDescent="0.3">
      <c r="CK3037" s="481"/>
    </row>
    <row r="3038" spans="89:89" s="299" customFormat="1" ht="12.75" customHeight="1" x14ac:dyDescent="0.3">
      <c r="CK3038" s="481"/>
    </row>
    <row r="3039" spans="89:89" s="299" customFormat="1" ht="12.75" customHeight="1" x14ac:dyDescent="0.3">
      <c r="CK3039" s="481"/>
    </row>
    <row r="3040" spans="89:89" s="299" customFormat="1" ht="12.75" customHeight="1" x14ac:dyDescent="0.3">
      <c r="CK3040" s="481"/>
    </row>
    <row r="3041" spans="89:89" s="299" customFormat="1" ht="12.75" customHeight="1" x14ac:dyDescent="0.3">
      <c r="CK3041" s="481"/>
    </row>
    <row r="3042" spans="89:89" s="299" customFormat="1" ht="12.75" customHeight="1" x14ac:dyDescent="0.3">
      <c r="CK3042" s="481"/>
    </row>
    <row r="3043" spans="89:89" s="299" customFormat="1" ht="12.75" customHeight="1" x14ac:dyDescent="0.3">
      <c r="CK3043" s="481"/>
    </row>
    <row r="3044" spans="89:89" s="299" customFormat="1" ht="12.75" customHeight="1" x14ac:dyDescent="0.3">
      <c r="CK3044" s="481"/>
    </row>
    <row r="3045" spans="89:89" s="299" customFormat="1" ht="12.75" customHeight="1" x14ac:dyDescent="0.3">
      <c r="CK3045" s="481"/>
    </row>
    <row r="3046" spans="89:89" s="299" customFormat="1" ht="12.75" customHeight="1" x14ac:dyDescent="0.3">
      <c r="CK3046" s="481"/>
    </row>
    <row r="3047" spans="89:89" s="299" customFormat="1" ht="12.75" customHeight="1" x14ac:dyDescent="0.3">
      <c r="CK3047" s="481"/>
    </row>
    <row r="3048" spans="89:89" s="299" customFormat="1" ht="12.75" customHeight="1" x14ac:dyDescent="0.3">
      <c r="CK3048" s="481"/>
    </row>
    <row r="3049" spans="89:89" s="299" customFormat="1" ht="12.75" customHeight="1" x14ac:dyDescent="0.3">
      <c r="CK3049" s="481"/>
    </row>
    <row r="3050" spans="89:89" s="299" customFormat="1" ht="12.75" customHeight="1" x14ac:dyDescent="0.3">
      <c r="CK3050" s="481"/>
    </row>
    <row r="3051" spans="89:89" s="299" customFormat="1" ht="12.75" customHeight="1" x14ac:dyDescent="0.3">
      <c r="CK3051" s="481"/>
    </row>
    <row r="3052" spans="89:89" s="299" customFormat="1" ht="12.75" customHeight="1" x14ac:dyDescent="0.3">
      <c r="CK3052" s="481"/>
    </row>
    <row r="3053" spans="89:89" s="299" customFormat="1" ht="12.75" customHeight="1" x14ac:dyDescent="0.3">
      <c r="CK3053" s="481"/>
    </row>
    <row r="3054" spans="89:89" s="299" customFormat="1" ht="12.75" customHeight="1" x14ac:dyDescent="0.3">
      <c r="CK3054" s="481"/>
    </row>
    <row r="3055" spans="89:89" s="299" customFormat="1" ht="12.75" customHeight="1" x14ac:dyDescent="0.3">
      <c r="CK3055" s="481"/>
    </row>
    <row r="3056" spans="89:89" s="299" customFormat="1" ht="12.75" customHeight="1" x14ac:dyDescent="0.3">
      <c r="CK3056" s="481"/>
    </row>
    <row r="3057" spans="89:89" s="299" customFormat="1" ht="12.75" customHeight="1" x14ac:dyDescent="0.3">
      <c r="CK3057" s="481"/>
    </row>
    <row r="3058" spans="89:89" s="299" customFormat="1" ht="12.75" customHeight="1" x14ac:dyDescent="0.3">
      <c r="CK3058" s="481"/>
    </row>
    <row r="3059" spans="89:89" s="299" customFormat="1" ht="12.75" customHeight="1" x14ac:dyDescent="0.3">
      <c r="CK3059" s="481"/>
    </row>
    <row r="3060" spans="89:89" s="299" customFormat="1" ht="12.75" customHeight="1" x14ac:dyDescent="0.3">
      <c r="CK3060" s="481"/>
    </row>
    <row r="3061" spans="89:89" s="299" customFormat="1" ht="12.75" customHeight="1" x14ac:dyDescent="0.3">
      <c r="CK3061" s="481"/>
    </row>
    <row r="3062" spans="89:89" s="299" customFormat="1" ht="12.75" customHeight="1" x14ac:dyDescent="0.3">
      <c r="CK3062" s="481"/>
    </row>
    <row r="3063" spans="89:89" s="299" customFormat="1" ht="12.75" customHeight="1" x14ac:dyDescent="0.3">
      <c r="CK3063" s="481"/>
    </row>
    <row r="3064" spans="89:89" s="299" customFormat="1" ht="12.75" customHeight="1" x14ac:dyDescent="0.3">
      <c r="CK3064" s="481"/>
    </row>
    <row r="3065" spans="89:89" s="299" customFormat="1" ht="12.75" customHeight="1" x14ac:dyDescent="0.3">
      <c r="CK3065" s="481"/>
    </row>
    <row r="3066" spans="89:89" s="299" customFormat="1" ht="12.75" customHeight="1" x14ac:dyDescent="0.3">
      <c r="CK3066" s="481"/>
    </row>
    <row r="3067" spans="89:89" s="299" customFormat="1" ht="12.75" customHeight="1" x14ac:dyDescent="0.3">
      <c r="CK3067" s="481"/>
    </row>
    <row r="3068" spans="89:89" s="299" customFormat="1" ht="12.75" customHeight="1" x14ac:dyDescent="0.3">
      <c r="CK3068" s="481"/>
    </row>
    <row r="3069" spans="89:89" s="299" customFormat="1" ht="12.75" customHeight="1" x14ac:dyDescent="0.3">
      <c r="CK3069" s="481"/>
    </row>
    <row r="3070" spans="89:89" s="299" customFormat="1" ht="12.75" customHeight="1" x14ac:dyDescent="0.3">
      <c r="CK3070" s="481"/>
    </row>
    <row r="3071" spans="89:89" s="299" customFormat="1" ht="12.75" customHeight="1" x14ac:dyDescent="0.3">
      <c r="CK3071" s="481"/>
    </row>
    <row r="3072" spans="89:89" s="299" customFormat="1" ht="12.75" customHeight="1" x14ac:dyDescent="0.3">
      <c r="CK3072" s="481"/>
    </row>
    <row r="3073" spans="89:89" s="299" customFormat="1" ht="12.75" customHeight="1" x14ac:dyDescent="0.3">
      <c r="CK3073" s="481"/>
    </row>
    <row r="3074" spans="89:89" s="299" customFormat="1" ht="12.75" customHeight="1" x14ac:dyDescent="0.3">
      <c r="CK3074" s="481"/>
    </row>
    <row r="3075" spans="89:89" s="299" customFormat="1" ht="12.75" customHeight="1" x14ac:dyDescent="0.3">
      <c r="CK3075" s="481"/>
    </row>
    <row r="3076" spans="89:89" s="299" customFormat="1" ht="12.75" customHeight="1" x14ac:dyDescent="0.3">
      <c r="CK3076" s="481"/>
    </row>
    <row r="3077" spans="89:89" s="299" customFormat="1" ht="12.75" customHeight="1" x14ac:dyDescent="0.3">
      <c r="CK3077" s="481"/>
    </row>
    <row r="3078" spans="89:89" s="299" customFormat="1" ht="12.75" customHeight="1" x14ac:dyDescent="0.3">
      <c r="CK3078" s="481"/>
    </row>
    <row r="3079" spans="89:89" s="299" customFormat="1" ht="12.75" customHeight="1" x14ac:dyDescent="0.3">
      <c r="CK3079" s="481"/>
    </row>
    <row r="3080" spans="89:89" s="299" customFormat="1" ht="12.75" customHeight="1" x14ac:dyDescent="0.3">
      <c r="CK3080" s="481"/>
    </row>
    <row r="3081" spans="89:89" s="299" customFormat="1" ht="12.75" customHeight="1" x14ac:dyDescent="0.3">
      <c r="CK3081" s="481"/>
    </row>
    <row r="3082" spans="89:89" s="299" customFormat="1" ht="12.75" customHeight="1" x14ac:dyDescent="0.3">
      <c r="CK3082" s="481"/>
    </row>
    <row r="3083" spans="89:89" s="299" customFormat="1" ht="12.75" customHeight="1" x14ac:dyDescent="0.3">
      <c r="CK3083" s="481"/>
    </row>
    <row r="3084" spans="89:89" s="299" customFormat="1" ht="12.75" customHeight="1" x14ac:dyDescent="0.3">
      <c r="CK3084" s="481"/>
    </row>
    <row r="3085" spans="89:89" s="299" customFormat="1" ht="12.75" customHeight="1" x14ac:dyDescent="0.3">
      <c r="CK3085" s="481"/>
    </row>
    <row r="3086" spans="89:89" s="299" customFormat="1" ht="12.75" customHeight="1" x14ac:dyDescent="0.3">
      <c r="CK3086" s="481"/>
    </row>
    <row r="3087" spans="89:89" s="299" customFormat="1" ht="12.75" customHeight="1" x14ac:dyDescent="0.3">
      <c r="CK3087" s="481"/>
    </row>
    <row r="3088" spans="89:89" s="299" customFormat="1" ht="12.75" customHeight="1" x14ac:dyDescent="0.3">
      <c r="CK3088" s="481"/>
    </row>
    <row r="3089" spans="89:89" s="299" customFormat="1" ht="12.75" customHeight="1" x14ac:dyDescent="0.3">
      <c r="CK3089" s="481"/>
    </row>
    <row r="3090" spans="89:89" s="299" customFormat="1" ht="12.75" customHeight="1" x14ac:dyDescent="0.3">
      <c r="CK3090" s="481"/>
    </row>
    <row r="3091" spans="89:89" s="299" customFormat="1" ht="12.75" customHeight="1" x14ac:dyDescent="0.3">
      <c r="CK3091" s="481"/>
    </row>
    <row r="3092" spans="89:89" s="299" customFormat="1" ht="12.75" customHeight="1" x14ac:dyDescent="0.3">
      <c r="CK3092" s="481"/>
    </row>
    <row r="3093" spans="89:89" s="299" customFormat="1" ht="12.75" customHeight="1" x14ac:dyDescent="0.3">
      <c r="CK3093" s="481"/>
    </row>
    <row r="3094" spans="89:89" s="299" customFormat="1" ht="12.75" customHeight="1" x14ac:dyDescent="0.3">
      <c r="CK3094" s="481"/>
    </row>
    <row r="3095" spans="89:89" s="299" customFormat="1" ht="12.75" customHeight="1" x14ac:dyDescent="0.3">
      <c r="CK3095" s="481"/>
    </row>
    <row r="3096" spans="89:89" s="299" customFormat="1" ht="12.75" customHeight="1" x14ac:dyDescent="0.3">
      <c r="CK3096" s="481"/>
    </row>
    <row r="3097" spans="89:89" s="299" customFormat="1" ht="12.75" customHeight="1" x14ac:dyDescent="0.3">
      <c r="CK3097" s="481"/>
    </row>
    <row r="3098" spans="89:89" s="299" customFormat="1" ht="12.75" customHeight="1" x14ac:dyDescent="0.3">
      <c r="CK3098" s="481"/>
    </row>
    <row r="3099" spans="89:89" s="299" customFormat="1" ht="12.75" customHeight="1" x14ac:dyDescent="0.3">
      <c r="CK3099" s="481"/>
    </row>
    <row r="3100" spans="89:89" s="299" customFormat="1" ht="12.75" customHeight="1" x14ac:dyDescent="0.3">
      <c r="CK3100" s="481"/>
    </row>
    <row r="3101" spans="89:89" s="299" customFormat="1" ht="12.75" customHeight="1" x14ac:dyDescent="0.3">
      <c r="CK3101" s="481"/>
    </row>
    <row r="3102" spans="89:89" s="299" customFormat="1" ht="12.75" customHeight="1" x14ac:dyDescent="0.3">
      <c r="CK3102" s="481"/>
    </row>
    <row r="3103" spans="89:89" s="299" customFormat="1" ht="12.75" customHeight="1" x14ac:dyDescent="0.3">
      <c r="CK3103" s="481"/>
    </row>
    <row r="3104" spans="89:89" s="299" customFormat="1" ht="12.75" customHeight="1" x14ac:dyDescent="0.3">
      <c r="CK3104" s="481"/>
    </row>
    <row r="3105" spans="89:89" s="299" customFormat="1" ht="12.75" customHeight="1" x14ac:dyDescent="0.3">
      <c r="CK3105" s="481"/>
    </row>
    <row r="3106" spans="89:89" s="299" customFormat="1" ht="12.75" customHeight="1" x14ac:dyDescent="0.3">
      <c r="CK3106" s="481"/>
    </row>
    <row r="3107" spans="89:89" s="299" customFormat="1" ht="12.75" customHeight="1" x14ac:dyDescent="0.3">
      <c r="CK3107" s="481"/>
    </row>
    <row r="3108" spans="89:89" s="299" customFormat="1" ht="12.75" customHeight="1" x14ac:dyDescent="0.3">
      <c r="CK3108" s="481"/>
    </row>
    <row r="3109" spans="89:89" s="299" customFormat="1" ht="12.75" customHeight="1" x14ac:dyDescent="0.3">
      <c r="CK3109" s="481"/>
    </row>
    <row r="3110" spans="89:89" s="299" customFormat="1" ht="12.75" customHeight="1" x14ac:dyDescent="0.3">
      <c r="CK3110" s="481"/>
    </row>
    <row r="3111" spans="89:89" s="299" customFormat="1" ht="12.75" customHeight="1" x14ac:dyDescent="0.3">
      <c r="CK3111" s="481"/>
    </row>
    <row r="3112" spans="89:89" s="299" customFormat="1" ht="12.75" customHeight="1" x14ac:dyDescent="0.3">
      <c r="CK3112" s="481"/>
    </row>
    <row r="3113" spans="89:89" s="299" customFormat="1" ht="12.75" customHeight="1" x14ac:dyDescent="0.3">
      <c r="CK3113" s="481"/>
    </row>
    <row r="3114" spans="89:89" s="299" customFormat="1" ht="12.75" customHeight="1" x14ac:dyDescent="0.3">
      <c r="CK3114" s="481"/>
    </row>
    <row r="3115" spans="89:89" s="299" customFormat="1" ht="12.75" customHeight="1" x14ac:dyDescent="0.3">
      <c r="CK3115" s="481"/>
    </row>
    <row r="3116" spans="89:89" s="299" customFormat="1" ht="12.75" customHeight="1" x14ac:dyDescent="0.3">
      <c r="CK3116" s="481"/>
    </row>
    <row r="3117" spans="89:89" s="299" customFormat="1" ht="12.75" customHeight="1" x14ac:dyDescent="0.3">
      <c r="CK3117" s="481"/>
    </row>
    <row r="3118" spans="89:89" s="299" customFormat="1" ht="12.75" customHeight="1" x14ac:dyDescent="0.3">
      <c r="CK3118" s="481"/>
    </row>
    <row r="3119" spans="89:89" s="299" customFormat="1" ht="12.75" customHeight="1" x14ac:dyDescent="0.3">
      <c r="CK3119" s="481"/>
    </row>
    <row r="3120" spans="89:89" s="299" customFormat="1" ht="12.75" customHeight="1" x14ac:dyDescent="0.3">
      <c r="CK3120" s="481"/>
    </row>
    <row r="3121" spans="89:89" s="299" customFormat="1" ht="12.75" customHeight="1" x14ac:dyDescent="0.3">
      <c r="CK3121" s="481"/>
    </row>
    <row r="3122" spans="89:89" s="299" customFormat="1" ht="12.75" customHeight="1" x14ac:dyDescent="0.3">
      <c r="CK3122" s="481"/>
    </row>
    <row r="3123" spans="89:89" s="299" customFormat="1" ht="12.75" customHeight="1" x14ac:dyDescent="0.3">
      <c r="CK3123" s="481"/>
    </row>
    <row r="3124" spans="89:89" s="299" customFormat="1" ht="12.75" customHeight="1" x14ac:dyDescent="0.3">
      <c r="CK3124" s="481"/>
    </row>
    <row r="3125" spans="89:89" s="299" customFormat="1" ht="12.75" customHeight="1" x14ac:dyDescent="0.3">
      <c r="CK3125" s="481"/>
    </row>
    <row r="3126" spans="89:89" s="299" customFormat="1" ht="12.75" customHeight="1" x14ac:dyDescent="0.3">
      <c r="CK3126" s="481"/>
    </row>
    <row r="3127" spans="89:89" s="299" customFormat="1" ht="12.75" customHeight="1" x14ac:dyDescent="0.3">
      <c r="CK3127" s="481"/>
    </row>
    <row r="3128" spans="89:89" s="299" customFormat="1" ht="12.75" customHeight="1" x14ac:dyDescent="0.3">
      <c r="CK3128" s="481"/>
    </row>
    <row r="3129" spans="89:89" s="299" customFormat="1" ht="12.75" customHeight="1" x14ac:dyDescent="0.3">
      <c r="CK3129" s="481"/>
    </row>
    <row r="3130" spans="89:89" s="299" customFormat="1" ht="12.75" customHeight="1" x14ac:dyDescent="0.3">
      <c r="CK3130" s="481"/>
    </row>
    <row r="3131" spans="89:89" s="299" customFormat="1" ht="12.75" customHeight="1" x14ac:dyDescent="0.3">
      <c r="CK3131" s="481"/>
    </row>
    <row r="3132" spans="89:89" s="299" customFormat="1" ht="12.75" customHeight="1" x14ac:dyDescent="0.3">
      <c r="CK3132" s="481"/>
    </row>
    <row r="3133" spans="89:89" s="299" customFormat="1" ht="12.75" customHeight="1" x14ac:dyDescent="0.3">
      <c r="CK3133" s="481"/>
    </row>
    <row r="3134" spans="89:89" s="299" customFormat="1" ht="12.75" customHeight="1" x14ac:dyDescent="0.3">
      <c r="CK3134" s="481"/>
    </row>
    <row r="3135" spans="89:89" s="299" customFormat="1" ht="12.75" customHeight="1" x14ac:dyDescent="0.3">
      <c r="CK3135" s="481"/>
    </row>
    <row r="3136" spans="89:89" s="299" customFormat="1" ht="12.75" customHeight="1" x14ac:dyDescent="0.3">
      <c r="CK3136" s="481"/>
    </row>
    <row r="3137" spans="89:89" s="299" customFormat="1" ht="12.75" customHeight="1" x14ac:dyDescent="0.3">
      <c r="CK3137" s="481"/>
    </row>
    <row r="3138" spans="89:89" s="299" customFormat="1" ht="12.75" customHeight="1" x14ac:dyDescent="0.3">
      <c r="CK3138" s="481"/>
    </row>
    <row r="3139" spans="89:89" s="299" customFormat="1" ht="12.75" customHeight="1" x14ac:dyDescent="0.3">
      <c r="CK3139" s="481"/>
    </row>
    <row r="3140" spans="89:89" s="299" customFormat="1" ht="12.75" customHeight="1" x14ac:dyDescent="0.3">
      <c r="CK3140" s="481"/>
    </row>
    <row r="3141" spans="89:89" s="299" customFormat="1" ht="12.75" customHeight="1" x14ac:dyDescent="0.3">
      <c r="CK3141" s="481"/>
    </row>
    <row r="3142" spans="89:89" s="299" customFormat="1" ht="12.75" customHeight="1" x14ac:dyDescent="0.3">
      <c r="CK3142" s="481"/>
    </row>
    <row r="3143" spans="89:89" s="299" customFormat="1" ht="12.75" customHeight="1" x14ac:dyDescent="0.3">
      <c r="CK3143" s="481"/>
    </row>
    <row r="3144" spans="89:89" s="299" customFormat="1" ht="12.75" customHeight="1" x14ac:dyDescent="0.3">
      <c r="CK3144" s="481"/>
    </row>
    <row r="3145" spans="89:89" s="299" customFormat="1" ht="12.75" customHeight="1" x14ac:dyDescent="0.3">
      <c r="CK3145" s="481"/>
    </row>
    <row r="3146" spans="89:89" s="299" customFormat="1" ht="12.75" customHeight="1" x14ac:dyDescent="0.3">
      <c r="CK3146" s="481"/>
    </row>
    <row r="3147" spans="89:89" s="299" customFormat="1" ht="12.75" customHeight="1" x14ac:dyDescent="0.3">
      <c r="CK3147" s="481"/>
    </row>
    <row r="3148" spans="89:89" s="299" customFormat="1" ht="12.75" customHeight="1" x14ac:dyDescent="0.3">
      <c r="CK3148" s="481"/>
    </row>
    <row r="3149" spans="89:89" s="299" customFormat="1" ht="12.75" customHeight="1" x14ac:dyDescent="0.3">
      <c r="CK3149" s="481"/>
    </row>
    <row r="3150" spans="89:89" s="299" customFormat="1" ht="12.75" customHeight="1" x14ac:dyDescent="0.3">
      <c r="CK3150" s="481"/>
    </row>
    <row r="3151" spans="89:89" s="299" customFormat="1" ht="12.75" customHeight="1" x14ac:dyDescent="0.3">
      <c r="CK3151" s="481"/>
    </row>
    <row r="3152" spans="89:89" s="299" customFormat="1" ht="12.75" customHeight="1" x14ac:dyDescent="0.3">
      <c r="CK3152" s="481"/>
    </row>
    <row r="3153" spans="89:89" s="299" customFormat="1" ht="12.75" customHeight="1" x14ac:dyDescent="0.3">
      <c r="CK3153" s="481"/>
    </row>
    <row r="3154" spans="89:89" s="299" customFormat="1" ht="12.75" customHeight="1" x14ac:dyDescent="0.3">
      <c r="CK3154" s="481"/>
    </row>
    <row r="3155" spans="89:89" s="299" customFormat="1" ht="12.75" customHeight="1" x14ac:dyDescent="0.3">
      <c r="CK3155" s="481"/>
    </row>
    <row r="3156" spans="89:89" s="299" customFormat="1" ht="12.75" customHeight="1" x14ac:dyDescent="0.3">
      <c r="CK3156" s="481"/>
    </row>
    <row r="3157" spans="89:89" s="299" customFormat="1" ht="12.75" customHeight="1" x14ac:dyDescent="0.3">
      <c r="CK3157" s="481"/>
    </row>
    <row r="3158" spans="89:89" s="299" customFormat="1" ht="12.75" customHeight="1" x14ac:dyDescent="0.3">
      <c r="CK3158" s="481"/>
    </row>
    <row r="3159" spans="89:89" s="299" customFormat="1" ht="12.75" customHeight="1" x14ac:dyDescent="0.3">
      <c r="CK3159" s="481"/>
    </row>
    <row r="3160" spans="89:89" s="299" customFormat="1" ht="12.75" customHeight="1" x14ac:dyDescent="0.3">
      <c r="CK3160" s="481"/>
    </row>
    <row r="3161" spans="89:89" s="299" customFormat="1" ht="12.75" customHeight="1" x14ac:dyDescent="0.3">
      <c r="CK3161" s="481"/>
    </row>
    <row r="3162" spans="89:89" s="299" customFormat="1" ht="12.75" customHeight="1" x14ac:dyDescent="0.3">
      <c r="CK3162" s="481"/>
    </row>
    <row r="3163" spans="89:89" s="299" customFormat="1" ht="12.75" customHeight="1" x14ac:dyDescent="0.3">
      <c r="CK3163" s="481"/>
    </row>
    <row r="3164" spans="89:89" s="299" customFormat="1" ht="12.75" customHeight="1" x14ac:dyDescent="0.3">
      <c r="CK3164" s="481"/>
    </row>
    <row r="3165" spans="89:89" s="299" customFormat="1" ht="12.75" customHeight="1" x14ac:dyDescent="0.3">
      <c r="CK3165" s="481"/>
    </row>
    <row r="3166" spans="89:89" s="299" customFormat="1" ht="12.75" customHeight="1" x14ac:dyDescent="0.3">
      <c r="CK3166" s="481"/>
    </row>
    <row r="3167" spans="89:89" s="299" customFormat="1" ht="12.75" customHeight="1" x14ac:dyDescent="0.3">
      <c r="CK3167" s="481"/>
    </row>
    <row r="3168" spans="89:89" s="299" customFormat="1" ht="12.75" customHeight="1" x14ac:dyDescent="0.3">
      <c r="CK3168" s="481"/>
    </row>
    <row r="3169" spans="89:89" s="299" customFormat="1" ht="12.75" customHeight="1" x14ac:dyDescent="0.3">
      <c r="CK3169" s="481"/>
    </row>
    <row r="3170" spans="89:89" s="299" customFormat="1" ht="12.75" customHeight="1" x14ac:dyDescent="0.3">
      <c r="CK3170" s="481"/>
    </row>
    <row r="3171" spans="89:89" s="299" customFormat="1" ht="12.75" customHeight="1" x14ac:dyDescent="0.3">
      <c r="CK3171" s="481"/>
    </row>
    <row r="3172" spans="89:89" s="299" customFormat="1" ht="12.75" customHeight="1" x14ac:dyDescent="0.3">
      <c r="CK3172" s="481"/>
    </row>
    <row r="3173" spans="89:89" s="299" customFormat="1" ht="12.75" customHeight="1" x14ac:dyDescent="0.3">
      <c r="CK3173" s="481"/>
    </row>
    <row r="3174" spans="89:89" s="299" customFormat="1" ht="12.75" customHeight="1" x14ac:dyDescent="0.3">
      <c r="CK3174" s="481"/>
    </row>
    <row r="3175" spans="89:89" s="299" customFormat="1" ht="12.75" customHeight="1" x14ac:dyDescent="0.3">
      <c r="CK3175" s="481"/>
    </row>
    <row r="3176" spans="89:89" s="299" customFormat="1" ht="12.75" customHeight="1" x14ac:dyDescent="0.3">
      <c r="CK3176" s="481"/>
    </row>
    <row r="3177" spans="89:89" s="299" customFormat="1" ht="12.75" customHeight="1" x14ac:dyDescent="0.3">
      <c r="CK3177" s="481"/>
    </row>
    <row r="3178" spans="89:89" s="299" customFormat="1" ht="12.75" customHeight="1" x14ac:dyDescent="0.3">
      <c r="CK3178" s="481"/>
    </row>
    <row r="3179" spans="89:89" s="299" customFormat="1" ht="12.75" customHeight="1" x14ac:dyDescent="0.3">
      <c r="CK3179" s="481"/>
    </row>
    <row r="3180" spans="89:89" s="299" customFormat="1" ht="12.75" customHeight="1" x14ac:dyDescent="0.3">
      <c r="CK3180" s="481"/>
    </row>
    <row r="3181" spans="89:89" s="299" customFormat="1" ht="12.75" customHeight="1" x14ac:dyDescent="0.3">
      <c r="CK3181" s="481"/>
    </row>
    <row r="3182" spans="89:89" s="299" customFormat="1" ht="12.75" customHeight="1" x14ac:dyDescent="0.3">
      <c r="CK3182" s="481"/>
    </row>
    <row r="3183" spans="89:89" s="299" customFormat="1" ht="12.75" customHeight="1" x14ac:dyDescent="0.3">
      <c r="CK3183" s="481"/>
    </row>
    <row r="3184" spans="89:89" s="299" customFormat="1" ht="12.75" customHeight="1" x14ac:dyDescent="0.3">
      <c r="CK3184" s="481"/>
    </row>
    <row r="3185" spans="89:89" s="299" customFormat="1" ht="12.75" customHeight="1" x14ac:dyDescent="0.3">
      <c r="CK3185" s="481"/>
    </row>
    <row r="3186" spans="89:89" s="299" customFormat="1" ht="12.75" customHeight="1" x14ac:dyDescent="0.3">
      <c r="CK3186" s="481"/>
    </row>
    <row r="3187" spans="89:89" s="299" customFormat="1" ht="12.75" customHeight="1" x14ac:dyDescent="0.3">
      <c r="CK3187" s="481"/>
    </row>
    <row r="3188" spans="89:89" s="299" customFormat="1" ht="12.75" customHeight="1" x14ac:dyDescent="0.3">
      <c r="CK3188" s="481"/>
    </row>
    <row r="3189" spans="89:89" s="299" customFormat="1" ht="12.75" customHeight="1" x14ac:dyDescent="0.3">
      <c r="CK3189" s="481"/>
    </row>
    <row r="3190" spans="89:89" s="299" customFormat="1" ht="12.75" customHeight="1" x14ac:dyDescent="0.3">
      <c r="CK3190" s="481"/>
    </row>
    <row r="3191" spans="89:89" s="299" customFormat="1" ht="12.75" customHeight="1" x14ac:dyDescent="0.3">
      <c r="CK3191" s="481"/>
    </row>
    <row r="3192" spans="89:89" s="299" customFormat="1" ht="12.75" customHeight="1" x14ac:dyDescent="0.3">
      <c r="CK3192" s="481"/>
    </row>
    <row r="3193" spans="89:89" s="299" customFormat="1" ht="12.75" customHeight="1" x14ac:dyDescent="0.3">
      <c r="CK3193" s="481"/>
    </row>
    <row r="3194" spans="89:89" s="299" customFormat="1" ht="12.75" customHeight="1" x14ac:dyDescent="0.3">
      <c r="CK3194" s="481"/>
    </row>
    <row r="3195" spans="89:89" s="299" customFormat="1" ht="12.75" customHeight="1" x14ac:dyDescent="0.3">
      <c r="CK3195" s="481"/>
    </row>
    <row r="3196" spans="89:89" s="299" customFormat="1" ht="12.75" customHeight="1" x14ac:dyDescent="0.3">
      <c r="CK3196" s="481"/>
    </row>
    <row r="3197" spans="89:89" s="299" customFormat="1" ht="12.75" customHeight="1" x14ac:dyDescent="0.3">
      <c r="CK3197" s="481"/>
    </row>
    <row r="3198" spans="89:89" s="299" customFormat="1" ht="12.75" customHeight="1" x14ac:dyDescent="0.3">
      <c r="CK3198" s="481"/>
    </row>
    <row r="3199" spans="89:89" s="299" customFormat="1" ht="12.75" customHeight="1" x14ac:dyDescent="0.3">
      <c r="CK3199" s="481"/>
    </row>
    <row r="3200" spans="89:89" s="299" customFormat="1" ht="12.75" customHeight="1" x14ac:dyDescent="0.3">
      <c r="CK3200" s="481"/>
    </row>
    <row r="3201" spans="89:89" s="299" customFormat="1" ht="12.75" customHeight="1" x14ac:dyDescent="0.3">
      <c r="CK3201" s="481"/>
    </row>
    <row r="3202" spans="89:89" s="299" customFormat="1" ht="12.75" customHeight="1" x14ac:dyDescent="0.3">
      <c r="CK3202" s="481"/>
    </row>
    <row r="3203" spans="89:89" s="299" customFormat="1" ht="12.75" customHeight="1" x14ac:dyDescent="0.3">
      <c r="CK3203" s="481"/>
    </row>
    <row r="3204" spans="89:89" s="299" customFormat="1" ht="12.75" customHeight="1" x14ac:dyDescent="0.3">
      <c r="CK3204" s="481"/>
    </row>
    <row r="3205" spans="89:89" s="299" customFormat="1" ht="12.75" customHeight="1" x14ac:dyDescent="0.3">
      <c r="CK3205" s="481"/>
    </row>
    <row r="3206" spans="89:89" s="299" customFormat="1" ht="12.75" customHeight="1" x14ac:dyDescent="0.3">
      <c r="CK3206" s="481"/>
    </row>
    <row r="3207" spans="89:89" s="299" customFormat="1" ht="12.75" customHeight="1" x14ac:dyDescent="0.3">
      <c r="CK3207" s="481"/>
    </row>
    <row r="3208" spans="89:89" s="299" customFormat="1" ht="12.75" customHeight="1" x14ac:dyDescent="0.3">
      <c r="CK3208" s="481"/>
    </row>
    <row r="3209" spans="89:89" s="299" customFormat="1" ht="12.75" customHeight="1" x14ac:dyDescent="0.3">
      <c r="CK3209" s="481"/>
    </row>
    <row r="3210" spans="89:89" s="299" customFormat="1" ht="12.75" customHeight="1" x14ac:dyDescent="0.3">
      <c r="CK3210" s="481"/>
    </row>
    <row r="3211" spans="89:89" s="299" customFormat="1" ht="12.75" customHeight="1" x14ac:dyDescent="0.3">
      <c r="CK3211" s="481"/>
    </row>
    <row r="3212" spans="89:89" s="299" customFormat="1" ht="12.75" customHeight="1" x14ac:dyDescent="0.3">
      <c r="CK3212" s="481"/>
    </row>
    <row r="3213" spans="89:89" s="299" customFormat="1" ht="12.75" customHeight="1" x14ac:dyDescent="0.3">
      <c r="CK3213" s="481"/>
    </row>
    <row r="3214" spans="89:89" s="299" customFormat="1" ht="12.75" customHeight="1" x14ac:dyDescent="0.3">
      <c r="CK3214" s="481"/>
    </row>
    <row r="3215" spans="89:89" s="299" customFormat="1" ht="12.75" customHeight="1" x14ac:dyDescent="0.3">
      <c r="CK3215" s="481"/>
    </row>
    <row r="3216" spans="89:89" s="299" customFormat="1" ht="12.75" customHeight="1" x14ac:dyDescent="0.3">
      <c r="CK3216" s="481"/>
    </row>
    <row r="3217" spans="89:89" s="299" customFormat="1" ht="12.75" customHeight="1" x14ac:dyDescent="0.3">
      <c r="CK3217" s="481"/>
    </row>
    <row r="3218" spans="89:89" s="299" customFormat="1" ht="12.75" customHeight="1" x14ac:dyDescent="0.3">
      <c r="CK3218" s="481"/>
    </row>
    <row r="3219" spans="89:89" s="299" customFormat="1" ht="12.75" customHeight="1" x14ac:dyDescent="0.3">
      <c r="CK3219" s="481"/>
    </row>
    <row r="3220" spans="89:89" s="299" customFormat="1" ht="12.75" customHeight="1" x14ac:dyDescent="0.3">
      <c r="CK3220" s="481"/>
    </row>
    <row r="3221" spans="89:89" s="299" customFormat="1" ht="12.75" customHeight="1" x14ac:dyDescent="0.3">
      <c r="CK3221" s="481"/>
    </row>
    <row r="3222" spans="89:89" s="299" customFormat="1" ht="12.75" customHeight="1" x14ac:dyDescent="0.3">
      <c r="CK3222" s="481"/>
    </row>
    <row r="3223" spans="89:89" s="299" customFormat="1" ht="12.75" customHeight="1" x14ac:dyDescent="0.3">
      <c r="CK3223" s="481"/>
    </row>
    <row r="3224" spans="89:89" s="299" customFormat="1" ht="12.75" customHeight="1" x14ac:dyDescent="0.3">
      <c r="CK3224" s="481"/>
    </row>
    <row r="3225" spans="89:89" s="299" customFormat="1" ht="12.75" customHeight="1" x14ac:dyDescent="0.3">
      <c r="CK3225" s="481"/>
    </row>
    <row r="3226" spans="89:89" s="299" customFormat="1" ht="12.75" customHeight="1" x14ac:dyDescent="0.3">
      <c r="CK3226" s="481"/>
    </row>
    <row r="3227" spans="89:89" s="299" customFormat="1" ht="12.75" customHeight="1" x14ac:dyDescent="0.3">
      <c r="CK3227" s="481"/>
    </row>
    <row r="3228" spans="89:89" s="299" customFormat="1" ht="12.75" customHeight="1" x14ac:dyDescent="0.3">
      <c r="CK3228" s="481"/>
    </row>
    <row r="3229" spans="89:89" s="299" customFormat="1" ht="12.75" customHeight="1" x14ac:dyDescent="0.3">
      <c r="CK3229" s="481"/>
    </row>
    <row r="3230" spans="89:89" s="299" customFormat="1" ht="12.75" customHeight="1" x14ac:dyDescent="0.3">
      <c r="CK3230" s="481"/>
    </row>
    <row r="3231" spans="89:89" s="299" customFormat="1" ht="12.75" customHeight="1" x14ac:dyDescent="0.3">
      <c r="CK3231" s="481"/>
    </row>
    <row r="3232" spans="89:89" s="299" customFormat="1" ht="12.75" customHeight="1" x14ac:dyDescent="0.3">
      <c r="CK3232" s="481"/>
    </row>
    <row r="3233" spans="89:89" s="299" customFormat="1" ht="12.75" customHeight="1" x14ac:dyDescent="0.3">
      <c r="CK3233" s="481"/>
    </row>
    <row r="3234" spans="89:89" s="299" customFormat="1" ht="12.75" customHeight="1" x14ac:dyDescent="0.3">
      <c r="CK3234" s="481"/>
    </row>
    <row r="3235" spans="89:89" s="299" customFormat="1" ht="12.75" customHeight="1" x14ac:dyDescent="0.3">
      <c r="CK3235" s="481"/>
    </row>
    <row r="3236" spans="89:89" s="299" customFormat="1" ht="12.75" customHeight="1" x14ac:dyDescent="0.3">
      <c r="CK3236" s="481"/>
    </row>
    <row r="3237" spans="89:89" s="299" customFormat="1" ht="12.75" customHeight="1" x14ac:dyDescent="0.3">
      <c r="CK3237" s="481"/>
    </row>
    <row r="3238" spans="89:89" s="299" customFormat="1" ht="12.75" customHeight="1" x14ac:dyDescent="0.3">
      <c r="CK3238" s="481"/>
    </row>
    <row r="3239" spans="89:89" s="299" customFormat="1" ht="12.75" customHeight="1" x14ac:dyDescent="0.3">
      <c r="CK3239" s="481"/>
    </row>
    <row r="3240" spans="89:89" s="299" customFormat="1" ht="12.75" customHeight="1" x14ac:dyDescent="0.3">
      <c r="CK3240" s="481"/>
    </row>
    <row r="3241" spans="89:89" s="299" customFormat="1" ht="12.75" customHeight="1" x14ac:dyDescent="0.3">
      <c r="CK3241" s="481"/>
    </row>
    <row r="3242" spans="89:89" s="299" customFormat="1" ht="12.75" customHeight="1" x14ac:dyDescent="0.3">
      <c r="CK3242" s="481"/>
    </row>
    <row r="3243" spans="89:89" s="299" customFormat="1" ht="12.75" customHeight="1" x14ac:dyDescent="0.3">
      <c r="CK3243" s="481"/>
    </row>
    <row r="3244" spans="89:89" s="299" customFormat="1" ht="12.75" customHeight="1" x14ac:dyDescent="0.3">
      <c r="CK3244" s="481"/>
    </row>
    <row r="3245" spans="89:89" s="299" customFormat="1" ht="12.75" customHeight="1" x14ac:dyDescent="0.3">
      <c r="CK3245" s="481"/>
    </row>
    <row r="3246" spans="89:89" s="299" customFormat="1" ht="12.75" customHeight="1" x14ac:dyDescent="0.3">
      <c r="CK3246" s="481"/>
    </row>
    <row r="3247" spans="89:89" s="299" customFormat="1" ht="12.75" customHeight="1" x14ac:dyDescent="0.3">
      <c r="CK3247" s="481"/>
    </row>
    <row r="3248" spans="89:89" s="299" customFormat="1" ht="12.75" customHeight="1" x14ac:dyDescent="0.3">
      <c r="CK3248" s="481"/>
    </row>
    <row r="3249" spans="89:89" s="299" customFormat="1" ht="12.75" customHeight="1" x14ac:dyDescent="0.3">
      <c r="CK3249" s="481"/>
    </row>
    <row r="3250" spans="89:89" s="299" customFormat="1" ht="12.75" customHeight="1" x14ac:dyDescent="0.3">
      <c r="CK3250" s="481"/>
    </row>
    <row r="3251" spans="89:89" s="299" customFormat="1" ht="12.75" customHeight="1" x14ac:dyDescent="0.3">
      <c r="CK3251" s="481"/>
    </row>
    <row r="3252" spans="89:89" s="299" customFormat="1" ht="12.75" customHeight="1" x14ac:dyDescent="0.3">
      <c r="CK3252" s="481"/>
    </row>
    <row r="3253" spans="89:89" s="299" customFormat="1" ht="12.75" customHeight="1" x14ac:dyDescent="0.3">
      <c r="CK3253" s="481"/>
    </row>
    <row r="3254" spans="89:89" s="299" customFormat="1" ht="12.75" customHeight="1" x14ac:dyDescent="0.3">
      <c r="CK3254" s="481"/>
    </row>
    <row r="3255" spans="89:89" s="299" customFormat="1" ht="12.75" customHeight="1" x14ac:dyDescent="0.3">
      <c r="CK3255" s="481"/>
    </row>
    <row r="3256" spans="89:89" s="299" customFormat="1" ht="12.75" customHeight="1" x14ac:dyDescent="0.3">
      <c r="CK3256" s="481"/>
    </row>
    <row r="3257" spans="89:89" s="299" customFormat="1" ht="12.75" customHeight="1" x14ac:dyDescent="0.3">
      <c r="CK3257" s="481"/>
    </row>
    <row r="3258" spans="89:89" s="299" customFormat="1" ht="12.75" customHeight="1" x14ac:dyDescent="0.3">
      <c r="CK3258" s="481"/>
    </row>
    <row r="3259" spans="89:89" s="299" customFormat="1" ht="12.75" customHeight="1" x14ac:dyDescent="0.3">
      <c r="CK3259" s="481"/>
    </row>
    <row r="3260" spans="89:89" s="299" customFormat="1" ht="12.75" customHeight="1" x14ac:dyDescent="0.3">
      <c r="CK3260" s="481"/>
    </row>
    <row r="3261" spans="89:89" s="299" customFormat="1" ht="12.75" customHeight="1" x14ac:dyDescent="0.3">
      <c r="CK3261" s="481"/>
    </row>
    <row r="3262" spans="89:89" s="299" customFormat="1" ht="12.75" customHeight="1" x14ac:dyDescent="0.3">
      <c r="CK3262" s="481"/>
    </row>
    <row r="3263" spans="89:89" s="299" customFormat="1" ht="12.75" customHeight="1" x14ac:dyDescent="0.3">
      <c r="CK3263" s="481"/>
    </row>
    <row r="3264" spans="89:89" s="299" customFormat="1" ht="12.75" customHeight="1" x14ac:dyDescent="0.3">
      <c r="CK3264" s="481"/>
    </row>
    <row r="3265" spans="89:89" s="299" customFormat="1" ht="12.75" customHeight="1" x14ac:dyDescent="0.3">
      <c r="CK3265" s="481"/>
    </row>
    <row r="3266" spans="89:89" s="299" customFormat="1" ht="12.75" customHeight="1" x14ac:dyDescent="0.3">
      <c r="CK3266" s="481"/>
    </row>
    <row r="3267" spans="89:89" s="299" customFormat="1" ht="12.75" customHeight="1" x14ac:dyDescent="0.3">
      <c r="CK3267" s="481"/>
    </row>
    <row r="3268" spans="89:89" s="299" customFormat="1" ht="12.75" customHeight="1" x14ac:dyDescent="0.3">
      <c r="CK3268" s="481"/>
    </row>
    <row r="3269" spans="89:89" s="299" customFormat="1" ht="12.75" customHeight="1" x14ac:dyDescent="0.3">
      <c r="CK3269" s="481"/>
    </row>
    <row r="3270" spans="89:89" s="299" customFormat="1" ht="12.75" customHeight="1" x14ac:dyDescent="0.3">
      <c r="CK3270" s="481"/>
    </row>
    <row r="3271" spans="89:89" s="299" customFormat="1" ht="12.75" customHeight="1" x14ac:dyDescent="0.3">
      <c r="CK3271" s="481"/>
    </row>
    <row r="3272" spans="89:89" s="299" customFormat="1" ht="12.75" customHeight="1" x14ac:dyDescent="0.3">
      <c r="CK3272" s="481"/>
    </row>
    <row r="3273" spans="89:89" s="299" customFormat="1" ht="12.75" customHeight="1" x14ac:dyDescent="0.3">
      <c r="CK3273" s="481"/>
    </row>
    <row r="3274" spans="89:89" s="299" customFormat="1" ht="12.75" customHeight="1" x14ac:dyDescent="0.3">
      <c r="CK3274" s="481"/>
    </row>
    <row r="3275" spans="89:89" s="299" customFormat="1" ht="12.75" customHeight="1" x14ac:dyDescent="0.3">
      <c r="CK3275" s="481"/>
    </row>
    <row r="3276" spans="89:89" s="299" customFormat="1" ht="12.75" customHeight="1" x14ac:dyDescent="0.3">
      <c r="CK3276" s="481"/>
    </row>
    <row r="3277" spans="89:89" s="299" customFormat="1" ht="12.75" customHeight="1" x14ac:dyDescent="0.3">
      <c r="CK3277" s="481"/>
    </row>
    <row r="3278" spans="89:89" s="299" customFormat="1" ht="12.75" customHeight="1" x14ac:dyDescent="0.3">
      <c r="CK3278" s="481"/>
    </row>
    <row r="3279" spans="89:89" s="299" customFormat="1" ht="12.75" customHeight="1" x14ac:dyDescent="0.3">
      <c r="CK3279" s="481"/>
    </row>
    <row r="3280" spans="89:89" s="299" customFormat="1" ht="12.75" customHeight="1" x14ac:dyDescent="0.3">
      <c r="CK3280" s="481"/>
    </row>
    <row r="3281" spans="89:89" s="299" customFormat="1" ht="12.75" customHeight="1" x14ac:dyDescent="0.3">
      <c r="CK3281" s="481"/>
    </row>
    <row r="3282" spans="89:89" s="299" customFormat="1" ht="12.75" customHeight="1" x14ac:dyDescent="0.3">
      <c r="CK3282" s="481"/>
    </row>
    <row r="3283" spans="89:89" s="299" customFormat="1" ht="12.75" customHeight="1" x14ac:dyDescent="0.3">
      <c r="CK3283" s="481"/>
    </row>
    <row r="3284" spans="89:89" s="299" customFormat="1" ht="12.75" customHeight="1" x14ac:dyDescent="0.3">
      <c r="CK3284" s="481"/>
    </row>
    <row r="3285" spans="89:89" s="299" customFormat="1" ht="12.75" customHeight="1" x14ac:dyDescent="0.3">
      <c r="CK3285" s="481"/>
    </row>
    <row r="3286" spans="89:89" s="299" customFormat="1" ht="12.75" customHeight="1" x14ac:dyDescent="0.3">
      <c r="CK3286" s="481"/>
    </row>
    <row r="3287" spans="89:89" s="299" customFormat="1" ht="12.75" customHeight="1" x14ac:dyDescent="0.3">
      <c r="CK3287" s="481"/>
    </row>
    <row r="3288" spans="89:89" s="299" customFormat="1" ht="12.75" customHeight="1" x14ac:dyDescent="0.3">
      <c r="CK3288" s="481"/>
    </row>
    <row r="3289" spans="89:89" s="299" customFormat="1" ht="12.75" customHeight="1" x14ac:dyDescent="0.3">
      <c r="CK3289" s="481"/>
    </row>
    <row r="3290" spans="89:89" s="299" customFormat="1" ht="12.75" customHeight="1" x14ac:dyDescent="0.3">
      <c r="CK3290" s="481"/>
    </row>
    <row r="3291" spans="89:89" s="299" customFormat="1" ht="12.75" customHeight="1" x14ac:dyDescent="0.3">
      <c r="CK3291" s="481"/>
    </row>
    <row r="3292" spans="89:89" s="299" customFormat="1" ht="12.75" customHeight="1" x14ac:dyDescent="0.3">
      <c r="CK3292" s="481"/>
    </row>
    <row r="3293" spans="89:89" s="299" customFormat="1" ht="12.75" customHeight="1" x14ac:dyDescent="0.3">
      <c r="CK3293" s="481"/>
    </row>
    <row r="3294" spans="89:89" s="299" customFormat="1" ht="12.75" customHeight="1" x14ac:dyDescent="0.3">
      <c r="CK3294" s="481"/>
    </row>
    <row r="3295" spans="89:89" s="299" customFormat="1" ht="12.75" customHeight="1" x14ac:dyDescent="0.3">
      <c r="CK3295" s="481"/>
    </row>
    <row r="3296" spans="89:89" s="299" customFormat="1" ht="12.75" customHeight="1" x14ac:dyDescent="0.3">
      <c r="CK3296" s="481"/>
    </row>
    <row r="3297" spans="89:89" s="299" customFormat="1" ht="12.75" customHeight="1" x14ac:dyDescent="0.3">
      <c r="CK3297" s="481"/>
    </row>
    <row r="3298" spans="89:89" s="299" customFormat="1" ht="12.75" customHeight="1" x14ac:dyDescent="0.3">
      <c r="CK3298" s="481"/>
    </row>
    <row r="3299" spans="89:89" s="299" customFormat="1" ht="12.75" customHeight="1" x14ac:dyDescent="0.3">
      <c r="CK3299" s="481"/>
    </row>
    <row r="3300" spans="89:89" s="299" customFormat="1" ht="12.75" customHeight="1" x14ac:dyDescent="0.3">
      <c r="CK3300" s="481"/>
    </row>
    <row r="3301" spans="89:89" s="299" customFormat="1" ht="12.75" customHeight="1" x14ac:dyDescent="0.3">
      <c r="CK3301" s="481"/>
    </row>
    <row r="3302" spans="89:89" s="299" customFormat="1" ht="12.75" customHeight="1" x14ac:dyDescent="0.3">
      <c r="CK3302" s="481"/>
    </row>
    <row r="3303" spans="89:89" s="299" customFormat="1" ht="12.75" customHeight="1" x14ac:dyDescent="0.3">
      <c r="CK3303" s="481"/>
    </row>
    <row r="3304" spans="89:89" s="299" customFormat="1" ht="12.75" customHeight="1" x14ac:dyDescent="0.3">
      <c r="CK3304" s="481"/>
    </row>
    <row r="3305" spans="89:89" s="299" customFormat="1" ht="12.75" customHeight="1" x14ac:dyDescent="0.3">
      <c r="CK3305" s="481"/>
    </row>
    <row r="3306" spans="89:89" s="299" customFormat="1" ht="12.75" customHeight="1" x14ac:dyDescent="0.3">
      <c r="CK3306" s="481"/>
    </row>
    <row r="3307" spans="89:89" s="299" customFormat="1" ht="12.75" customHeight="1" x14ac:dyDescent="0.3">
      <c r="CK3307" s="481"/>
    </row>
    <row r="3308" spans="89:89" s="299" customFormat="1" ht="12.75" customHeight="1" x14ac:dyDescent="0.3">
      <c r="CK3308" s="481"/>
    </row>
    <row r="3309" spans="89:89" s="299" customFormat="1" ht="12.75" customHeight="1" x14ac:dyDescent="0.3">
      <c r="CK3309" s="481"/>
    </row>
    <row r="3310" spans="89:89" s="299" customFormat="1" ht="12.75" customHeight="1" x14ac:dyDescent="0.3">
      <c r="CK3310" s="481"/>
    </row>
    <row r="3311" spans="89:89" s="299" customFormat="1" ht="12.75" customHeight="1" x14ac:dyDescent="0.3">
      <c r="CK3311" s="481"/>
    </row>
    <row r="3312" spans="89:89" s="299" customFormat="1" ht="12.75" customHeight="1" x14ac:dyDescent="0.3">
      <c r="CK3312" s="481"/>
    </row>
    <row r="3313" spans="89:89" s="299" customFormat="1" ht="12.75" customHeight="1" x14ac:dyDescent="0.3">
      <c r="CK3313" s="481"/>
    </row>
    <row r="3314" spans="89:89" s="299" customFormat="1" ht="12.75" customHeight="1" x14ac:dyDescent="0.3">
      <c r="CK3314" s="481"/>
    </row>
    <row r="3315" spans="89:89" s="299" customFormat="1" ht="12.75" customHeight="1" x14ac:dyDescent="0.3">
      <c r="CK3315" s="481"/>
    </row>
    <row r="3316" spans="89:89" s="299" customFormat="1" ht="12.75" customHeight="1" x14ac:dyDescent="0.3">
      <c r="CK3316" s="481"/>
    </row>
    <row r="3317" spans="89:89" s="299" customFormat="1" ht="12.75" customHeight="1" x14ac:dyDescent="0.3">
      <c r="CK3317" s="481"/>
    </row>
    <row r="3318" spans="89:89" s="299" customFormat="1" ht="12.75" customHeight="1" x14ac:dyDescent="0.3">
      <c r="CK3318" s="481"/>
    </row>
    <row r="3319" spans="89:89" s="299" customFormat="1" ht="12.75" customHeight="1" x14ac:dyDescent="0.3">
      <c r="CK3319" s="481"/>
    </row>
    <row r="3320" spans="89:89" s="299" customFormat="1" ht="12.75" customHeight="1" x14ac:dyDescent="0.3">
      <c r="CK3320" s="481"/>
    </row>
    <row r="3321" spans="89:89" s="299" customFormat="1" ht="12.75" customHeight="1" x14ac:dyDescent="0.3">
      <c r="CK3321" s="481"/>
    </row>
    <row r="3322" spans="89:89" s="299" customFormat="1" ht="12.75" customHeight="1" x14ac:dyDescent="0.3">
      <c r="CK3322" s="481"/>
    </row>
    <row r="3323" spans="89:89" s="299" customFormat="1" ht="12.75" customHeight="1" x14ac:dyDescent="0.3">
      <c r="CK3323" s="481"/>
    </row>
    <row r="3324" spans="89:89" s="299" customFormat="1" ht="12.75" customHeight="1" x14ac:dyDescent="0.3">
      <c r="CK3324" s="481"/>
    </row>
    <row r="3325" spans="89:89" s="299" customFormat="1" ht="12.75" customHeight="1" x14ac:dyDescent="0.3">
      <c r="CK3325" s="481"/>
    </row>
    <row r="3326" spans="89:89" s="299" customFormat="1" ht="12.75" customHeight="1" x14ac:dyDescent="0.3">
      <c r="CK3326" s="481"/>
    </row>
    <row r="3327" spans="89:89" s="299" customFormat="1" ht="12.75" customHeight="1" x14ac:dyDescent="0.3">
      <c r="CK3327" s="481"/>
    </row>
    <row r="3328" spans="89:89" s="299" customFormat="1" ht="12.75" customHeight="1" x14ac:dyDescent="0.3">
      <c r="CK3328" s="481"/>
    </row>
    <row r="3329" spans="89:89" s="299" customFormat="1" ht="12.75" customHeight="1" x14ac:dyDescent="0.3">
      <c r="CK3329" s="481"/>
    </row>
    <row r="3330" spans="89:89" s="299" customFormat="1" ht="12.75" customHeight="1" x14ac:dyDescent="0.3">
      <c r="CK3330" s="481"/>
    </row>
    <row r="3331" spans="89:89" s="299" customFormat="1" ht="12.75" customHeight="1" x14ac:dyDescent="0.3">
      <c r="CK3331" s="481"/>
    </row>
    <row r="3332" spans="89:89" s="299" customFormat="1" ht="12.75" customHeight="1" x14ac:dyDescent="0.3">
      <c r="CK3332" s="481"/>
    </row>
    <row r="3333" spans="89:89" s="299" customFormat="1" ht="12.75" customHeight="1" x14ac:dyDescent="0.3">
      <c r="CK3333" s="481"/>
    </row>
    <row r="3334" spans="89:89" s="299" customFormat="1" ht="12.75" customHeight="1" x14ac:dyDescent="0.3">
      <c r="CK3334" s="481"/>
    </row>
    <row r="3335" spans="89:89" s="299" customFormat="1" ht="12.75" customHeight="1" x14ac:dyDescent="0.3">
      <c r="CK3335" s="481"/>
    </row>
    <row r="3336" spans="89:89" s="299" customFormat="1" ht="12.75" customHeight="1" x14ac:dyDescent="0.3">
      <c r="CK3336" s="481"/>
    </row>
    <row r="3337" spans="89:89" s="299" customFormat="1" ht="12.75" customHeight="1" x14ac:dyDescent="0.3">
      <c r="CK3337" s="481"/>
    </row>
    <row r="3338" spans="89:89" s="299" customFormat="1" ht="12.75" customHeight="1" x14ac:dyDescent="0.3">
      <c r="CK3338" s="481"/>
    </row>
    <row r="3339" spans="89:89" s="299" customFormat="1" ht="12.75" customHeight="1" x14ac:dyDescent="0.3">
      <c r="CK3339" s="481"/>
    </row>
    <row r="3340" spans="89:89" s="299" customFormat="1" ht="12.75" customHeight="1" x14ac:dyDescent="0.3">
      <c r="CK3340" s="481"/>
    </row>
    <row r="3341" spans="89:89" s="299" customFormat="1" ht="12.75" customHeight="1" x14ac:dyDescent="0.3">
      <c r="CK3341" s="481"/>
    </row>
    <row r="3342" spans="89:89" s="299" customFormat="1" ht="12.75" customHeight="1" x14ac:dyDescent="0.3">
      <c r="CK3342" s="481"/>
    </row>
    <row r="3343" spans="89:89" s="299" customFormat="1" ht="12.75" customHeight="1" x14ac:dyDescent="0.3">
      <c r="CK3343" s="481"/>
    </row>
    <row r="3344" spans="89:89" s="299" customFormat="1" ht="12.75" customHeight="1" x14ac:dyDescent="0.3">
      <c r="CK3344" s="481"/>
    </row>
    <row r="3345" spans="89:89" s="299" customFormat="1" ht="12.75" customHeight="1" x14ac:dyDescent="0.3">
      <c r="CK3345" s="481"/>
    </row>
    <row r="3346" spans="89:89" s="299" customFormat="1" ht="12.75" customHeight="1" x14ac:dyDescent="0.3">
      <c r="CK3346" s="481"/>
    </row>
    <row r="3347" spans="89:89" s="299" customFormat="1" ht="12.75" customHeight="1" x14ac:dyDescent="0.3">
      <c r="CK3347" s="481"/>
    </row>
    <row r="3348" spans="89:89" s="299" customFormat="1" ht="12.75" customHeight="1" x14ac:dyDescent="0.3">
      <c r="CK3348" s="481"/>
    </row>
    <row r="3349" spans="89:89" s="299" customFormat="1" ht="12.75" customHeight="1" x14ac:dyDescent="0.3">
      <c r="CK3349" s="481"/>
    </row>
    <row r="3350" spans="89:89" s="299" customFormat="1" ht="12.75" customHeight="1" x14ac:dyDescent="0.3">
      <c r="CK3350" s="481"/>
    </row>
    <row r="3351" spans="89:89" s="299" customFormat="1" ht="12.75" customHeight="1" x14ac:dyDescent="0.3">
      <c r="CK3351" s="481"/>
    </row>
    <row r="3352" spans="89:89" s="299" customFormat="1" ht="12.75" customHeight="1" x14ac:dyDescent="0.3">
      <c r="CK3352" s="481"/>
    </row>
    <row r="3353" spans="89:89" s="299" customFormat="1" ht="12.75" customHeight="1" x14ac:dyDescent="0.3">
      <c r="CK3353" s="481"/>
    </row>
    <row r="3354" spans="89:89" s="299" customFormat="1" ht="12.75" customHeight="1" x14ac:dyDescent="0.3">
      <c r="CK3354" s="481"/>
    </row>
    <row r="3355" spans="89:89" s="299" customFormat="1" ht="12.75" customHeight="1" x14ac:dyDescent="0.3">
      <c r="CK3355" s="481"/>
    </row>
    <row r="3356" spans="89:89" s="299" customFormat="1" ht="12.75" customHeight="1" x14ac:dyDescent="0.3">
      <c r="CK3356" s="481"/>
    </row>
    <row r="3357" spans="89:89" s="299" customFormat="1" ht="12.75" customHeight="1" x14ac:dyDescent="0.3">
      <c r="CK3357" s="481"/>
    </row>
    <row r="3358" spans="89:89" s="299" customFormat="1" ht="12.75" customHeight="1" x14ac:dyDescent="0.3">
      <c r="CK3358" s="481"/>
    </row>
    <row r="3359" spans="89:89" s="299" customFormat="1" ht="12.75" customHeight="1" x14ac:dyDescent="0.3">
      <c r="CK3359" s="481"/>
    </row>
    <row r="3360" spans="89:89" s="299" customFormat="1" ht="12.75" customHeight="1" x14ac:dyDescent="0.3">
      <c r="CK3360" s="481"/>
    </row>
    <row r="3361" spans="89:89" s="299" customFormat="1" ht="12.75" customHeight="1" x14ac:dyDescent="0.3">
      <c r="CK3361" s="481"/>
    </row>
    <row r="3362" spans="89:89" s="299" customFormat="1" ht="12.75" customHeight="1" x14ac:dyDescent="0.3">
      <c r="CK3362" s="481"/>
    </row>
    <row r="3363" spans="89:89" s="299" customFormat="1" ht="12.75" customHeight="1" x14ac:dyDescent="0.3">
      <c r="CK3363" s="481"/>
    </row>
    <row r="3364" spans="89:89" s="299" customFormat="1" ht="12.75" customHeight="1" x14ac:dyDescent="0.3">
      <c r="CK3364" s="481"/>
    </row>
    <row r="3365" spans="89:89" s="299" customFormat="1" ht="12.75" customHeight="1" x14ac:dyDescent="0.3">
      <c r="CK3365" s="481"/>
    </row>
    <row r="3366" spans="89:89" s="299" customFormat="1" ht="12.75" customHeight="1" x14ac:dyDescent="0.3">
      <c r="CK3366" s="481"/>
    </row>
    <row r="3367" spans="89:89" s="299" customFormat="1" ht="12.75" customHeight="1" x14ac:dyDescent="0.3">
      <c r="CK3367" s="481"/>
    </row>
    <row r="3368" spans="89:89" s="299" customFormat="1" ht="12.75" customHeight="1" x14ac:dyDescent="0.3">
      <c r="CK3368" s="481"/>
    </row>
    <row r="3369" spans="89:89" s="299" customFormat="1" ht="12.75" customHeight="1" x14ac:dyDescent="0.3">
      <c r="CK3369" s="481"/>
    </row>
    <row r="3370" spans="89:89" s="299" customFormat="1" ht="12.75" customHeight="1" x14ac:dyDescent="0.3">
      <c r="CK3370" s="481"/>
    </row>
    <row r="3371" spans="89:89" s="299" customFormat="1" ht="12.75" customHeight="1" x14ac:dyDescent="0.3">
      <c r="CK3371" s="481"/>
    </row>
    <row r="3372" spans="89:89" s="299" customFormat="1" ht="12.75" customHeight="1" x14ac:dyDescent="0.3">
      <c r="CK3372" s="481"/>
    </row>
    <row r="3373" spans="89:89" s="299" customFormat="1" ht="12.75" customHeight="1" x14ac:dyDescent="0.3">
      <c r="CK3373" s="481"/>
    </row>
    <row r="3374" spans="89:89" s="299" customFormat="1" ht="12.75" customHeight="1" x14ac:dyDescent="0.3">
      <c r="CK3374" s="481"/>
    </row>
    <row r="3375" spans="89:89" s="299" customFormat="1" ht="12.75" customHeight="1" x14ac:dyDescent="0.3">
      <c r="CK3375" s="481"/>
    </row>
    <row r="3376" spans="89:89" s="299" customFormat="1" ht="12.75" customHeight="1" x14ac:dyDescent="0.3">
      <c r="CK3376" s="481"/>
    </row>
    <row r="3377" spans="89:89" s="299" customFormat="1" ht="12.75" customHeight="1" x14ac:dyDescent="0.3">
      <c r="CK3377" s="481"/>
    </row>
    <row r="3378" spans="89:89" s="299" customFormat="1" ht="12.75" customHeight="1" x14ac:dyDescent="0.3">
      <c r="CK3378" s="481"/>
    </row>
    <row r="3379" spans="89:89" s="299" customFormat="1" ht="12.75" customHeight="1" x14ac:dyDescent="0.3">
      <c r="CK3379" s="481"/>
    </row>
    <row r="3380" spans="89:89" s="299" customFormat="1" ht="12.75" customHeight="1" x14ac:dyDescent="0.3">
      <c r="CK3380" s="481"/>
    </row>
    <row r="3381" spans="89:89" s="299" customFormat="1" ht="12.75" customHeight="1" x14ac:dyDescent="0.3">
      <c r="CK3381" s="481"/>
    </row>
    <row r="3382" spans="89:89" s="299" customFormat="1" ht="12.75" customHeight="1" x14ac:dyDescent="0.3">
      <c r="CK3382" s="481"/>
    </row>
    <row r="3383" spans="89:89" s="299" customFormat="1" ht="12.75" customHeight="1" x14ac:dyDescent="0.3">
      <c r="CK3383" s="481"/>
    </row>
    <row r="3384" spans="89:89" s="299" customFormat="1" ht="12.75" customHeight="1" x14ac:dyDescent="0.3">
      <c r="CK3384" s="481"/>
    </row>
    <row r="3385" spans="89:89" s="299" customFormat="1" ht="12.75" customHeight="1" x14ac:dyDescent="0.3">
      <c r="CK3385" s="481"/>
    </row>
    <row r="3386" spans="89:89" s="299" customFormat="1" ht="12.75" customHeight="1" x14ac:dyDescent="0.3">
      <c r="CK3386" s="481"/>
    </row>
    <row r="3387" spans="89:89" s="299" customFormat="1" ht="12.75" customHeight="1" x14ac:dyDescent="0.3">
      <c r="CK3387" s="481"/>
    </row>
    <row r="3388" spans="89:89" s="299" customFormat="1" ht="12.75" customHeight="1" x14ac:dyDescent="0.3">
      <c r="CK3388" s="481"/>
    </row>
    <row r="3389" spans="89:89" s="299" customFormat="1" ht="12.75" customHeight="1" x14ac:dyDescent="0.3">
      <c r="CK3389" s="481"/>
    </row>
    <row r="3390" spans="89:89" s="299" customFormat="1" ht="12.75" customHeight="1" x14ac:dyDescent="0.3">
      <c r="CK3390" s="481"/>
    </row>
    <row r="3391" spans="89:89" s="299" customFormat="1" ht="12.75" customHeight="1" x14ac:dyDescent="0.3">
      <c r="CK3391" s="481"/>
    </row>
    <row r="3392" spans="89:89" s="299" customFormat="1" ht="12.75" customHeight="1" x14ac:dyDescent="0.3">
      <c r="CK3392" s="481"/>
    </row>
    <row r="3393" spans="89:89" s="299" customFormat="1" ht="12.75" customHeight="1" x14ac:dyDescent="0.3">
      <c r="CK3393" s="481"/>
    </row>
    <row r="3394" spans="89:89" s="299" customFormat="1" ht="12.75" customHeight="1" x14ac:dyDescent="0.3">
      <c r="CK3394" s="481"/>
    </row>
    <row r="3395" spans="89:89" s="299" customFormat="1" ht="12.75" customHeight="1" x14ac:dyDescent="0.3">
      <c r="CK3395" s="481"/>
    </row>
    <row r="3396" spans="89:89" s="299" customFormat="1" ht="12.75" customHeight="1" x14ac:dyDescent="0.3">
      <c r="CK3396" s="481"/>
    </row>
    <row r="3397" spans="89:89" s="299" customFormat="1" ht="12.75" customHeight="1" x14ac:dyDescent="0.3">
      <c r="CK3397" s="481"/>
    </row>
    <row r="3398" spans="89:89" s="299" customFormat="1" ht="12.75" customHeight="1" x14ac:dyDescent="0.3">
      <c r="CK3398" s="481"/>
    </row>
    <row r="3399" spans="89:89" s="299" customFormat="1" ht="12.75" customHeight="1" x14ac:dyDescent="0.3">
      <c r="CK3399" s="481"/>
    </row>
    <row r="3400" spans="89:89" s="299" customFormat="1" ht="12.75" customHeight="1" x14ac:dyDescent="0.3">
      <c r="CK3400" s="481"/>
    </row>
    <row r="3401" spans="89:89" s="299" customFormat="1" ht="12.75" customHeight="1" x14ac:dyDescent="0.3">
      <c r="CK3401" s="481"/>
    </row>
    <row r="3402" spans="89:89" s="299" customFormat="1" ht="12.75" customHeight="1" x14ac:dyDescent="0.3">
      <c r="CK3402" s="481"/>
    </row>
    <row r="3403" spans="89:89" s="299" customFormat="1" ht="12.75" customHeight="1" x14ac:dyDescent="0.3">
      <c r="CK3403" s="481"/>
    </row>
    <row r="3404" spans="89:89" s="299" customFormat="1" ht="12.75" customHeight="1" x14ac:dyDescent="0.3">
      <c r="CK3404" s="481"/>
    </row>
    <row r="3405" spans="89:89" s="299" customFormat="1" ht="12.75" customHeight="1" x14ac:dyDescent="0.3">
      <c r="CK3405" s="481"/>
    </row>
    <row r="3406" spans="89:89" s="299" customFormat="1" ht="12.75" customHeight="1" x14ac:dyDescent="0.3">
      <c r="CK3406" s="481"/>
    </row>
    <row r="3407" spans="89:89" s="299" customFormat="1" ht="12.75" customHeight="1" x14ac:dyDescent="0.3">
      <c r="CK3407" s="481"/>
    </row>
    <row r="3408" spans="89:89" s="299" customFormat="1" ht="12.75" customHeight="1" x14ac:dyDescent="0.3">
      <c r="CK3408" s="481"/>
    </row>
    <row r="3409" spans="89:89" s="299" customFormat="1" ht="12.75" customHeight="1" x14ac:dyDescent="0.3">
      <c r="CK3409" s="481"/>
    </row>
    <row r="3410" spans="89:89" s="299" customFormat="1" ht="12.75" customHeight="1" x14ac:dyDescent="0.3">
      <c r="CK3410" s="481"/>
    </row>
    <row r="3411" spans="89:89" s="299" customFormat="1" ht="12.75" customHeight="1" x14ac:dyDescent="0.3">
      <c r="CK3411" s="481"/>
    </row>
    <row r="3412" spans="89:89" s="299" customFormat="1" ht="12.75" customHeight="1" x14ac:dyDescent="0.3">
      <c r="CK3412" s="481"/>
    </row>
    <row r="3413" spans="89:89" s="299" customFormat="1" ht="12.75" customHeight="1" x14ac:dyDescent="0.3">
      <c r="CK3413" s="481"/>
    </row>
    <row r="3414" spans="89:89" s="299" customFormat="1" ht="12.75" customHeight="1" x14ac:dyDescent="0.3">
      <c r="CK3414" s="481"/>
    </row>
    <row r="3415" spans="89:89" s="299" customFormat="1" ht="12.75" customHeight="1" x14ac:dyDescent="0.3">
      <c r="CK3415" s="481"/>
    </row>
    <row r="3416" spans="89:89" s="299" customFormat="1" ht="12.75" customHeight="1" x14ac:dyDescent="0.3">
      <c r="CK3416" s="481"/>
    </row>
    <row r="3417" spans="89:89" s="299" customFormat="1" ht="12.75" customHeight="1" x14ac:dyDescent="0.3">
      <c r="CK3417" s="481"/>
    </row>
    <row r="3418" spans="89:89" s="299" customFormat="1" ht="12.75" customHeight="1" x14ac:dyDescent="0.3">
      <c r="CK3418" s="481"/>
    </row>
    <row r="3419" spans="89:89" s="299" customFormat="1" ht="12.75" customHeight="1" x14ac:dyDescent="0.3">
      <c r="CK3419" s="481"/>
    </row>
    <row r="3420" spans="89:89" s="299" customFormat="1" ht="12.75" customHeight="1" x14ac:dyDescent="0.3">
      <c r="CK3420" s="481"/>
    </row>
    <row r="3421" spans="89:89" s="299" customFormat="1" ht="12.75" customHeight="1" x14ac:dyDescent="0.3">
      <c r="CK3421" s="481"/>
    </row>
    <row r="3422" spans="89:89" s="299" customFormat="1" ht="12.75" customHeight="1" x14ac:dyDescent="0.3">
      <c r="CK3422" s="481"/>
    </row>
    <row r="3423" spans="89:89" s="299" customFormat="1" ht="12.75" customHeight="1" x14ac:dyDescent="0.3">
      <c r="CK3423" s="481"/>
    </row>
    <row r="3424" spans="89:89" s="299" customFormat="1" ht="12.75" customHeight="1" x14ac:dyDescent="0.3">
      <c r="CK3424" s="481"/>
    </row>
    <row r="3425" spans="89:89" s="299" customFormat="1" ht="12.75" customHeight="1" x14ac:dyDescent="0.3">
      <c r="CK3425" s="481"/>
    </row>
    <row r="3426" spans="89:89" s="299" customFormat="1" ht="12.75" customHeight="1" x14ac:dyDescent="0.3">
      <c r="CK3426" s="481"/>
    </row>
    <row r="3427" spans="89:89" s="299" customFormat="1" ht="12.75" customHeight="1" x14ac:dyDescent="0.3">
      <c r="CK3427" s="481"/>
    </row>
    <row r="3428" spans="89:89" s="299" customFormat="1" ht="12.75" customHeight="1" x14ac:dyDescent="0.3">
      <c r="CK3428" s="481"/>
    </row>
    <row r="3429" spans="89:89" s="299" customFormat="1" ht="12.75" customHeight="1" x14ac:dyDescent="0.3">
      <c r="CK3429" s="481"/>
    </row>
    <row r="3430" spans="89:89" s="299" customFormat="1" ht="12.75" customHeight="1" x14ac:dyDescent="0.3">
      <c r="CK3430" s="481"/>
    </row>
    <row r="3431" spans="89:89" s="299" customFormat="1" ht="12.75" customHeight="1" x14ac:dyDescent="0.3">
      <c r="CK3431" s="481"/>
    </row>
    <row r="3432" spans="89:89" s="299" customFormat="1" ht="12.75" customHeight="1" x14ac:dyDescent="0.3">
      <c r="CK3432" s="481"/>
    </row>
    <row r="3433" spans="89:89" s="299" customFormat="1" ht="12.75" customHeight="1" x14ac:dyDescent="0.3">
      <c r="CK3433" s="481"/>
    </row>
    <row r="3434" spans="89:89" s="299" customFormat="1" ht="12.75" customHeight="1" x14ac:dyDescent="0.3">
      <c r="CK3434" s="481"/>
    </row>
    <row r="3435" spans="89:89" s="299" customFormat="1" ht="12.75" customHeight="1" x14ac:dyDescent="0.3">
      <c r="CK3435" s="481"/>
    </row>
    <row r="3436" spans="89:89" s="299" customFormat="1" ht="12.75" customHeight="1" x14ac:dyDescent="0.3">
      <c r="CK3436" s="481"/>
    </row>
    <row r="3437" spans="89:89" s="299" customFormat="1" ht="12.75" customHeight="1" x14ac:dyDescent="0.3">
      <c r="CK3437" s="481"/>
    </row>
    <row r="3438" spans="89:89" s="299" customFormat="1" ht="12.75" customHeight="1" x14ac:dyDescent="0.3">
      <c r="CK3438" s="481"/>
    </row>
    <row r="3439" spans="89:89" s="299" customFormat="1" ht="12.75" customHeight="1" x14ac:dyDescent="0.3">
      <c r="CK3439" s="481"/>
    </row>
    <row r="3440" spans="89:89" s="299" customFormat="1" ht="12.75" customHeight="1" x14ac:dyDescent="0.3">
      <c r="CK3440" s="481"/>
    </row>
    <row r="3441" spans="89:89" s="299" customFormat="1" ht="12.75" customHeight="1" x14ac:dyDescent="0.3">
      <c r="CK3441" s="481"/>
    </row>
    <row r="3442" spans="89:89" s="299" customFormat="1" ht="12.75" customHeight="1" x14ac:dyDescent="0.3">
      <c r="CK3442" s="481"/>
    </row>
    <row r="3443" spans="89:89" s="299" customFormat="1" ht="12.75" customHeight="1" x14ac:dyDescent="0.3">
      <c r="CK3443" s="481"/>
    </row>
    <row r="3444" spans="89:89" s="299" customFormat="1" ht="12.75" customHeight="1" x14ac:dyDescent="0.3">
      <c r="CK3444" s="481"/>
    </row>
    <row r="3445" spans="89:89" s="299" customFormat="1" ht="12.75" customHeight="1" x14ac:dyDescent="0.3">
      <c r="CK3445" s="481"/>
    </row>
    <row r="3446" spans="89:89" s="299" customFormat="1" ht="12.75" customHeight="1" x14ac:dyDescent="0.3">
      <c r="CK3446" s="481"/>
    </row>
    <row r="3447" spans="89:89" s="299" customFormat="1" ht="12.75" customHeight="1" x14ac:dyDescent="0.3">
      <c r="CK3447" s="481"/>
    </row>
    <row r="3448" spans="89:89" s="299" customFormat="1" ht="12.75" customHeight="1" x14ac:dyDescent="0.3">
      <c r="CK3448" s="481"/>
    </row>
    <row r="3449" spans="89:89" s="299" customFormat="1" ht="12.75" customHeight="1" x14ac:dyDescent="0.3">
      <c r="CK3449" s="481"/>
    </row>
    <row r="3450" spans="89:89" s="299" customFormat="1" ht="12.75" customHeight="1" x14ac:dyDescent="0.3">
      <c r="CK3450" s="481"/>
    </row>
    <row r="3451" spans="89:89" s="299" customFormat="1" ht="12.75" customHeight="1" x14ac:dyDescent="0.3">
      <c r="CK3451" s="481"/>
    </row>
    <row r="3452" spans="89:89" s="299" customFormat="1" ht="12.75" customHeight="1" x14ac:dyDescent="0.3">
      <c r="CK3452" s="481"/>
    </row>
    <row r="3453" spans="89:89" s="299" customFormat="1" ht="12.75" customHeight="1" x14ac:dyDescent="0.3">
      <c r="CK3453" s="481"/>
    </row>
    <row r="3454" spans="89:89" s="299" customFormat="1" ht="12.75" customHeight="1" x14ac:dyDescent="0.3">
      <c r="CK3454" s="481"/>
    </row>
    <row r="3455" spans="89:89" s="299" customFormat="1" ht="12.75" customHeight="1" x14ac:dyDescent="0.3">
      <c r="CK3455" s="481"/>
    </row>
    <row r="3456" spans="89:89" s="299" customFormat="1" ht="12.75" customHeight="1" x14ac:dyDescent="0.3">
      <c r="CK3456" s="481"/>
    </row>
    <row r="3457" spans="89:89" s="299" customFormat="1" ht="12.75" customHeight="1" x14ac:dyDescent="0.3">
      <c r="CK3457" s="481"/>
    </row>
    <row r="3458" spans="89:89" s="299" customFormat="1" ht="12.75" customHeight="1" x14ac:dyDescent="0.3">
      <c r="CK3458" s="481"/>
    </row>
    <row r="3459" spans="89:89" s="299" customFormat="1" ht="12.75" customHeight="1" x14ac:dyDescent="0.3">
      <c r="CK3459" s="481"/>
    </row>
    <row r="3460" spans="89:89" s="299" customFormat="1" ht="12.75" customHeight="1" x14ac:dyDescent="0.3">
      <c r="CK3460" s="481"/>
    </row>
    <row r="3461" spans="89:89" s="299" customFormat="1" ht="12.75" customHeight="1" x14ac:dyDescent="0.3">
      <c r="CK3461" s="481"/>
    </row>
    <row r="3462" spans="89:89" s="299" customFormat="1" ht="12.75" customHeight="1" x14ac:dyDescent="0.3">
      <c r="CK3462" s="481"/>
    </row>
    <row r="3463" spans="89:89" s="299" customFormat="1" ht="12.75" customHeight="1" x14ac:dyDescent="0.3">
      <c r="CK3463" s="481"/>
    </row>
    <row r="3464" spans="89:89" s="299" customFormat="1" ht="12.75" customHeight="1" x14ac:dyDescent="0.3">
      <c r="CK3464" s="481"/>
    </row>
    <row r="3465" spans="89:89" s="299" customFormat="1" ht="12.75" customHeight="1" x14ac:dyDescent="0.3">
      <c r="CK3465" s="481"/>
    </row>
    <row r="3466" spans="89:89" s="299" customFormat="1" ht="12.75" customHeight="1" x14ac:dyDescent="0.3">
      <c r="CK3466" s="481"/>
    </row>
    <row r="3467" spans="89:89" s="299" customFormat="1" ht="12.75" customHeight="1" x14ac:dyDescent="0.3">
      <c r="CK3467" s="481"/>
    </row>
    <row r="3468" spans="89:89" s="299" customFormat="1" ht="12.75" customHeight="1" x14ac:dyDescent="0.3">
      <c r="CK3468" s="481"/>
    </row>
    <row r="3469" spans="89:89" s="299" customFormat="1" ht="12.75" customHeight="1" x14ac:dyDescent="0.3">
      <c r="CK3469" s="481"/>
    </row>
    <row r="3470" spans="89:89" s="299" customFormat="1" ht="12.75" customHeight="1" x14ac:dyDescent="0.3">
      <c r="CK3470" s="481"/>
    </row>
    <row r="3471" spans="89:89" s="299" customFormat="1" ht="12.75" customHeight="1" x14ac:dyDescent="0.3">
      <c r="CK3471" s="481"/>
    </row>
    <row r="3472" spans="89:89" s="299" customFormat="1" ht="12.75" customHeight="1" x14ac:dyDescent="0.3">
      <c r="CK3472" s="481"/>
    </row>
    <row r="3473" spans="89:89" s="299" customFormat="1" ht="12.75" customHeight="1" x14ac:dyDescent="0.3">
      <c r="CK3473" s="481"/>
    </row>
    <row r="3474" spans="89:89" s="299" customFormat="1" ht="12.75" customHeight="1" x14ac:dyDescent="0.3">
      <c r="CK3474" s="481"/>
    </row>
    <row r="3475" spans="89:89" s="299" customFormat="1" ht="12.75" customHeight="1" x14ac:dyDescent="0.3">
      <c r="CK3475" s="481"/>
    </row>
    <row r="3476" spans="89:89" s="299" customFormat="1" ht="12.75" customHeight="1" x14ac:dyDescent="0.3">
      <c r="CK3476" s="481"/>
    </row>
    <row r="3477" spans="89:89" s="299" customFormat="1" ht="12.75" customHeight="1" x14ac:dyDescent="0.3">
      <c r="CK3477" s="481"/>
    </row>
    <row r="3478" spans="89:89" s="299" customFormat="1" ht="12.75" customHeight="1" x14ac:dyDescent="0.3">
      <c r="CK3478" s="481"/>
    </row>
    <row r="3479" spans="89:89" s="299" customFormat="1" ht="12.75" customHeight="1" x14ac:dyDescent="0.3">
      <c r="CK3479" s="481"/>
    </row>
    <row r="3480" spans="89:89" s="299" customFormat="1" ht="12.75" customHeight="1" x14ac:dyDescent="0.3">
      <c r="CK3480" s="481"/>
    </row>
    <row r="3481" spans="89:89" s="299" customFormat="1" ht="12.75" customHeight="1" x14ac:dyDescent="0.3">
      <c r="CK3481" s="481"/>
    </row>
    <row r="3482" spans="89:89" s="299" customFormat="1" ht="12.75" customHeight="1" x14ac:dyDescent="0.3">
      <c r="CK3482" s="481"/>
    </row>
    <row r="3483" spans="89:89" s="299" customFormat="1" ht="12.75" customHeight="1" x14ac:dyDescent="0.3">
      <c r="CK3483" s="481"/>
    </row>
    <row r="3484" spans="89:89" s="299" customFormat="1" ht="12.75" customHeight="1" x14ac:dyDescent="0.3">
      <c r="CK3484" s="481"/>
    </row>
    <row r="3485" spans="89:89" s="299" customFormat="1" ht="12.75" customHeight="1" x14ac:dyDescent="0.3">
      <c r="CK3485" s="481"/>
    </row>
    <row r="3486" spans="89:89" s="299" customFormat="1" ht="12.75" customHeight="1" x14ac:dyDescent="0.3">
      <c r="CK3486" s="481"/>
    </row>
    <row r="3487" spans="89:89" s="299" customFormat="1" ht="12.75" customHeight="1" x14ac:dyDescent="0.3">
      <c r="CK3487" s="481"/>
    </row>
    <row r="3488" spans="89:89" s="299" customFormat="1" ht="12.75" customHeight="1" x14ac:dyDescent="0.3">
      <c r="CK3488" s="481"/>
    </row>
    <row r="3489" spans="89:89" s="299" customFormat="1" ht="12.75" customHeight="1" x14ac:dyDescent="0.3">
      <c r="CK3489" s="481"/>
    </row>
    <row r="3490" spans="89:89" s="299" customFormat="1" ht="12.75" customHeight="1" x14ac:dyDescent="0.3">
      <c r="CK3490" s="481"/>
    </row>
    <row r="3491" spans="89:89" s="299" customFormat="1" ht="12.75" customHeight="1" x14ac:dyDescent="0.3">
      <c r="CK3491" s="481"/>
    </row>
    <row r="3492" spans="89:89" s="299" customFormat="1" ht="12.75" customHeight="1" x14ac:dyDescent="0.3">
      <c r="CK3492" s="481"/>
    </row>
    <row r="3493" spans="89:89" s="299" customFormat="1" ht="12.75" customHeight="1" x14ac:dyDescent="0.3">
      <c r="CK3493" s="481"/>
    </row>
    <row r="3494" spans="89:89" s="299" customFormat="1" ht="12.75" customHeight="1" x14ac:dyDescent="0.3">
      <c r="CK3494" s="481"/>
    </row>
    <row r="3495" spans="89:89" s="299" customFormat="1" ht="12.75" customHeight="1" x14ac:dyDescent="0.3">
      <c r="CK3495" s="481"/>
    </row>
    <row r="3496" spans="89:89" s="299" customFormat="1" ht="12.75" customHeight="1" x14ac:dyDescent="0.3">
      <c r="CK3496" s="481"/>
    </row>
    <row r="3497" spans="89:89" s="299" customFormat="1" ht="12.75" customHeight="1" x14ac:dyDescent="0.3">
      <c r="CK3497" s="481"/>
    </row>
    <row r="3498" spans="89:89" s="299" customFormat="1" ht="12.75" customHeight="1" x14ac:dyDescent="0.3">
      <c r="CK3498" s="481"/>
    </row>
    <row r="3499" spans="89:89" s="299" customFormat="1" ht="12.75" customHeight="1" x14ac:dyDescent="0.3">
      <c r="CK3499" s="481"/>
    </row>
    <row r="3500" spans="89:89" s="299" customFormat="1" ht="12.75" customHeight="1" x14ac:dyDescent="0.3">
      <c r="CK3500" s="481"/>
    </row>
    <row r="3501" spans="89:89" s="299" customFormat="1" ht="12.75" customHeight="1" x14ac:dyDescent="0.3">
      <c r="CK3501" s="481"/>
    </row>
    <row r="3502" spans="89:89" s="299" customFormat="1" ht="12.75" customHeight="1" x14ac:dyDescent="0.3">
      <c r="CK3502" s="481"/>
    </row>
    <row r="3503" spans="89:89" s="299" customFormat="1" ht="12.75" customHeight="1" x14ac:dyDescent="0.3">
      <c r="CK3503" s="481"/>
    </row>
    <row r="3504" spans="89:89" s="299" customFormat="1" ht="12.75" customHeight="1" x14ac:dyDescent="0.3">
      <c r="CK3504" s="481"/>
    </row>
    <row r="3505" spans="89:89" s="299" customFormat="1" ht="12.75" customHeight="1" x14ac:dyDescent="0.3">
      <c r="CK3505" s="481"/>
    </row>
    <row r="3506" spans="89:89" s="299" customFormat="1" ht="12.75" customHeight="1" x14ac:dyDescent="0.3">
      <c r="CK3506" s="481"/>
    </row>
    <row r="3507" spans="89:89" s="299" customFormat="1" ht="12.75" customHeight="1" x14ac:dyDescent="0.3">
      <c r="CK3507" s="481"/>
    </row>
    <row r="3508" spans="89:89" s="299" customFormat="1" ht="12.75" customHeight="1" x14ac:dyDescent="0.3">
      <c r="CK3508" s="481"/>
    </row>
    <row r="3509" spans="89:89" s="299" customFormat="1" ht="12.75" customHeight="1" x14ac:dyDescent="0.3">
      <c r="CK3509" s="481"/>
    </row>
    <row r="3510" spans="89:89" s="299" customFormat="1" ht="12.75" customHeight="1" x14ac:dyDescent="0.3">
      <c r="CK3510" s="481"/>
    </row>
    <row r="3511" spans="89:89" s="299" customFormat="1" ht="12.75" customHeight="1" x14ac:dyDescent="0.3">
      <c r="CK3511" s="481"/>
    </row>
    <row r="3512" spans="89:89" s="299" customFormat="1" ht="12.75" customHeight="1" x14ac:dyDescent="0.3">
      <c r="CK3512" s="481"/>
    </row>
    <row r="3513" spans="89:89" s="299" customFormat="1" ht="12.75" customHeight="1" x14ac:dyDescent="0.3">
      <c r="CK3513" s="481"/>
    </row>
    <row r="3514" spans="89:89" s="299" customFormat="1" ht="12.75" customHeight="1" x14ac:dyDescent="0.3">
      <c r="CK3514" s="481"/>
    </row>
    <row r="3515" spans="89:89" s="299" customFormat="1" ht="12.75" customHeight="1" x14ac:dyDescent="0.3">
      <c r="CK3515" s="481"/>
    </row>
    <row r="3516" spans="89:89" s="299" customFormat="1" ht="12.75" customHeight="1" x14ac:dyDescent="0.3">
      <c r="CK3516" s="481"/>
    </row>
    <row r="3517" spans="89:89" s="299" customFormat="1" ht="12.75" customHeight="1" x14ac:dyDescent="0.3">
      <c r="CK3517" s="481"/>
    </row>
    <row r="3518" spans="89:89" s="299" customFormat="1" ht="12.75" customHeight="1" x14ac:dyDescent="0.3">
      <c r="CK3518" s="481"/>
    </row>
    <row r="3519" spans="89:89" s="299" customFormat="1" ht="12.75" customHeight="1" x14ac:dyDescent="0.3">
      <c r="CK3519" s="481"/>
    </row>
    <row r="3520" spans="89:89" s="299" customFormat="1" ht="12.75" customHeight="1" x14ac:dyDescent="0.3">
      <c r="CK3520" s="481"/>
    </row>
    <row r="3521" spans="89:89" s="299" customFormat="1" ht="12.75" customHeight="1" x14ac:dyDescent="0.3">
      <c r="CK3521" s="481"/>
    </row>
    <row r="3522" spans="89:89" s="299" customFormat="1" ht="12.75" customHeight="1" x14ac:dyDescent="0.3">
      <c r="CK3522" s="481"/>
    </row>
    <row r="3523" spans="89:89" s="299" customFormat="1" ht="12.75" customHeight="1" x14ac:dyDescent="0.3">
      <c r="CK3523" s="481"/>
    </row>
    <row r="3524" spans="89:89" s="299" customFormat="1" ht="12.75" customHeight="1" x14ac:dyDescent="0.3">
      <c r="CK3524" s="481"/>
    </row>
    <row r="3525" spans="89:89" s="299" customFormat="1" ht="12.75" customHeight="1" x14ac:dyDescent="0.3">
      <c r="CK3525" s="481"/>
    </row>
    <row r="3526" spans="89:89" s="299" customFormat="1" ht="12.75" customHeight="1" x14ac:dyDescent="0.3">
      <c r="CK3526" s="481"/>
    </row>
    <row r="3527" spans="89:89" s="299" customFormat="1" ht="12.75" customHeight="1" x14ac:dyDescent="0.3">
      <c r="CK3527" s="481"/>
    </row>
    <row r="3528" spans="89:89" s="299" customFormat="1" ht="12.75" customHeight="1" x14ac:dyDescent="0.3">
      <c r="CK3528" s="481"/>
    </row>
    <row r="3529" spans="89:89" s="299" customFormat="1" ht="12.75" customHeight="1" x14ac:dyDescent="0.3">
      <c r="CK3529" s="481"/>
    </row>
    <row r="3530" spans="89:89" s="299" customFormat="1" ht="12.75" customHeight="1" x14ac:dyDescent="0.3">
      <c r="CK3530" s="481"/>
    </row>
    <row r="3531" spans="89:89" s="299" customFormat="1" ht="12.75" customHeight="1" x14ac:dyDescent="0.3">
      <c r="CK3531" s="481"/>
    </row>
    <row r="3532" spans="89:89" s="299" customFormat="1" ht="12.75" customHeight="1" x14ac:dyDescent="0.3">
      <c r="CK3532" s="481"/>
    </row>
    <row r="3533" spans="89:89" s="299" customFormat="1" ht="12.75" customHeight="1" x14ac:dyDescent="0.3">
      <c r="CK3533" s="481"/>
    </row>
    <row r="3534" spans="89:89" s="299" customFormat="1" ht="12.75" customHeight="1" x14ac:dyDescent="0.3">
      <c r="CK3534" s="481"/>
    </row>
    <row r="3535" spans="89:89" s="299" customFormat="1" ht="12.75" customHeight="1" x14ac:dyDescent="0.3">
      <c r="CK3535" s="481"/>
    </row>
    <row r="3536" spans="89:89" s="299" customFormat="1" ht="12.75" customHeight="1" x14ac:dyDescent="0.3">
      <c r="CK3536" s="481"/>
    </row>
    <row r="3537" spans="89:89" s="299" customFormat="1" ht="12.75" customHeight="1" x14ac:dyDescent="0.3">
      <c r="CK3537" s="481"/>
    </row>
    <row r="3538" spans="89:89" s="299" customFormat="1" ht="12.75" customHeight="1" x14ac:dyDescent="0.3">
      <c r="CK3538" s="481"/>
    </row>
    <row r="3539" spans="89:89" s="299" customFormat="1" ht="12.75" customHeight="1" x14ac:dyDescent="0.3">
      <c r="CK3539" s="481"/>
    </row>
    <row r="3540" spans="89:89" s="299" customFormat="1" ht="12.75" customHeight="1" x14ac:dyDescent="0.3">
      <c r="CK3540" s="481"/>
    </row>
    <row r="3541" spans="89:89" s="299" customFormat="1" ht="12.75" customHeight="1" x14ac:dyDescent="0.3">
      <c r="CK3541" s="481"/>
    </row>
    <row r="3542" spans="89:89" s="299" customFormat="1" ht="12.75" customHeight="1" x14ac:dyDescent="0.3">
      <c r="CK3542" s="481"/>
    </row>
    <row r="3543" spans="89:89" s="299" customFormat="1" ht="12.75" customHeight="1" x14ac:dyDescent="0.3">
      <c r="CK3543" s="481"/>
    </row>
    <row r="3544" spans="89:89" s="299" customFormat="1" ht="12.75" customHeight="1" x14ac:dyDescent="0.3">
      <c r="CK3544" s="481"/>
    </row>
    <row r="3545" spans="89:89" s="299" customFormat="1" ht="12.75" customHeight="1" x14ac:dyDescent="0.3">
      <c r="CK3545" s="481"/>
    </row>
    <row r="3546" spans="89:89" s="299" customFormat="1" ht="12.75" customHeight="1" x14ac:dyDescent="0.3">
      <c r="CK3546" s="481"/>
    </row>
    <row r="3547" spans="89:89" s="299" customFormat="1" ht="12.75" customHeight="1" x14ac:dyDescent="0.3">
      <c r="CK3547" s="481"/>
    </row>
    <row r="3548" spans="89:89" s="299" customFormat="1" ht="12.75" customHeight="1" x14ac:dyDescent="0.3">
      <c r="CK3548" s="481"/>
    </row>
    <row r="3549" spans="89:89" s="299" customFormat="1" ht="12.75" customHeight="1" x14ac:dyDescent="0.3">
      <c r="CK3549" s="481"/>
    </row>
    <row r="3550" spans="89:89" s="299" customFormat="1" ht="12.75" customHeight="1" x14ac:dyDescent="0.3">
      <c r="CK3550" s="481"/>
    </row>
    <row r="3551" spans="89:89" s="299" customFormat="1" ht="12.75" customHeight="1" x14ac:dyDescent="0.3">
      <c r="CK3551" s="481"/>
    </row>
    <row r="3552" spans="89:89" s="299" customFormat="1" ht="12.75" customHeight="1" x14ac:dyDescent="0.3">
      <c r="CK3552" s="481"/>
    </row>
    <row r="3553" spans="89:89" s="299" customFormat="1" ht="12.75" customHeight="1" x14ac:dyDescent="0.3">
      <c r="CK3553" s="481"/>
    </row>
    <row r="3554" spans="89:89" s="299" customFormat="1" ht="12.75" customHeight="1" x14ac:dyDescent="0.3">
      <c r="CK3554" s="481"/>
    </row>
    <row r="3555" spans="89:89" s="299" customFormat="1" ht="12.75" customHeight="1" x14ac:dyDescent="0.3">
      <c r="CK3555" s="481"/>
    </row>
    <row r="3556" spans="89:89" s="299" customFormat="1" ht="12.75" customHeight="1" x14ac:dyDescent="0.3">
      <c r="CK3556" s="481"/>
    </row>
    <row r="3557" spans="89:89" s="299" customFormat="1" ht="12.75" customHeight="1" x14ac:dyDescent="0.3">
      <c r="CK3557" s="481"/>
    </row>
    <row r="3558" spans="89:89" s="299" customFormat="1" ht="12.75" customHeight="1" x14ac:dyDescent="0.3">
      <c r="CK3558" s="481"/>
    </row>
    <row r="3559" spans="89:89" s="299" customFormat="1" ht="12.75" customHeight="1" x14ac:dyDescent="0.3">
      <c r="CK3559" s="481"/>
    </row>
    <row r="3560" spans="89:89" s="299" customFormat="1" ht="12.75" customHeight="1" x14ac:dyDescent="0.3">
      <c r="CK3560" s="481"/>
    </row>
    <row r="3561" spans="89:89" s="299" customFormat="1" ht="12.75" customHeight="1" x14ac:dyDescent="0.3">
      <c r="CK3561" s="481"/>
    </row>
    <row r="3562" spans="89:89" s="299" customFormat="1" ht="12.75" customHeight="1" x14ac:dyDescent="0.3">
      <c r="CK3562" s="481"/>
    </row>
    <row r="3563" spans="89:89" s="299" customFormat="1" ht="12.75" customHeight="1" x14ac:dyDescent="0.3">
      <c r="CK3563" s="481"/>
    </row>
    <row r="3564" spans="89:89" s="299" customFormat="1" ht="12.75" customHeight="1" x14ac:dyDescent="0.3">
      <c r="CK3564" s="481"/>
    </row>
    <row r="3565" spans="89:89" s="299" customFormat="1" ht="12.75" customHeight="1" x14ac:dyDescent="0.3">
      <c r="CK3565" s="481"/>
    </row>
    <row r="3566" spans="89:89" s="299" customFormat="1" ht="12.75" customHeight="1" x14ac:dyDescent="0.3">
      <c r="CK3566" s="481"/>
    </row>
    <row r="3567" spans="89:89" s="299" customFormat="1" ht="12.75" customHeight="1" x14ac:dyDescent="0.3">
      <c r="CK3567" s="481"/>
    </row>
    <row r="3568" spans="89:89" s="299" customFormat="1" ht="12.75" customHeight="1" x14ac:dyDescent="0.3">
      <c r="CK3568" s="481"/>
    </row>
    <row r="3569" spans="89:89" s="299" customFormat="1" ht="12.75" customHeight="1" x14ac:dyDescent="0.3">
      <c r="CK3569" s="481"/>
    </row>
    <row r="3570" spans="89:89" s="299" customFormat="1" ht="12.75" customHeight="1" x14ac:dyDescent="0.3">
      <c r="CK3570" s="481"/>
    </row>
    <row r="3571" spans="89:89" s="299" customFormat="1" ht="12.75" customHeight="1" x14ac:dyDescent="0.3">
      <c r="CK3571" s="481"/>
    </row>
    <row r="3572" spans="89:89" s="299" customFormat="1" ht="12.75" customHeight="1" x14ac:dyDescent="0.3">
      <c r="CK3572" s="481"/>
    </row>
    <row r="3573" spans="89:89" s="299" customFormat="1" ht="12.75" customHeight="1" x14ac:dyDescent="0.3">
      <c r="CK3573" s="481"/>
    </row>
    <row r="3574" spans="89:89" s="299" customFormat="1" ht="12.75" customHeight="1" x14ac:dyDescent="0.3">
      <c r="CK3574" s="481"/>
    </row>
    <row r="3575" spans="89:89" s="299" customFormat="1" ht="12.75" customHeight="1" x14ac:dyDescent="0.3">
      <c r="CK3575" s="481"/>
    </row>
    <row r="3576" spans="89:89" s="299" customFormat="1" ht="12.75" customHeight="1" x14ac:dyDescent="0.3">
      <c r="CK3576" s="481"/>
    </row>
    <row r="3577" spans="89:89" s="299" customFormat="1" ht="12.75" customHeight="1" x14ac:dyDescent="0.3">
      <c r="CK3577" s="481"/>
    </row>
    <row r="3578" spans="89:89" s="299" customFormat="1" ht="12.75" customHeight="1" x14ac:dyDescent="0.3">
      <c r="CK3578" s="481"/>
    </row>
    <row r="3579" spans="89:89" s="299" customFormat="1" ht="12.75" customHeight="1" x14ac:dyDescent="0.3">
      <c r="CK3579" s="481"/>
    </row>
    <row r="3580" spans="89:89" s="299" customFormat="1" ht="12.75" customHeight="1" x14ac:dyDescent="0.3">
      <c r="CK3580" s="481"/>
    </row>
    <row r="3581" spans="89:89" s="299" customFormat="1" ht="12.75" customHeight="1" x14ac:dyDescent="0.3">
      <c r="CK3581" s="481"/>
    </row>
    <row r="3582" spans="89:89" s="299" customFormat="1" ht="12.75" customHeight="1" x14ac:dyDescent="0.3">
      <c r="CK3582" s="481"/>
    </row>
    <row r="3583" spans="89:89" s="299" customFormat="1" ht="12.75" customHeight="1" x14ac:dyDescent="0.3">
      <c r="CK3583" s="481"/>
    </row>
    <row r="3584" spans="89:89" s="299" customFormat="1" ht="12.75" customHeight="1" x14ac:dyDescent="0.3">
      <c r="CK3584" s="481"/>
    </row>
    <row r="3585" spans="89:89" s="299" customFormat="1" ht="12.75" customHeight="1" x14ac:dyDescent="0.3">
      <c r="CK3585" s="481"/>
    </row>
    <row r="3586" spans="89:89" s="299" customFormat="1" ht="12.75" customHeight="1" x14ac:dyDescent="0.3">
      <c r="CK3586" s="481"/>
    </row>
    <row r="3587" spans="89:89" s="299" customFormat="1" ht="12.75" customHeight="1" x14ac:dyDescent="0.3">
      <c r="CK3587" s="481"/>
    </row>
    <row r="3588" spans="89:89" s="299" customFormat="1" ht="12.75" customHeight="1" x14ac:dyDescent="0.3">
      <c r="CK3588" s="481"/>
    </row>
    <row r="3589" spans="89:89" s="299" customFormat="1" ht="12.75" customHeight="1" x14ac:dyDescent="0.3">
      <c r="CK3589" s="481"/>
    </row>
    <row r="3590" spans="89:89" s="299" customFormat="1" ht="12.75" customHeight="1" x14ac:dyDescent="0.3">
      <c r="CK3590" s="481"/>
    </row>
    <row r="3591" spans="89:89" s="299" customFormat="1" ht="12.75" customHeight="1" x14ac:dyDescent="0.3">
      <c r="CK3591" s="481"/>
    </row>
    <row r="3592" spans="89:89" s="299" customFormat="1" ht="12.75" customHeight="1" x14ac:dyDescent="0.3">
      <c r="CK3592" s="481"/>
    </row>
    <row r="3593" spans="89:89" s="299" customFormat="1" ht="12.75" customHeight="1" x14ac:dyDescent="0.3">
      <c r="CK3593" s="481"/>
    </row>
    <row r="3594" spans="89:89" s="299" customFormat="1" ht="12.75" customHeight="1" x14ac:dyDescent="0.3">
      <c r="CK3594" s="481"/>
    </row>
    <row r="3595" spans="89:89" s="299" customFormat="1" ht="12.75" customHeight="1" x14ac:dyDescent="0.3">
      <c r="CK3595" s="481"/>
    </row>
    <row r="3596" spans="89:89" s="299" customFormat="1" ht="12.75" customHeight="1" x14ac:dyDescent="0.3">
      <c r="CK3596" s="481"/>
    </row>
    <row r="3597" spans="89:89" s="299" customFormat="1" ht="12.75" customHeight="1" x14ac:dyDescent="0.3">
      <c r="CK3597" s="481"/>
    </row>
    <row r="3598" spans="89:89" s="299" customFormat="1" ht="12.75" customHeight="1" x14ac:dyDescent="0.3">
      <c r="CK3598" s="481"/>
    </row>
    <row r="3599" spans="89:89" s="299" customFormat="1" ht="12.75" customHeight="1" x14ac:dyDescent="0.3">
      <c r="CK3599" s="481"/>
    </row>
    <row r="3600" spans="89:89" s="299" customFormat="1" ht="12.75" customHeight="1" x14ac:dyDescent="0.3">
      <c r="CK3600" s="481"/>
    </row>
    <row r="3601" spans="89:89" s="299" customFormat="1" ht="12.75" customHeight="1" x14ac:dyDescent="0.3">
      <c r="CK3601" s="481"/>
    </row>
    <row r="3602" spans="89:89" s="299" customFormat="1" ht="12.75" customHeight="1" x14ac:dyDescent="0.3">
      <c r="CK3602" s="481"/>
    </row>
    <row r="3603" spans="89:89" s="299" customFormat="1" ht="12.75" customHeight="1" x14ac:dyDescent="0.3">
      <c r="CK3603" s="481"/>
    </row>
    <row r="3604" spans="89:89" s="299" customFormat="1" ht="12.75" customHeight="1" x14ac:dyDescent="0.3">
      <c r="CK3604" s="481"/>
    </row>
    <row r="3605" spans="89:89" s="299" customFormat="1" ht="12.75" customHeight="1" x14ac:dyDescent="0.3">
      <c r="CK3605" s="481"/>
    </row>
    <row r="3606" spans="89:89" s="299" customFormat="1" ht="12.75" customHeight="1" x14ac:dyDescent="0.3">
      <c r="CK3606" s="481"/>
    </row>
    <row r="3607" spans="89:89" s="299" customFormat="1" ht="12.75" customHeight="1" x14ac:dyDescent="0.3">
      <c r="CK3607" s="481"/>
    </row>
    <row r="3608" spans="89:89" s="299" customFormat="1" ht="12.75" customHeight="1" x14ac:dyDescent="0.3">
      <c r="CK3608" s="481"/>
    </row>
    <row r="3609" spans="89:89" s="299" customFormat="1" ht="12.75" customHeight="1" x14ac:dyDescent="0.3">
      <c r="CK3609" s="481"/>
    </row>
    <row r="3610" spans="89:89" s="299" customFormat="1" ht="12.75" customHeight="1" x14ac:dyDescent="0.3">
      <c r="CK3610" s="481"/>
    </row>
    <row r="3611" spans="89:89" s="299" customFormat="1" ht="12.75" customHeight="1" x14ac:dyDescent="0.3">
      <c r="CK3611" s="481"/>
    </row>
    <row r="3612" spans="89:89" s="299" customFormat="1" ht="12.75" customHeight="1" x14ac:dyDescent="0.3">
      <c r="CK3612" s="481"/>
    </row>
    <row r="3613" spans="89:89" s="299" customFormat="1" ht="12.75" customHeight="1" x14ac:dyDescent="0.3">
      <c r="CK3613" s="481"/>
    </row>
    <row r="3614" spans="89:89" s="299" customFormat="1" ht="12.75" customHeight="1" x14ac:dyDescent="0.3">
      <c r="CK3614" s="481"/>
    </row>
    <row r="3615" spans="89:89" s="299" customFormat="1" ht="12.75" customHeight="1" x14ac:dyDescent="0.3">
      <c r="CK3615" s="481"/>
    </row>
    <row r="3616" spans="89:89" s="299" customFormat="1" ht="12.75" customHeight="1" x14ac:dyDescent="0.3">
      <c r="CK3616" s="481"/>
    </row>
    <row r="3617" spans="89:89" s="299" customFormat="1" ht="12.75" customHeight="1" x14ac:dyDescent="0.3">
      <c r="CK3617" s="481"/>
    </row>
    <row r="3618" spans="89:89" s="299" customFormat="1" ht="12.75" customHeight="1" x14ac:dyDescent="0.3">
      <c r="CK3618" s="481"/>
    </row>
    <row r="3619" spans="89:89" s="299" customFormat="1" ht="12.75" customHeight="1" x14ac:dyDescent="0.3">
      <c r="CK3619" s="481"/>
    </row>
    <row r="3620" spans="89:89" s="299" customFormat="1" ht="12.75" customHeight="1" x14ac:dyDescent="0.3">
      <c r="CK3620" s="481"/>
    </row>
    <row r="3621" spans="89:89" s="299" customFormat="1" ht="12.75" customHeight="1" x14ac:dyDescent="0.3">
      <c r="CK3621" s="481"/>
    </row>
    <row r="3622" spans="89:89" s="299" customFormat="1" ht="12.75" customHeight="1" x14ac:dyDescent="0.3">
      <c r="CK3622" s="481"/>
    </row>
    <row r="3623" spans="89:89" s="299" customFormat="1" ht="12.75" customHeight="1" x14ac:dyDescent="0.3">
      <c r="CK3623" s="481"/>
    </row>
    <row r="3624" spans="89:89" s="299" customFormat="1" ht="12.75" customHeight="1" x14ac:dyDescent="0.3">
      <c r="CK3624" s="481"/>
    </row>
    <row r="3625" spans="89:89" s="299" customFormat="1" ht="12.75" customHeight="1" x14ac:dyDescent="0.3">
      <c r="CK3625" s="481"/>
    </row>
    <row r="3626" spans="89:89" s="299" customFormat="1" ht="12.75" customHeight="1" x14ac:dyDescent="0.3">
      <c r="CK3626" s="481"/>
    </row>
    <row r="3627" spans="89:89" s="299" customFormat="1" ht="12.75" customHeight="1" x14ac:dyDescent="0.3">
      <c r="CK3627" s="481"/>
    </row>
    <row r="3628" spans="89:89" s="299" customFormat="1" ht="12.75" customHeight="1" x14ac:dyDescent="0.3">
      <c r="CK3628" s="481"/>
    </row>
    <row r="3629" spans="89:89" s="299" customFormat="1" ht="12.75" customHeight="1" x14ac:dyDescent="0.3">
      <c r="CK3629" s="481"/>
    </row>
    <row r="3630" spans="89:89" s="299" customFormat="1" ht="12.75" customHeight="1" x14ac:dyDescent="0.3">
      <c r="CK3630" s="481"/>
    </row>
    <row r="3631" spans="89:89" s="299" customFormat="1" ht="12.75" customHeight="1" x14ac:dyDescent="0.3">
      <c r="CK3631" s="481"/>
    </row>
    <row r="3632" spans="89:89" s="299" customFormat="1" ht="12.75" customHeight="1" x14ac:dyDescent="0.3">
      <c r="CK3632" s="481"/>
    </row>
    <row r="3633" spans="89:89" s="299" customFormat="1" ht="12.75" customHeight="1" x14ac:dyDescent="0.3">
      <c r="CK3633" s="481"/>
    </row>
    <row r="3634" spans="89:89" s="299" customFormat="1" ht="12.75" customHeight="1" x14ac:dyDescent="0.3">
      <c r="CK3634" s="481"/>
    </row>
    <row r="3635" spans="89:89" s="299" customFormat="1" ht="12.75" customHeight="1" x14ac:dyDescent="0.3">
      <c r="CK3635" s="481"/>
    </row>
    <row r="3636" spans="89:89" s="299" customFormat="1" ht="12.75" customHeight="1" x14ac:dyDescent="0.3">
      <c r="CK3636" s="481"/>
    </row>
    <row r="3637" spans="89:89" s="299" customFormat="1" ht="12.75" customHeight="1" x14ac:dyDescent="0.3">
      <c r="CK3637" s="481"/>
    </row>
    <row r="3638" spans="89:89" s="299" customFormat="1" ht="12.75" customHeight="1" x14ac:dyDescent="0.3">
      <c r="CK3638" s="481"/>
    </row>
    <row r="3639" spans="89:89" s="299" customFormat="1" ht="12.75" customHeight="1" x14ac:dyDescent="0.3">
      <c r="CK3639" s="481"/>
    </row>
    <row r="3640" spans="89:89" s="299" customFormat="1" ht="12.75" customHeight="1" x14ac:dyDescent="0.3">
      <c r="CK3640" s="481"/>
    </row>
    <row r="3641" spans="89:89" s="299" customFormat="1" ht="12.75" customHeight="1" x14ac:dyDescent="0.3">
      <c r="CK3641" s="481"/>
    </row>
    <row r="3642" spans="89:89" s="299" customFormat="1" ht="12.75" customHeight="1" x14ac:dyDescent="0.3">
      <c r="CK3642" s="481"/>
    </row>
    <row r="3643" spans="89:89" s="299" customFormat="1" ht="12.75" customHeight="1" x14ac:dyDescent="0.3">
      <c r="CK3643" s="481"/>
    </row>
    <row r="3644" spans="89:89" s="299" customFormat="1" ht="12.75" customHeight="1" x14ac:dyDescent="0.3">
      <c r="CK3644" s="481"/>
    </row>
    <row r="3645" spans="89:89" s="299" customFormat="1" ht="12.75" customHeight="1" x14ac:dyDescent="0.3">
      <c r="CK3645" s="481"/>
    </row>
    <row r="3646" spans="89:89" s="299" customFormat="1" ht="12.75" customHeight="1" x14ac:dyDescent="0.3">
      <c r="CK3646" s="481"/>
    </row>
    <row r="3647" spans="89:89" s="299" customFormat="1" ht="12.75" customHeight="1" x14ac:dyDescent="0.3">
      <c r="CK3647" s="481"/>
    </row>
    <row r="3648" spans="89:89" s="299" customFormat="1" ht="12.75" customHeight="1" x14ac:dyDescent="0.3">
      <c r="CK3648" s="481"/>
    </row>
    <row r="3649" spans="89:89" s="299" customFormat="1" ht="12.75" customHeight="1" x14ac:dyDescent="0.3">
      <c r="CK3649" s="481"/>
    </row>
    <row r="3650" spans="89:89" s="299" customFormat="1" ht="12.75" customHeight="1" x14ac:dyDescent="0.3">
      <c r="CK3650" s="481"/>
    </row>
    <row r="3651" spans="89:89" s="299" customFormat="1" ht="12.75" customHeight="1" x14ac:dyDescent="0.3">
      <c r="CK3651" s="481"/>
    </row>
    <row r="3652" spans="89:89" s="299" customFormat="1" ht="12.75" customHeight="1" x14ac:dyDescent="0.3">
      <c r="CK3652" s="481"/>
    </row>
    <row r="3653" spans="89:89" s="299" customFormat="1" ht="12.75" customHeight="1" x14ac:dyDescent="0.3">
      <c r="CK3653" s="481"/>
    </row>
    <row r="3654" spans="89:89" s="299" customFormat="1" ht="12.75" customHeight="1" x14ac:dyDescent="0.3">
      <c r="CK3654" s="481"/>
    </row>
    <row r="3655" spans="89:89" s="299" customFormat="1" ht="12.75" customHeight="1" x14ac:dyDescent="0.3">
      <c r="CK3655" s="481"/>
    </row>
    <row r="3656" spans="89:89" s="299" customFormat="1" ht="12.75" customHeight="1" x14ac:dyDescent="0.3">
      <c r="CK3656" s="481"/>
    </row>
    <row r="3657" spans="89:89" s="299" customFormat="1" ht="12.75" customHeight="1" x14ac:dyDescent="0.3">
      <c r="CK3657" s="481"/>
    </row>
    <row r="3658" spans="89:89" s="299" customFormat="1" ht="12.75" customHeight="1" x14ac:dyDescent="0.3">
      <c r="CK3658" s="481"/>
    </row>
    <row r="3659" spans="89:89" s="299" customFormat="1" ht="12.75" customHeight="1" x14ac:dyDescent="0.3">
      <c r="CK3659" s="481"/>
    </row>
    <row r="3660" spans="89:89" s="299" customFormat="1" ht="12.75" customHeight="1" x14ac:dyDescent="0.3">
      <c r="CK3660" s="481"/>
    </row>
    <row r="3661" spans="89:89" s="299" customFormat="1" ht="12.75" customHeight="1" x14ac:dyDescent="0.3">
      <c r="CK3661" s="481"/>
    </row>
    <row r="3662" spans="89:89" s="299" customFormat="1" ht="12.75" customHeight="1" x14ac:dyDescent="0.3">
      <c r="CK3662" s="481"/>
    </row>
    <row r="3663" spans="89:89" s="299" customFormat="1" ht="12.75" customHeight="1" x14ac:dyDescent="0.3">
      <c r="CK3663" s="481"/>
    </row>
    <row r="3664" spans="89:89" s="299" customFormat="1" ht="12.75" customHeight="1" x14ac:dyDescent="0.3">
      <c r="CK3664" s="481"/>
    </row>
    <row r="3665" spans="89:89" s="299" customFormat="1" ht="12.75" customHeight="1" x14ac:dyDescent="0.3">
      <c r="CK3665" s="481"/>
    </row>
    <row r="3666" spans="89:89" s="299" customFormat="1" ht="12.75" customHeight="1" x14ac:dyDescent="0.3">
      <c r="CK3666" s="481"/>
    </row>
    <row r="3667" spans="89:89" s="299" customFormat="1" ht="12.75" customHeight="1" x14ac:dyDescent="0.3">
      <c r="CK3667" s="481"/>
    </row>
    <row r="3668" spans="89:89" s="299" customFormat="1" ht="12.75" customHeight="1" x14ac:dyDescent="0.3">
      <c r="CK3668" s="481"/>
    </row>
    <row r="3669" spans="89:89" s="299" customFormat="1" ht="12.75" customHeight="1" x14ac:dyDescent="0.3">
      <c r="CK3669" s="481"/>
    </row>
    <row r="3670" spans="89:89" s="299" customFormat="1" ht="12.75" customHeight="1" x14ac:dyDescent="0.3">
      <c r="CK3670" s="481"/>
    </row>
    <row r="3671" spans="89:89" s="299" customFormat="1" ht="12.75" customHeight="1" x14ac:dyDescent="0.3">
      <c r="CK3671" s="481"/>
    </row>
    <row r="3672" spans="89:89" s="299" customFormat="1" ht="12.75" customHeight="1" x14ac:dyDescent="0.3">
      <c r="CK3672" s="481"/>
    </row>
    <row r="3673" spans="89:89" s="299" customFormat="1" ht="12.75" customHeight="1" x14ac:dyDescent="0.3">
      <c r="CK3673" s="481"/>
    </row>
    <row r="3674" spans="89:89" s="299" customFormat="1" ht="12.75" customHeight="1" x14ac:dyDescent="0.3">
      <c r="CK3674" s="481"/>
    </row>
    <row r="3675" spans="89:89" s="299" customFormat="1" ht="12.75" customHeight="1" x14ac:dyDescent="0.3">
      <c r="CK3675" s="481"/>
    </row>
    <row r="3676" spans="89:89" s="299" customFormat="1" ht="12.75" customHeight="1" x14ac:dyDescent="0.3">
      <c r="CK3676" s="481"/>
    </row>
    <row r="3677" spans="89:89" s="299" customFormat="1" ht="12.75" customHeight="1" x14ac:dyDescent="0.3">
      <c r="CK3677" s="481"/>
    </row>
    <row r="3678" spans="89:89" s="299" customFormat="1" ht="12.75" customHeight="1" x14ac:dyDescent="0.3">
      <c r="CK3678" s="481"/>
    </row>
    <row r="3679" spans="89:89" s="299" customFormat="1" ht="12.75" customHeight="1" x14ac:dyDescent="0.3">
      <c r="CK3679" s="481"/>
    </row>
    <row r="3680" spans="89:89" s="299" customFormat="1" ht="12.75" customHeight="1" x14ac:dyDescent="0.3">
      <c r="CK3680" s="481"/>
    </row>
    <row r="3681" spans="89:89" s="299" customFormat="1" ht="12.75" customHeight="1" x14ac:dyDescent="0.3">
      <c r="CK3681" s="481"/>
    </row>
    <row r="3682" spans="89:89" s="299" customFormat="1" ht="12.75" customHeight="1" x14ac:dyDescent="0.3">
      <c r="CK3682" s="481"/>
    </row>
    <row r="3683" spans="89:89" s="299" customFormat="1" ht="12.75" customHeight="1" x14ac:dyDescent="0.3">
      <c r="CK3683" s="481"/>
    </row>
    <row r="3684" spans="89:89" s="299" customFormat="1" ht="12.75" customHeight="1" x14ac:dyDescent="0.3">
      <c r="CK3684" s="481"/>
    </row>
    <row r="3685" spans="89:89" s="299" customFormat="1" ht="12.75" customHeight="1" x14ac:dyDescent="0.3">
      <c r="CK3685" s="481"/>
    </row>
    <row r="3686" spans="89:89" s="299" customFormat="1" ht="12.75" customHeight="1" x14ac:dyDescent="0.3">
      <c r="CK3686" s="481"/>
    </row>
    <row r="3687" spans="89:89" s="299" customFormat="1" ht="12.75" customHeight="1" x14ac:dyDescent="0.3">
      <c r="CK3687" s="481"/>
    </row>
    <row r="3688" spans="89:89" s="299" customFormat="1" ht="12.75" customHeight="1" x14ac:dyDescent="0.3">
      <c r="CK3688" s="481"/>
    </row>
    <row r="3689" spans="89:89" s="299" customFormat="1" ht="12.75" customHeight="1" x14ac:dyDescent="0.3">
      <c r="CK3689" s="481"/>
    </row>
    <row r="3690" spans="89:89" s="299" customFormat="1" ht="12.75" customHeight="1" x14ac:dyDescent="0.3">
      <c r="CK3690" s="481"/>
    </row>
    <row r="3691" spans="89:89" s="299" customFormat="1" ht="12.75" customHeight="1" x14ac:dyDescent="0.3">
      <c r="CK3691" s="481"/>
    </row>
    <row r="3692" spans="89:89" s="299" customFormat="1" ht="12.75" customHeight="1" x14ac:dyDescent="0.3">
      <c r="CK3692" s="481"/>
    </row>
    <row r="3693" spans="89:89" s="299" customFormat="1" ht="12.75" customHeight="1" x14ac:dyDescent="0.3">
      <c r="CK3693" s="481"/>
    </row>
    <row r="3694" spans="89:89" s="299" customFormat="1" ht="12.75" customHeight="1" x14ac:dyDescent="0.3">
      <c r="CK3694" s="481"/>
    </row>
    <row r="3695" spans="89:89" s="299" customFormat="1" ht="12.75" customHeight="1" x14ac:dyDescent="0.3">
      <c r="CK3695" s="481"/>
    </row>
    <row r="3696" spans="89:89" s="299" customFormat="1" ht="12.75" customHeight="1" x14ac:dyDescent="0.3">
      <c r="CK3696" s="481"/>
    </row>
    <row r="3697" spans="89:89" s="299" customFormat="1" ht="12.75" customHeight="1" x14ac:dyDescent="0.3">
      <c r="CK3697" s="481"/>
    </row>
    <row r="3698" spans="89:89" s="299" customFormat="1" ht="12.75" customHeight="1" x14ac:dyDescent="0.3">
      <c r="CK3698" s="481"/>
    </row>
    <row r="3699" spans="89:89" s="299" customFormat="1" ht="12.75" customHeight="1" x14ac:dyDescent="0.3">
      <c r="CK3699" s="481"/>
    </row>
    <row r="3700" spans="89:89" s="299" customFormat="1" ht="12.75" customHeight="1" x14ac:dyDescent="0.3">
      <c r="CK3700" s="481"/>
    </row>
    <row r="3701" spans="89:89" s="299" customFormat="1" ht="12.75" customHeight="1" x14ac:dyDescent="0.3">
      <c r="CK3701" s="481"/>
    </row>
    <row r="3702" spans="89:89" s="299" customFormat="1" ht="12.75" customHeight="1" x14ac:dyDescent="0.3">
      <c r="CK3702" s="481"/>
    </row>
    <row r="3703" spans="89:89" s="299" customFormat="1" ht="12.75" customHeight="1" x14ac:dyDescent="0.3">
      <c r="CK3703" s="481"/>
    </row>
    <row r="3704" spans="89:89" s="299" customFormat="1" ht="12.75" customHeight="1" x14ac:dyDescent="0.3">
      <c r="CK3704" s="481"/>
    </row>
    <row r="3705" spans="89:89" s="299" customFormat="1" ht="12.75" customHeight="1" x14ac:dyDescent="0.3">
      <c r="CK3705" s="481"/>
    </row>
    <row r="3706" spans="89:89" s="299" customFormat="1" ht="12.75" customHeight="1" x14ac:dyDescent="0.3">
      <c r="CK3706" s="481"/>
    </row>
    <row r="3707" spans="89:89" s="299" customFormat="1" ht="12.75" customHeight="1" x14ac:dyDescent="0.3">
      <c r="CK3707" s="481"/>
    </row>
    <row r="3708" spans="89:89" s="299" customFormat="1" ht="12.75" customHeight="1" x14ac:dyDescent="0.3">
      <c r="CK3708" s="481"/>
    </row>
    <row r="3709" spans="89:89" s="299" customFormat="1" ht="12.75" customHeight="1" x14ac:dyDescent="0.3">
      <c r="CK3709" s="481"/>
    </row>
    <row r="3710" spans="89:89" s="299" customFormat="1" ht="12.75" customHeight="1" x14ac:dyDescent="0.3">
      <c r="CK3710" s="481"/>
    </row>
    <row r="3711" spans="89:89" s="299" customFormat="1" ht="12.75" customHeight="1" x14ac:dyDescent="0.3">
      <c r="CK3711" s="481"/>
    </row>
    <row r="3712" spans="89:89" s="299" customFormat="1" ht="12.75" customHeight="1" x14ac:dyDescent="0.3">
      <c r="CK3712" s="481"/>
    </row>
    <row r="3713" spans="89:89" s="299" customFormat="1" ht="12.75" customHeight="1" x14ac:dyDescent="0.3">
      <c r="CK3713" s="481"/>
    </row>
    <row r="3714" spans="89:89" s="299" customFormat="1" ht="12.75" customHeight="1" x14ac:dyDescent="0.3">
      <c r="CK3714" s="481"/>
    </row>
    <row r="3715" spans="89:89" s="299" customFormat="1" ht="12.75" customHeight="1" x14ac:dyDescent="0.3">
      <c r="CK3715" s="481"/>
    </row>
    <row r="3716" spans="89:89" s="299" customFormat="1" ht="12.75" customHeight="1" x14ac:dyDescent="0.3">
      <c r="CK3716" s="481"/>
    </row>
    <row r="3717" spans="89:89" s="299" customFormat="1" ht="12.75" customHeight="1" x14ac:dyDescent="0.3">
      <c r="CK3717" s="481"/>
    </row>
    <row r="3718" spans="89:89" s="299" customFormat="1" ht="12.75" customHeight="1" x14ac:dyDescent="0.3">
      <c r="CK3718" s="481"/>
    </row>
    <row r="3719" spans="89:89" s="299" customFormat="1" ht="12.75" customHeight="1" x14ac:dyDescent="0.3">
      <c r="CK3719" s="481"/>
    </row>
    <row r="3720" spans="89:89" s="299" customFormat="1" ht="12.75" customHeight="1" x14ac:dyDescent="0.3">
      <c r="CK3720" s="481"/>
    </row>
    <row r="3721" spans="89:89" s="299" customFormat="1" ht="12.75" customHeight="1" x14ac:dyDescent="0.3">
      <c r="CK3721" s="481"/>
    </row>
    <row r="3722" spans="89:89" s="299" customFormat="1" ht="12.75" customHeight="1" x14ac:dyDescent="0.3">
      <c r="CK3722" s="481"/>
    </row>
    <row r="3723" spans="89:89" s="299" customFormat="1" ht="12.75" customHeight="1" x14ac:dyDescent="0.3">
      <c r="CK3723" s="481"/>
    </row>
    <row r="3724" spans="89:89" s="299" customFormat="1" ht="12.75" customHeight="1" x14ac:dyDescent="0.3">
      <c r="CK3724" s="481"/>
    </row>
    <row r="3725" spans="89:89" s="299" customFormat="1" ht="12.75" customHeight="1" x14ac:dyDescent="0.3">
      <c r="CK3725" s="481"/>
    </row>
    <row r="3726" spans="89:89" s="299" customFormat="1" ht="12.75" customHeight="1" x14ac:dyDescent="0.3">
      <c r="CK3726" s="481"/>
    </row>
    <row r="3727" spans="89:89" s="299" customFormat="1" ht="12.75" customHeight="1" x14ac:dyDescent="0.3">
      <c r="CK3727" s="481"/>
    </row>
    <row r="3728" spans="89:89" s="299" customFormat="1" ht="12.75" customHeight="1" x14ac:dyDescent="0.3">
      <c r="CK3728" s="481"/>
    </row>
    <row r="3729" spans="89:89" s="299" customFormat="1" ht="12.75" customHeight="1" x14ac:dyDescent="0.3">
      <c r="CK3729" s="481"/>
    </row>
    <row r="3730" spans="89:89" s="299" customFormat="1" ht="12.75" customHeight="1" x14ac:dyDescent="0.3">
      <c r="CK3730" s="481"/>
    </row>
    <row r="3731" spans="89:89" s="299" customFormat="1" ht="12.75" customHeight="1" x14ac:dyDescent="0.3">
      <c r="CK3731" s="481"/>
    </row>
    <row r="3732" spans="89:89" s="299" customFormat="1" ht="12.75" customHeight="1" x14ac:dyDescent="0.3">
      <c r="CK3732" s="481"/>
    </row>
    <row r="3733" spans="89:89" s="299" customFormat="1" ht="12.75" customHeight="1" x14ac:dyDescent="0.3">
      <c r="CK3733" s="481"/>
    </row>
    <row r="3734" spans="89:89" s="299" customFormat="1" ht="12.75" customHeight="1" x14ac:dyDescent="0.3">
      <c r="CK3734" s="481"/>
    </row>
    <row r="3735" spans="89:89" s="299" customFormat="1" ht="12.75" customHeight="1" x14ac:dyDescent="0.3">
      <c r="CK3735" s="481"/>
    </row>
    <row r="3736" spans="89:89" s="299" customFormat="1" ht="12.75" customHeight="1" x14ac:dyDescent="0.3">
      <c r="CK3736" s="481"/>
    </row>
    <row r="3737" spans="89:89" s="299" customFormat="1" ht="12.75" customHeight="1" x14ac:dyDescent="0.3">
      <c r="CK3737" s="481"/>
    </row>
    <row r="3738" spans="89:89" s="299" customFormat="1" ht="12.75" customHeight="1" x14ac:dyDescent="0.3">
      <c r="CK3738" s="481"/>
    </row>
    <row r="3739" spans="89:89" s="299" customFormat="1" ht="12.75" customHeight="1" x14ac:dyDescent="0.3">
      <c r="CK3739" s="481"/>
    </row>
    <row r="3740" spans="89:89" s="299" customFormat="1" ht="12.75" customHeight="1" x14ac:dyDescent="0.3">
      <c r="CK3740" s="481"/>
    </row>
    <row r="3741" spans="89:89" s="299" customFormat="1" ht="12.75" customHeight="1" x14ac:dyDescent="0.3">
      <c r="CK3741" s="481"/>
    </row>
    <row r="3742" spans="89:89" s="299" customFormat="1" ht="12.75" customHeight="1" x14ac:dyDescent="0.3">
      <c r="CK3742" s="481"/>
    </row>
    <row r="3743" spans="89:89" s="299" customFormat="1" ht="12.75" customHeight="1" x14ac:dyDescent="0.3">
      <c r="CK3743" s="481"/>
    </row>
    <row r="3744" spans="89:89" s="299" customFormat="1" ht="12.75" customHeight="1" x14ac:dyDescent="0.3">
      <c r="CK3744" s="481"/>
    </row>
    <row r="3745" spans="89:89" s="299" customFormat="1" ht="12.75" customHeight="1" x14ac:dyDescent="0.3">
      <c r="CK3745" s="481"/>
    </row>
    <row r="3746" spans="89:89" s="299" customFormat="1" ht="12.75" customHeight="1" x14ac:dyDescent="0.3">
      <c r="CK3746" s="481"/>
    </row>
    <row r="3747" spans="89:89" s="299" customFormat="1" ht="12.75" customHeight="1" x14ac:dyDescent="0.3">
      <c r="CK3747" s="481"/>
    </row>
    <row r="3748" spans="89:89" s="299" customFormat="1" ht="12.75" customHeight="1" x14ac:dyDescent="0.3">
      <c r="CK3748" s="481"/>
    </row>
    <row r="3749" spans="89:89" s="299" customFormat="1" ht="12.75" customHeight="1" x14ac:dyDescent="0.3">
      <c r="CK3749" s="481"/>
    </row>
    <row r="3750" spans="89:89" s="299" customFormat="1" ht="12.75" customHeight="1" x14ac:dyDescent="0.3">
      <c r="CK3750" s="481"/>
    </row>
    <row r="3751" spans="89:89" s="299" customFormat="1" ht="12.75" customHeight="1" x14ac:dyDescent="0.3">
      <c r="CK3751" s="481"/>
    </row>
    <row r="3752" spans="89:89" s="299" customFormat="1" ht="12.75" customHeight="1" x14ac:dyDescent="0.3">
      <c r="CK3752" s="481"/>
    </row>
    <row r="3753" spans="89:89" s="299" customFormat="1" ht="12.75" customHeight="1" x14ac:dyDescent="0.3">
      <c r="CK3753" s="481"/>
    </row>
    <row r="3754" spans="89:89" s="299" customFormat="1" ht="12.75" customHeight="1" x14ac:dyDescent="0.3">
      <c r="CK3754" s="481"/>
    </row>
    <row r="3755" spans="89:89" s="299" customFormat="1" ht="12.75" customHeight="1" x14ac:dyDescent="0.3">
      <c r="CK3755" s="481"/>
    </row>
    <row r="3756" spans="89:89" s="299" customFormat="1" ht="12.75" customHeight="1" x14ac:dyDescent="0.3">
      <c r="CK3756" s="481"/>
    </row>
    <row r="3757" spans="89:89" s="299" customFormat="1" ht="12.75" customHeight="1" x14ac:dyDescent="0.3">
      <c r="CK3757" s="481"/>
    </row>
    <row r="3758" spans="89:89" s="299" customFormat="1" ht="12.75" customHeight="1" x14ac:dyDescent="0.3">
      <c r="CK3758" s="481"/>
    </row>
    <row r="3759" spans="89:89" s="299" customFormat="1" ht="12.75" customHeight="1" x14ac:dyDescent="0.3">
      <c r="CK3759" s="481"/>
    </row>
    <row r="3760" spans="89:89" s="299" customFormat="1" ht="12.75" customHeight="1" x14ac:dyDescent="0.3">
      <c r="CK3760" s="481"/>
    </row>
    <row r="3761" spans="89:89" s="299" customFormat="1" ht="12.75" customHeight="1" x14ac:dyDescent="0.3">
      <c r="CK3761" s="481"/>
    </row>
    <row r="3762" spans="89:89" s="299" customFormat="1" ht="12.75" customHeight="1" x14ac:dyDescent="0.3">
      <c r="CK3762" s="481"/>
    </row>
    <row r="3763" spans="89:89" s="299" customFormat="1" ht="12.75" customHeight="1" x14ac:dyDescent="0.3">
      <c r="CK3763" s="481"/>
    </row>
    <row r="3764" spans="89:89" s="299" customFormat="1" ht="12.75" customHeight="1" x14ac:dyDescent="0.3">
      <c r="CK3764" s="481"/>
    </row>
    <row r="3765" spans="89:89" s="299" customFormat="1" ht="12.75" customHeight="1" x14ac:dyDescent="0.3">
      <c r="CK3765" s="481"/>
    </row>
    <row r="3766" spans="89:89" s="299" customFormat="1" ht="12.75" customHeight="1" x14ac:dyDescent="0.3">
      <c r="CK3766" s="481"/>
    </row>
    <row r="3767" spans="89:89" s="299" customFormat="1" ht="12.75" customHeight="1" x14ac:dyDescent="0.3">
      <c r="CK3767" s="481"/>
    </row>
    <row r="3768" spans="89:89" s="299" customFormat="1" ht="12.75" customHeight="1" x14ac:dyDescent="0.3">
      <c r="CK3768" s="481"/>
    </row>
    <row r="3769" spans="89:89" s="299" customFormat="1" ht="12.75" customHeight="1" x14ac:dyDescent="0.3">
      <c r="CK3769" s="481"/>
    </row>
    <row r="3770" spans="89:89" s="299" customFormat="1" ht="12.75" customHeight="1" x14ac:dyDescent="0.3">
      <c r="CK3770" s="481"/>
    </row>
    <row r="3771" spans="89:89" s="299" customFormat="1" ht="12.75" customHeight="1" x14ac:dyDescent="0.3">
      <c r="CK3771" s="481"/>
    </row>
    <row r="3772" spans="89:89" s="299" customFormat="1" ht="12.75" customHeight="1" x14ac:dyDescent="0.3">
      <c r="CK3772" s="481"/>
    </row>
    <row r="3773" spans="89:89" s="299" customFormat="1" ht="12.75" customHeight="1" x14ac:dyDescent="0.3">
      <c r="CK3773" s="481"/>
    </row>
    <row r="3774" spans="89:89" s="299" customFormat="1" ht="12.75" customHeight="1" x14ac:dyDescent="0.3">
      <c r="CK3774" s="481"/>
    </row>
    <row r="3775" spans="89:89" s="299" customFormat="1" ht="12.75" customHeight="1" x14ac:dyDescent="0.3">
      <c r="CK3775" s="481"/>
    </row>
    <row r="3776" spans="89:89" s="299" customFormat="1" ht="12.75" customHeight="1" x14ac:dyDescent="0.3">
      <c r="CK3776" s="481"/>
    </row>
    <row r="3777" spans="89:89" s="299" customFormat="1" ht="12.75" customHeight="1" x14ac:dyDescent="0.3">
      <c r="CK3777" s="481"/>
    </row>
    <row r="3778" spans="89:89" s="299" customFormat="1" ht="12.75" customHeight="1" x14ac:dyDescent="0.3">
      <c r="CK3778" s="481"/>
    </row>
    <row r="3779" spans="89:89" s="299" customFormat="1" ht="12.75" customHeight="1" x14ac:dyDescent="0.3">
      <c r="CK3779" s="481"/>
    </row>
    <row r="3780" spans="89:89" s="299" customFormat="1" ht="12.75" customHeight="1" x14ac:dyDescent="0.3">
      <c r="CK3780" s="481"/>
    </row>
    <row r="3781" spans="89:89" s="299" customFormat="1" ht="12.75" customHeight="1" x14ac:dyDescent="0.3">
      <c r="CK3781" s="481"/>
    </row>
    <row r="3782" spans="89:89" s="299" customFormat="1" ht="12.75" customHeight="1" x14ac:dyDescent="0.3">
      <c r="CK3782" s="481"/>
    </row>
    <row r="3783" spans="89:89" s="299" customFormat="1" ht="12.75" customHeight="1" x14ac:dyDescent="0.3">
      <c r="CK3783" s="481"/>
    </row>
    <row r="3784" spans="89:89" s="299" customFormat="1" ht="12.75" customHeight="1" x14ac:dyDescent="0.3">
      <c r="CK3784" s="481"/>
    </row>
    <row r="3785" spans="89:89" s="299" customFormat="1" ht="12.75" customHeight="1" x14ac:dyDescent="0.3">
      <c r="CK3785" s="481"/>
    </row>
    <row r="3786" spans="89:89" s="299" customFormat="1" ht="12.75" customHeight="1" x14ac:dyDescent="0.3">
      <c r="CK3786" s="481"/>
    </row>
    <row r="3787" spans="89:89" s="299" customFormat="1" ht="12.75" customHeight="1" x14ac:dyDescent="0.3">
      <c r="CK3787" s="481"/>
    </row>
    <row r="3788" spans="89:89" s="299" customFormat="1" ht="12.75" customHeight="1" x14ac:dyDescent="0.3">
      <c r="CK3788" s="481"/>
    </row>
    <row r="3789" spans="89:89" s="299" customFormat="1" ht="12.75" customHeight="1" x14ac:dyDescent="0.3">
      <c r="CK3789" s="481"/>
    </row>
    <row r="3790" spans="89:89" s="299" customFormat="1" ht="12.75" customHeight="1" x14ac:dyDescent="0.3">
      <c r="CK3790" s="481"/>
    </row>
    <row r="3791" spans="89:89" s="299" customFormat="1" ht="12.75" customHeight="1" x14ac:dyDescent="0.3">
      <c r="CK3791" s="481"/>
    </row>
    <row r="3792" spans="89:89" s="299" customFormat="1" ht="12.75" customHeight="1" x14ac:dyDescent="0.3">
      <c r="CK3792" s="481"/>
    </row>
    <row r="3793" spans="89:89" s="299" customFormat="1" ht="12.75" customHeight="1" x14ac:dyDescent="0.3">
      <c r="CK3793" s="481"/>
    </row>
    <row r="3794" spans="89:89" s="299" customFormat="1" ht="12.75" customHeight="1" x14ac:dyDescent="0.3">
      <c r="CK3794" s="481"/>
    </row>
    <row r="3795" spans="89:89" s="299" customFormat="1" ht="12.75" customHeight="1" x14ac:dyDescent="0.3">
      <c r="CK3795" s="481"/>
    </row>
    <row r="3796" spans="89:89" s="299" customFormat="1" ht="12.75" customHeight="1" x14ac:dyDescent="0.3">
      <c r="CK3796" s="481"/>
    </row>
    <row r="3797" spans="89:89" s="299" customFormat="1" ht="12.75" customHeight="1" x14ac:dyDescent="0.3">
      <c r="CK3797" s="481"/>
    </row>
    <row r="3798" spans="89:89" s="299" customFormat="1" ht="12.75" customHeight="1" x14ac:dyDescent="0.3">
      <c r="CK3798" s="481"/>
    </row>
    <row r="3799" spans="89:89" s="299" customFormat="1" ht="12.75" customHeight="1" x14ac:dyDescent="0.3">
      <c r="CK3799" s="481"/>
    </row>
    <row r="3800" spans="89:89" s="299" customFormat="1" ht="12.75" customHeight="1" x14ac:dyDescent="0.3">
      <c r="CK3800" s="481"/>
    </row>
    <row r="3801" spans="89:89" s="299" customFormat="1" ht="12.75" customHeight="1" x14ac:dyDescent="0.3">
      <c r="CK3801" s="481"/>
    </row>
    <row r="3802" spans="89:89" s="299" customFormat="1" ht="12.75" customHeight="1" x14ac:dyDescent="0.3">
      <c r="CK3802" s="481"/>
    </row>
    <row r="3803" spans="89:89" s="299" customFormat="1" ht="12.75" customHeight="1" x14ac:dyDescent="0.3">
      <c r="CK3803" s="481"/>
    </row>
    <row r="3804" spans="89:89" s="299" customFormat="1" ht="12.75" customHeight="1" x14ac:dyDescent="0.3">
      <c r="CK3804" s="481"/>
    </row>
    <row r="3805" spans="89:89" s="299" customFormat="1" ht="12.75" customHeight="1" x14ac:dyDescent="0.3">
      <c r="CK3805" s="481"/>
    </row>
    <row r="3806" spans="89:89" s="299" customFormat="1" ht="12.75" customHeight="1" x14ac:dyDescent="0.3">
      <c r="CK3806" s="481"/>
    </row>
    <row r="3807" spans="89:89" s="299" customFormat="1" ht="12.75" customHeight="1" x14ac:dyDescent="0.3">
      <c r="CK3807" s="481"/>
    </row>
    <row r="3808" spans="89:89" s="299" customFormat="1" ht="12.75" customHeight="1" x14ac:dyDescent="0.3">
      <c r="CK3808" s="481"/>
    </row>
    <row r="3809" spans="89:89" s="299" customFormat="1" ht="12.75" customHeight="1" x14ac:dyDescent="0.3">
      <c r="CK3809" s="481"/>
    </row>
    <row r="3810" spans="89:89" s="299" customFormat="1" ht="12.75" customHeight="1" x14ac:dyDescent="0.3">
      <c r="CK3810" s="481"/>
    </row>
    <row r="3811" spans="89:89" s="299" customFormat="1" ht="12.75" customHeight="1" x14ac:dyDescent="0.3">
      <c r="CK3811" s="481"/>
    </row>
    <row r="3812" spans="89:89" s="299" customFormat="1" ht="12.75" customHeight="1" x14ac:dyDescent="0.3">
      <c r="CK3812" s="481"/>
    </row>
    <row r="3813" spans="89:89" s="299" customFormat="1" ht="12.75" customHeight="1" x14ac:dyDescent="0.3">
      <c r="CK3813" s="481"/>
    </row>
    <row r="3814" spans="89:89" s="299" customFormat="1" ht="12.75" customHeight="1" x14ac:dyDescent="0.3">
      <c r="CK3814" s="481"/>
    </row>
    <row r="3815" spans="89:89" s="299" customFormat="1" ht="12.75" customHeight="1" x14ac:dyDescent="0.3">
      <c r="CK3815" s="481"/>
    </row>
    <row r="3816" spans="89:89" s="299" customFormat="1" ht="12.75" customHeight="1" x14ac:dyDescent="0.3">
      <c r="CK3816" s="481"/>
    </row>
    <row r="3817" spans="89:89" s="299" customFormat="1" ht="12.75" customHeight="1" x14ac:dyDescent="0.3">
      <c r="CK3817" s="481"/>
    </row>
    <row r="3818" spans="89:89" s="299" customFormat="1" ht="12.75" customHeight="1" x14ac:dyDescent="0.3">
      <c r="CK3818" s="481"/>
    </row>
    <row r="3819" spans="89:89" s="299" customFormat="1" ht="12.75" customHeight="1" x14ac:dyDescent="0.3">
      <c r="CK3819" s="481"/>
    </row>
    <row r="3820" spans="89:89" s="299" customFormat="1" ht="12.75" customHeight="1" x14ac:dyDescent="0.3">
      <c r="CK3820" s="481"/>
    </row>
    <row r="3821" spans="89:89" s="299" customFormat="1" ht="12.75" customHeight="1" x14ac:dyDescent="0.3">
      <c r="CK3821" s="481"/>
    </row>
    <row r="3822" spans="89:89" s="299" customFormat="1" ht="12.75" customHeight="1" x14ac:dyDescent="0.3">
      <c r="CK3822" s="481"/>
    </row>
    <row r="3823" spans="89:89" s="299" customFormat="1" ht="12.75" customHeight="1" x14ac:dyDescent="0.3">
      <c r="CK3823" s="481"/>
    </row>
    <row r="3824" spans="89:89" s="299" customFormat="1" ht="12.75" customHeight="1" x14ac:dyDescent="0.3">
      <c r="CK3824" s="481"/>
    </row>
    <row r="3825" spans="89:89" s="299" customFormat="1" ht="12.75" customHeight="1" x14ac:dyDescent="0.3">
      <c r="CK3825" s="481"/>
    </row>
    <row r="3826" spans="89:89" s="299" customFormat="1" ht="12.75" customHeight="1" x14ac:dyDescent="0.3">
      <c r="CK3826" s="481"/>
    </row>
    <row r="3827" spans="89:89" s="299" customFormat="1" ht="12.75" customHeight="1" x14ac:dyDescent="0.3">
      <c r="CK3827" s="481"/>
    </row>
    <row r="3828" spans="89:89" s="299" customFormat="1" ht="12.75" customHeight="1" x14ac:dyDescent="0.3">
      <c r="CK3828" s="481"/>
    </row>
    <row r="3829" spans="89:89" s="299" customFormat="1" ht="12.75" customHeight="1" x14ac:dyDescent="0.3">
      <c r="CK3829" s="481"/>
    </row>
    <row r="3830" spans="89:89" s="299" customFormat="1" ht="12.75" customHeight="1" x14ac:dyDescent="0.3">
      <c r="CK3830" s="481"/>
    </row>
    <row r="3831" spans="89:89" s="299" customFormat="1" ht="12.75" customHeight="1" x14ac:dyDescent="0.3">
      <c r="CK3831" s="481"/>
    </row>
    <row r="3832" spans="89:89" s="299" customFormat="1" ht="12.75" customHeight="1" x14ac:dyDescent="0.3">
      <c r="CK3832" s="481"/>
    </row>
    <row r="3833" spans="89:89" s="299" customFormat="1" ht="12.75" customHeight="1" x14ac:dyDescent="0.3">
      <c r="CK3833" s="481"/>
    </row>
    <row r="3834" spans="89:89" s="299" customFormat="1" ht="12.75" customHeight="1" x14ac:dyDescent="0.3">
      <c r="CK3834" s="481"/>
    </row>
    <row r="3835" spans="89:89" s="299" customFormat="1" ht="12.75" customHeight="1" x14ac:dyDescent="0.3">
      <c r="CK3835" s="481"/>
    </row>
    <row r="3836" spans="89:89" s="299" customFormat="1" ht="12.75" customHeight="1" x14ac:dyDescent="0.3">
      <c r="CK3836" s="481"/>
    </row>
    <row r="3837" spans="89:89" s="299" customFormat="1" ht="12.75" customHeight="1" x14ac:dyDescent="0.3">
      <c r="CK3837" s="481"/>
    </row>
    <row r="3838" spans="89:89" s="299" customFormat="1" ht="12.75" customHeight="1" x14ac:dyDescent="0.3">
      <c r="CK3838" s="481"/>
    </row>
    <row r="3839" spans="89:89" s="299" customFormat="1" ht="12.75" customHeight="1" x14ac:dyDescent="0.3">
      <c r="CK3839" s="481"/>
    </row>
    <row r="3840" spans="89:89" s="299" customFormat="1" ht="12.75" customHeight="1" x14ac:dyDescent="0.3">
      <c r="CK3840" s="481"/>
    </row>
    <row r="3841" spans="89:89" s="299" customFormat="1" ht="12.75" customHeight="1" x14ac:dyDescent="0.3">
      <c r="CK3841" s="481"/>
    </row>
    <row r="3842" spans="89:89" s="299" customFormat="1" ht="12.75" customHeight="1" x14ac:dyDescent="0.3">
      <c r="CK3842" s="481"/>
    </row>
    <row r="3843" spans="89:89" s="299" customFormat="1" ht="12.75" customHeight="1" x14ac:dyDescent="0.3">
      <c r="CK3843" s="481"/>
    </row>
    <row r="3844" spans="89:89" s="299" customFormat="1" ht="12.75" customHeight="1" x14ac:dyDescent="0.3">
      <c r="CK3844" s="481"/>
    </row>
    <row r="3845" spans="89:89" s="299" customFormat="1" ht="12.75" customHeight="1" x14ac:dyDescent="0.3">
      <c r="CK3845" s="481"/>
    </row>
    <row r="3846" spans="89:89" s="299" customFormat="1" ht="12.75" customHeight="1" x14ac:dyDescent="0.3">
      <c r="CK3846" s="481"/>
    </row>
    <row r="3847" spans="89:89" s="299" customFormat="1" ht="12.75" customHeight="1" x14ac:dyDescent="0.3">
      <c r="CK3847" s="481"/>
    </row>
    <row r="3848" spans="89:89" s="299" customFormat="1" ht="12.75" customHeight="1" x14ac:dyDescent="0.3">
      <c r="CK3848" s="481"/>
    </row>
    <row r="3849" spans="89:89" s="299" customFormat="1" ht="12.75" customHeight="1" x14ac:dyDescent="0.3">
      <c r="CK3849" s="481"/>
    </row>
    <row r="3850" spans="89:89" s="299" customFormat="1" ht="12.75" customHeight="1" x14ac:dyDescent="0.3">
      <c r="CK3850" s="481"/>
    </row>
    <row r="3851" spans="89:89" s="299" customFormat="1" ht="12.75" customHeight="1" x14ac:dyDescent="0.3">
      <c r="CK3851" s="481"/>
    </row>
    <row r="3852" spans="89:89" s="299" customFormat="1" ht="12.75" customHeight="1" x14ac:dyDescent="0.3">
      <c r="CK3852" s="481"/>
    </row>
    <row r="3853" spans="89:89" s="299" customFormat="1" ht="12.75" customHeight="1" x14ac:dyDescent="0.3">
      <c r="CK3853" s="481"/>
    </row>
    <row r="3854" spans="89:89" s="299" customFormat="1" ht="12.75" customHeight="1" x14ac:dyDescent="0.3">
      <c r="CK3854" s="481"/>
    </row>
    <row r="3855" spans="89:89" s="299" customFormat="1" ht="12.75" customHeight="1" x14ac:dyDescent="0.3">
      <c r="CK3855" s="481"/>
    </row>
    <row r="3856" spans="89:89" s="299" customFormat="1" ht="12.75" customHeight="1" x14ac:dyDescent="0.3">
      <c r="CK3856" s="481"/>
    </row>
    <row r="3857" spans="89:89" s="299" customFormat="1" ht="12.75" customHeight="1" x14ac:dyDescent="0.3">
      <c r="CK3857" s="481"/>
    </row>
    <row r="3858" spans="89:89" s="299" customFormat="1" ht="12.75" customHeight="1" x14ac:dyDescent="0.3">
      <c r="CK3858" s="481"/>
    </row>
    <row r="3859" spans="89:89" s="299" customFormat="1" ht="12.75" customHeight="1" x14ac:dyDescent="0.3">
      <c r="CK3859" s="481"/>
    </row>
    <row r="3860" spans="89:89" s="299" customFormat="1" ht="12.75" customHeight="1" x14ac:dyDescent="0.3">
      <c r="CK3860" s="481"/>
    </row>
    <row r="3861" spans="89:89" s="299" customFormat="1" ht="12.75" customHeight="1" x14ac:dyDescent="0.3">
      <c r="CK3861" s="481"/>
    </row>
    <row r="3862" spans="89:89" s="299" customFormat="1" ht="12.75" customHeight="1" x14ac:dyDescent="0.3">
      <c r="CK3862" s="481"/>
    </row>
    <row r="3863" spans="89:89" s="299" customFormat="1" ht="12.75" customHeight="1" x14ac:dyDescent="0.3">
      <c r="CK3863" s="481"/>
    </row>
    <row r="3864" spans="89:89" s="299" customFormat="1" ht="12.75" customHeight="1" x14ac:dyDescent="0.3">
      <c r="CK3864" s="481"/>
    </row>
    <row r="3865" spans="89:89" s="299" customFormat="1" ht="12.75" customHeight="1" x14ac:dyDescent="0.3">
      <c r="CK3865" s="481"/>
    </row>
    <row r="3866" spans="89:89" s="299" customFormat="1" ht="12.75" customHeight="1" x14ac:dyDescent="0.3">
      <c r="CK3866" s="481"/>
    </row>
    <row r="3867" spans="89:89" s="299" customFormat="1" ht="12.75" customHeight="1" x14ac:dyDescent="0.3">
      <c r="CK3867" s="481"/>
    </row>
    <row r="3868" spans="89:89" s="299" customFormat="1" ht="12.75" customHeight="1" x14ac:dyDescent="0.3">
      <c r="CK3868" s="481"/>
    </row>
    <row r="3869" spans="89:89" s="299" customFormat="1" ht="12.75" customHeight="1" x14ac:dyDescent="0.3">
      <c r="CK3869" s="481"/>
    </row>
    <row r="3870" spans="89:89" s="299" customFormat="1" ht="12.75" customHeight="1" x14ac:dyDescent="0.3">
      <c r="CK3870" s="481"/>
    </row>
    <row r="3871" spans="89:89" s="299" customFormat="1" ht="12.75" customHeight="1" x14ac:dyDescent="0.3">
      <c r="CK3871" s="481"/>
    </row>
    <row r="3872" spans="89:89" s="299" customFormat="1" ht="12.75" customHeight="1" x14ac:dyDescent="0.3">
      <c r="CK3872" s="481"/>
    </row>
    <row r="3873" spans="89:89" s="299" customFormat="1" ht="12.75" customHeight="1" x14ac:dyDescent="0.3">
      <c r="CK3873" s="481"/>
    </row>
    <row r="3874" spans="89:89" s="299" customFormat="1" ht="12.75" customHeight="1" x14ac:dyDescent="0.3">
      <c r="CK3874" s="481"/>
    </row>
    <row r="3875" spans="89:89" s="299" customFormat="1" ht="12.75" customHeight="1" x14ac:dyDescent="0.3">
      <c r="CK3875" s="481"/>
    </row>
    <row r="3876" spans="89:89" s="299" customFormat="1" ht="12.75" customHeight="1" x14ac:dyDescent="0.3">
      <c r="CK3876" s="481"/>
    </row>
    <row r="3877" spans="89:89" s="299" customFormat="1" ht="12.75" customHeight="1" x14ac:dyDescent="0.3">
      <c r="CK3877" s="481"/>
    </row>
    <row r="3878" spans="89:89" s="299" customFormat="1" ht="12.75" customHeight="1" x14ac:dyDescent="0.3">
      <c r="CK3878" s="481"/>
    </row>
    <row r="3879" spans="89:89" s="299" customFormat="1" ht="12.75" customHeight="1" x14ac:dyDescent="0.3">
      <c r="CK3879" s="481"/>
    </row>
    <row r="3880" spans="89:89" s="299" customFormat="1" ht="12.75" customHeight="1" x14ac:dyDescent="0.3">
      <c r="CK3880" s="481"/>
    </row>
    <row r="3881" spans="89:89" s="299" customFormat="1" ht="12.75" customHeight="1" x14ac:dyDescent="0.3">
      <c r="CK3881" s="481"/>
    </row>
    <row r="3882" spans="89:89" s="299" customFormat="1" ht="12.75" customHeight="1" x14ac:dyDescent="0.3">
      <c r="CK3882" s="481"/>
    </row>
    <row r="3883" spans="89:89" s="299" customFormat="1" ht="12.75" customHeight="1" x14ac:dyDescent="0.3">
      <c r="CK3883" s="481"/>
    </row>
    <row r="3884" spans="89:89" s="299" customFormat="1" ht="12.75" customHeight="1" x14ac:dyDescent="0.3">
      <c r="CK3884" s="481"/>
    </row>
    <row r="3885" spans="89:89" s="299" customFormat="1" ht="12.75" customHeight="1" x14ac:dyDescent="0.3">
      <c r="CK3885" s="481"/>
    </row>
    <row r="3886" spans="89:89" s="299" customFormat="1" ht="12.75" customHeight="1" x14ac:dyDescent="0.3">
      <c r="CK3886" s="481"/>
    </row>
    <row r="3887" spans="89:89" s="299" customFormat="1" ht="12.75" customHeight="1" x14ac:dyDescent="0.3">
      <c r="CK3887" s="481"/>
    </row>
    <row r="3888" spans="89:89" s="299" customFormat="1" ht="12.75" customHeight="1" x14ac:dyDescent="0.3">
      <c r="CK3888" s="481"/>
    </row>
    <row r="3889" spans="89:89" s="299" customFormat="1" ht="12.75" customHeight="1" x14ac:dyDescent="0.3">
      <c r="CK3889" s="481"/>
    </row>
    <row r="3890" spans="89:89" s="299" customFormat="1" ht="12.75" customHeight="1" x14ac:dyDescent="0.3">
      <c r="CK3890" s="481"/>
    </row>
    <row r="3891" spans="89:89" s="299" customFormat="1" ht="12.75" customHeight="1" x14ac:dyDescent="0.3">
      <c r="CK3891" s="481"/>
    </row>
    <row r="3892" spans="89:89" s="299" customFormat="1" ht="12.75" customHeight="1" x14ac:dyDescent="0.3">
      <c r="CK3892" s="481"/>
    </row>
    <row r="3893" spans="89:89" s="299" customFormat="1" ht="12.75" customHeight="1" x14ac:dyDescent="0.3">
      <c r="CK3893" s="481"/>
    </row>
    <row r="3894" spans="89:89" s="299" customFormat="1" ht="12.75" customHeight="1" x14ac:dyDescent="0.3">
      <c r="CK3894" s="481"/>
    </row>
    <row r="3895" spans="89:89" s="299" customFormat="1" ht="12.75" customHeight="1" x14ac:dyDescent="0.3">
      <c r="CK3895" s="481"/>
    </row>
    <row r="3896" spans="89:89" s="299" customFormat="1" ht="12.75" customHeight="1" x14ac:dyDescent="0.3">
      <c r="CK3896" s="481"/>
    </row>
    <row r="3897" spans="89:89" s="299" customFormat="1" ht="12.75" customHeight="1" x14ac:dyDescent="0.3">
      <c r="CK3897" s="481"/>
    </row>
    <row r="3898" spans="89:89" s="299" customFormat="1" ht="12.75" customHeight="1" x14ac:dyDescent="0.3">
      <c r="CK3898" s="481"/>
    </row>
    <row r="3899" spans="89:89" s="299" customFormat="1" ht="12.75" customHeight="1" x14ac:dyDescent="0.3">
      <c r="CK3899" s="481"/>
    </row>
    <row r="3900" spans="89:89" s="299" customFormat="1" ht="12.75" customHeight="1" x14ac:dyDescent="0.3">
      <c r="CK3900" s="481"/>
    </row>
    <row r="3901" spans="89:89" s="299" customFormat="1" ht="12.75" customHeight="1" x14ac:dyDescent="0.3">
      <c r="CK3901" s="481"/>
    </row>
    <row r="3902" spans="89:89" s="299" customFormat="1" ht="12.75" customHeight="1" x14ac:dyDescent="0.3">
      <c r="CK3902" s="481"/>
    </row>
    <row r="3903" spans="89:89" s="299" customFormat="1" ht="12.75" customHeight="1" x14ac:dyDescent="0.3">
      <c r="CK3903" s="481"/>
    </row>
    <row r="3904" spans="89:89" s="299" customFormat="1" ht="12.75" customHeight="1" x14ac:dyDescent="0.3">
      <c r="CK3904" s="481"/>
    </row>
    <row r="3905" spans="89:89" s="299" customFormat="1" ht="12.75" customHeight="1" x14ac:dyDescent="0.3">
      <c r="CK3905" s="481"/>
    </row>
    <row r="3906" spans="89:89" s="299" customFormat="1" ht="12.75" customHeight="1" x14ac:dyDescent="0.3">
      <c r="CK3906" s="481"/>
    </row>
    <row r="3907" spans="89:89" s="299" customFormat="1" ht="12.75" customHeight="1" x14ac:dyDescent="0.3">
      <c r="CK3907" s="481"/>
    </row>
    <row r="3908" spans="89:89" s="299" customFormat="1" ht="12.75" customHeight="1" x14ac:dyDescent="0.3">
      <c r="CK3908" s="481"/>
    </row>
    <row r="3909" spans="89:89" s="299" customFormat="1" ht="12.75" customHeight="1" x14ac:dyDescent="0.3">
      <c r="CK3909" s="481"/>
    </row>
    <row r="3910" spans="89:89" s="299" customFormat="1" ht="12.75" customHeight="1" x14ac:dyDescent="0.3">
      <c r="CK3910" s="481"/>
    </row>
    <row r="3911" spans="89:89" s="299" customFormat="1" ht="12.75" customHeight="1" x14ac:dyDescent="0.3">
      <c r="CK3911" s="481"/>
    </row>
    <row r="3912" spans="89:89" s="299" customFormat="1" ht="12.75" customHeight="1" x14ac:dyDescent="0.3">
      <c r="CK3912" s="481"/>
    </row>
    <row r="3913" spans="89:89" s="299" customFormat="1" ht="12.75" customHeight="1" x14ac:dyDescent="0.3">
      <c r="CK3913" s="481"/>
    </row>
    <row r="3914" spans="89:89" s="299" customFormat="1" ht="12.75" customHeight="1" x14ac:dyDescent="0.3">
      <c r="CK3914" s="481"/>
    </row>
    <row r="3915" spans="89:89" s="299" customFormat="1" ht="12.75" customHeight="1" x14ac:dyDescent="0.3">
      <c r="CK3915" s="481"/>
    </row>
    <row r="3916" spans="89:89" s="299" customFormat="1" ht="12.75" customHeight="1" x14ac:dyDescent="0.3">
      <c r="CK3916" s="481"/>
    </row>
    <row r="3917" spans="89:89" s="299" customFormat="1" ht="12.75" customHeight="1" x14ac:dyDescent="0.3">
      <c r="CK3917" s="481"/>
    </row>
    <row r="3918" spans="89:89" s="299" customFormat="1" ht="12.75" customHeight="1" x14ac:dyDescent="0.3">
      <c r="CK3918" s="481"/>
    </row>
    <row r="3919" spans="89:89" s="299" customFormat="1" ht="12.75" customHeight="1" x14ac:dyDescent="0.3">
      <c r="CK3919" s="481"/>
    </row>
    <row r="3920" spans="89:89" s="299" customFormat="1" ht="12.75" customHeight="1" x14ac:dyDescent="0.3">
      <c r="CK3920" s="481"/>
    </row>
    <row r="3921" spans="89:89" s="299" customFormat="1" ht="12.75" customHeight="1" x14ac:dyDescent="0.3">
      <c r="CK3921" s="481"/>
    </row>
    <row r="3922" spans="89:89" s="299" customFormat="1" ht="12.75" customHeight="1" x14ac:dyDescent="0.3">
      <c r="CK3922" s="481"/>
    </row>
    <row r="3923" spans="89:89" s="299" customFormat="1" ht="12.75" customHeight="1" x14ac:dyDescent="0.3">
      <c r="CK3923" s="481"/>
    </row>
    <row r="3924" spans="89:89" s="299" customFormat="1" ht="12.75" customHeight="1" x14ac:dyDescent="0.3">
      <c r="CK3924" s="481"/>
    </row>
    <row r="3925" spans="89:89" s="299" customFormat="1" ht="12.75" customHeight="1" x14ac:dyDescent="0.3">
      <c r="CK3925" s="481"/>
    </row>
    <row r="3926" spans="89:89" s="299" customFormat="1" ht="12.75" customHeight="1" x14ac:dyDescent="0.3">
      <c r="CK3926" s="481"/>
    </row>
    <row r="3927" spans="89:89" s="299" customFormat="1" ht="12.75" customHeight="1" x14ac:dyDescent="0.3">
      <c r="CK3927" s="481"/>
    </row>
    <row r="3928" spans="89:89" s="299" customFormat="1" ht="12.75" customHeight="1" x14ac:dyDescent="0.3">
      <c r="CK3928" s="481"/>
    </row>
    <row r="3929" spans="89:89" s="299" customFormat="1" ht="12.75" customHeight="1" x14ac:dyDescent="0.3">
      <c r="CK3929" s="481"/>
    </row>
    <row r="3930" spans="89:89" s="299" customFormat="1" ht="12.75" customHeight="1" x14ac:dyDescent="0.3">
      <c r="CK3930" s="481"/>
    </row>
    <row r="3931" spans="89:89" s="299" customFormat="1" ht="12.75" customHeight="1" x14ac:dyDescent="0.3">
      <c r="CK3931" s="481"/>
    </row>
    <row r="3932" spans="89:89" s="299" customFormat="1" ht="12.75" customHeight="1" x14ac:dyDescent="0.3">
      <c r="CK3932" s="481"/>
    </row>
    <row r="3933" spans="89:89" s="299" customFormat="1" ht="12.75" customHeight="1" x14ac:dyDescent="0.3">
      <c r="CK3933" s="481"/>
    </row>
    <row r="3934" spans="89:89" s="299" customFormat="1" ht="12.75" customHeight="1" x14ac:dyDescent="0.3">
      <c r="CK3934" s="481"/>
    </row>
    <row r="3935" spans="89:89" s="299" customFormat="1" ht="12.75" customHeight="1" x14ac:dyDescent="0.3">
      <c r="CK3935" s="481"/>
    </row>
    <row r="3936" spans="89:89" s="299" customFormat="1" ht="12.75" customHeight="1" x14ac:dyDescent="0.3">
      <c r="CK3936" s="481"/>
    </row>
    <row r="3937" spans="89:89" s="299" customFormat="1" ht="12.75" customHeight="1" x14ac:dyDescent="0.3">
      <c r="CK3937" s="481"/>
    </row>
    <row r="3938" spans="89:89" s="299" customFormat="1" ht="12.75" customHeight="1" x14ac:dyDescent="0.3">
      <c r="CK3938" s="481"/>
    </row>
    <row r="3939" spans="89:89" s="299" customFormat="1" ht="12.75" customHeight="1" x14ac:dyDescent="0.3">
      <c r="CK3939" s="481"/>
    </row>
    <row r="3940" spans="89:89" s="299" customFormat="1" ht="12.75" customHeight="1" x14ac:dyDescent="0.3">
      <c r="CK3940" s="481"/>
    </row>
    <row r="3941" spans="89:89" s="299" customFormat="1" ht="12.75" customHeight="1" x14ac:dyDescent="0.3">
      <c r="CK3941" s="481"/>
    </row>
    <row r="3942" spans="89:89" s="299" customFormat="1" ht="12.75" customHeight="1" x14ac:dyDescent="0.3">
      <c r="CK3942" s="481"/>
    </row>
    <row r="3943" spans="89:89" s="299" customFormat="1" ht="12.75" customHeight="1" x14ac:dyDescent="0.3">
      <c r="CK3943" s="481"/>
    </row>
    <row r="3944" spans="89:89" s="299" customFormat="1" ht="12.75" customHeight="1" x14ac:dyDescent="0.3">
      <c r="CK3944" s="481"/>
    </row>
    <row r="3945" spans="89:89" s="299" customFormat="1" ht="12.75" customHeight="1" x14ac:dyDescent="0.3">
      <c r="CK3945" s="481"/>
    </row>
    <row r="3946" spans="89:89" s="299" customFormat="1" ht="12.75" customHeight="1" x14ac:dyDescent="0.3">
      <c r="CK3946" s="481"/>
    </row>
    <row r="3947" spans="89:89" s="299" customFormat="1" ht="12.75" customHeight="1" x14ac:dyDescent="0.3">
      <c r="CK3947" s="481"/>
    </row>
    <row r="3948" spans="89:89" s="299" customFormat="1" ht="12.75" customHeight="1" x14ac:dyDescent="0.3">
      <c r="CK3948" s="481"/>
    </row>
    <row r="3949" spans="89:89" s="299" customFormat="1" ht="12.75" customHeight="1" x14ac:dyDescent="0.3">
      <c r="CK3949" s="481"/>
    </row>
    <row r="3950" spans="89:89" s="299" customFormat="1" ht="12.75" customHeight="1" x14ac:dyDescent="0.3">
      <c r="CK3950" s="481"/>
    </row>
    <row r="3951" spans="89:89" s="299" customFormat="1" ht="12.75" customHeight="1" x14ac:dyDescent="0.3">
      <c r="CK3951" s="481"/>
    </row>
    <row r="3952" spans="89:89" s="299" customFormat="1" ht="12.75" customHeight="1" x14ac:dyDescent="0.3">
      <c r="CK3952" s="481"/>
    </row>
    <row r="3953" spans="89:89" s="299" customFormat="1" ht="12.75" customHeight="1" x14ac:dyDescent="0.3">
      <c r="CK3953" s="481"/>
    </row>
    <row r="3954" spans="89:89" s="299" customFormat="1" ht="12.75" customHeight="1" x14ac:dyDescent="0.3">
      <c r="CK3954" s="481"/>
    </row>
    <row r="3955" spans="89:89" s="299" customFormat="1" ht="12.75" customHeight="1" x14ac:dyDescent="0.3">
      <c r="CK3955" s="481"/>
    </row>
    <row r="3956" spans="89:89" s="299" customFormat="1" ht="12.75" customHeight="1" x14ac:dyDescent="0.3">
      <c r="CK3956" s="481"/>
    </row>
    <row r="3957" spans="89:89" s="299" customFormat="1" ht="12.75" customHeight="1" x14ac:dyDescent="0.3">
      <c r="CK3957" s="481"/>
    </row>
    <row r="3958" spans="89:89" s="299" customFormat="1" ht="12.75" customHeight="1" x14ac:dyDescent="0.3">
      <c r="CK3958" s="481"/>
    </row>
    <row r="3959" spans="89:89" s="299" customFormat="1" ht="12.75" customHeight="1" x14ac:dyDescent="0.3">
      <c r="CK3959" s="481"/>
    </row>
    <row r="3960" spans="89:89" s="299" customFormat="1" ht="12.75" customHeight="1" x14ac:dyDescent="0.3">
      <c r="CK3960" s="481"/>
    </row>
    <row r="3961" spans="89:89" s="299" customFormat="1" ht="12.75" customHeight="1" x14ac:dyDescent="0.3">
      <c r="CK3961" s="481"/>
    </row>
    <row r="3962" spans="89:89" s="299" customFormat="1" ht="12.75" customHeight="1" x14ac:dyDescent="0.3">
      <c r="CK3962" s="481"/>
    </row>
    <row r="3963" spans="89:89" s="299" customFormat="1" ht="12.75" customHeight="1" x14ac:dyDescent="0.3">
      <c r="CK3963" s="481"/>
    </row>
    <row r="3964" spans="89:89" s="299" customFormat="1" ht="12.75" customHeight="1" x14ac:dyDescent="0.3">
      <c r="CK3964" s="481"/>
    </row>
    <row r="3965" spans="89:89" s="299" customFormat="1" ht="12.75" customHeight="1" x14ac:dyDescent="0.3">
      <c r="CK3965" s="481"/>
    </row>
    <row r="3966" spans="89:89" s="299" customFormat="1" ht="12.75" customHeight="1" x14ac:dyDescent="0.3">
      <c r="CK3966" s="481"/>
    </row>
    <row r="3967" spans="89:89" s="299" customFormat="1" ht="12.75" customHeight="1" x14ac:dyDescent="0.3">
      <c r="CK3967" s="481"/>
    </row>
    <row r="3968" spans="89:89" s="299" customFormat="1" ht="12.75" customHeight="1" x14ac:dyDescent="0.3">
      <c r="CK3968" s="481"/>
    </row>
    <row r="3969" spans="89:89" s="299" customFormat="1" ht="12.75" customHeight="1" x14ac:dyDescent="0.3">
      <c r="CK3969" s="481"/>
    </row>
    <row r="3970" spans="89:89" s="299" customFormat="1" ht="12.75" customHeight="1" x14ac:dyDescent="0.3">
      <c r="CK3970" s="481"/>
    </row>
    <row r="3971" spans="89:89" s="299" customFormat="1" ht="12.75" customHeight="1" x14ac:dyDescent="0.3">
      <c r="CK3971" s="481"/>
    </row>
    <row r="3972" spans="89:89" s="299" customFormat="1" ht="12.75" customHeight="1" x14ac:dyDescent="0.3">
      <c r="CK3972" s="481"/>
    </row>
    <row r="3973" spans="89:89" s="299" customFormat="1" ht="12.75" customHeight="1" x14ac:dyDescent="0.3">
      <c r="CK3973" s="481"/>
    </row>
    <row r="3974" spans="89:89" s="299" customFormat="1" ht="12.75" customHeight="1" x14ac:dyDescent="0.3">
      <c r="CK3974" s="481"/>
    </row>
    <row r="3975" spans="89:89" s="299" customFormat="1" ht="12.75" customHeight="1" x14ac:dyDescent="0.3">
      <c r="CK3975" s="481"/>
    </row>
    <row r="3976" spans="89:89" s="299" customFormat="1" ht="12.75" customHeight="1" x14ac:dyDescent="0.3">
      <c r="CK3976" s="481"/>
    </row>
    <row r="3977" spans="89:89" s="299" customFormat="1" ht="12.75" customHeight="1" x14ac:dyDescent="0.3">
      <c r="CK3977" s="481"/>
    </row>
    <row r="3978" spans="89:89" s="299" customFormat="1" ht="12.75" customHeight="1" x14ac:dyDescent="0.3">
      <c r="CK3978" s="481"/>
    </row>
    <row r="3979" spans="89:89" s="299" customFormat="1" ht="12.75" customHeight="1" x14ac:dyDescent="0.3">
      <c r="CK3979" s="481"/>
    </row>
    <row r="3980" spans="89:89" s="299" customFormat="1" ht="12.75" customHeight="1" x14ac:dyDescent="0.3">
      <c r="CK3980" s="481"/>
    </row>
    <row r="3981" spans="89:89" s="299" customFormat="1" ht="12.75" customHeight="1" x14ac:dyDescent="0.3">
      <c r="CK3981" s="481"/>
    </row>
    <row r="3982" spans="89:89" s="299" customFormat="1" ht="12.75" customHeight="1" x14ac:dyDescent="0.3">
      <c r="CK3982" s="481"/>
    </row>
    <row r="3983" spans="89:89" s="299" customFormat="1" ht="12.75" customHeight="1" x14ac:dyDescent="0.3">
      <c r="CK3983" s="481"/>
    </row>
    <row r="3984" spans="89:89" s="299" customFormat="1" ht="12.75" customHeight="1" x14ac:dyDescent="0.3">
      <c r="CK3984" s="481"/>
    </row>
    <row r="3985" spans="89:89" s="299" customFormat="1" ht="12.75" customHeight="1" x14ac:dyDescent="0.3">
      <c r="CK3985" s="481"/>
    </row>
    <row r="3986" spans="89:89" s="299" customFormat="1" ht="12.75" customHeight="1" x14ac:dyDescent="0.3">
      <c r="CK3986" s="481"/>
    </row>
    <row r="3987" spans="89:89" s="299" customFormat="1" ht="12.75" customHeight="1" x14ac:dyDescent="0.3">
      <c r="CK3987" s="481"/>
    </row>
    <row r="3988" spans="89:89" s="299" customFormat="1" ht="12.75" customHeight="1" x14ac:dyDescent="0.3">
      <c r="CK3988" s="481"/>
    </row>
    <row r="3989" spans="89:89" s="299" customFormat="1" ht="12.75" customHeight="1" x14ac:dyDescent="0.3">
      <c r="CK3989" s="481"/>
    </row>
    <row r="3990" spans="89:89" s="299" customFormat="1" ht="12.75" customHeight="1" x14ac:dyDescent="0.3">
      <c r="CK3990" s="481"/>
    </row>
    <row r="3991" spans="89:89" s="299" customFormat="1" ht="12.75" customHeight="1" x14ac:dyDescent="0.3">
      <c r="CK3991" s="481"/>
    </row>
    <row r="3992" spans="89:89" s="299" customFormat="1" ht="12.75" customHeight="1" x14ac:dyDescent="0.3">
      <c r="CK3992" s="481"/>
    </row>
    <row r="3993" spans="89:89" s="299" customFormat="1" ht="12.75" customHeight="1" x14ac:dyDescent="0.3">
      <c r="CK3993" s="481"/>
    </row>
    <row r="3994" spans="89:89" s="299" customFormat="1" ht="12.75" customHeight="1" x14ac:dyDescent="0.3">
      <c r="CK3994" s="481"/>
    </row>
    <row r="3995" spans="89:89" s="299" customFormat="1" ht="12.75" customHeight="1" x14ac:dyDescent="0.3">
      <c r="CK3995" s="481"/>
    </row>
    <row r="3996" spans="89:89" s="299" customFormat="1" ht="12.75" customHeight="1" x14ac:dyDescent="0.3">
      <c r="CK3996" s="481"/>
    </row>
    <row r="3997" spans="89:89" s="299" customFormat="1" ht="12.75" customHeight="1" x14ac:dyDescent="0.3">
      <c r="CK3997" s="481"/>
    </row>
    <row r="3998" spans="89:89" s="299" customFormat="1" ht="12.75" customHeight="1" x14ac:dyDescent="0.3">
      <c r="CK3998" s="481"/>
    </row>
    <row r="3999" spans="89:89" s="299" customFormat="1" ht="12.75" customHeight="1" x14ac:dyDescent="0.3">
      <c r="CK3999" s="481"/>
    </row>
    <row r="4000" spans="89:89" s="299" customFormat="1" ht="12.75" customHeight="1" x14ac:dyDescent="0.3">
      <c r="CK4000" s="481"/>
    </row>
    <row r="4001" spans="89:89" s="299" customFormat="1" ht="12.75" customHeight="1" x14ac:dyDescent="0.3">
      <c r="CK4001" s="481"/>
    </row>
    <row r="4002" spans="89:89" s="299" customFormat="1" ht="12.75" customHeight="1" x14ac:dyDescent="0.3">
      <c r="CK4002" s="481"/>
    </row>
    <row r="4003" spans="89:89" s="299" customFormat="1" ht="12.75" customHeight="1" x14ac:dyDescent="0.3">
      <c r="CK4003" s="481"/>
    </row>
    <row r="4004" spans="89:89" s="299" customFormat="1" ht="12.75" customHeight="1" x14ac:dyDescent="0.3">
      <c r="CK4004" s="481"/>
    </row>
    <row r="4005" spans="89:89" s="299" customFormat="1" ht="12.75" customHeight="1" x14ac:dyDescent="0.3">
      <c r="CK4005" s="481"/>
    </row>
    <row r="4006" spans="89:89" s="299" customFormat="1" ht="12.75" customHeight="1" x14ac:dyDescent="0.3">
      <c r="CK4006" s="481"/>
    </row>
    <row r="4007" spans="89:89" s="299" customFormat="1" ht="12.75" customHeight="1" x14ac:dyDescent="0.3">
      <c r="CK4007" s="481"/>
    </row>
    <row r="4008" spans="89:89" s="299" customFormat="1" ht="12.75" customHeight="1" x14ac:dyDescent="0.3">
      <c r="CK4008" s="481"/>
    </row>
    <row r="4009" spans="89:89" s="299" customFormat="1" ht="12.75" customHeight="1" x14ac:dyDescent="0.3">
      <c r="CK4009" s="481"/>
    </row>
    <row r="4010" spans="89:89" s="299" customFormat="1" ht="12.75" customHeight="1" x14ac:dyDescent="0.3">
      <c r="CK4010" s="481"/>
    </row>
    <row r="4011" spans="89:89" s="299" customFormat="1" ht="12.75" customHeight="1" x14ac:dyDescent="0.3">
      <c r="CK4011" s="481"/>
    </row>
    <row r="4012" spans="89:89" s="299" customFormat="1" ht="12.75" customHeight="1" x14ac:dyDescent="0.3">
      <c r="CK4012" s="481"/>
    </row>
    <row r="4013" spans="89:89" s="299" customFormat="1" ht="12.75" customHeight="1" x14ac:dyDescent="0.3">
      <c r="CK4013" s="481"/>
    </row>
    <row r="4014" spans="89:89" s="299" customFormat="1" ht="12.75" customHeight="1" x14ac:dyDescent="0.3">
      <c r="CK4014" s="481"/>
    </row>
    <row r="4015" spans="89:89" s="299" customFormat="1" ht="12.75" customHeight="1" x14ac:dyDescent="0.3">
      <c r="CK4015" s="481"/>
    </row>
    <row r="4016" spans="89:89" s="299" customFormat="1" ht="12.75" customHeight="1" x14ac:dyDescent="0.3">
      <c r="CK4016" s="481"/>
    </row>
    <row r="4017" spans="89:89" s="299" customFormat="1" ht="12.75" customHeight="1" x14ac:dyDescent="0.3">
      <c r="CK4017" s="481"/>
    </row>
    <row r="4018" spans="89:89" s="299" customFormat="1" ht="12.75" customHeight="1" x14ac:dyDescent="0.3">
      <c r="CK4018" s="481"/>
    </row>
    <row r="4019" spans="89:89" s="299" customFormat="1" ht="12.75" customHeight="1" x14ac:dyDescent="0.3">
      <c r="CK4019" s="481"/>
    </row>
    <row r="4020" spans="89:89" s="299" customFormat="1" ht="12.75" customHeight="1" x14ac:dyDescent="0.3">
      <c r="CK4020" s="481"/>
    </row>
    <row r="4021" spans="89:89" s="299" customFormat="1" ht="12.75" customHeight="1" x14ac:dyDescent="0.3">
      <c r="CK4021" s="481"/>
    </row>
    <row r="4022" spans="89:89" s="299" customFormat="1" ht="12.75" customHeight="1" x14ac:dyDescent="0.3">
      <c r="CK4022" s="481"/>
    </row>
    <row r="4023" spans="89:89" s="299" customFormat="1" ht="12.75" customHeight="1" x14ac:dyDescent="0.3">
      <c r="CK4023" s="481"/>
    </row>
    <row r="4024" spans="89:89" s="299" customFormat="1" ht="12.75" customHeight="1" x14ac:dyDescent="0.3">
      <c r="CK4024" s="481"/>
    </row>
    <row r="4025" spans="89:89" s="299" customFormat="1" ht="12.75" customHeight="1" x14ac:dyDescent="0.3">
      <c r="CK4025" s="481"/>
    </row>
    <row r="4026" spans="89:89" s="299" customFormat="1" ht="12.75" customHeight="1" x14ac:dyDescent="0.3">
      <c r="CK4026" s="481"/>
    </row>
    <row r="4027" spans="89:89" s="299" customFormat="1" ht="12.75" customHeight="1" x14ac:dyDescent="0.3">
      <c r="CK4027" s="481"/>
    </row>
    <row r="4028" spans="89:89" s="299" customFormat="1" ht="12.75" customHeight="1" x14ac:dyDescent="0.3">
      <c r="CK4028" s="481"/>
    </row>
    <row r="4029" spans="89:89" s="299" customFormat="1" ht="12.75" customHeight="1" x14ac:dyDescent="0.3">
      <c r="CK4029" s="481"/>
    </row>
    <row r="4030" spans="89:89" s="299" customFormat="1" ht="12.75" customHeight="1" x14ac:dyDescent="0.3">
      <c r="CK4030" s="481"/>
    </row>
    <row r="4031" spans="89:89" s="299" customFormat="1" ht="12.75" customHeight="1" x14ac:dyDescent="0.3">
      <c r="CK4031" s="481"/>
    </row>
    <row r="4032" spans="89:89" s="299" customFormat="1" ht="12.75" customHeight="1" x14ac:dyDescent="0.3">
      <c r="CK4032" s="481"/>
    </row>
    <row r="4033" spans="89:89" s="299" customFormat="1" ht="12.75" customHeight="1" x14ac:dyDescent="0.3">
      <c r="CK4033" s="481"/>
    </row>
    <row r="4034" spans="89:89" s="299" customFormat="1" ht="12.75" customHeight="1" x14ac:dyDescent="0.3">
      <c r="CK4034" s="481"/>
    </row>
    <row r="4035" spans="89:89" s="299" customFormat="1" ht="12.75" customHeight="1" x14ac:dyDescent="0.3">
      <c r="CK4035" s="481"/>
    </row>
    <row r="4036" spans="89:89" s="299" customFormat="1" ht="12.75" customHeight="1" x14ac:dyDescent="0.3">
      <c r="CK4036" s="481"/>
    </row>
    <row r="4037" spans="89:89" s="299" customFormat="1" ht="12.75" customHeight="1" x14ac:dyDescent="0.3">
      <c r="CK4037" s="481"/>
    </row>
    <row r="4038" spans="89:89" s="299" customFormat="1" ht="12.75" customHeight="1" x14ac:dyDescent="0.3">
      <c r="CK4038" s="481"/>
    </row>
    <row r="4039" spans="89:89" s="299" customFormat="1" ht="12.75" customHeight="1" x14ac:dyDescent="0.3">
      <c r="CK4039" s="481"/>
    </row>
    <row r="4040" spans="89:89" s="299" customFormat="1" ht="12.75" customHeight="1" x14ac:dyDescent="0.3">
      <c r="CK4040" s="481"/>
    </row>
    <row r="4041" spans="89:89" s="299" customFormat="1" ht="12.75" customHeight="1" x14ac:dyDescent="0.3">
      <c r="CK4041" s="481"/>
    </row>
    <row r="4042" spans="89:89" s="299" customFormat="1" ht="12.75" customHeight="1" x14ac:dyDescent="0.3">
      <c r="CK4042" s="481"/>
    </row>
    <row r="4043" spans="89:89" s="299" customFormat="1" ht="12.75" customHeight="1" x14ac:dyDescent="0.3">
      <c r="CK4043" s="481"/>
    </row>
    <row r="4044" spans="89:89" s="299" customFormat="1" ht="12.75" customHeight="1" x14ac:dyDescent="0.3">
      <c r="CK4044" s="481"/>
    </row>
    <row r="4045" spans="89:89" s="299" customFormat="1" ht="12.75" customHeight="1" x14ac:dyDescent="0.3">
      <c r="CK4045" s="481"/>
    </row>
    <row r="4046" spans="89:89" s="299" customFormat="1" ht="12.75" customHeight="1" x14ac:dyDescent="0.3">
      <c r="CK4046" s="481"/>
    </row>
    <row r="4047" spans="89:89" s="299" customFormat="1" ht="12.75" customHeight="1" x14ac:dyDescent="0.3">
      <c r="CK4047" s="481"/>
    </row>
    <row r="4048" spans="89:89" s="299" customFormat="1" ht="12.75" customHeight="1" x14ac:dyDescent="0.3">
      <c r="CK4048" s="481"/>
    </row>
    <row r="4049" spans="89:89" s="299" customFormat="1" ht="12.75" customHeight="1" x14ac:dyDescent="0.3">
      <c r="CK4049" s="481"/>
    </row>
    <row r="4050" spans="89:89" s="299" customFormat="1" ht="12.75" customHeight="1" x14ac:dyDescent="0.3">
      <c r="CK4050" s="481"/>
    </row>
    <row r="4051" spans="89:89" s="299" customFormat="1" ht="12.75" customHeight="1" x14ac:dyDescent="0.3">
      <c r="CK4051" s="481"/>
    </row>
    <row r="4052" spans="89:89" s="299" customFormat="1" ht="12.75" customHeight="1" x14ac:dyDescent="0.3">
      <c r="CK4052" s="481"/>
    </row>
    <row r="4053" spans="89:89" s="299" customFormat="1" ht="12.75" customHeight="1" x14ac:dyDescent="0.3">
      <c r="CK4053" s="481"/>
    </row>
    <row r="4054" spans="89:89" s="299" customFormat="1" ht="12.75" customHeight="1" x14ac:dyDescent="0.3">
      <c r="CK4054" s="481"/>
    </row>
    <row r="4055" spans="89:89" s="299" customFormat="1" ht="12.75" customHeight="1" x14ac:dyDescent="0.3">
      <c r="CK4055" s="481"/>
    </row>
    <row r="4056" spans="89:89" s="299" customFormat="1" ht="12.75" customHeight="1" x14ac:dyDescent="0.3">
      <c r="CK4056" s="481"/>
    </row>
    <row r="4057" spans="89:89" s="299" customFormat="1" ht="12.75" customHeight="1" x14ac:dyDescent="0.3">
      <c r="CK4057" s="481"/>
    </row>
    <row r="4058" spans="89:89" s="299" customFormat="1" ht="12.75" customHeight="1" x14ac:dyDescent="0.3">
      <c r="CK4058" s="481"/>
    </row>
    <row r="4059" spans="89:89" s="299" customFormat="1" ht="12.75" customHeight="1" x14ac:dyDescent="0.3">
      <c r="CK4059" s="481"/>
    </row>
    <row r="4060" spans="89:89" s="299" customFormat="1" ht="12.75" customHeight="1" x14ac:dyDescent="0.3">
      <c r="CK4060" s="481"/>
    </row>
    <row r="4061" spans="89:89" s="299" customFormat="1" ht="12.75" customHeight="1" x14ac:dyDescent="0.3">
      <c r="CK4061" s="481"/>
    </row>
    <row r="4062" spans="89:89" s="299" customFormat="1" ht="12.75" customHeight="1" x14ac:dyDescent="0.3">
      <c r="CK4062" s="481"/>
    </row>
    <row r="4063" spans="89:89" s="299" customFormat="1" ht="12.75" customHeight="1" x14ac:dyDescent="0.3">
      <c r="CK4063" s="481"/>
    </row>
    <row r="4064" spans="89:89" s="299" customFormat="1" ht="12.75" customHeight="1" x14ac:dyDescent="0.3">
      <c r="CK4064" s="481"/>
    </row>
    <row r="4065" spans="89:89" s="299" customFormat="1" ht="12.75" customHeight="1" x14ac:dyDescent="0.3">
      <c r="CK4065" s="481"/>
    </row>
    <row r="4066" spans="89:89" s="299" customFormat="1" ht="12.75" customHeight="1" x14ac:dyDescent="0.3">
      <c r="CK4066" s="481"/>
    </row>
    <row r="4067" spans="89:89" s="299" customFormat="1" ht="12.75" customHeight="1" x14ac:dyDescent="0.3">
      <c r="CK4067" s="481"/>
    </row>
    <row r="4068" spans="89:89" s="299" customFormat="1" ht="12.75" customHeight="1" x14ac:dyDescent="0.3">
      <c r="CK4068" s="481"/>
    </row>
    <row r="4069" spans="89:89" s="299" customFormat="1" ht="12.75" customHeight="1" x14ac:dyDescent="0.3">
      <c r="CK4069" s="481"/>
    </row>
    <row r="4070" spans="89:89" s="299" customFormat="1" ht="12.75" customHeight="1" x14ac:dyDescent="0.3">
      <c r="CK4070" s="481"/>
    </row>
    <row r="4071" spans="89:89" s="299" customFormat="1" ht="12.75" customHeight="1" x14ac:dyDescent="0.3">
      <c r="CK4071" s="481"/>
    </row>
    <row r="4072" spans="89:89" s="299" customFormat="1" ht="12.75" customHeight="1" x14ac:dyDescent="0.3">
      <c r="CK4072" s="481"/>
    </row>
    <row r="4073" spans="89:89" s="299" customFormat="1" ht="12.75" customHeight="1" x14ac:dyDescent="0.3">
      <c r="CK4073" s="481"/>
    </row>
    <row r="4074" spans="89:89" s="299" customFormat="1" ht="12.75" customHeight="1" x14ac:dyDescent="0.3">
      <c r="CK4074" s="481"/>
    </row>
    <row r="4075" spans="89:89" s="299" customFormat="1" ht="12.75" customHeight="1" x14ac:dyDescent="0.3">
      <c r="CK4075" s="481"/>
    </row>
    <row r="4076" spans="89:89" s="299" customFormat="1" ht="12.75" customHeight="1" x14ac:dyDescent="0.3">
      <c r="CK4076" s="481"/>
    </row>
    <row r="4077" spans="89:89" s="299" customFormat="1" ht="12.75" customHeight="1" x14ac:dyDescent="0.3">
      <c r="CK4077" s="481"/>
    </row>
    <row r="4078" spans="89:89" s="299" customFormat="1" ht="12.75" customHeight="1" x14ac:dyDescent="0.3">
      <c r="CK4078" s="481"/>
    </row>
    <row r="4079" spans="89:89" s="299" customFormat="1" ht="12.75" customHeight="1" x14ac:dyDescent="0.3">
      <c r="CK4079" s="481"/>
    </row>
    <row r="4080" spans="89:89" s="299" customFormat="1" ht="12.75" customHeight="1" x14ac:dyDescent="0.3">
      <c r="CK4080" s="481"/>
    </row>
    <row r="4081" spans="89:89" s="299" customFormat="1" ht="12.75" customHeight="1" x14ac:dyDescent="0.3">
      <c r="CK4081" s="481"/>
    </row>
    <row r="4082" spans="89:89" s="299" customFormat="1" ht="12.75" customHeight="1" x14ac:dyDescent="0.3">
      <c r="CK4082" s="481"/>
    </row>
    <row r="4083" spans="89:89" s="299" customFormat="1" ht="12.75" customHeight="1" x14ac:dyDescent="0.3">
      <c r="CK4083" s="481"/>
    </row>
    <row r="4084" spans="89:89" s="299" customFormat="1" ht="12.75" customHeight="1" x14ac:dyDescent="0.3">
      <c r="CK4084" s="481"/>
    </row>
    <row r="4085" spans="89:89" s="299" customFormat="1" ht="12.75" customHeight="1" x14ac:dyDescent="0.3">
      <c r="CK4085" s="481"/>
    </row>
    <row r="4086" spans="89:89" s="299" customFormat="1" ht="12.75" customHeight="1" x14ac:dyDescent="0.3">
      <c r="CK4086" s="481"/>
    </row>
    <row r="4087" spans="89:89" s="299" customFormat="1" ht="12.75" customHeight="1" x14ac:dyDescent="0.3">
      <c r="CK4087" s="481"/>
    </row>
    <row r="4088" spans="89:89" s="299" customFormat="1" ht="12.75" customHeight="1" x14ac:dyDescent="0.3">
      <c r="CK4088" s="481"/>
    </row>
    <row r="4089" spans="89:89" s="299" customFormat="1" ht="12.75" customHeight="1" x14ac:dyDescent="0.3">
      <c r="CK4089" s="481"/>
    </row>
    <row r="4090" spans="89:89" s="299" customFormat="1" ht="12.75" customHeight="1" x14ac:dyDescent="0.3">
      <c r="CK4090" s="481"/>
    </row>
    <row r="4091" spans="89:89" s="299" customFormat="1" ht="12.75" customHeight="1" x14ac:dyDescent="0.3">
      <c r="CK4091" s="481"/>
    </row>
    <row r="4092" spans="89:89" s="299" customFormat="1" ht="12.75" customHeight="1" x14ac:dyDescent="0.3">
      <c r="CK4092" s="481"/>
    </row>
    <row r="4093" spans="89:89" s="299" customFormat="1" ht="12.75" customHeight="1" x14ac:dyDescent="0.3">
      <c r="CK4093" s="481"/>
    </row>
    <row r="4094" spans="89:89" s="299" customFormat="1" ht="12.75" customHeight="1" x14ac:dyDescent="0.3">
      <c r="CK4094" s="481"/>
    </row>
    <row r="4095" spans="89:89" s="299" customFormat="1" ht="12.75" customHeight="1" x14ac:dyDescent="0.3">
      <c r="CK4095" s="481"/>
    </row>
    <row r="4096" spans="89:89" s="299" customFormat="1" ht="12.75" customHeight="1" x14ac:dyDescent="0.3">
      <c r="CK4096" s="481"/>
    </row>
    <row r="4097" spans="89:89" s="299" customFormat="1" ht="12.75" customHeight="1" x14ac:dyDescent="0.3">
      <c r="CK4097" s="481"/>
    </row>
    <row r="4098" spans="89:89" s="299" customFormat="1" ht="12.75" customHeight="1" x14ac:dyDescent="0.3">
      <c r="CK4098" s="481"/>
    </row>
    <row r="4099" spans="89:89" s="299" customFormat="1" ht="12.75" customHeight="1" x14ac:dyDescent="0.3">
      <c r="CK4099" s="481"/>
    </row>
    <row r="4100" spans="89:89" s="299" customFormat="1" ht="12.75" customHeight="1" x14ac:dyDescent="0.3">
      <c r="CK4100" s="481"/>
    </row>
    <row r="4101" spans="89:89" s="299" customFormat="1" ht="12.75" customHeight="1" x14ac:dyDescent="0.3">
      <c r="CK4101" s="481"/>
    </row>
    <row r="4102" spans="89:89" s="299" customFormat="1" ht="12.75" customHeight="1" x14ac:dyDescent="0.3">
      <c r="CK4102" s="481"/>
    </row>
    <row r="4103" spans="89:89" s="299" customFormat="1" ht="12.75" customHeight="1" x14ac:dyDescent="0.3">
      <c r="CK4103" s="481"/>
    </row>
    <row r="4104" spans="89:89" s="299" customFormat="1" ht="12.75" customHeight="1" x14ac:dyDescent="0.3">
      <c r="CK4104" s="481"/>
    </row>
    <row r="4105" spans="89:89" s="299" customFormat="1" ht="12.75" customHeight="1" x14ac:dyDescent="0.3">
      <c r="CK4105" s="481"/>
    </row>
    <row r="4106" spans="89:89" s="299" customFormat="1" ht="12.75" customHeight="1" x14ac:dyDescent="0.3">
      <c r="CK4106" s="481"/>
    </row>
    <row r="4107" spans="89:89" s="299" customFormat="1" ht="12.75" customHeight="1" x14ac:dyDescent="0.3">
      <c r="CK4107" s="481"/>
    </row>
    <row r="4108" spans="89:89" s="299" customFormat="1" ht="12.75" customHeight="1" x14ac:dyDescent="0.3">
      <c r="CK4108" s="481"/>
    </row>
    <row r="4109" spans="89:89" s="299" customFormat="1" ht="12.75" customHeight="1" x14ac:dyDescent="0.3">
      <c r="CK4109" s="481"/>
    </row>
    <row r="4110" spans="89:89" s="299" customFormat="1" ht="12.75" customHeight="1" x14ac:dyDescent="0.3">
      <c r="CK4110" s="481"/>
    </row>
    <row r="4111" spans="89:89" s="299" customFormat="1" ht="12.75" customHeight="1" x14ac:dyDescent="0.3">
      <c r="CK4111" s="481"/>
    </row>
    <row r="4112" spans="89:89" s="299" customFormat="1" ht="12.75" customHeight="1" x14ac:dyDescent="0.3">
      <c r="CK4112" s="481"/>
    </row>
    <row r="4113" spans="89:89" s="299" customFormat="1" ht="12.75" customHeight="1" x14ac:dyDescent="0.3">
      <c r="CK4113" s="481"/>
    </row>
    <row r="4114" spans="89:89" s="299" customFormat="1" ht="12.75" customHeight="1" x14ac:dyDescent="0.3">
      <c r="CK4114" s="481"/>
    </row>
    <row r="4115" spans="89:89" s="299" customFormat="1" ht="12.75" customHeight="1" x14ac:dyDescent="0.3">
      <c r="CK4115" s="481"/>
    </row>
    <row r="4116" spans="89:89" s="299" customFormat="1" ht="12.75" customHeight="1" x14ac:dyDescent="0.3">
      <c r="CK4116" s="481"/>
    </row>
    <row r="4117" spans="89:89" s="299" customFormat="1" ht="12.75" customHeight="1" x14ac:dyDescent="0.3">
      <c r="CK4117" s="481"/>
    </row>
    <row r="4118" spans="89:89" s="299" customFormat="1" ht="12.75" customHeight="1" x14ac:dyDescent="0.3">
      <c r="CK4118" s="481"/>
    </row>
    <row r="4119" spans="89:89" s="299" customFormat="1" ht="12.75" customHeight="1" x14ac:dyDescent="0.3">
      <c r="CK4119" s="481"/>
    </row>
    <row r="4120" spans="89:89" s="299" customFormat="1" ht="12.75" customHeight="1" x14ac:dyDescent="0.3">
      <c r="CK4120" s="481"/>
    </row>
    <row r="4121" spans="89:89" s="299" customFormat="1" ht="12.75" customHeight="1" x14ac:dyDescent="0.3">
      <c r="CK4121" s="481"/>
    </row>
    <row r="4122" spans="89:89" s="299" customFormat="1" ht="12.75" customHeight="1" x14ac:dyDescent="0.3">
      <c r="CK4122" s="481"/>
    </row>
    <row r="4123" spans="89:89" s="299" customFormat="1" ht="12.75" customHeight="1" x14ac:dyDescent="0.3">
      <c r="CK4123" s="481"/>
    </row>
    <row r="4124" spans="89:89" s="299" customFormat="1" ht="12.75" customHeight="1" x14ac:dyDescent="0.3">
      <c r="CK4124" s="481"/>
    </row>
    <row r="4125" spans="89:89" s="299" customFormat="1" ht="12.75" customHeight="1" x14ac:dyDescent="0.3">
      <c r="CK4125" s="481"/>
    </row>
    <row r="4126" spans="89:89" s="299" customFormat="1" ht="12.75" customHeight="1" x14ac:dyDescent="0.3">
      <c r="CK4126" s="481"/>
    </row>
    <row r="4127" spans="89:89" s="299" customFormat="1" ht="12.75" customHeight="1" x14ac:dyDescent="0.3">
      <c r="CK4127" s="481"/>
    </row>
    <row r="4128" spans="89:89" s="299" customFormat="1" ht="12.75" customHeight="1" x14ac:dyDescent="0.3">
      <c r="CK4128" s="481"/>
    </row>
    <row r="4129" spans="89:89" s="299" customFormat="1" ht="12.75" customHeight="1" x14ac:dyDescent="0.3">
      <c r="CK4129" s="481"/>
    </row>
    <row r="4130" spans="89:89" s="299" customFormat="1" ht="12.75" customHeight="1" x14ac:dyDescent="0.3">
      <c r="CK4130" s="481"/>
    </row>
    <row r="4131" spans="89:89" s="299" customFormat="1" ht="12.75" customHeight="1" x14ac:dyDescent="0.3">
      <c r="CK4131" s="481"/>
    </row>
    <row r="4132" spans="89:89" s="299" customFormat="1" ht="12.75" customHeight="1" x14ac:dyDescent="0.3">
      <c r="CK4132" s="481"/>
    </row>
    <row r="4133" spans="89:89" s="299" customFormat="1" ht="12.75" customHeight="1" x14ac:dyDescent="0.3">
      <c r="CK4133" s="481"/>
    </row>
    <row r="4134" spans="89:89" s="299" customFormat="1" ht="12.75" customHeight="1" x14ac:dyDescent="0.3">
      <c r="CK4134" s="481"/>
    </row>
    <row r="4135" spans="89:89" s="299" customFormat="1" ht="12.75" customHeight="1" x14ac:dyDescent="0.3">
      <c r="CK4135" s="481"/>
    </row>
    <row r="4136" spans="89:89" s="299" customFormat="1" ht="12.75" customHeight="1" x14ac:dyDescent="0.3">
      <c r="CK4136" s="481"/>
    </row>
    <row r="4137" spans="89:89" s="299" customFormat="1" ht="12.75" customHeight="1" x14ac:dyDescent="0.3">
      <c r="CK4137" s="481"/>
    </row>
    <row r="4138" spans="89:89" s="299" customFormat="1" ht="12.75" customHeight="1" x14ac:dyDescent="0.3">
      <c r="CK4138" s="481"/>
    </row>
    <row r="4139" spans="89:89" s="299" customFormat="1" ht="12.75" customHeight="1" x14ac:dyDescent="0.3">
      <c r="CK4139" s="481"/>
    </row>
    <row r="4140" spans="89:89" s="299" customFormat="1" ht="12.75" customHeight="1" x14ac:dyDescent="0.3">
      <c r="CK4140" s="481"/>
    </row>
    <row r="4141" spans="89:89" s="299" customFormat="1" ht="12.75" customHeight="1" x14ac:dyDescent="0.3">
      <c r="CK4141" s="481"/>
    </row>
    <row r="4142" spans="89:89" s="299" customFormat="1" ht="12.75" customHeight="1" x14ac:dyDescent="0.3">
      <c r="CK4142" s="481"/>
    </row>
    <row r="4143" spans="89:89" s="299" customFormat="1" ht="12.75" customHeight="1" x14ac:dyDescent="0.3">
      <c r="CK4143" s="481"/>
    </row>
    <row r="4144" spans="89:89" s="299" customFormat="1" ht="12.75" customHeight="1" x14ac:dyDescent="0.3">
      <c r="CK4144" s="481"/>
    </row>
    <row r="4145" spans="89:89" s="299" customFormat="1" ht="12.75" customHeight="1" x14ac:dyDescent="0.3">
      <c r="CK4145" s="481"/>
    </row>
    <row r="4146" spans="89:89" s="299" customFormat="1" ht="12.75" customHeight="1" x14ac:dyDescent="0.3">
      <c r="CK4146" s="481"/>
    </row>
    <row r="4147" spans="89:89" s="299" customFormat="1" ht="12.75" customHeight="1" x14ac:dyDescent="0.3">
      <c r="CK4147" s="481"/>
    </row>
    <row r="4148" spans="89:89" s="299" customFormat="1" ht="12.75" customHeight="1" x14ac:dyDescent="0.3">
      <c r="CK4148" s="481"/>
    </row>
    <row r="4149" spans="89:89" s="299" customFormat="1" ht="12.75" customHeight="1" x14ac:dyDescent="0.3">
      <c r="CK4149" s="481"/>
    </row>
    <row r="4150" spans="89:89" s="299" customFormat="1" ht="12.75" customHeight="1" x14ac:dyDescent="0.3">
      <c r="CK4150" s="481"/>
    </row>
    <row r="4151" spans="89:89" s="299" customFormat="1" ht="12.75" customHeight="1" x14ac:dyDescent="0.3">
      <c r="CK4151" s="481"/>
    </row>
    <row r="4152" spans="89:89" s="299" customFormat="1" ht="12.75" customHeight="1" x14ac:dyDescent="0.3">
      <c r="CK4152" s="481"/>
    </row>
    <row r="4153" spans="89:89" s="299" customFormat="1" ht="12.75" customHeight="1" x14ac:dyDescent="0.3">
      <c r="CK4153" s="481"/>
    </row>
    <row r="4154" spans="89:89" s="299" customFormat="1" ht="12.75" customHeight="1" x14ac:dyDescent="0.3">
      <c r="CK4154" s="481"/>
    </row>
    <row r="4155" spans="89:89" s="299" customFormat="1" ht="12.75" customHeight="1" x14ac:dyDescent="0.3">
      <c r="CK4155" s="481"/>
    </row>
    <row r="4156" spans="89:89" s="299" customFormat="1" ht="12.75" customHeight="1" x14ac:dyDescent="0.3">
      <c r="CK4156" s="481"/>
    </row>
    <row r="4157" spans="89:89" s="299" customFormat="1" ht="12.75" customHeight="1" x14ac:dyDescent="0.3">
      <c r="CK4157" s="481"/>
    </row>
    <row r="4158" spans="89:89" s="299" customFormat="1" ht="12.75" customHeight="1" x14ac:dyDescent="0.3">
      <c r="CK4158" s="481"/>
    </row>
    <row r="4159" spans="89:89" s="299" customFormat="1" ht="12.75" customHeight="1" x14ac:dyDescent="0.3">
      <c r="CK4159" s="481"/>
    </row>
    <row r="4160" spans="89:89" s="299" customFormat="1" ht="12.75" customHeight="1" x14ac:dyDescent="0.3">
      <c r="CK4160" s="481"/>
    </row>
    <row r="4161" spans="89:89" s="299" customFormat="1" ht="12.75" customHeight="1" x14ac:dyDescent="0.3">
      <c r="CK4161" s="481"/>
    </row>
    <row r="4162" spans="89:89" s="299" customFormat="1" ht="12.75" customHeight="1" x14ac:dyDescent="0.3">
      <c r="CK4162" s="481"/>
    </row>
    <row r="4163" spans="89:89" s="299" customFormat="1" ht="12.75" customHeight="1" x14ac:dyDescent="0.3">
      <c r="CK4163" s="481"/>
    </row>
    <row r="4164" spans="89:89" s="299" customFormat="1" ht="12.75" customHeight="1" x14ac:dyDescent="0.3">
      <c r="CK4164" s="481"/>
    </row>
    <row r="4165" spans="89:89" s="299" customFormat="1" ht="12.75" customHeight="1" x14ac:dyDescent="0.3">
      <c r="CK4165" s="481"/>
    </row>
    <row r="4166" spans="89:89" s="299" customFormat="1" ht="12.75" customHeight="1" x14ac:dyDescent="0.3">
      <c r="CK4166" s="481"/>
    </row>
    <row r="4167" spans="89:89" s="299" customFormat="1" ht="12.75" customHeight="1" x14ac:dyDescent="0.3">
      <c r="CK4167" s="481"/>
    </row>
    <row r="4168" spans="89:89" s="299" customFormat="1" ht="12.75" customHeight="1" x14ac:dyDescent="0.3">
      <c r="CK4168" s="481"/>
    </row>
    <row r="4169" spans="89:89" s="299" customFormat="1" ht="12.75" customHeight="1" x14ac:dyDescent="0.3">
      <c r="CK4169" s="481"/>
    </row>
    <row r="4170" spans="89:89" s="299" customFormat="1" ht="12.75" customHeight="1" x14ac:dyDescent="0.3">
      <c r="CK4170" s="481"/>
    </row>
    <row r="4171" spans="89:89" s="299" customFormat="1" ht="12.75" customHeight="1" x14ac:dyDescent="0.3">
      <c r="CK4171" s="481"/>
    </row>
    <row r="4172" spans="89:89" s="299" customFormat="1" ht="12.75" customHeight="1" x14ac:dyDescent="0.3">
      <c r="CK4172" s="481"/>
    </row>
    <row r="4173" spans="89:89" s="299" customFormat="1" ht="12.75" customHeight="1" x14ac:dyDescent="0.3">
      <c r="CK4173" s="481"/>
    </row>
    <row r="4174" spans="89:89" s="299" customFormat="1" ht="12.75" customHeight="1" x14ac:dyDescent="0.3">
      <c r="CK4174" s="481"/>
    </row>
    <row r="4175" spans="89:89" s="299" customFormat="1" ht="12.75" customHeight="1" x14ac:dyDescent="0.3">
      <c r="CK4175" s="481"/>
    </row>
    <row r="4176" spans="89:89" s="299" customFormat="1" ht="12.75" customHeight="1" x14ac:dyDescent="0.3">
      <c r="CK4176" s="481"/>
    </row>
    <row r="4177" spans="89:89" s="299" customFormat="1" ht="12.75" customHeight="1" x14ac:dyDescent="0.3">
      <c r="CK4177" s="481"/>
    </row>
    <row r="4178" spans="89:89" s="299" customFormat="1" ht="12.75" customHeight="1" x14ac:dyDescent="0.3">
      <c r="CK4178" s="481"/>
    </row>
    <row r="4179" spans="89:89" s="299" customFormat="1" ht="12.75" customHeight="1" x14ac:dyDescent="0.3">
      <c r="CK4179" s="481"/>
    </row>
    <row r="4180" spans="89:89" s="299" customFormat="1" ht="12.75" customHeight="1" x14ac:dyDescent="0.3">
      <c r="CK4180" s="481"/>
    </row>
    <row r="4181" spans="89:89" s="299" customFormat="1" ht="12.75" customHeight="1" x14ac:dyDescent="0.3">
      <c r="CK4181" s="481"/>
    </row>
    <row r="4182" spans="89:89" s="299" customFormat="1" ht="12.75" customHeight="1" x14ac:dyDescent="0.3">
      <c r="CK4182" s="481"/>
    </row>
    <row r="4183" spans="89:89" s="299" customFormat="1" ht="12.75" customHeight="1" x14ac:dyDescent="0.3">
      <c r="CK4183" s="481"/>
    </row>
    <row r="4184" spans="89:89" s="299" customFormat="1" ht="12.75" customHeight="1" x14ac:dyDescent="0.3">
      <c r="CK4184" s="481"/>
    </row>
    <row r="4185" spans="89:89" s="299" customFormat="1" ht="12.75" customHeight="1" x14ac:dyDescent="0.3">
      <c r="CK4185" s="481"/>
    </row>
    <row r="4186" spans="89:89" s="299" customFormat="1" ht="12.75" customHeight="1" x14ac:dyDescent="0.3">
      <c r="CK4186" s="481"/>
    </row>
    <row r="4187" spans="89:89" s="299" customFormat="1" ht="12.75" customHeight="1" x14ac:dyDescent="0.3">
      <c r="CK4187" s="481"/>
    </row>
    <row r="4188" spans="89:89" s="299" customFormat="1" ht="12.75" customHeight="1" x14ac:dyDescent="0.3">
      <c r="CK4188" s="481"/>
    </row>
    <row r="4189" spans="89:89" s="299" customFormat="1" ht="12.75" customHeight="1" x14ac:dyDescent="0.3">
      <c r="CK4189" s="481"/>
    </row>
    <row r="4190" spans="89:89" s="299" customFormat="1" ht="12.75" customHeight="1" x14ac:dyDescent="0.3">
      <c r="CK4190" s="481"/>
    </row>
    <row r="4191" spans="89:89" s="299" customFormat="1" ht="12.75" customHeight="1" x14ac:dyDescent="0.3">
      <c r="CK4191" s="481"/>
    </row>
    <row r="4192" spans="89:89" s="299" customFormat="1" ht="12.75" customHeight="1" x14ac:dyDescent="0.3">
      <c r="CK4192" s="481"/>
    </row>
    <row r="4193" spans="89:89" s="299" customFormat="1" ht="12.75" customHeight="1" x14ac:dyDescent="0.3">
      <c r="CK4193" s="481"/>
    </row>
    <row r="4194" spans="89:89" s="299" customFormat="1" ht="12.75" customHeight="1" x14ac:dyDescent="0.3">
      <c r="CK4194" s="481"/>
    </row>
    <row r="4195" spans="89:89" s="299" customFormat="1" ht="12.75" customHeight="1" x14ac:dyDescent="0.3">
      <c r="CK4195" s="481"/>
    </row>
    <row r="4196" spans="89:89" s="299" customFormat="1" ht="12.75" customHeight="1" x14ac:dyDescent="0.3">
      <c r="CK4196" s="481"/>
    </row>
    <row r="4197" spans="89:89" s="299" customFormat="1" ht="12.75" customHeight="1" x14ac:dyDescent="0.3">
      <c r="CK4197" s="481"/>
    </row>
    <row r="4198" spans="89:89" s="299" customFormat="1" ht="12.75" customHeight="1" x14ac:dyDescent="0.3">
      <c r="CK4198" s="481"/>
    </row>
    <row r="4199" spans="89:89" s="299" customFormat="1" ht="12.75" customHeight="1" x14ac:dyDescent="0.3">
      <c r="CK4199" s="481"/>
    </row>
    <row r="4200" spans="89:89" s="299" customFormat="1" ht="12.75" customHeight="1" x14ac:dyDescent="0.3">
      <c r="CK4200" s="481"/>
    </row>
    <row r="4201" spans="89:89" s="299" customFormat="1" ht="12.75" customHeight="1" x14ac:dyDescent="0.3">
      <c r="CK4201" s="481"/>
    </row>
    <row r="4202" spans="89:89" s="299" customFormat="1" ht="12.75" customHeight="1" x14ac:dyDescent="0.3">
      <c r="CK4202" s="481"/>
    </row>
    <row r="4203" spans="89:89" s="299" customFormat="1" ht="12.75" customHeight="1" x14ac:dyDescent="0.3">
      <c r="CK4203" s="481"/>
    </row>
    <row r="4204" spans="89:89" s="299" customFormat="1" ht="12.75" customHeight="1" x14ac:dyDescent="0.3">
      <c r="CK4204" s="481"/>
    </row>
    <row r="4205" spans="89:89" s="299" customFormat="1" ht="12.75" customHeight="1" x14ac:dyDescent="0.3">
      <c r="CK4205" s="481"/>
    </row>
    <row r="4206" spans="89:89" s="299" customFormat="1" ht="12.75" customHeight="1" x14ac:dyDescent="0.3">
      <c r="CK4206" s="481"/>
    </row>
    <row r="4207" spans="89:89" s="299" customFormat="1" ht="12.75" customHeight="1" x14ac:dyDescent="0.3">
      <c r="CK4207" s="481"/>
    </row>
    <row r="4208" spans="89:89" s="299" customFormat="1" ht="12.75" customHeight="1" x14ac:dyDescent="0.3">
      <c r="CK4208" s="481"/>
    </row>
    <row r="4209" spans="89:89" s="299" customFormat="1" ht="12.75" customHeight="1" x14ac:dyDescent="0.3">
      <c r="CK4209" s="481"/>
    </row>
    <row r="4210" spans="89:89" s="299" customFormat="1" ht="12.75" customHeight="1" x14ac:dyDescent="0.3">
      <c r="CK4210" s="481"/>
    </row>
    <row r="4211" spans="89:89" s="299" customFormat="1" ht="12.75" customHeight="1" x14ac:dyDescent="0.3">
      <c r="CK4211" s="481"/>
    </row>
    <row r="4212" spans="89:89" s="299" customFormat="1" ht="12.75" customHeight="1" x14ac:dyDescent="0.3">
      <c r="CK4212" s="481"/>
    </row>
    <row r="4213" spans="89:89" s="299" customFormat="1" ht="12.75" customHeight="1" x14ac:dyDescent="0.3">
      <c r="CK4213" s="481"/>
    </row>
    <row r="4214" spans="89:89" s="299" customFormat="1" ht="12.75" customHeight="1" x14ac:dyDescent="0.3">
      <c r="CK4214" s="481"/>
    </row>
    <row r="4215" spans="89:89" s="299" customFormat="1" ht="12.75" customHeight="1" x14ac:dyDescent="0.3">
      <c r="CK4215" s="481"/>
    </row>
    <row r="4216" spans="89:89" s="299" customFormat="1" ht="12.75" customHeight="1" x14ac:dyDescent="0.3">
      <c r="CK4216" s="481"/>
    </row>
    <row r="4217" spans="89:89" s="299" customFormat="1" ht="12.75" customHeight="1" x14ac:dyDescent="0.3">
      <c r="CK4217" s="481"/>
    </row>
    <row r="4218" spans="89:89" s="299" customFormat="1" ht="12.75" customHeight="1" x14ac:dyDescent="0.3">
      <c r="CK4218" s="481"/>
    </row>
    <row r="4219" spans="89:89" s="299" customFormat="1" ht="12.75" customHeight="1" x14ac:dyDescent="0.3">
      <c r="CK4219" s="481"/>
    </row>
    <row r="4220" spans="89:89" s="299" customFormat="1" ht="12.75" customHeight="1" x14ac:dyDescent="0.3">
      <c r="CK4220" s="481"/>
    </row>
    <row r="4221" spans="89:89" s="299" customFormat="1" ht="12.75" customHeight="1" x14ac:dyDescent="0.3">
      <c r="CK4221" s="481"/>
    </row>
    <row r="4222" spans="89:89" s="299" customFormat="1" ht="12.75" customHeight="1" x14ac:dyDescent="0.3">
      <c r="CK4222" s="481"/>
    </row>
    <row r="4223" spans="89:89" s="299" customFormat="1" ht="12.75" customHeight="1" x14ac:dyDescent="0.3">
      <c r="CK4223" s="481"/>
    </row>
    <row r="4224" spans="89:89" s="299" customFormat="1" ht="12.75" customHeight="1" x14ac:dyDescent="0.3">
      <c r="CK4224" s="481"/>
    </row>
    <row r="4225" spans="89:89" s="299" customFormat="1" ht="12.75" customHeight="1" x14ac:dyDescent="0.3">
      <c r="CK4225" s="481"/>
    </row>
    <row r="4226" spans="89:89" s="299" customFormat="1" ht="12.75" customHeight="1" x14ac:dyDescent="0.3">
      <c r="CK4226" s="481"/>
    </row>
    <row r="4227" spans="89:89" s="299" customFormat="1" ht="12.75" customHeight="1" x14ac:dyDescent="0.3">
      <c r="CK4227" s="481"/>
    </row>
    <row r="4228" spans="89:89" s="299" customFormat="1" ht="12.75" customHeight="1" x14ac:dyDescent="0.3">
      <c r="CK4228" s="481"/>
    </row>
    <row r="4229" spans="89:89" s="299" customFormat="1" ht="12.75" customHeight="1" x14ac:dyDescent="0.3">
      <c r="CK4229" s="481"/>
    </row>
    <row r="4230" spans="89:89" s="299" customFormat="1" ht="12.75" customHeight="1" x14ac:dyDescent="0.3">
      <c r="CK4230" s="481"/>
    </row>
    <row r="4231" spans="89:89" s="299" customFormat="1" ht="12.75" customHeight="1" x14ac:dyDescent="0.3">
      <c r="CK4231" s="481"/>
    </row>
    <row r="4232" spans="89:89" s="299" customFormat="1" ht="12.75" customHeight="1" x14ac:dyDescent="0.3">
      <c r="CK4232" s="481"/>
    </row>
    <row r="4233" spans="89:89" s="299" customFormat="1" ht="12.75" customHeight="1" x14ac:dyDescent="0.3">
      <c r="CK4233" s="481"/>
    </row>
    <row r="4234" spans="89:89" s="299" customFormat="1" ht="12.75" customHeight="1" x14ac:dyDescent="0.3">
      <c r="CK4234" s="481"/>
    </row>
    <row r="4235" spans="89:89" s="299" customFormat="1" ht="12.75" customHeight="1" x14ac:dyDescent="0.3">
      <c r="CK4235" s="481"/>
    </row>
    <row r="4236" spans="89:89" s="299" customFormat="1" ht="12.75" customHeight="1" x14ac:dyDescent="0.3">
      <c r="CK4236" s="481"/>
    </row>
    <row r="4237" spans="89:89" s="299" customFormat="1" ht="12.75" customHeight="1" x14ac:dyDescent="0.3">
      <c r="CK4237" s="481"/>
    </row>
    <row r="4238" spans="89:89" s="299" customFormat="1" ht="12.75" customHeight="1" x14ac:dyDescent="0.3">
      <c r="CK4238" s="481"/>
    </row>
    <row r="4239" spans="89:89" s="299" customFormat="1" ht="12.75" customHeight="1" x14ac:dyDescent="0.3">
      <c r="CK4239" s="481"/>
    </row>
    <row r="4240" spans="89:89" s="299" customFormat="1" ht="12.75" customHeight="1" x14ac:dyDescent="0.3">
      <c r="CK4240" s="481"/>
    </row>
    <row r="4241" spans="89:89" s="299" customFormat="1" ht="12.75" customHeight="1" x14ac:dyDescent="0.3">
      <c r="CK4241" s="481"/>
    </row>
    <row r="4242" spans="89:89" s="299" customFormat="1" ht="12.75" customHeight="1" x14ac:dyDescent="0.3">
      <c r="CK4242" s="481"/>
    </row>
    <row r="4243" spans="89:89" s="299" customFormat="1" ht="12.75" customHeight="1" x14ac:dyDescent="0.3">
      <c r="CK4243" s="481"/>
    </row>
    <row r="4244" spans="89:89" s="299" customFormat="1" ht="12.75" customHeight="1" x14ac:dyDescent="0.3">
      <c r="CK4244" s="481"/>
    </row>
    <row r="4245" spans="89:89" s="299" customFormat="1" ht="12.75" customHeight="1" x14ac:dyDescent="0.3">
      <c r="CK4245" s="481"/>
    </row>
    <row r="4246" spans="89:89" s="299" customFormat="1" ht="12.75" customHeight="1" x14ac:dyDescent="0.3">
      <c r="CK4246" s="481"/>
    </row>
    <row r="4247" spans="89:89" s="299" customFormat="1" ht="12.75" customHeight="1" x14ac:dyDescent="0.3">
      <c r="CK4247" s="481"/>
    </row>
    <row r="4248" spans="89:89" s="299" customFormat="1" ht="12.75" customHeight="1" x14ac:dyDescent="0.3">
      <c r="CK4248" s="481"/>
    </row>
    <row r="4249" spans="89:89" s="299" customFormat="1" ht="12.75" customHeight="1" x14ac:dyDescent="0.3">
      <c r="CK4249" s="481"/>
    </row>
    <row r="4250" spans="89:89" s="299" customFormat="1" ht="12.75" customHeight="1" x14ac:dyDescent="0.3">
      <c r="CK4250" s="481"/>
    </row>
    <row r="4251" spans="89:89" s="299" customFormat="1" ht="12.75" customHeight="1" x14ac:dyDescent="0.3">
      <c r="CK4251" s="481"/>
    </row>
    <row r="4252" spans="89:89" s="299" customFormat="1" ht="12.75" customHeight="1" x14ac:dyDescent="0.3">
      <c r="CK4252" s="481"/>
    </row>
    <row r="4253" spans="89:89" s="299" customFormat="1" ht="12.75" customHeight="1" x14ac:dyDescent="0.3">
      <c r="CK4253" s="481"/>
    </row>
    <row r="4254" spans="89:89" s="299" customFormat="1" ht="12.75" customHeight="1" x14ac:dyDescent="0.3">
      <c r="CK4254" s="481"/>
    </row>
    <row r="4255" spans="89:89" s="299" customFormat="1" ht="12.75" customHeight="1" x14ac:dyDescent="0.3">
      <c r="CK4255" s="481"/>
    </row>
    <row r="4256" spans="89:89" s="299" customFormat="1" ht="12.75" customHeight="1" x14ac:dyDescent="0.3">
      <c r="CK4256" s="481"/>
    </row>
    <row r="4257" spans="89:89" s="299" customFormat="1" ht="12.75" customHeight="1" x14ac:dyDescent="0.3">
      <c r="CK4257" s="481"/>
    </row>
    <row r="4258" spans="89:89" s="299" customFormat="1" ht="12.75" customHeight="1" x14ac:dyDescent="0.3">
      <c r="CK4258" s="481"/>
    </row>
    <row r="4259" spans="89:89" s="299" customFormat="1" ht="12.75" customHeight="1" x14ac:dyDescent="0.3">
      <c r="CK4259" s="481"/>
    </row>
    <row r="4260" spans="89:89" s="299" customFormat="1" ht="12.75" customHeight="1" x14ac:dyDescent="0.3">
      <c r="CK4260" s="481"/>
    </row>
    <row r="4261" spans="89:89" s="299" customFormat="1" ht="12.75" customHeight="1" x14ac:dyDescent="0.3">
      <c r="CK4261" s="481"/>
    </row>
    <row r="4262" spans="89:89" s="299" customFormat="1" ht="12.75" customHeight="1" x14ac:dyDescent="0.3">
      <c r="CK4262" s="481"/>
    </row>
    <row r="4263" spans="89:89" s="299" customFormat="1" ht="12.75" customHeight="1" x14ac:dyDescent="0.3">
      <c r="CK4263" s="481"/>
    </row>
    <row r="4264" spans="89:89" s="299" customFormat="1" ht="12.75" customHeight="1" x14ac:dyDescent="0.3">
      <c r="CK4264" s="481"/>
    </row>
    <row r="4265" spans="89:89" s="299" customFormat="1" ht="12.75" customHeight="1" x14ac:dyDescent="0.3">
      <c r="CK4265" s="481"/>
    </row>
    <row r="4266" spans="89:89" s="299" customFormat="1" ht="12.75" customHeight="1" x14ac:dyDescent="0.3">
      <c r="CK4266" s="481"/>
    </row>
    <row r="4267" spans="89:89" s="299" customFormat="1" ht="12.75" customHeight="1" x14ac:dyDescent="0.3">
      <c r="CK4267" s="481"/>
    </row>
    <row r="4268" spans="89:89" s="299" customFormat="1" ht="12.75" customHeight="1" x14ac:dyDescent="0.3">
      <c r="CK4268" s="481"/>
    </row>
    <row r="4269" spans="89:89" s="299" customFormat="1" ht="12.75" customHeight="1" x14ac:dyDescent="0.3">
      <c r="CK4269" s="481"/>
    </row>
    <row r="4270" spans="89:89" s="299" customFormat="1" ht="12.75" customHeight="1" x14ac:dyDescent="0.3">
      <c r="CK4270" s="481"/>
    </row>
    <row r="4271" spans="89:89" s="299" customFormat="1" ht="12.75" customHeight="1" x14ac:dyDescent="0.3">
      <c r="CK4271" s="481"/>
    </row>
    <row r="4272" spans="89:89" s="299" customFormat="1" ht="12.75" customHeight="1" x14ac:dyDescent="0.3">
      <c r="CK4272" s="481"/>
    </row>
    <row r="4273" spans="89:89" s="299" customFormat="1" ht="12.75" customHeight="1" x14ac:dyDescent="0.3">
      <c r="CK4273" s="481"/>
    </row>
    <row r="4274" spans="89:89" s="299" customFormat="1" ht="12.75" customHeight="1" x14ac:dyDescent="0.3">
      <c r="CK4274" s="481"/>
    </row>
    <row r="4275" spans="89:89" s="299" customFormat="1" ht="12.75" customHeight="1" x14ac:dyDescent="0.3">
      <c r="CK4275" s="481"/>
    </row>
    <row r="4276" spans="89:89" s="299" customFormat="1" ht="12.75" customHeight="1" x14ac:dyDescent="0.3">
      <c r="CK4276" s="481"/>
    </row>
    <row r="4277" spans="89:89" s="299" customFormat="1" ht="12.75" customHeight="1" x14ac:dyDescent="0.3">
      <c r="CK4277" s="481"/>
    </row>
    <row r="4278" spans="89:89" s="299" customFormat="1" ht="12.75" customHeight="1" x14ac:dyDescent="0.3">
      <c r="CK4278" s="481"/>
    </row>
    <row r="4279" spans="89:89" s="299" customFormat="1" ht="12.75" customHeight="1" x14ac:dyDescent="0.3">
      <c r="CK4279" s="481"/>
    </row>
    <row r="4280" spans="89:89" s="299" customFormat="1" ht="12.75" customHeight="1" x14ac:dyDescent="0.3">
      <c r="CK4280" s="481"/>
    </row>
    <row r="4281" spans="89:89" s="299" customFormat="1" ht="12.75" customHeight="1" x14ac:dyDescent="0.3">
      <c r="CK4281" s="481"/>
    </row>
    <row r="4282" spans="89:89" s="299" customFormat="1" ht="12.75" customHeight="1" x14ac:dyDescent="0.3">
      <c r="CK4282" s="481"/>
    </row>
    <row r="4283" spans="89:89" s="299" customFormat="1" ht="12.75" customHeight="1" x14ac:dyDescent="0.3">
      <c r="CK4283" s="481"/>
    </row>
    <row r="4284" spans="89:89" s="299" customFormat="1" ht="12.75" customHeight="1" x14ac:dyDescent="0.3">
      <c r="CK4284" s="481"/>
    </row>
    <row r="4285" spans="89:89" s="299" customFormat="1" ht="12.75" customHeight="1" x14ac:dyDescent="0.3">
      <c r="CK4285" s="481"/>
    </row>
    <row r="4286" spans="89:89" s="299" customFormat="1" ht="12.75" customHeight="1" x14ac:dyDescent="0.3">
      <c r="CK4286" s="481"/>
    </row>
    <row r="4287" spans="89:89" s="299" customFormat="1" ht="12.75" customHeight="1" x14ac:dyDescent="0.3">
      <c r="CK4287" s="481"/>
    </row>
    <row r="4288" spans="89:89" s="299" customFormat="1" ht="12.75" customHeight="1" x14ac:dyDescent="0.3">
      <c r="CK4288" s="481"/>
    </row>
    <row r="4289" spans="89:89" s="299" customFormat="1" ht="12.75" customHeight="1" x14ac:dyDescent="0.3">
      <c r="CK4289" s="481"/>
    </row>
    <row r="4290" spans="89:89" s="299" customFormat="1" ht="12.75" customHeight="1" x14ac:dyDescent="0.3">
      <c r="CK4290" s="481"/>
    </row>
    <row r="4291" spans="89:89" s="299" customFormat="1" ht="12.75" customHeight="1" x14ac:dyDescent="0.3">
      <c r="CK4291" s="481"/>
    </row>
    <row r="4292" spans="89:89" s="299" customFormat="1" ht="12.75" customHeight="1" x14ac:dyDescent="0.3">
      <c r="CK4292" s="481"/>
    </row>
    <row r="4293" spans="89:89" s="299" customFormat="1" ht="12.75" customHeight="1" x14ac:dyDescent="0.3">
      <c r="CK4293" s="481"/>
    </row>
    <row r="4294" spans="89:89" s="299" customFormat="1" ht="12.75" customHeight="1" x14ac:dyDescent="0.3">
      <c r="CK4294" s="481"/>
    </row>
    <row r="4295" spans="89:89" s="299" customFormat="1" ht="12.75" customHeight="1" x14ac:dyDescent="0.3">
      <c r="CK4295" s="481"/>
    </row>
    <row r="4296" spans="89:89" s="299" customFormat="1" ht="12.75" customHeight="1" x14ac:dyDescent="0.3">
      <c r="CK4296" s="481"/>
    </row>
    <row r="4297" spans="89:89" s="299" customFormat="1" ht="12.75" customHeight="1" x14ac:dyDescent="0.3">
      <c r="CK4297" s="481"/>
    </row>
    <row r="4298" spans="89:89" s="299" customFormat="1" ht="12.75" customHeight="1" x14ac:dyDescent="0.3">
      <c r="CK4298" s="481"/>
    </row>
    <row r="4299" spans="89:89" s="299" customFormat="1" ht="12.75" customHeight="1" x14ac:dyDescent="0.3">
      <c r="CK4299" s="481"/>
    </row>
    <row r="4300" spans="89:89" s="299" customFormat="1" ht="12.75" customHeight="1" x14ac:dyDescent="0.3">
      <c r="CK4300" s="481"/>
    </row>
    <row r="4301" spans="89:89" s="299" customFormat="1" ht="12.75" customHeight="1" x14ac:dyDescent="0.3">
      <c r="CK4301" s="481"/>
    </row>
    <row r="4302" spans="89:89" s="299" customFormat="1" ht="12.75" customHeight="1" x14ac:dyDescent="0.3">
      <c r="CK4302" s="481"/>
    </row>
    <row r="4303" spans="89:89" s="299" customFormat="1" ht="12.75" customHeight="1" x14ac:dyDescent="0.3">
      <c r="CK4303" s="481"/>
    </row>
    <row r="4304" spans="89:89" s="299" customFormat="1" ht="12.75" customHeight="1" x14ac:dyDescent="0.3">
      <c r="CK4304" s="481"/>
    </row>
    <row r="4305" spans="89:89" s="299" customFormat="1" ht="12.75" customHeight="1" x14ac:dyDescent="0.3">
      <c r="CK4305" s="481"/>
    </row>
    <row r="4306" spans="89:89" s="299" customFormat="1" ht="12.75" customHeight="1" x14ac:dyDescent="0.3">
      <c r="CK4306" s="481"/>
    </row>
    <row r="4307" spans="89:89" s="299" customFormat="1" ht="12.75" customHeight="1" x14ac:dyDescent="0.3">
      <c r="CK4307" s="481"/>
    </row>
    <row r="4308" spans="89:89" s="299" customFormat="1" ht="12.75" customHeight="1" x14ac:dyDescent="0.3">
      <c r="CK4308" s="481"/>
    </row>
    <row r="4309" spans="89:89" s="299" customFormat="1" ht="12.75" customHeight="1" x14ac:dyDescent="0.3">
      <c r="CK4309" s="481"/>
    </row>
    <row r="4310" spans="89:89" s="299" customFormat="1" ht="12.75" customHeight="1" x14ac:dyDescent="0.3">
      <c r="CK4310" s="481"/>
    </row>
    <row r="4311" spans="89:89" s="299" customFormat="1" ht="12.75" customHeight="1" x14ac:dyDescent="0.3">
      <c r="CK4311" s="481"/>
    </row>
    <row r="4312" spans="89:89" s="299" customFormat="1" ht="12.75" customHeight="1" x14ac:dyDescent="0.3">
      <c r="CK4312" s="481"/>
    </row>
    <row r="4313" spans="89:89" s="299" customFormat="1" ht="12.75" customHeight="1" x14ac:dyDescent="0.3">
      <c r="CK4313" s="481"/>
    </row>
    <row r="4314" spans="89:89" s="299" customFormat="1" ht="12.75" customHeight="1" x14ac:dyDescent="0.3">
      <c r="CK4314" s="481"/>
    </row>
    <row r="4315" spans="89:89" s="299" customFormat="1" ht="12.75" customHeight="1" x14ac:dyDescent="0.3">
      <c r="CK4315" s="481"/>
    </row>
    <row r="4316" spans="89:89" s="299" customFormat="1" ht="12.75" customHeight="1" x14ac:dyDescent="0.3">
      <c r="CK4316" s="481"/>
    </row>
    <row r="4317" spans="89:89" s="299" customFormat="1" ht="12.75" customHeight="1" x14ac:dyDescent="0.3">
      <c r="CK4317" s="481"/>
    </row>
    <row r="4318" spans="89:89" s="299" customFormat="1" ht="12.75" customHeight="1" x14ac:dyDescent="0.3">
      <c r="CK4318" s="481"/>
    </row>
    <row r="4319" spans="89:89" s="299" customFormat="1" ht="12.75" customHeight="1" x14ac:dyDescent="0.3">
      <c r="CK4319" s="481"/>
    </row>
    <row r="4320" spans="89:89" s="299" customFormat="1" ht="12.75" customHeight="1" x14ac:dyDescent="0.3">
      <c r="CK4320" s="481"/>
    </row>
    <row r="4321" spans="89:89" s="299" customFormat="1" ht="12.75" customHeight="1" x14ac:dyDescent="0.3">
      <c r="CK4321" s="481"/>
    </row>
    <row r="4322" spans="89:89" s="299" customFormat="1" ht="12.75" customHeight="1" x14ac:dyDescent="0.3">
      <c r="CK4322" s="481"/>
    </row>
    <row r="4323" spans="89:89" s="299" customFormat="1" ht="12.75" customHeight="1" x14ac:dyDescent="0.3">
      <c r="CK4323" s="481"/>
    </row>
    <row r="4324" spans="89:89" s="299" customFormat="1" ht="12.75" customHeight="1" x14ac:dyDescent="0.3">
      <c r="CK4324" s="481"/>
    </row>
    <row r="4325" spans="89:89" s="299" customFormat="1" ht="12.75" customHeight="1" x14ac:dyDescent="0.3">
      <c r="CK4325" s="481"/>
    </row>
    <row r="4326" spans="89:89" s="299" customFormat="1" ht="12.75" customHeight="1" x14ac:dyDescent="0.3">
      <c r="CK4326" s="481"/>
    </row>
    <row r="4327" spans="89:89" s="299" customFormat="1" ht="12.75" customHeight="1" x14ac:dyDescent="0.3">
      <c r="CK4327" s="481"/>
    </row>
    <row r="4328" spans="89:89" s="299" customFormat="1" ht="12.75" customHeight="1" x14ac:dyDescent="0.3">
      <c r="CK4328" s="481"/>
    </row>
    <row r="4329" spans="89:89" s="299" customFormat="1" ht="12.75" customHeight="1" x14ac:dyDescent="0.3">
      <c r="CK4329" s="481"/>
    </row>
    <row r="4330" spans="89:89" s="299" customFormat="1" ht="12.75" customHeight="1" x14ac:dyDescent="0.3">
      <c r="CK4330" s="481"/>
    </row>
    <row r="4331" spans="89:89" s="299" customFormat="1" ht="12.75" customHeight="1" x14ac:dyDescent="0.3">
      <c r="CK4331" s="481"/>
    </row>
    <row r="4332" spans="89:89" s="299" customFormat="1" ht="12.75" customHeight="1" x14ac:dyDescent="0.3">
      <c r="CK4332" s="481"/>
    </row>
    <row r="4333" spans="89:89" s="299" customFormat="1" ht="12.75" customHeight="1" x14ac:dyDescent="0.3">
      <c r="CK4333" s="481"/>
    </row>
    <row r="4334" spans="89:89" s="299" customFormat="1" ht="12.75" customHeight="1" x14ac:dyDescent="0.3">
      <c r="CK4334" s="481"/>
    </row>
    <row r="4335" spans="89:89" s="299" customFormat="1" ht="12.75" customHeight="1" x14ac:dyDescent="0.3">
      <c r="CK4335" s="481"/>
    </row>
    <row r="4336" spans="89:89" s="299" customFormat="1" ht="12.75" customHeight="1" x14ac:dyDescent="0.3">
      <c r="CK4336" s="481"/>
    </row>
    <row r="4337" spans="89:89" s="299" customFormat="1" ht="12.75" customHeight="1" x14ac:dyDescent="0.3">
      <c r="CK4337" s="481"/>
    </row>
    <row r="4338" spans="89:89" s="299" customFormat="1" ht="12.75" customHeight="1" x14ac:dyDescent="0.3">
      <c r="CK4338" s="481"/>
    </row>
    <row r="4339" spans="89:89" s="299" customFormat="1" ht="12.75" customHeight="1" x14ac:dyDescent="0.3">
      <c r="CK4339" s="481"/>
    </row>
    <row r="4340" spans="89:89" s="299" customFormat="1" ht="12.75" customHeight="1" x14ac:dyDescent="0.3">
      <c r="CK4340" s="481"/>
    </row>
    <row r="4341" spans="89:89" s="299" customFormat="1" ht="12.75" customHeight="1" x14ac:dyDescent="0.3">
      <c r="CK4341" s="481"/>
    </row>
    <row r="4342" spans="89:89" s="299" customFormat="1" ht="12.75" customHeight="1" x14ac:dyDescent="0.3">
      <c r="CK4342" s="481"/>
    </row>
    <row r="4343" spans="89:89" s="299" customFormat="1" ht="12.75" customHeight="1" x14ac:dyDescent="0.3">
      <c r="CK4343" s="481"/>
    </row>
    <row r="4344" spans="89:89" s="299" customFormat="1" ht="12.75" customHeight="1" x14ac:dyDescent="0.3">
      <c r="CK4344" s="481"/>
    </row>
    <row r="4345" spans="89:89" s="299" customFormat="1" ht="12.75" customHeight="1" x14ac:dyDescent="0.3">
      <c r="CK4345" s="481"/>
    </row>
    <row r="4346" spans="89:89" s="299" customFormat="1" ht="12.75" customHeight="1" x14ac:dyDescent="0.3">
      <c r="CK4346" s="481"/>
    </row>
    <row r="4347" spans="89:89" s="299" customFormat="1" ht="12.75" customHeight="1" x14ac:dyDescent="0.3">
      <c r="CK4347" s="481"/>
    </row>
    <row r="4348" spans="89:89" s="299" customFormat="1" ht="12.75" customHeight="1" x14ac:dyDescent="0.3">
      <c r="CK4348" s="481"/>
    </row>
    <row r="4349" spans="89:89" s="299" customFormat="1" ht="12.75" customHeight="1" x14ac:dyDescent="0.3">
      <c r="CK4349" s="481"/>
    </row>
    <row r="4350" spans="89:89" s="299" customFormat="1" ht="12.75" customHeight="1" x14ac:dyDescent="0.3">
      <c r="CK4350" s="481"/>
    </row>
    <row r="4351" spans="89:89" s="299" customFormat="1" ht="12.75" customHeight="1" x14ac:dyDescent="0.3">
      <c r="CK4351" s="481"/>
    </row>
    <row r="4352" spans="89:89" s="299" customFormat="1" ht="12.75" customHeight="1" x14ac:dyDescent="0.3">
      <c r="CK4352" s="481"/>
    </row>
    <row r="4353" spans="89:89" s="299" customFormat="1" ht="12.75" customHeight="1" x14ac:dyDescent="0.3">
      <c r="CK4353" s="481"/>
    </row>
    <row r="4354" spans="89:89" s="299" customFormat="1" ht="12.75" customHeight="1" x14ac:dyDescent="0.3">
      <c r="CK4354" s="481"/>
    </row>
    <row r="4355" spans="89:89" s="299" customFormat="1" ht="12.75" customHeight="1" x14ac:dyDescent="0.3">
      <c r="CK4355" s="481"/>
    </row>
    <row r="4356" spans="89:89" s="299" customFormat="1" ht="12.75" customHeight="1" x14ac:dyDescent="0.3">
      <c r="CK4356" s="481"/>
    </row>
    <row r="4357" spans="89:89" s="299" customFormat="1" ht="12.75" customHeight="1" x14ac:dyDescent="0.3">
      <c r="CK4357" s="481"/>
    </row>
    <row r="4358" spans="89:89" s="299" customFormat="1" ht="12.75" customHeight="1" x14ac:dyDescent="0.3">
      <c r="CK4358" s="481"/>
    </row>
    <row r="4359" spans="89:89" s="299" customFormat="1" ht="12.75" customHeight="1" x14ac:dyDescent="0.3">
      <c r="CK4359" s="481"/>
    </row>
    <row r="4360" spans="89:89" s="299" customFormat="1" ht="12.75" customHeight="1" x14ac:dyDescent="0.3">
      <c r="CK4360" s="481"/>
    </row>
    <row r="4361" spans="89:89" s="299" customFormat="1" ht="12.75" customHeight="1" x14ac:dyDescent="0.3">
      <c r="CK4361" s="481"/>
    </row>
    <row r="4362" spans="89:89" s="299" customFormat="1" ht="12.75" customHeight="1" x14ac:dyDescent="0.3">
      <c r="CK4362" s="481"/>
    </row>
    <row r="4363" spans="89:89" s="299" customFormat="1" ht="12.75" customHeight="1" x14ac:dyDescent="0.3">
      <c r="CK4363" s="481"/>
    </row>
    <row r="4364" spans="89:89" s="299" customFormat="1" ht="12.75" customHeight="1" x14ac:dyDescent="0.3">
      <c r="CK4364" s="481"/>
    </row>
    <row r="4365" spans="89:89" s="299" customFormat="1" ht="12.75" customHeight="1" x14ac:dyDescent="0.3">
      <c r="CK4365" s="481"/>
    </row>
    <row r="4366" spans="89:89" s="299" customFormat="1" ht="12.75" customHeight="1" x14ac:dyDescent="0.3">
      <c r="CK4366" s="481"/>
    </row>
    <row r="4367" spans="89:89" s="299" customFormat="1" ht="12.75" customHeight="1" x14ac:dyDescent="0.3">
      <c r="CK4367" s="481"/>
    </row>
    <row r="4368" spans="89:89" s="299" customFormat="1" ht="12.75" customHeight="1" x14ac:dyDescent="0.3">
      <c r="CK4368" s="481"/>
    </row>
    <row r="4369" spans="89:89" s="299" customFormat="1" ht="12.75" customHeight="1" x14ac:dyDescent="0.3">
      <c r="CK4369" s="481"/>
    </row>
    <row r="4370" spans="89:89" s="299" customFormat="1" ht="12.75" customHeight="1" x14ac:dyDescent="0.3">
      <c r="CK4370" s="481"/>
    </row>
    <row r="4371" spans="89:89" s="299" customFormat="1" ht="12.75" customHeight="1" x14ac:dyDescent="0.3">
      <c r="CK4371" s="481"/>
    </row>
    <row r="4372" spans="89:89" s="299" customFormat="1" ht="12.75" customHeight="1" x14ac:dyDescent="0.3">
      <c r="CK4372" s="481"/>
    </row>
    <row r="4373" spans="89:89" s="299" customFormat="1" ht="12.75" customHeight="1" x14ac:dyDescent="0.3">
      <c r="CK4373" s="481"/>
    </row>
    <row r="4374" spans="89:89" s="299" customFormat="1" ht="12.75" customHeight="1" x14ac:dyDescent="0.3">
      <c r="CK4374" s="481"/>
    </row>
    <row r="4375" spans="89:89" s="299" customFormat="1" ht="12.75" customHeight="1" x14ac:dyDescent="0.3">
      <c r="CK4375" s="481"/>
    </row>
    <row r="4376" spans="89:89" s="299" customFormat="1" ht="12.75" customHeight="1" x14ac:dyDescent="0.3">
      <c r="CK4376" s="481"/>
    </row>
    <row r="4377" spans="89:89" s="299" customFormat="1" ht="12.75" customHeight="1" x14ac:dyDescent="0.3">
      <c r="CK4377" s="481"/>
    </row>
    <row r="4378" spans="89:89" s="299" customFormat="1" ht="12.75" customHeight="1" x14ac:dyDescent="0.3">
      <c r="CK4378" s="481"/>
    </row>
    <row r="4379" spans="89:89" s="299" customFormat="1" ht="12.75" customHeight="1" x14ac:dyDescent="0.3">
      <c r="CK4379" s="481"/>
    </row>
    <row r="4380" spans="89:89" s="299" customFormat="1" ht="12.75" customHeight="1" x14ac:dyDescent="0.3">
      <c r="CK4380" s="481"/>
    </row>
    <row r="4381" spans="89:89" s="299" customFormat="1" ht="12.75" customHeight="1" x14ac:dyDescent="0.3">
      <c r="CK4381" s="481"/>
    </row>
    <row r="4382" spans="89:89" s="299" customFormat="1" ht="12.75" customHeight="1" x14ac:dyDescent="0.3">
      <c r="CK4382" s="481"/>
    </row>
    <row r="4383" spans="89:89" s="299" customFormat="1" ht="12.75" customHeight="1" x14ac:dyDescent="0.3">
      <c r="CK4383" s="481"/>
    </row>
    <row r="4384" spans="89:89" s="299" customFormat="1" ht="12.75" customHeight="1" x14ac:dyDescent="0.3">
      <c r="CK4384" s="481"/>
    </row>
    <row r="4385" spans="89:89" s="299" customFormat="1" ht="12.75" customHeight="1" x14ac:dyDescent="0.3">
      <c r="CK4385" s="481"/>
    </row>
    <row r="4386" spans="89:89" s="299" customFormat="1" ht="12.75" customHeight="1" x14ac:dyDescent="0.3">
      <c r="CK4386" s="481"/>
    </row>
    <row r="4387" spans="89:89" s="299" customFormat="1" ht="12.75" customHeight="1" x14ac:dyDescent="0.3">
      <c r="CK4387" s="481"/>
    </row>
    <row r="4388" spans="89:89" s="299" customFormat="1" ht="12.75" customHeight="1" x14ac:dyDescent="0.3">
      <c r="CK4388" s="481"/>
    </row>
    <row r="4389" spans="89:89" s="299" customFormat="1" ht="12.75" customHeight="1" x14ac:dyDescent="0.3">
      <c r="CK4389" s="481"/>
    </row>
    <row r="4390" spans="89:89" s="299" customFormat="1" ht="12.75" customHeight="1" x14ac:dyDescent="0.3">
      <c r="CK4390" s="481"/>
    </row>
    <row r="4391" spans="89:89" s="299" customFormat="1" ht="12.75" customHeight="1" x14ac:dyDescent="0.3">
      <c r="CK4391" s="481"/>
    </row>
    <row r="4392" spans="89:89" s="299" customFormat="1" ht="12.75" customHeight="1" x14ac:dyDescent="0.3">
      <c r="CK4392" s="481"/>
    </row>
    <row r="4393" spans="89:89" s="299" customFormat="1" ht="12.75" customHeight="1" x14ac:dyDescent="0.3">
      <c r="CK4393" s="481"/>
    </row>
    <row r="4394" spans="89:89" s="299" customFormat="1" ht="12.75" customHeight="1" x14ac:dyDescent="0.3">
      <c r="CK4394" s="481"/>
    </row>
    <row r="4395" spans="89:89" s="299" customFormat="1" ht="12.75" customHeight="1" x14ac:dyDescent="0.3">
      <c r="CK4395" s="481"/>
    </row>
    <row r="4396" spans="89:89" s="299" customFormat="1" ht="12.75" customHeight="1" x14ac:dyDescent="0.3">
      <c r="CK4396" s="481"/>
    </row>
    <row r="4397" spans="89:89" s="299" customFormat="1" ht="12.75" customHeight="1" x14ac:dyDescent="0.3">
      <c r="CK4397" s="481"/>
    </row>
    <row r="4398" spans="89:89" s="299" customFormat="1" ht="12.75" customHeight="1" x14ac:dyDescent="0.3">
      <c r="CK4398" s="481"/>
    </row>
    <row r="4399" spans="89:89" s="299" customFormat="1" ht="12.75" customHeight="1" x14ac:dyDescent="0.3">
      <c r="CK4399" s="481"/>
    </row>
    <row r="4400" spans="89:89" s="299" customFormat="1" ht="12.75" customHeight="1" x14ac:dyDescent="0.3">
      <c r="CK4400" s="481"/>
    </row>
    <row r="4401" spans="89:89" s="299" customFormat="1" ht="12.75" customHeight="1" x14ac:dyDescent="0.3">
      <c r="CK4401" s="481"/>
    </row>
    <row r="4402" spans="89:89" s="299" customFormat="1" ht="12.75" customHeight="1" x14ac:dyDescent="0.3">
      <c r="CK4402" s="481"/>
    </row>
    <row r="4403" spans="89:89" s="299" customFormat="1" ht="12.75" customHeight="1" x14ac:dyDescent="0.3">
      <c r="CK4403" s="481"/>
    </row>
    <row r="4404" spans="89:89" s="299" customFormat="1" ht="12.75" customHeight="1" x14ac:dyDescent="0.3">
      <c r="CK4404" s="481"/>
    </row>
    <row r="4405" spans="89:89" s="299" customFormat="1" ht="12.75" customHeight="1" x14ac:dyDescent="0.3">
      <c r="CK4405" s="481"/>
    </row>
    <row r="4406" spans="89:89" s="299" customFormat="1" ht="12.75" customHeight="1" x14ac:dyDescent="0.3">
      <c r="CK4406" s="481"/>
    </row>
    <row r="4407" spans="89:89" s="299" customFormat="1" ht="12.75" customHeight="1" x14ac:dyDescent="0.3">
      <c r="CK4407" s="481"/>
    </row>
    <row r="4408" spans="89:89" s="299" customFormat="1" ht="12.75" customHeight="1" x14ac:dyDescent="0.3">
      <c r="CK4408" s="481"/>
    </row>
    <row r="4409" spans="89:89" s="299" customFormat="1" ht="12.75" customHeight="1" x14ac:dyDescent="0.3">
      <c r="CK4409" s="481"/>
    </row>
    <row r="4410" spans="89:89" s="299" customFormat="1" ht="12.75" customHeight="1" x14ac:dyDescent="0.3">
      <c r="CK4410" s="481"/>
    </row>
    <row r="4411" spans="89:89" s="299" customFormat="1" ht="12.75" customHeight="1" x14ac:dyDescent="0.3">
      <c r="CK4411" s="481"/>
    </row>
    <row r="4412" spans="89:89" s="299" customFormat="1" ht="12.75" customHeight="1" x14ac:dyDescent="0.3">
      <c r="CK4412" s="481"/>
    </row>
    <row r="4413" spans="89:89" s="299" customFormat="1" ht="12.75" customHeight="1" x14ac:dyDescent="0.3">
      <c r="CK4413" s="481"/>
    </row>
    <row r="4414" spans="89:89" s="299" customFormat="1" ht="12.75" customHeight="1" x14ac:dyDescent="0.3">
      <c r="CK4414" s="481"/>
    </row>
    <row r="4415" spans="89:89" s="299" customFormat="1" ht="12.75" customHeight="1" x14ac:dyDescent="0.3">
      <c r="CK4415" s="481"/>
    </row>
    <row r="4416" spans="89:89" s="299" customFormat="1" ht="12.75" customHeight="1" x14ac:dyDescent="0.3">
      <c r="CK4416" s="481"/>
    </row>
    <row r="4417" spans="89:89" s="299" customFormat="1" ht="12.75" customHeight="1" x14ac:dyDescent="0.3">
      <c r="CK4417" s="481"/>
    </row>
    <row r="4418" spans="89:89" s="299" customFormat="1" ht="12.75" customHeight="1" x14ac:dyDescent="0.3">
      <c r="CK4418" s="481"/>
    </row>
    <row r="4419" spans="89:89" s="299" customFormat="1" ht="12.75" customHeight="1" x14ac:dyDescent="0.3">
      <c r="CK4419" s="481"/>
    </row>
    <row r="4420" spans="89:89" s="299" customFormat="1" ht="12.75" customHeight="1" x14ac:dyDescent="0.3">
      <c r="CK4420" s="481"/>
    </row>
    <row r="4421" spans="89:89" s="299" customFormat="1" ht="12.75" customHeight="1" x14ac:dyDescent="0.3">
      <c r="CK4421" s="481"/>
    </row>
    <row r="4422" spans="89:89" s="299" customFormat="1" ht="12.75" customHeight="1" x14ac:dyDescent="0.3">
      <c r="CK4422" s="481"/>
    </row>
    <row r="4423" spans="89:89" s="299" customFormat="1" ht="12.75" customHeight="1" x14ac:dyDescent="0.3">
      <c r="CK4423" s="481"/>
    </row>
    <row r="4424" spans="89:89" s="299" customFormat="1" ht="12.75" customHeight="1" x14ac:dyDescent="0.3">
      <c r="CK4424" s="481"/>
    </row>
    <row r="4425" spans="89:89" s="299" customFormat="1" ht="12.75" customHeight="1" x14ac:dyDescent="0.3">
      <c r="CK4425" s="481"/>
    </row>
    <row r="4426" spans="89:89" s="299" customFormat="1" ht="12.75" customHeight="1" x14ac:dyDescent="0.3">
      <c r="CK4426" s="481"/>
    </row>
    <row r="4427" spans="89:89" s="299" customFormat="1" ht="12.75" customHeight="1" x14ac:dyDescent="0.3">
      <c r="CK4427" s="481"/>
    </row>
    <row r="4428" spans="89:89" s="299" customFormat="1" ht="12.75" customHeight="1" x14ac:dyDescent="0.3">
      <c r="CK4428" s="481"/>
    </row>
    <row r="4429" spans="89:89" s="299" customFormat="1" ht="12.75" customHeight="1" x14ac:dyDescent="0.3">
      <c r="CK4429" s="481"/>
    </row>
    <row r="4430" spans="89:89" s="299" customFormat="1" ht="12.75" customHeight="1" x14ac:dyDescent="0.3">
      <c r="CK4430" s="481"/>
    </row>
    <row r="4431" spans="89:89" s="299" customFormat="1" ht="12.75" customHeight="1" x14ac:dyDescent="0.3">
      <c r="CK4431" s="481"/>
    </row>
    <row r="4432" spans="89:89" s="299" customFormat="1" ht="12.75" customHeight="1" x14ac:dyDescent="0.3">
      <c r="CK4432" s="481"/>
    </row>
    <row r="4433" spans="89:89" s="299" customFormat="1" ht="12.75" customHeight="1" x14ac:dyDescent="0.3">
      <c r="CK4433" s="481"/>
    </row>
    <row r="4434" spans="89:89" s="299" customFormat="1" ht="12.75" customHeight="1" x14ac:dyDescent="0.3">
      <c r="CK4434" s="481"/>
    </row>
    <row r="4435" spans="89:89" s="299" customFormat="1" ht="12.75" customHeight="1" x14ac:dyDescent="0.3">
      <c r="CK4435" s="481"/>
    </row>
    <row r="4436" spans="89:89" s="299" customFormat="1" ht="12.75" customHeight="1" x14ac:dyDescent="0.3">
      <c r="CK4436" s="481"/>
    </row>
    <row r="4437" spans="89:89" s="299" customFormat="1" ht="12.75" customHeight="1" x14ac:dyDescent="0.3">
      <c r="CK4437" s="481"/>
    </row>
    <row r="4438" spans="89:89" s="299" customFormat="1" ht="12.75" customHeight="1" x14ac:dyDescent="0.3">
      <c r="CK4438" s="481"/>
    </row>
    <row r="4439" spans="89:89" s="299" customFormat="1" ht="12.75" customHeight="1" x14ac:dyDescent="0.3">
      <c r="CK4439" s="481"/>
    </row>
    <row r="4440" spans="89:89" s="299" customFormat="1" ht="12.75" customHeight="1" x14ac:dyDescent="0.3">
      <c r="CK4440" s="481"/>
    </row>
    <row r="4441" spans="89:89" s="299" customFormat="1" ht="12.75" customHeight="1" x14ac:dyDescent="0.3">
      <c r="CK4441" s="481"/>
    </row>
    <row r="4442" spans="89:89" s="299" customFormat="1" ht="12.75" customHeight="1" x14ac:dyDescent="0.3">
      <c r="CK4442" s="481"/>
    </row>
    <row r="4443" spans="89:89" s="299" customFormat="1" ht="12.75" customHeight="1" x14ac:dyDescent="0.3">
      <c r="CK4443" s="481"/>
    </row>
    <row r="4444" spans="89:89" s="299" customFormat="1" ht="12.75" customHeight="1" x14ac:dyDescent="0.3">
      <c r="CK4444" s="481"/>
    </row>
    <row r="4445" spans="89:89" s="299" customFormat="1" ht="12.75" customHeight="1" x14ac:dyDescent="0.3">
      <c r="CK4445" s="481"/>
    </row>
    <row r="4446" spans="89:89" s="299" customFormat="1" ht="12.75" customHeight="1" x14ac:dyDescent="0.3">
      <c r="CK4446" s="481"/>
    </row>
    <row r="4447" spans="89:89" s="299" customFormat="1" ht="12.75" customHeight="1" x14ac:dyDescent="0.3">
      <c r="CK4447" s="481"/>
    </row>
    <row r="4448" spans="89:89" s="299" customFormat="1" ht="12.75" customHeight="1" x14ac:dyDescent="0.3">
      <c r="CK4448" s="481"/>
    </row>
    <row r="4449" spans="89:89" s="299" customFormat="1" ht="12.75" customHeight="1" x14ac:dyDescent="0.3">
      <c r="CK4449" s="481"/>
    </row>
    <row r="4450" spans="89:89" s="299" customFormat="1" ht="12.75" customHeight="1" x14ac:dyDescent="0.3">
      <c r="CK4450" s="481"/>
    </row>
    <row r="4451" spans="89:89" s="299" customFormat="1" ht="12.75" customHeight="1" x14ac:dyDescent="0.3">
      <c r="CK4451" s="481"/>
    </row>
    <row r="4452" spans="89:89" s="299" customFormat="1" ht="12.75" customHeight="1" x14ac:dyDescent="0.3">
      <c r="CK4452" s="481"/>
    </row>
    <row r="4453" spans="89:89" s="299" customFormat="1" ht="12.75" customHeight="1" x14ac:dyDescent="0.3">
      <c r="CK4453" s="481"/>
    </row>
    <row r="4454" spans="89:89" s="299" customFormat="1" ht="12.75" customHeight="1" x14ac:dyDescent="0.3">
      <c r="CK4454" s="481"/>
    </row>
    <row r="4455" spans="89:89" s="299" customFormat="1" ht="12.75" customHeight="1" x14ac:dyDescent="0.3">
      <c r="CK4455" s="481"/>
    </row>
    <row r="4456" spans="89:89" s="299" customFormat="1" ht="12.75" customHeight="1" x14ac:dyDescent="0.3">
      <c r="CK4456" s="481"/>
    </row>
    <row r="4457" spans="89:89" s="299" customFormat="1" ht="12.75" customHeight="1" x14ac:dyDescent="0.3">
      <c r="CK4457" s="481"/>
    </row>
    <row r="4458" spans="89:89" s="299" customFormat="1" ht="12.75" customHeight="1" x14ac:dyDescent="0.3">
      <c r="CK4458" s="481"/>
    </row>
    <row r="4459" spans="89:89" s="299" customFormat="1" ht="12.75" customHeight="1" x14ac:dyDescent="0.3">
      <c r="CK4459" s="481"/>
    </row>
    <row r="4460" spans="89:89" s="299" customFormat="1" ht="12.75" customHeight="1" x14ac:dyDescent="0.3">
      <c r="CK4460" s="481"/>
    </row>
    <row r="4461" spans="89:89" s="299" customFormat="1" ht="12.75" customHeight="1" x14ac:dyDescent="0.3">
      <c r="CK4461" s="481"/>
    </row>
    <row r="4462" spans="89:89" s="299" customFormat="1" ht="12.75" customHeight="1" x14ac:dyDescent="0.3">
      <c r="CK4462" s="481"/>
    </row>
    <row r="4463" spans="89:89" s="299" customFormat="1" ht="12.75" customHeight="1" x14ac:dyDescent="0.3">
      <c r="CK4463" s="481"/>
    </row>
    <row r="4464" spans="89:89" s="299" customFormat="1" ht="12.75" customHeight="1" x14ac:dyDescent="0.3">
      <c r="CK4464" s="481"/>
    </row>
    <row r="4465" spans="89:89" s="299" customFormat="1" ht="12.75" customHeight="1" x14ac:dyDescent="0.3">
      <c r="CK4465" s="481"/>
    </row>
    <row r="4466" spans="89:89" s="299" customFormat="1" ht="12.75" customHeight="1" x14ac:dyDescent="0.3">
      <c r="CK4466" s="481"/>
    </row>
    <row r="4467" spans="89:89" s="299" customFormat="1" ht="12.75" customHeight="1" x14ac:dyDescent="0.3">
      <c r="CK4467" s="481"/>
    </row>
    <row r="4468" spans="89:89" s="299" customFormat="1" ht="12.75" customHeight="1" x14ac:dyDescent="0.3">
      <c r="CK4468" s="481"/>
    </row>
    <row r="4469" spans="89:89" s="299" customFormat="1" ht="12.75" customHeight="1" x14ac:dyDescent="0.3">
      <c r="CK4469" s="481"/>
    </row>
    <row r="4470" spans="89:89" s="299" customFormat="1" ht="12.75" customHeight="1" x14ac:dyDescent="0.3">
      <c r="CK4470" s="481"/>
    </row>
    <row r="4471" spans="89:89" s="299" customFormat="1" ht="12.75" customHeight="1" x14ac:dyDescent="0.3">
      <c r="CK4471" s="481"/>
    </row>
    <row r="4472" spans="89:89" s="299" customFormat="1" ht="12.75" customHeight="1" x14ac:dyDescent="0.3">
      <c r="CK4472" s="481"/>
    </row>
    <row r="4473" spans="89:89" s="299" customFormat="1" ht="12.75" customHeight="1" x14ac:dyDescent="0.3">
      <c r="CK4473" s="481"/>
    </row>
    <row r="4474" spans="89:89" s="299" customFormat="1" ht="12.75" customHeight="1" x14ac:dyDescent="0.3">
      <c r="CK4474" s="481"/>
    </row>
    <row r="4475" spans="89:89" s="299" customFormat="1" ht="12.75" customHeight="1" x14ac:dyDescent="0.3">
      <c r="CK4475" s="481"/>
    </row>
    <row r="4476" spans="89:89" s="299" customFormat="1" ht="12.75" customHeight="1" x14ac:dyDescent="0.3">
      <c r="CK4476" s="481"/>
    </row>
    <row r="4477" spans="89:89" s="299" customFormat="1" ht="12.75" customHeight="1" x14ac:dyDescent="0.3">
      <c r="CK4477" s="481"/>
    </row>
    <row r="4478" spans="89:89" s="299" customFormat="1" ht="12.75" customHeight="1" x14ac:dyDescent="0.3">
      <c r="CK4478" s="481"/>
    </row>
    <row r="4479" spans="89:89" s="299" customFormat="1" ht="12.75" customHeight="1" x14ac:dyDescent="0.3">
      <c r="CK4479" s="481"/>
    </row>
    <row r="4480" spans="89:89" s="299" customFormat="1" ht="12.75" customHeight="1" x14ac:dyDescent="0.3">
      <c r="CK4480" s="481"/>
    </row>
    <row r="4481" spans="89:89" s="299" customFormat="1" ht="12.75" customHeight="1" x14ac:dyDescent="0.3">
      <c r="CK4481" s="481"/>
    </row>
    <row r="4482" spans="89:89" s="299" customFormat="1" ht="12.75" customHeight="1" x14ac:dyDescent="0.3">
      <c r="CK4482" s="481"/>
    </row>
    <row r="4483" spans="89:89" s="299" customFormat="1" ht="12.75" customHeight="1" x14ac:dyDescent="0.3">
      <c r="CK4483" s="481"/>
    </row>
    <row r="4484" spans="89:89" s="299" customFormat="1" ht="12.75" customHeight="1" x14ac:dyDescent="0.3">
      <c r="CK4484" s="481"/>
    </row>
    <row r="4485" spans="89:89" s="299" customFormat="1" ht="12.75" customHeight="1" x14ac:dyDescent="0.3">
      <c r="CK4485" s="481"/>
    </row>
    <row r="4486" spans="89:89" s="299" customFormat="1" ht="12.75" customHeight="1" x14ac:dyDescent="0.3">
      <c r="CK4486" s="481"/>
    </row>
    <row r="4487" spans="89:89" s="299" customFormat="1" ht="12.75" customHeight="1" x14ac:dyDescent="0.3">
      <c r="CK4487" s="481"/>
    </row>
    <row r="4488" spans="89:89" s="299" customFormat="1" ht="12.75" customHeight="1" x14ac:dyDescent="0.3">
      <c r="CK4488" s="481"/>
    </row>
    <row r="4489" spans="89:89" s="299" customFormat="1" ht="12.75" customHeight="1" x14ac:dyDescent="0.3">
      <c r="CK4489" s="481"/>
    </row>
    <row r="4490" spans="89:89" s="299" customFormat="1" ht="12.75" customHeight="1" x14ac:dyDescent="0.3">
      <c r="CK4490" s="481"/>
    </row>
    <row r="4491" spans="89:89" s="299" customFormat="1" ht="12.75" customHeight="1" x14ac:dyDescent="0.3">
      <c r="CK4491" s="481"/>
    </row>
    <row r="4492" spans="89:89" s="299" customFormat="1" ht="12.75" customHeight="1" x14ac:dyDescent="0.3">
      <c r="CK4492" s="481"/>
    </row>
    <row r="4493" spans="89:89" s="299" customFormat="1" ht="12.75" customHeight="1" x14ac:dyDescent="0.3">
      <c r="CK4493" s="481"/>
    </row>
    <row r="4494" spans="89:89" s="299" customFormat="1" ht="12.75" customHeight="1" x14ac:dyDescent="0.3">
      <c r="CK4494" s="481"/>
    </row>
    <row r="4495" spans="89:89" s="299" customFormat="1" ht="12.75" customHeight="1" x14ac:dyDescent="0.3">
      <c r="CK4495" s="481"/>
    </row>
    <row r="4496" spans="89:89" s="299" customFormat="1" ht="12.75" customHeight="1" x14ac:dyDescent="0.3">
      <c r="CK4496" s="481"/>
    </row>
    <row r="4497" spans="89:89" s="299" customFormat="1" ht="12.75" customHeight="1" x14ac:dyDescent="0.3">
      <c r="CK4497" s="481"/>
    </row>
    <row r="4498" spans="89:89" s="299" customFormat="1" ht="12.75" customHeight="1" x14ac:dyDescent="0.3">
      <c r="CK4498" s="481"/>
    </row>
    <row r="4499" spans="89:89" s="299" customFormat="1" ht="12.75" customHeight="1" x14ac:dyDescent="0.3">
      <c r="CK4499" s="481"/>
    </row>
    <row r="4500" spans="89:89" s="299" customFormat="1" ht="12.75" customHeight="1" x14ac:dyDescent="0.3">
      <c r="CK4500" s="481"/>
    </row>
    <row r="4501" spans="89:89" s="299" customFormat="1" ht="12.75" customHeight="1" x14ac:dyDescent="0.3">
      <c r="CK4501" s="481"/>
    </row>
    <row r="4502" spans="89:89" s="299" customFormat="1" ht="12.75" customHeight="1" x14ac:dyDescent="0.3">
      <c r="CK4502" s="481"/>
    </row>
    <row r="4503" spans="89:89" s="299" customFormat="1" ht="12.75" customHeight="1" x14ac:dyDescent="0.3">
      <c r="CK4503" s="481"/>
    </row>
    <row r="4504" spans="89:89" s="299" customFormat="1" ht="12.75" customHeight="1" x14ac:dyDescent="0.3">
      <c r="CK4504" s="481"/>
    </row>
    <row r="4505" spans="89:89" s="299" customFormat="1" ht="12.75" customHeight="1" x14ac:dyDescent="0.3">
      <c r="CK4505" s="481"/>
    </row>
    <row r="4506" spans="89:89" s="299" customFormat="1" ht="12.75" customHeight="1" x14ac:dyDescent="0.3">
      <c r="CK4506" s="481"/>
    </row>
    <row r="4507" spans="89:89" s="299" customFormat="1" ht="12.75" customHeight="1" x14ac:dyDescent="0.3">
      <c r="CK4507" s="481"/>
    </row>
    <row r="4508" spans="89:89" s="299" customFormat="1" ht="12.75" customHeight="1" x14ac:dyDescent="0.3">
      <c r="CK4508" s="481"/>
    </row>
    <row r="4509" spans="89:89" s="299" customFormat="1" ht="12.75" customHeight="1" x14ac:dyDescent="0.3">
      <c r="CK4509" s="481"/>
    </row>
    <row r="4510" spans="89:89" s="299" customFormat="1" ht="12.75" customHeight="1" x14ac:dyDescent="0.3">
      <c r="CK4510" s="481"/>
    </row>
    <row r="4511" spans="89:89" s="299" customFormat="1" ht="12.75" customHeight="1" x14ac:dyDescent="0.3">
      <c r="CK4511" s="481"/>
    </row>
    <row r="4512" spans="89:89" s="299" customFormat="1" ht="12.75" customHeight="1" x14ac:dyDescent="0.3">
      <c r="CK4512" s="481"/>
    </row>
    <row r="4513" spans="89:89" s="299" customFormat="1" ht="12.75" customHeight="1" x14ac:dyDescent="0.3">
      <c r="CK4513" s="481"/>
    </row>
    <row r="4514" spans="89:89" s="299" customFormat="1" ht="12.75" customHeight="1" x14ac:dyDescent="0.3">
      <c r="CK4514" s="481"/>
    </row>
    <row r="4515" spans="89:89" s="299" customFormat="1" ht="12.75" customHeight="1" x14ac:dyDescent="0.3">
      <c r="CK4515" s="481"/>
    </row>
    <row r="4516" spans="89:89" s="299" customFormat="1" ht="12.75" customHeight="1" x14ac:dyDescent="0.3">
      <c r="CK4516" s="481"/>
    </row>
    <row r="4517" spans="89:89" s="299" customFormat="1" ht="12.75" customHeight="1" x14ac:dyDescent="0.3">
      <c r="CK4517" s="481"/>
    </row>
    <row r="4518" spans="89:89" s="299" customFormat="1" ht="12.75" customHeight="1" x14ac:dyDescent="0.3">
      <c r="CK4518" s="481"/>
    </row>
    <row r="4519" spans="89:89" s="299" customFormat="1" ht="12.75" customHeight="1" x14ac:dyDescent="0.3">
      <c r="CK4519" s="481"/>
    </row>
    <row r="4520" spans="89:89" s="299" customFormat="1" ht="12.75" customHeight="1" x14ac:dyDescent="0.3">
      <c r="CK4520" s="481"/>
    </row>
    <row r="4521" spans="89:89" s="299" customFormat="1" ht="12.75" customHeight="1" x14ac:dyDescent="0.3">
      <c r="CK4521" s="481"/>
    </row>
    <row r="4522" spans="89:89" s="299" customFormat="1" ht="12.75" customHeight="1" x14ac:dyDescent="0.3">
      <c r="CK4522" s="481"/>
    </row>
    <row r="4523" spans="89:89" s="299" customFormat="1" ht="12.75" customHeight="1" x14ac:dyDescent="0.3">
      <c r="CK4523" s="481"/>
    </row>
    <row r="4524" spans="89:89" s="299" customFormat="1" ht="12.75" customHeight="1" x14ac:dyDescent="0.3">
      <c r="CK4524" s="481"/>
    </row>
    <row r="4525" spans="89:89" s="299" customFormat="1" ht="12.75" customHeight="1" x14ac:dyDescent="0.3">
      <c r="CK4525" s="481"/>
    </row>
    <row r="4526" spans="89:89" s="299" customFormat="1" ht="12.75" customHeight="1" x14ac:dyDescent="0.3">
      <c r="CK4526" s="481"/>
    </row>
    <row r="4527" spans="89:89" s="299" customFormat="1" ht="12.75" customHeight="1" x14ac:dyDescent="0.3">
      <c r="CK4527" s="481"/>
    </row>
    <row r="4528" spans="89:89" s="299" customFormat="1" ht="12.75" customHeight="1" x14ac:dyDescent="0.3">
      <c r="CK4528" s="481"/>
    </row>
    <row r="4529" spans="89:89" s="299" customFormat="1" ht="12.75" customHeight="1" x14ac:dyDescent="0.3">
      <c r="CK4529" s="481"/>
    </row>
    <row r="4530" spans="89:89" s="299" customFormat="1" ht="12.75" customHeight="1" x14ac:dyDescent="0.3">
      <c r="CK4530" s="481"/>
    </row>
    <row r="4531" spans="89:89" s="299" customFormat="1" ht="12.75" customHeight="1" x14ac:dyDescent="0.3">
      <c r="CK4531" s="481"/>
    </row>
    <row r="4532" spans="89:89" s="299" customFormat="1" ht="12.75" customHeight="1" x14ac:dyDescent="0.3">
      <c r="CK4532" s="481"/>
    </row>
    <row r="4533" spans="89:89" s="299" customFormat="1" ht="12.75" customHeight="1" x14ac:dyDescent="0.3">
      <c r="CK4533" s="481"/>
    </row>
    <row r="4534" spans="89:89" s="299" customFormat="1" ht="12.75" customHeight="1" x14ac:dyDescent="0.3">
      <c r="CK4534" s="481"/>
    </row>
    <row r="4535" spans="89:89" s="299" customFormat="1" ht="12.75" customHeight="1" x14ac:dyDescent="0.3">
      <c r="CK4535" s="481"/>
    </row>
    <row r="4536" spans="89:89" s="299" customFormat="1" ht="12.75" customHeight="1" x14ac:dyDescent="0.3">
      <c r="CK4536" s="481"/>
    </row>
    <row r="4537" spans="89:89" s="299" customFormat="1" ht="12.75" customHeight="1" x14ac:dyDescent="0.3">
      <c r="CK4537" s="481"/>
    </row>
    <row r="4538" spans="89:89" s="299" customFormat="1" ht="12.75" customHeight="1" x14ac:dyDescent="0.3">
      <c r="CK4538" s="481"/>
    </row>
    <row r="4539" spans="89:89" s="299" customFormat="1" ht="12.75" customHeight="1" x14ac:dyDescent="0.3">
      <c r="CK4539" s="481"/>
    </row>
    <row r="4540" spans="89:89" s="299" customFormat="1" ht="12.75" customHeight="1" x14ac:dyDescent="0.3">
      <c r="CK4540" s="481"/>
    </row>
    <row r="4541" spans="89:89" s="299" customFormat="1" ht="12.75" customHeight="1" x14ac:dyDescent="0.3">
      <c r="CK4541" s="481"/>
    </row>
    <row r="4542" spans="89:89" s="299" customFormat="1" ht="12.75" customHeight="1" x14ac:dyDescent="0.3">
      <c r="CK4542" s="481"/>
    </row>
    <row r="4543" spans="89:89" s="299" customFormat="1" ht="12.75" customHeight="1" x14ac:dyDescent="0.3">
      <c r="CK4543" s="481"/>
    </row>
    <row r="4544" spans="89:89" s="299" customFormat="1" ht="12.75" customHeight="1" x14ac:dyDescent="0.3">
      <c r="CK4544" s="481"/>
    </row>
    <row r="4545" spans="89:89" s="299" customFormat="1" ht="12.75" customHeight="1" x14ac:dyDescent="0.3">
      <c r="CK4545" s="481"/>
    </row>
    <row r="4546" spans="89:89" s="299" customFormat="1" ht="12.75" customHeight="1" x14ac:dyDescent="0.3">
      <c r="CK4546" s="481"/>
    </row>
    <row r="4547" spans="89:89" s="299" customFormat="1" ht="12.75" customHeight="1" x14ac:dyDescent="0.3">
      <c r="CK4547" s="481"/>
    </row>
    <row r="4548" spans="89:89" s="299" customFormat="1" ht="12.75" customHeight="1" x14ac:dyDescent="0.3">
      <c r="CK4548" s="481"/>
    </row>
    <row r="4549" spans="89:89" s="299" customFormat="1" ht="12.75" customHeight="1" x14ac:dyDescent="0.3">
      <c r="CK4549" s="481"/>
    </row>
    <row r="4550" spans="89:89" s="299" customFormat="1" ht="12.75" customHeight="1" x14ac:dyDescent="0.3">
      <c r="CK4550" s="481"/>
    </row>
    <row r="4551" spans="89:89" s="299" customFormat="1" ht="12.75" customHeight="1" x14ac:dyDescent="0.3">
      <c r="CK4551" s="481"/>
    </row>
    <row r="4552" spans="89:89" s="299" customFormat="1" ht="12.75" customHeight="1" x14ac:dyDescent="0.3">
      <c r="CK4552" s="481"/>
    </row>
    <row r="4553" spans="89:89" s="299" customFormat="1" ht="12.75" customHeight="1" x14ac:dyDescent="0.3">
      <c r="CK4553" s="481"/>
    </row>
    <row r="4554" spans="89:89" s="299" customFormat="1" ht="12.75" customHeight="1" x14ac:dyDescent="0.3">
      <c r="CK4554" s="481"/>
    </row>
    <row r="4555" spans="89:89" s="299" customFormat="1" ht="12.75" customHeight="1" x14ac:dyDescent="0.3">
      <c r="CK4555" s="481"/>
    </row>
    <row r="4556" spans="89:89" s="299" customFormat="1" ht="12.75" customHeight="1" x14ac:dyDescent="0.3">
      <c r="CK4556" s="481"/>
    </row>
    <row r="4557" spans="89:89" s="299" customFormat="1" ht="12.75" customHeight="1" x14ac:dyDescent="0.3">
      <c r="CK4557" s="481"/>
    </row>
    <row r="4558" spans="89:89" s="299" customFormat="1" ht="12.75" customHeight="1" x14ac:dyDescent="0.3">
      <c r="CK4558" s="481"/>
    </row>
    <row r="4559" spans="89:89" s="299" customFormat="1" ht="12.75" customHeight="1" x14ac:dyDescent="0.3">
      <c r="CK4559" s="481"/>
    </row>
    <row r="4560" spans="89:89" s="299" customFormat="1" ht="12.75" customHeight="1" x14ac:dyDescent="0.3">
      <c r="CK4560" s="481"/>
    </row>
    <row r="4561" spans="89:89" s="299" customFormat="1" ht="12.75" customHeight="1" x14ac:dyDescent="0.3">
      <c r="CK4561" s="481"/>
    </row>
    <row r="4562" spans="89:89" s="299" customFormat="1" ht="12.75" customHeight="1" x14ac:dyDescent="0.3">
      <c r="CK4562" s="481"/>
    </row>
    <row r="4563" spans="89:89" s="299" customFormat="1" ht="12.75" customHeight="1" x14ac:dyDescent="0.3">
      <c r="CK4563" s="481"/>
    </row>
    <row r="4564" spans="89:89" s="299" customFormat="1" ht="12.75" customHeight="1" x14ac:dyDescent="0.3">
      <c r="CK4564" s="481"/>
    </row>
    <row r="4565" spans="89:89" s="299" customFormat="1" ht="12.75" customHeight="1" x14ac:dyDescent="0.3">
      <c r="CK4565" s="481"/>
    </row>
    <row r="4566" spans="89:89" s="299" customFormat="1" ht="12.75" customHeight="1" x14ac:dyDescent="0.3">
      <c r="CK4566" s="481"/>
    </row>
    <row r="4567" spans="89:89" s="299" customFormat="1" ht="12.75" customHeight="1" x14ac:dyDescent="0.3">
      <c r="CK4567" s="481"/>
    </row>
    <row r="4568" spans="89:89" s="299" customFormat="1" ht="12.75" customHeight="1" x14ac:dyDescent="0.3">
      <c r="CK4568" s="481"/>
    </row>
    <row r="4569" spans="89:89" s="299" customFormat="1" ht="12.75" customHeight="1" x14ac:dyDescent="0.3">
      <c r="CK4569" s="481"/>
    </row>
    <row r="4570" spans="89:89" s="299" customFormat="1" ht="12.75" customHeight="1" x14ac:dyDescent="0.3">
      <c r="CK4570" s="481"/>
    </row>
    <row r="4571" spans="89:89" s="299" customFormat="1" ht="12.75" customHeight="1" x14ac:dyDescent="0.3">
      <c r="CK4571" s="481"/>
    </row>
    <row r="4572" spans="89:89" s="299" customFormat="1" ht="12.75" customHeight="1" x14ac:dyDescent="0.3">
      <c r="CK4572" s="481"/>
    </row>
    <row r="4573" spans="89:89" s="299" customFormat="1" ht="12.75" customHeight="1" x14ac:dyDescent="0.3">
      <c r="CK4573" s="481"/>
    </row>
    <row r="4574" spans="89:89" s="299" customFormat="1" ht="12.75" customHeight="1" x14ac:dyDescent="0.3">
      <c r="CK4574" s="481"/>
    </row>
    <row r="4575" spans="89:89" s="299" customFormat="1" ht="12.75" customHeight="1" x14ac:dyDescent="0.3">
      <c r="CK4575" s="481"/>
    </row>
    <row r="4576" spans="89:89" s="299" customFormat="1" ht="12.75" customHeight="1" x14ac:dyDescent="0.3">
      <c r="CK4576" s="481"/>
    </row>
    <row r="4577" spans="89:89" s="299" customFormat="1" ht="12.75" customHeight="1" x14ac:dyDescent="0.3">
      <c r="CK4577" s="481"/>
    </row>
    <row r="4578" spans="89:89" s="299" customFormat="1" ht="12.75" customHeight="1" x14ac:dyDescent="0.3">
      <c r="CK4578" s="481"/>
    </row>
    <row r="4579" spans="89:89" s="299" customFormat="1" ht="12.75" customHeight="1" x14ac:dyDescent="0.3">
      <c r="CK4579" s="481"/>
    </row>
    <row r="4580" spans="89:89" s="299" customFormat="1" ht="12.75" customHeight="1" x14ac:dyDescent="0.3">
      <c r="CK4580" s="481"/>
    </row>
    <row r="4581" spans="89:89" s="299" customFormat="1" ht="12.75" customHeight="1" x14ac:dyDescent="0.3">
      <c r="CK4581" s="481"/>
    </row>
    <row r="4582" spans="89:89" s="299" customFormat="1" ht="12.75" customHeight="1" x14ac:dyDescent="0.3">
      <c r="CK4582" s="481"/>
    </row>
    <row r="4583" spans="89:89" s="299" customFormat="1" ht="12.75" customHeight="1" x14ac:dyDescent="0.3">
      <c r="CK4583" s="481"/>
    </row>
    <row r="4584" spans="89:89" s="299" customFormat="1" ht="12.75" customHeight="1" x14ac:dyDescent="0.3">
      <c r="CK4584" s="481"/>
    </row>
    <row r="4585" spans="89:89" s="299" customFormat="1" ht="12.75" customHeight="1" x14ac:dyDescent="0.3">
      <c r="CK4585" s="481"/>
    </row>
    <row r="4586" spans="89:89" s="299" customFormat="1" ht="12.75" customHeight="1" x14ac:dyDescent="0.3">
      <c r="CK4586" s="481"/>
    </row>
    <row r="4587" spans="89:89" s="299" customFormat="1" ht="12.75" customHeight="1" x14ac:dyDescent="0.3">
      <c r="CK4587" s="481"/>
    </row>
    <row r="4588" spans="89:89" s="299" customFormat="1" ht="12.75" customHeight="1" x14ac:dyDescent="0.3">
      <c r="CK4588" s="481"/>
    </row>
    <row r="4589" spans="89:89" s="299" customFormat="1" ht="12.75" customHeight="1" x14ac:dyDescent="0.3">
      <c r="CK4589" s="481"/>
    </row>
    <row r="4590" spans="89:89" s="299" customFormat="1" ht="12.75" customHeight="1" x14ac:dyDescent="0.3">
      <c r="CK4590" s="481"/>
    </row>
    <row r="4591" spans="89:89" s="299" customFormat="1" ht="12.75" customHeight="1" x14ac:dyDescent="0.3">
      <c r="CK4591" s="481"/>
    </row>
    <row r="4592" spans="89:89" s="299" customFormat="1" ht="12.75" customHeight="1" x14ac:dyDescent="0.3">
      <c r="CK4592" s="481"/>
    </row>
    <row r="4593" spans="89:89" s="299" customFormat="1" ht="12.75" customHeight="1" x14ac:dyDescent="0.3">
      <c r="CK4593" s="481"/>
    </row>
    <row r="4594" spans="89:89" s="299" customFormat="1" ht="12.75" customHeight="1" x14ac:dyDescent="0.3">
      <c r="CK4594" s="481"/>
    </row>
    <row r="4595" spans="89:89" s="299" customFormat="1" ht="12.75" customHeight="1" x14ac:dyDescent="0.3">
      <c r="CK4595" s="481"/>
    </row>
    <row r="4596" spans="89:89" s="299" customFormat="1" ht="12.75" customHeight="1" x14ac:dyDescent="0.3">
      <c r="CK4596" s="481"/>
    </row>
    <row r="4597" spans="89:89" s="299" customFormat="1" ht="12.75" customHeight="1" x14ac:dyDescent="0.3">
      <c r="CK4597" s="481"/>
    </row>
    <row r="4598" spans="89:89" s="299" customFormat="1" ht="12.75" customHeight="1" x14ac:dyDescent="0.3">
      <c r="CK4598" s="481"/>
    </row>
    <row r="4599" spans="89:89" s="299" customFormat="1" ht="12.75" customHeight="1" x14ac:dyDescent="0.3">
      <c r="CK4599" s="481"/>
    </row>
    <row r="4600" spans="89:89" s="299" customFormat="1" ht="12.75" customHeight="1" x14ac:dyDescent="0.3">
      <c r="CK4600" s="481"/>
    </row>
    <row r="4601" spans="89:89" s="299" customFormat="1" ht="12.75" customHeight="1" x14ac:dyDescent="0.3">
      <c r="CK4601" s="481"/>
    </row>
    <row r="4602" spans="89:89" s="299" customFormat="1" ht="12.75" customHeight="1" x14ac:dyDescent="0.3">
      <c r="CK4602" s="481"/>
    </row>
    <row r="4603" spans="89:89" s="299" customFormat="1" ht="12.75" customHeight="1" x14ac:dyDescent="0.3">
      <c r="CK4603" s="481"/>
    </row>
    <row r="4604" spans="89:89" s="299" customFormat="1" ht="12.75" customHeight="1" x14ac:dyDescent="0.3">
      <c r="CK4604" s="481"/>
    </row>
    <row r="4605" spans="89:89" s="299" customFormat="1" ht="12.75" customHeight="1" x14ac:dyDescent="0.3">
      <c r="CK4605" s="481"/>
    </row>
    <row r="4606" spans="89:89" s="299" customFormat="1" ht="12.75" customHeight="1" x14ac:dyDescent="0.3">
      <c r="CK4606" s="481"/>
    </row>
    <row r="4607" spans="89:89" s="299" customFormat="1" ht="12.75" customHeight="1" x14ac:dyDescent="0.3">
      <c r="CK4607" s="481"/>
    </row>
    <row r="4608" spans="89:89" s="299" customFormat="1" ht="12.75" customHeight="1" x14ac:dyDescent="0.3">
      <c r="CK4608" s="481"/>
    </row>
    <row r="4609" spans="89:89" s="299" customFormat="1" ht="12.75" customHeight="1" x14ac:dyDescent="0.3">
      <c r="CK4609" s="481"/>
    </row>
    <row r="4610" spans="89:89" s="299" customFormat="1" ht="12.75" customHeight="1" x14ac:dyDescent="0.3">
      <c r="CK4610" s="481"/>
    </row>
    <row r="4611" spans="89:89" s="299" customFormat="1" ht="12.75" customHeight="1" x14ac:dyDescent="0.3">
      <c r="CK4611" s="481"/>
    </row>
    <row r="4612" spans="89:89" s="299" customFormat="1" ht="12.75" customHeight="1" x14ac:dyDescent="0.3">
      <c r="CK4612" s="481"/>
    </row>
    <row r="4613" spans="89:89" s="299" customFormat="1" ht="12.75" customHeight="1" x14ac:dyDescent="0.3">
      <c r="CK4613" s="481"/>
    </row>
    <row r="4614" spans="89:89" s="299" customFormat="1" ht="12.75" customHeight="1" x14ac:dyDescent="0.3">
      <c r="CK4614" s="481"/>
    </row>
    <row r="4615" spans="89:89" s="299" customFormat="1" ht="12.75" customHeight="1" x14ac:dyDescent="0.3">
      <c r="CK4615" s="481"/>
    </row>
    <row r="4616" spans="89:89" s="299" customFormat="1" ht="12.75" customHeight="1" x14ac:dyDescent="0.3">
      <c r="CK4616" s="481"/>
    </row>
    <row r="4617" spans="89:89" s="299" customFormat="1" ht="12.75" customHeight="1" x14ac:dyDescent="0.3">
      <c r="CK4617" s="481"/>
    </row>
    <row r="4618" spans="89:89" s="299" customFormat="1" ht="12.75" customHeight="1" x14ac:dyDescent="0.3">
      <c r="CK4618" s="481"/>
    </row>
    <row r="4619" spans="89:89" s="299" customFormat="1" ht="12.75" customHeight="1" x14ac:dyDescent="0.3">
      <c r="CK4619" s="481"/>
    </row>
    <row r="4620" spans="89:89" s="299" customFormat="1" ht="12.75" customHeight="1" x14ac:dyDescent="0.3">
      <c r="CK4620" s="481"/>
    </row>
    <row r="4621" spans="89:89" s="299" customFormat="1" ht="12.75" customHeight="1" x14ac:dyDescent="0.3">
      <c r="CK4621" s="481"/>
    </row>
    <row r="4622" spans="89:89" s="299" customFormat="1" ht="12.75" customHeight="1" x14ac:dyDescent="0.3">
      <c r="CK4622" s="481"/>
    </row>
    <row r="4623" spans="89:89" s="299" customFormat="1" ht="12.75" customHeight="1" x14ac:dyDescent="0.3">
      <c r="CK4623" s="481"/>
    </row>
    <row r="4624" spans="89:89" s="299" customFormat="1" ht="12.75" customHeight="1" x14ac:dyDescent="0.3">
      <c r="CK4624" s="481"/>
    </row>
    <row r="4625" spans="89:89" s="299" customFormat="1" ht="12.75" customHeight="1" x14ac:dyDescent="0.3">
      <c r="CK4625" s="481"/>
    </row>
    <row r="4626" spans="89:89" s="299" customFormat="1" ht="12.75" customHeight="1" x14ac:dyDescent="0.3">
      <c r="CK4626" s="481"/>
    </row>
    <row r="4627" spans="89:89" s="299" customFormat="1" ht="12.75" customHeight="1" x14ac:dyDescent="0.3">
      <c r="CK4627" s="481"/>
    </row>
    <row r="4628" spans="89:89" s="299" customFormat="1" ht="12.75" customHeight="1" x14ac:dyDescent="0.3">
      <c r="CK4628" s="481"/>
    </row>
    <row r="4629" spans="89:89" s="299" customFormat="1" ht="12.75" customHeight="1" x14ac:dyDescent="0.3">
      <c r="CK4629" s="481"/>
    </row>
    <row r="4630" spans="89:89" s="299" customFormat="1" ht="12.75" customHeight="1" x14ac:dyDescent="0.3">
      <c r="CK4630" s="481"/>
    </row>
    <row r="4631" spans="89:89" s="299" customFormat="1" ht="12.75" customHeight="1" x14ac:dyDescent="0.3">
      <c r="CK4631" s="481"/>
    </row>
    <row r="4632" spans="89:89" s="299" customFormat="1" ht="12.75" customHeight="1" x14ac:dyDescent="0.3">
      <c r="CK4632" s="481"/>
    </row>
    <row r="4633" spans="89:89" s="299" customFormat="1" ht="12.75" customHeight="1" x14ac:dyDescent="0.3">
      <c r="CK4633" s="481"/>
    </row>
    <row r="4634" spans="89:89" s="299" customFormat="1" ht="12.75" customHeight="1" x14ac:dyDescent="0.3">
      <c r="CK4634" s="481"/>
    </row>
    <row r="4635" spans="89:89" s="299" customFormat="1" ht="12.75" customHeight="1" x14ac:dyDescent="0.3">
      <c r="CK4635" s="481"/>
    </row>
    <row r="4636" spans="89:89" s="299" customFormat="1" ht="12.75" customHeight="1" x14ac:dyDescent="0.3">
      <c r="CK4636" s="481"/>
    </row>
    <row r="4637" spans="89:89" s="299" customFormat="1" ht="12.75" customHeight="1" x14ac:dyDescent="0.3">
      <c r="CK4637" s="481"/>
    </row>
    <row r="4638" spans="89:89" s="299" customFormat="1" ht="12.75" customHeight="1" x14ac:dyDescent="0.3">
      <c r="CK4638" s="481"/>
    </row>
    <row r="4639" spans="89:89" s="299" customFormat="1" ht="12.75" customHeight="1" x14ac:dyDescent="0.3">
      <c r="CK4639" s="481"/>
    </row>
    <row r="4640" spans="89:89" s="299" customFormat="1" ht="12.75" customHeight="1" x14ac:dyDescent="0.3">
      <c r="CK4640" s="481"/>
    </row>
    <row r="4641" spans="89:89" s="299" customFormat="1" ht="12.75" customHeight="1" x14ac:dyDescent="0.3">
      <c r="CK4641" s="481"/>
    </row>
    <row r="4642" spans="89:89" s="299" customFormat="1" ht="12.75" customHeight="1" x14ac:dyDescent="0.3">
      <c r="CK4642" s="481"/>
    </row>
    <row r="4643" spans="89:89" s="299" customFormat="1" ht="12.75" customHeight="1" x14ac:dyDescent="0.3">
      <c r="CK4643" s="481"/>
    </row>
    <row r="4644" spans="89:89" s="299" customFormat="1" ht="12.75" customHeight="1" x14ac:dyDescent="0.3">
      <c r="CK4644" s="481"/>
    </row>
    <row r="4645" spans="89:89" s="299" customFormat="1" ht="12.75" customHeight="1" x14ac:dyDescent="0.3">
      <c r="CK4645" s="481"/>
    </row>
    <row r="4646" spans="89:89" s="299" customFormat="1" ht="12.75" customHeight="1" x14ac:dyDescent="0.3">
      <c r="CK4646" s="481"/>
    </row>
    <row r="4647" spans="89:89" s="299" customFormat="1" ht="12.75" customHeight="1" x14ac:dyDescent="0.3">
      <c r="CK4647" s="481"/>
    </row>
    <row r="4648" spans="89:89" s="299" customFormat="1" ht="12.75" customHeight="1" x14ac:dyDescent="0.3">
      <c r="CK4648" s="481"/>
    </row>
    <row r="4649" spans="89:89" s="299" customFormat="1" ht="12.75" customHeight="1" x14ac:dyDescent="0.3">
      <c r="CK4649" s="481"/>
    </row>
    <row r="4650" spans="89:89" s="299" customFormat="1" ht="12.75" customHeight="1" x14ac:dyDescent="0.3">
      <c r="CK4650" s="481"/>
    </row>
    <row r="4651" spans="89:89" s="299" customFormat="1" ht="12.75" customHeight="1" x14ac:dyDescent="0.3">
      <c r="CK4651" s="481"/>
    </row>
    <row r="4652" spans="89:89" s="299" customFormat="1" ht="12.75" customHeight="1" x14ac:dyDescent="0.3">
      <c r="CK4652" s="481"/>
    </row>
    <row r="4653" spans="89:89" s="299" customFormat="1" ht="12.75" customHeight="1" x14ac:dyDescent="0.3">
      <c r="CK4653" s="481"/>
    </row>
    <row r="4654" spans="89:89" s="299" customFormat="1" ht="12.75" customHeight="1" x14ac:dyDescent="0.3">
      <c r="CK4654" s="481"/>
    </row>
    <row r="4655" spans="89:89" s="299" customFormat="1" ht="12.75" customHeight="1" x14ac:dyDescent="0.3">
      <c r="CK4655" s="481"/>
    </row>
    <row r="4656" spans="89:89" s="299" customFormat="1" ht="12.75" customHeight="1" x14ac:dyDescent="0.3">
      <c r="CK4656" s="481"/>
    </row>
    <row r="4657" spans="89:89" s="299" customFormat="1" ht="12.75" customHeight="1" x14ac:dyDescent="0.3">
      <c r="CK4657" s="481"/>
    </row>
    <row r="4658" spans="89:89" s="299" customFormat="1" ht="12.75" customHeight="1" x14ac:dyDescent="0.3">
      <c r="CK4658" s="481"/>
    </row>
    <row r="4659" spans="89:89" s="299" customFormat="1" ht="12.75" customHeight="1" x14ac:dyDescent="0.3">
      <c r="CK4659" s="481"/>
    </row>
    <row r="4660" spans="89:89" s="299" customFormat="1" ht="12.75" customHeight="1" x14ac:dyDescent="0.3">
      <c r="CK4660" s="481"/>
    </row>
    <row r="4661" spans="89:89" s="299" customFormat="1" ht="12.75" customHeight="1" x14ac:dyDescent="0.3">
      <c r="CK4661" s="481"/>
    </row>
    <row r="4662" spans="89:89" s="299" customFormat="1" ht="12.75" customHeight="1" x14ac:dyDescent="0.3">
      <c r="CK4662" s="481"/>
    </row>
    <row r="4663" spans="89:89" s="299" customFormat="1" ht="12.75" customHeight="1" x14ac:dyDescent="0.3">
      <c r="CK4663" s="481"/>
    </row>
    <row r="4664" spans="89:89" s="299" customFormat="1" ht="12.75" customHeight="1" x14ac:dyDescent="0.3">
      <c r="CK4664" s="481"/>
    </row>
    <row r="4665" spans="89:89" s="299" customFormat="1" ht="12.75" customHeight="1" x14ac:dyDescent="0.3">
      <c r="CK4665" s="481"/>
    </row>
    <row r="4666" spans="89:89" s="299" customFormat="1" ht="12.75" customHeight="1" x14ac:dyDescent="0.3">
      <c r="CK4666" s="481"/>
    </row>
    <row r="4667" spans="89:89" s="299" customFormat="1" ht="12.75" customHeight="1" x14ac:dyDescent="0.3">
      <c r="CK4667" s="481"/>
    </row>
    <row r="4668" spans="89:89" s="299" customFormat="1" ht="12.75" customHeight="1" x14ac:dyDescent="0.3">
      <c r="CK4668" s="481"/>
    </row>
    <row r="4669" spans="89:89" s="299" customFormat="1" ht="12.75" customHeight="1" x14ac:dyDescent="0.3">
      <c r="CK4669" s="481"/>
    </row>
    <row r="4670" spans="89:89" s="299" customFormat="1" ht="12.75" customHeight="1" x14ac:dyDescent="0.3">
      <c r="CK4670" s="481"/>
    </row>
    <row r="4671" spans="89:89" s="299" customFormat="1" ht="12.75" customHeight="1" x14ac:dyDescent="0.3">
      <c r="CK4671" s="481"/>
    </row>
    <row r="4672" spans="89:89" s="299" customFormat="1" ht="12.75" customHeight="1" x14ac:dyDescent="0.3">
      <c r="CK4672" s="481"/>
    </row>
    <row r="4673" spans="89:89" s="299" customFormat="1" ht="12.75" customHeight="1" x14ac:dyDescent="0.3">
      <c r="CK4673" s="481"/>
    </row>
    <row r="4674" spans="89:89" s="299" customFormat="1" ht="12.75" customHeight="1" x14ac:dyDescent="0.3">
      <c r="CK4674" s="481"/>
    </row>
    <row r="4675" spans="89:89" s="299" customFormat="1" ht="12.75" customHeight="1" x14ac:dyDescent="0.3">
      <c r="CK4675" s="481"/>
    </row>
    <row r="4676" spans="89:89" s="299" customFormat="1" ht="12.75" customHeight="1" x14ac:dyDescent="0.3">
      <c r="CK4676" s="481"/>
    </row>
    <row r="4677" spans="89:89" s="299" customFormat="1" ht="12.75" customHeight="1" x14ac:dyDescent="0.3">
      <c r="CK4677" s="481"/>
    </row>
    <row r="4678" spans="89:89" s="299" customFormat="1" ht="12.75" customHeight="1" x14ac:dyDescent="0.3">
      <c r="CK4678" s="481"/>
    </row>
    <row r="4679" spans="89:89" s="299" customFormat="1" ht="12.75" customHeight="1" x14ac:dyDescent="0.3">
      <c r="CK4679" s="481"/>
    </row>
    <row r="4680" spans="89:89" s="299" customFormat="1" ht="12.75" customHeight="1" x14ac:dyDescent="0.3">
      <c r="CK4680" s="481"/>
    </row>
    <row r="4681" spans="89:89" s="299" customFormat="1" ht="12.75" customHeight="1" x14ac:dyDescent="0.3">
      <c r="CK4681" s="481"/>
    </row>
    <row r="4682" spans="89:89" s="299" customFormat="1" ht="12.75" customHeight="1" x14ac:dyDescent="0.3">
      <c r="CK4682" s="481"/>
    </row>
    <row r="4683" spans="89:89" s="299" customFormat="1" ht="12.75" customHeight="1" x14ac:dyDescent="0.3">
      <c r="CK4683" s="481"/>
    </row>
    <row r="4684" spans="89:89" s="299" customFormat="1" ht="12.75" customHeight="1" x14ac:dyDescent="0.3">
      <c r="CK4684" s="481"/>
    </row>
    <row r="4685" spans="89:89" s="299" customFormat="1" ht="12.75" customHeight="1" x14ac:dyDescent="0.3">
      <c r="CK4685" s="481"/>
    </row>
    <row r="4686" spans="89:89" s="299" customFormat="1" ht="12.75" customHeight="1" x14ac:dyDescent="0.3">
      <c r="CK4686" s="481"/>
    </row>
    <row r="4687" spans="89:89" s="299" customFormat="1" ht="12.75" customHeight="1" x14ac:dyDescent="0.3">
      <c r="CK4687" s="481"/>
    </row>
    <row r="4688" spans="89:89" s="299" customFormat="1" ht="12.75" customHeight="1" x14ac:dyDescent="0.3">
      <c r="CK4688" s="481"/>
    </row>
    <row r="4689" spans="89:89" s="299" customFormat="1" ht="12.75" customHeight="1" x14ac:dyDescent="0.3">
      <c r="CK4689" s="481"/>
    </row>
    <row r="4690" spans="89:89" s="299" customFormat="1" ht="12.75" customHeight="1" x14ac:dyDescent="0.3">
      <c r="CK4690" s="481"/>
    </row>
    <row r="4691" spans="89:89" s="299" customFormat="1" ht="12.75" customHeight="1" x14ac:dyDescent="0.3">
      <c r="CK4691" s="481"/>
    </row>
    <row r="4692" spans="89:89" s="299" customFormat="1" ht="12.75" customHeight="1" x14ac:dyDescent="0.3">
      <c r="CK4692" s="481"/>
    </row>
    <row r="4693" spans="89:89" s="299" customFormat="1" ht="12.75" customHeight="1" x14ac:dyDescent="0.3">
      <c r="CK4693" s="481"/>
    </row>
    <row r="4694" spans="89:89" s="299" customFormat="1" ht="12.75" customHeight="1" x14ac:dyDescent="0.3">
      <c r="CK4694" s="481"/>
    </row>
    <row r="4695" spans="89:89" s="299" customFormat="1" ht="12.75" customHeight="1" x14ac:dyDescent="0.3">
      <c r="CK4695" s="481"/>
    </row>
    <row r="4696" spans="89:89" s="299" customFormat="1" ht="12.75" customHeight="1" x14ac:dyDescent="0.3">
      <c r="CK4696" s="481"/>
    </row>
    <row r="4697" spans="89:89" s="299" customFormat="1" ht="12.75" customHeight="1" x14ac:dyDescent="0.3">
      <c r="CK4697" s="481"/>
    </row>
    <row r="4698" spans="89:89" s="299" customFormat="1" ht="12.75" customHeight="1" x14ac:dyDescent="0.3">
      <c r="CK4698" s="481"/>
    </row>
    <row r="4699" spans="89:89" s="299" customFormat="1" ht="12.75" customHeight="1" x14ac:dyDescent="0.3">
      <c r="CK4699" s="481"/>
    </row>
    <row r="4700" spans="89:89" s="299" customFormat="1" ht="12.75" customHeight="1" x14ac:dyDescent="0.3">
      <c r="CK4700" s="481"/>
    </row>
    <row r="4701" spans="89:89" s="299" customFormat="1" ht="12.75" customHeight="1" x14ac:dyDescent="0.3">
      <c r="CK4701" s="481"/>
    </row>
    <row r="4702" spans="89:89" s="299" customFormat="1" ht="12.75" customHeight="1" x14ac:dyDescent="0.3">
      <c r="CK4702" s="481"/>
    </row>
    <row r="4703" spans="89:89" s="299" customFormat="1" ht="12.75" customHeight="1" x14ac:dyDescent="0.3">
      <c r="CK4703" s="481"/>
    </row>
    <row r="4704" spans="89:89" s="299" customFormat="1" ht="12.75" customHeight="1" x14ac:dyDescent="0.3">
      <c r="CK4704" s="481"/>
    </row>
    <row r="4705" spans="89:89" s="299" customFormat="1" ht="12.75" customHeight="1" x14ac:dyDescent="0.3">
      <c r="CK4705" s="481"/>
    </row>
    <row r="4706" spans="89:89" s="299" customFormat="1" ht="12.75" customHeight="1" x14ac:dyDescent="0.3">
      <c r="CK4706" s="481"/>
    </row>
    <row r="4707" spans="89:89" s="299" customFormat="1" ht="12.75" customHeight="1" x14ac:dyDescent="0.3">
      <c r="CK4707" s="481"/>
    </row>
    <row r="4708" spans="89:89" s="299" customFormat="1" ht="12.75" customHeight="1" x14ac:dyDescent="0.3">
      <c r="CK4708" s="481"/>
    </row>
    <row r="4709" spans="89:89" s="299" customFormat="1" ht="12.75" customHeight="1" x14ac:dyDescent="0.3">
      <c r="CK4709" s="481"/>
    </row>
    <row r="4710" spans="89:89" s="299" customFormat="1" ht="12.75" customHeight="1" x14ac:dyDescent="0.3">
      <c r="CK4710" s="481"/>
    </row>
    <row r="4711" spans="89:89" s="299" customFormat="1" ht="12.75" customHeight="1" x14ac:dyDescent="0.3">
      <c r="CK4711" s="481"/>
    </row>
    <row r="4712" spans="89:89" s="299" customFormat="1" ht="12.75" customHeight="1" x14ac:dyDescent="0.3">
      <c r="CK4712" s="481"/>
    </row>
    <row r="4713" spans="89:89" s="299" customFormat="1" ht="12.75" customHeight="1" x14ac:dyDescent="0.3">
      <c r="CK4713" s="481"/>
    </row>
    <row r="4714" spans="89:89" s="299" customFormat="1" ht="12.75" customHeight="1" x14ac:dyDescent="0.3">
      <c r="CK4714" s="481"/>
    </row>
    <row r="4715" spans="89:89" s="299" customFormat="1" ht="12.75" customHeight="1" x14ac:dyDescent="0.3">
      <c r="CK4715" s="481"/>
    </row>
    <row r="4716" spans="89:89" s="299" customFormat="1" ht="12.75" customHeight="1" x14ac:dyDescent="0.3">
      <c r="CK4716" s="481"/>
    </row>
    <row r="4717" spans="89:89" s="299" customFormat="1" ht="12.75" customHeight="1" x14ac:dyDescent="0.3">
      <c r="CK4717" s="481"/>
    </row>
    <row r="4718" spans="89:89" s="299" customFormat="1" ht="12.75" customHeight="1" x14ac:dyDescent="0.3">
      <c r="CK4718" s="481"/>
    </row>
    <row r="4719" spans="89:89" s="299" customFormat="1" ht="12.75" customHeight="1" x14ac:dyDescent="0.3">
      <c r="CK4719" s="481"/>
    </row>
    <row r="4720" spans="89:89" s="299" customFormat="1" ht="12.75" customHeight="1" x14ac:dyDescent="0.3">
      <c r="CK4720" s="481"/>
    </row>
    <row r="4721" spans="89:89" s="299" customFormat="1" ht="12.75" customHeight="1" x14ac:dyDescent="0.3">
      <c r="CK4721" s="481"/>
    </row>
    <row r="4722" spans="89:89" s="299" customFormat="1" ht="12.75" customHeight="1" x14ac:dyDescent="0.3">
      <c r="CK4722" s="481"/>
    </row>
    <row r="4723" spans="89:89" s="299" customFormat="1" ht="12.75" customHeight="1" x14ac:dyDescent="0.3">
      <c r="CK4723" s="481"/>
    </row>
    <row r="4724" spans="89:89" s="299" customFormat="1" ht="12.75" customHeight="1" x14ac:dyDescent="0.3">
      <c r="CK4724" s="481"/>
    </row>
    <row r="4725" spans="89:89" s="299" customFormat="1" ht="12.75" customHeight="1" x14ac:dyDescent="0.3">
      <c r="CK4725" s="481"/>
    </row>
    <row r="4726" spans="89:89" s="299" customFormat="1" ht="12.75" customHeight="1" x14ac:dyDescent="0.3">
      <c r="CK4726" s="481"/>
    </row>
    <row r="4727" spans="89:89" s="299" customFormat="1" ht="12.75" customHeight="1" x14ac:dyDescent="0.3">
      <c r="CK4727" s="481"/>
    </row>
    <row r="4728" spans="89:89" s="299" customFormat="1" ht="12.75" customHeight="1" x14ac:dyDescent="0.3">
      <c r="CK4728" s="481"/>
    </row>
    <row r="4729" spans="89:89" s="299" customFormat="1" ht="12.75" customHeight="1" x14ac:dyDescent="0.3">
      <c r="CK4729" s="481"/>
    </row>
    <row r="4730" spans="89:89" s="299" customFormat="1" ht="12.75" customHeight="1" x14ac:dyDescent="0.3">
      <c r="CK4730" s="481"/>
    </row>
    <row r="4731" spans="89:89" s="299" customFormat="1" ht="12.75" customHeight="1" x14ac:dyDescent="0.3">
      <c r="CK4731" s="481"/>
    </row>
    <row r="4732" spans="89:89" s="299" customFormat="1" ht="12.75" customHeight="1" x14ac:dyDescent="0.3">
      <c r="CK4732" s="481"/>
    </row>
    <row r="4733" spans="89:89" s="299" customFormat="1" ht="12.75" customHeight="1" x14ac:dyDescent="0.3">
      <c r="CK4733" s="481"/>
    </row>
    <row r="4734" spans="89:89" s="299" customFormat="1" ht="12.75" customHeight="1" x14ac:dyDescent="0.3">
      <c r="CK4734" s="481"/>
    </row>
    <row r="4735" spans="89:89" s="299" customFormat="1" ht="12.75" customHeight="1" x14ac:dyDescent="0.3">
      <c r="CK4735" s="481"/>
    </row>
    <row r="4736" spans="89:89" s="299" customFormat="1" ht="12.75" customHeight="1" x14ac:dyDescent="0.3">
      <c r="CK4736" s="481"/>
    </row>
    <row r="4737" spans="89:89" s="299" customFormat="1" ht="12.75" customHeight="1" x14ac:dyDescent="0.3">
      <c r="CK4737" s="481"/>
    </row>
    <row r="4738" spans="89:89" s="299" customFormat="1" ht="12.75" customHeight="1" x14ac:dyDescent="0.3">
      <c r="CK4738" s="481"/>
    </row>
    <row r="4739" spans="89:89" s="299" customFormat="1" ht="12.75" customHeight="1" x14ac:dyDescent="0.3">
      <c r="CK4739" s="481"/>
    </row>
    <row r="4740" spans="89:89" s="299" customFormat="1" ht="12.75" customHeight="1" x14ac:dyDescent="0.3">
      <c r="CK4740" s="481"/>
    </row>
    <row r="4741" spans="89:89" s="299" customFormat="1" ht="12.75" customHeight="1" x14ac:dyDescent="0.3">
      <c r="CK4741" s="481"/>
    </row>
    <row r="4742" spans="89:89" s="299" customFormat="1" ht="12.75" customHeight="1" x14ac:dyDescent="0.3">
      <c r="CK4742" s="481"/>
    </row>
    <row r="4743" spans="89:89" s="299" customFormat="1" ht="12.75" customHeight="1" x14ac:dyDescent="0.3">
      <c r="CK4743" s="481"/>
    </row>
    <row r="4744" spans="89:89" s="299" customFormat="1" ht="12.75" customHeight="1" x14ac:dyDescent="0.3">
      <c r="CK4744" s="481"/>
    </row>
    <row r="4745" spans="89:89" s="299" customFormat="1" ht="12.75" customHeight="1" x14ac:dyDescent="0.3">
      <c r="CK4745" s="481"/>
    </row>
    <row r="4746" spans="89:89" s="299" customFormat="1" ht="12.75" customHeight="1" x14ac:dyDescent="0.3">
      <c r="CK4746" s="481"/>
    </row>
    <row r="4747" spans="89:89" s="299" customFormat="1" ht="12.75" customHeight="1" x14ac:dyDescent="0.3">
      <c r="CK4747" s="481"/>
    </row>
    <row r="4748" spans="89:89" s="299" customFormat="1" ht="12.75" customHeight="1" x14ac:dyDescent="0.3">
      <c r="CK4748" s="481"/>
    </row>
    <row r="4749" spans="89:89" s="299" customFormat="1" ht="12.75" customHeight="1" x14ac:dyDescent="0.3">
      <c r="CK4749" s="481"/>
    </row>
    <row r="4750" spans="89:89" s="299" customFormat="1" ht="12.75" customHeight="1" x14ac:dyDescent="0.3">
      <c r="CK4750" s="481"/>
    </row>
    <row r="4751" spans="89:89" s="299" customFormat="1" ht="12.75" customHeight="1" x14ac:dyDescent="0.3">
      <c r="CK4751" s="481"/>
    </row>
    <row r="4752" spans="89:89" s="299" customFormat="1" ht="12.75" customHeight="1" x14ac:dyDescent="0.3">
      <c r="CK4752" s="481"/>
    </row>
    <row r="4753" spans="89:89" s="299" customFormat="1" ht="12.75" customHeight="1" x14ac:dyDescent="0.3">
      <c r="CK4753" s="481"/>
    </row>
    <row r="4754" spans="89:89" s="299" customFormat="1" ht="12.75" customHeight="1" x14ac:dyDescent="0.3">
      <c r="CK4754" s="481"/>
    </row>
    <row r="4755" spans="89:89" s="299" customFormat="1" ht="12.75" customHeight="1" x14ac:dyDescent="0.3">
      <c r="CK4755" s="481"/>
    </row>
    <row r="4756" spans="89:89" s="299" customFormat="1" ht="12.75" customHeight="1" x14ac:dyDescent="0.3">
      <c r="CK4756" s="481"/>
    </row>
    <row r="4757" spans="89:89" s="299" customFormat="1" ht="12.75" customHeight="1" x14ac:dyDescent="0.3">
      <c r="CK4757" s="481"/>
    </row>
    <row r="4758" spans="89:89" s="299" customFormat="1" ht="12.75" customHeight="1" x14ac:dyDescent="0.3">
      <c r="CK4758" s="481"/>
    </row>
    <row r="4759" spans="89:89" s="299" customFormat="1" ht="12.75" customHeight="1" x14ac:dyDescent="0.3">
      <c r="CK4759" s="481"/>
    </row>
    <row r="4760" spans="89:89" s="299" customFormat="1" ht="12.75" customHeight="1" x14ac:dyDescent="0.3">
      <c r="CK4760" s="481"/>
    </row>
    <row r="4761" spans="89:89" s="299" customFormat="1" ht="12.75" customHeight="1" x14ac:dyDescent="0.3">
      <c r="CK4761" s="481"/>
    </row>
    <row r="4762" spans="89:89" s="299" customFormat="1" ht="12.75" customHeight="1" x14ac:dyDescent="0.3">
      <c r="CK4762" s="481"/>
    </row>
    <row r="4763" spans="89:89" s="299" customFormat="1" ht="12.75" customHeight="1" x14ac:dyDescent="0.3">
      <c r="CK4763" s="481"/>
    </row>
    <row r="4764" spans="89:89" s="299" customFormat="1" ht="12.75" customHeight="1" x14ac:dyDescent="0.3">
      <c r="CK4764" s="481"/>
    </row>
    <row r="4765" spans="89:89" s="299" customFormat="1" ht="12.75" customHeight="1" x14ac:dyDescent="0.3">
      <c r="CK4765" s="481"/>
    </row>
    <row r="4766" spans="89:89" s="299" customFormat="1" ht="12.75" customHeight="1" x14ac:dyDescent="0.3">
      <c r="CK4766" s="481"/>
    </row>
    <row r="4767" spans="89:89" s="299" customFormat="1" ht="12.75" customHeight="1" x14ac:dyDescent="0.3">
      <c r="CK4767" s="481"/>
    </row>
    <row r="4768" spans="89:89" s="299" customFormat="1" ht="12.75" customHeight="1" x14ac:dyDescent="0.3">
      <c r="CK4768" s="481"/>
    </row>
    <row r="4769" spans="89:89" s="299" customFormat="1" ht="12.75" customHeight="1" x14ac:dyDescent="0.3">
      <c r="CK4769" s="481"/>
    </row>
    <row r="4770" spans="89:89" s="299" customFormat="1" ht="12.75" customHeight="1" x14ac:dyDescent="0.3">
      <c r="CK4770" s="481"/>
    </row>
    <row r="4771" spans="89:89" s="299" customFormat="1" ht="12.75" customHeight="1" x14ac:dyDescent="0.3">
      <c r="CK4771" s="481"/>
    </row>
    <row r="4772" spans="89:89" s="299" customFormat="1" ht="12.75" customHeight="1" x14ac:dyDescent="0.3">
      <c r="CK4772" s="481"/>
    </row>
    <row r="4773" spans="89:89" s="299" customFormat="1" ht="12.75" customHeight="1" x14ac:dyDescent="0.3">
      <c r="CK4773" s="481"/>
    </row>
    <row r="4774" spans="89:89" s="299" customFormat="1" ht="12.75" customHeight="1" x14ac:dyDescent="0.3">
      <c r="CK4774" s="481"/>
    </row>
    <row r="4775" spans="89:89" s="299" customFormat="1" ht="12.75" customHeight="1" x14ac:dyDescent="0.3">
      <c r="CK4775" s="481"/>
    </row>
    <row r="4776" spans="89:89" s="299" customFormat="1" ht="12.75" customHeight="1" x14ac:dyDescent="0.3">
      <c r="CK4776" s="481"/>
    </row>
    <row r="4777" spans="89:89" s="299" customFormat="1" ht="12.75" customHeight="1" x14ac:dyDescent="0.3">
      <c r="CK4777" s="481"/>
    </row>
    <row r="4778" spans="89:89" s="299" customFormat="1" ht="12.75" customHeight="1" x14ac:dyDescent="0.3">
      <c r="CK4778" s="481"/>
    </row>
    <row r="4779" spans="89:89" s="299" customFormat="1" ht="12.75" customHeight="1" x14ac:dyDescent="0.3">
      <c r="CK4779" s="481"/>
    </row>
    <row r="4780" spans="89:89" s="299" customFormat="1" ht="12.75" customHeight="1" x14ac:dyDescent="0.3">
      <c r="CK4780" s="481"/>
    </row>
    <row r="4781" spans="89:89" s="299" customFormat="1" ht="12.75" customHeight="1" x14ac:dyDescent="0.3">
      <c r="CK4781" s="481"/>
    </row>
    <row r="4782" spans="89:89" s="299" customFormat="1" ht="12.75" customHeight="1" x14ac:dyDescent="0.3">
      <c r="CK4782" s="481"/>
    </row>
    <row r="4783" spans="89:89" s="299" customFormat="1" ht="12.75" customHeight="1" x14ac:dyDescent="0.3">
      <c r="CK4783" s="481"/>
    </row>
    <row r="4784" spans="89:89" s="299" customFormat="1" ht="12.75" customHeight="1" x14ac:dyDescent="0.3">
      <c r="CK4784" s="481"/>
    </row>
    <row r="4785" spans="89:89" s="299" customFormat="1" ht="12.75" customHeight="1" x14ac:dyDescent="0.3">
      <c r="CK4785" s="481"/>
    </row>
    <row r="4786" spans="89:89" s="299" customFormat="1" ht="12.75" customHeight="1" x14ac:dyDescent="0.3">
      <c r="CK4786" s="481"/>
    </row>
    <row r="4787" spans="89:89" s="299" customFormat="1" ht="12.75" customHeight="1" x14ac:dyDescent="0.3">
      <c r="CK4787" s="481"/>
    </row>
    <row r="4788" spans="89:89" s="299" customFormat="1" ht="12.75" customHeight="1" x14ac:dyDescent="0.3">
      <c r="CK4788" s="481"/>
    </row>
    <row r="4789" spans="89:89" s="299" customFormat="1" ht="12.75" customHeight="1" x14ac:dyDescent="0.3">
      <c r="CK4789" s="481"/>
    </row>
    <row r="4790" spans="89:89" s="299" customFormat="1" ht="12.75" customHeight="1" x14ac:dyDescent="0.3">
      <c r="CK4790" s="481"/>
    </row>
    <row r="4791" spans="89:89" s="299" customFormat="1" ht="12.75" customHeight="1" x14ac:dyDescent="0.3">
      <c r="CK4791" s="481"/>
    </row>
    <row r="4792" spans="89:89" s="299" customFormat="1" ht="12.75" customHeight="1" x14ac:dyDescent="0.3">
      <c r="CK4792" s="481"/>
    </row>
    <row r="4793" spans="89:89" s="299" customFormat="1" ht="12.75" customHeight="1" x14ac:dyDescent="0.3">
      <c r="CK4793" s="481"/>
    </row>
    <row r="4794" spans="89:89" s="299" customFormat="1" ht="12.75" customHeight="1" x14ac:dyDescent="0.3">
      <c r="CK4794" s="481"/>
    </row>
    <row r="4795" spans="89:89" s="299" customFormat="1" ht="12.75" customHeight="1" x14ac:dyDescent="0.3">
      <c r="CK4795" s="481"/>
    </row>
    <row r="4796" spans="89:89" s="299" customFormat="1" ht="12.75" customHeight="1" x14ac:dyDescent="0.3">
      <c r="CK4796" s="481"/>
    </row>
    <row r="4797" spans="89:89" s="299" customFormat="1" ht="12.75" customHeight="1" x14ac:dyDescent="0.3">
      <c r="CK4797" s="481"/>
    </row>
    <row r="4798" spans="89:89" s="299" customFormat="1" ht="12.75" customHeight="1" x14ac:dyDescent="0.3">
      <c r="CK4798" s="481"/>
    </row>
    <row r="4799" spans="89:89" s="299" customFormat="1" ht="12.75" customHeight="1" x14ac:dyDescent="0.3">
      <c r="CK4799" s="481"/>
    </row>
    <row r="4800" spans="89:89" s="299" customFormat="1" ht="12.75" customHeight="1" x14ac:dyDescent="0.3">
      <c r="CK4800" s="481"/>
    </row>
    <row r="4801" spans="89:89" s="299" customFormat="1" ht="12.75" customHeight="1" x14ac:dyDescent="0.3">
      <c r="CK4801" s="481"/>
    </row>
    <row r="4802" spans="89:89" s="299" customFormat="1" ht="12.75" customHeight="1" x14ac:dyDescent="0.3">
      <c r="CK4802" s="481"/>
    </row>
    <row r="4803" spans="89:89" s="299" customFormat="1" ht="12.75" customHeight="1" x14ac:dyDescent="0.3">
      <c r="CK4803" s="481"/>
    </row>
    <row r="4804" spans="89:89" s="299" customFormat="1" ht="12.75" customHeight="1" x14ac:dyDescent="0.3">
      <c r="CK4804" s="481"/>
    </row>
    <row r="4805" spans="89:89" s="299" customFormat="1" ht="12.75" customHeight="1" x14ac:dyDescent="0.3">
      <c r="CK4805" s="481"/>
    </row>
    <row r="4806" spans="89:89" s="299" customFormat="1" ht="12.75" customHeight="1" x14ac:dyDescent="0.3">
      <c r="CK4806" s="481"/>
    </row>
    <row r="4807" spans="89:89" s="299" customFormat="1" ht="12.75" customHeight="1" x14ac:dyDescent="0.3">
      <c r="CK4807" s="481"/>
    </row>
    <row r="4808" spans="89:89" s="299" customFormat="1" ht="12.75" customHeight="1" x14ac:dyDescent="0.3">
      <c r="CK4808" s="481"/>
    </row>
    <row r="4809" spans="89:89" s="299" customFormat="1" ht="12.75" customHeight="1" x14ac:dyDescent="0.3">
      <c r="CK4809" s="481"/>
    </row>
    <row r="4810" spans="89:89" s="299" customFormat="1" ht="12.75" customHeight="1" x14ac:dyDescent="0.3">
      <c r="CK4810" s="481"/>
    </row>
    <row r="4811" spans="89:89" s="299" customFormat="1" ht="12.75" customHeight="1" x14ac:dyDescent="0.3">
      <c r="CK4811" s="481"/>
    </row>
    <row r="4812" spans="89:89" s="299" customFormat="1" ht="12.75" customHeight="1" x14ac:dyDescent="0.3">
      <c r="CK4812" s="481"/>
    </row>
    <row r="4813" spans="89:89" s="299" customFormat="1" ht="12.75" customHeight="1" x14ac:dyDescent="0.3">
      <c r="CK4813" s="481"/>
    </row>
    <row r="4814" spans="89:89" s="299" customFormat="1" ht="12.75" customHeight="1" x14ac:dyDescent="0.3">
      <c r="CK4814" s="481"/>
    </row>
    <row r="4815" spans="89:89" s="299" customFormat="1" ht="12.75" customHeight="1" x14ac:dyDescent="0.3">
      <c r="CK4815" s="481"/>
    </row>
    <row r="4816" spans="89:89" s="299" customFormat="1" ht="12.75" customHeight="1" x14ac:dyDescent="0.3">
      <c r="CK4816" s="481"/>
    </row>
    <row r="4817" spans="89:89" s="299" customFormat="1" ht="12.75" customHeight="1" x14ac:dyDescent="0.3">
      <c r="CK4817" s="481"/>
    </row>
    <row r="4818" spans="89:89" s="299" customFormat="1" ht="12.75" customHeight="1" x14ac:dyDescent="0.3">
      <c r="CK4818" s="481"/>
    </row>
    <row r="4819" spans="89:89" s="299" customFormat="1" ht="12.75" customHeight="1" x14ac:dyDescent="0.3">
      <c r="CK4819" s="481"/>
    </row>
    <row r="4820" spans="89:89" s="299" customFormat="1" ht="12.75" customHeight="1" x14ac:dyDescent="0.3">
      <c r="CK4820" s="481"/>
    </row>
    <row r="4821" spans="89:89" s="299" customFormat="1" ht="12.75" customHeight="1" x14ac:dyDescent="0.3">
      <c r="CK4821" s="481"/>
    </row>
    <row r="4822" spans="89:89" s="299" customFormat="1" ht="12.75" customHeight="1" x14ac:dyDescent="0.3">
      <c r="CK4822" s="481"/>
    </row>
    <row r="4823" spans="89:89" s="299" customFormat="1" ht="12.75" customHeight="1" x14ac:dyDescent="0.3">
      <c r="CK4823" s="481"/>
    </row>
    <row r="4824" spans="89:89" s="299" customFormat="1" ht="12.75" customHeight="1" x14ac:dyDescent="0.3">
      <c r="CK4824" s="481"/>
    </row>
    <row r="4825" spans="89:89" s="299" customFormat="1" ht="12.75" customHeight="1" x14ac:dyDescent="0.3">
      <c r="CK4825" s="481"/>
    </row>
    <row r="4826" spans="89:89" s="299" customFormat="1" ht="12.75" customHeight="1" x14ac:dyDescent="0.3">
      <c r="CK4826" s="481"/>
    </row>
    <row r="4827" spans="89:89" s="299" customFormat="1" ht="12.75" customHeight="1" x14ac:dyDescent="0.3">
      <c r="CK4827" s="481"/>
    </row>
    <row r="4828" spans="89:89" s="299" customFormat="1" ht="12.75" customHeight="1" x14ac:dyDescent="0.3">
      <c r="CK4828" s="481"/>
    </row>
    <row r="4829" spans="89:89" s="299" customFormat="1" ht="12.75" customHeight="1" x14ac:dyDescent="0.3">
      <c r="CK4829" s="481"/>
    </row>
    <row r="4830" spans="89:89" s="299" customFormat="1" ht="12.75" customHeight="1" x14ac:dyDescent="0.3">
      <c r="CK4830" s="481"/>
    </row>
    <row r="4831" spans="89:89" s="299" customFormat="1" ht="12.75" customHeight="1" x14ac:dyDescent="0.3">
      <c r="CK4831" s="481"/>
    </row>
    <row r="4832" spans="89:89" s="299" customFormat="1" ht="12.75" customHeight="1" x14ac:dyDescent="0.3">
      <c r="CK4832" s="481"/>
    </row>
    <row r="4833" spans="89:89" s="299" customFormat="1" ht="12.75" customHeight="1" x14ac:dyDescent="0.3">
      <c r="CK4833" s="481"/>
    </row>
    <row r="4834" spans="89:89" s="299" customFormat="1" ht="12.75" customHeight="1" x14ac:dyDescent="0.3">
      <c r="CK4834" s="481"/>
    </row>
    <row r="4835" spans="89:89" s="299" customFormat="1" ht="12.75" customHeight="1" x14ac:dyDescent="0.3">
      <c r="CK4835" s="481"/>
    </row>
    <row r="4836" spans="89:89" s="299" customFormat="1" ht="12.75" customHeight="1" x14ac:dyDescent="0.3">
      <c r="CK4836" s="481"/>
    </row>
    <row r="4837" spans="89:89" s="299" customFormat="1" ht="12.75" customHeight="1" x14ac:dyDescent="0.3">
      <c r="CK4837" s="481"/>
    </row>
    <row r="4838" spans="89:89" s="299" customFormat="1" ht="12.75" customHeight="1" x14ac:dyDescent="0.3">
      <c r="CK4838" s="481"/>
    </row>
    <row r="4839" spans="89:89" s="299" customFormat="1" ht="12.75" customHeight="1" x14ac:dyDescent="0.3">
      <c r="CK4839" s="481"/>
    </row>
    <row r="4840" spans="89:89" s="299" customFormat="1" ht="12.75" customHeight="1" x14ac:dyDescent="0.3">
      <c r="CK4840" s="481"/>
    </row>
    <row r="4841" spans="89:89" s="299" customFormat="1" ht="12.75" customHeight="1" x14ac:dyDescent="0.3">
      <c r="CK4841" s="481"/>
    </row>
    <row r="4842" spans="89:89" s="299" customFormat="1" ht="12.75" customHeight="1" x14ac:dyDescent="0.3">
      <c r="CK4842" s="481"/>
    </row>
    <row r="4843" spans="89:89" s="299" customFormat="1" ht="12.75" customHeight="1" x14ac:dyDescent="0.3">
      <c r="CK4843" s="481"/>
    </row>
    <row r="4844" spans="89:89" s="299" customFormat="1" ht="12.75" customHeight="1" x14ac:dyDescent="0.3">
      <c r="CK4844" s="481"/>
    </row>
    <row r="4845" spans="89:89" s="299" customFormat="1" ht="12.75" customHeight="1" x14ac:dyDescent="0.3">
      <c r="CK4845" s="481"/>
    </row>
    <row r="4846" spans="89:89" s="299" customFormat="1" ht="12.75" customHeight="1" x14ac:dyDescent="0.3">
      <c r="CK4846" s="481"/>
    </row>
    <row r="4847" spans="89:89" s="299" customFormat="1" ht="12.75" customHeight="1" x14ac:dyDescent="0.3">
      <c r="CK4847" s="481"/>
    </row>
    <row r="4848" spans="89:89" s="299" customFormat="1" ht="12.75" customHeight="1" x14ac:dyDescent="0.3">
      <c r="CK4848" s="481"/>
    </row>
    <row r="4849" spans="89:89" s="299" customFormat="1" ht="12.75" customHeight="1" x14ac:dyDescent="0.3">
      <c r="CK4849" s="481"/>
    </row>
    <row r="4850" spans="89:89" s="299" customFormat="1" ht="12.75" customHeight="1" x14ac:dyDescent="0.3">
      <c r="CK4850" s="481"/>
    </row>
    <row r="4851" spans="89:89" s="299" customFormat="1" ht="12.75" customHeight="1" x14ac:dyDescent="0.3">
      <c r="CK4851" s="481"/>
    </row>
    <row r="4852" spans="89:89" s="299" customFormat="1" ht="12.75" customHeight="1" x14ac:dyDescent="0.3">
      <c r="CK4852" s="481"/>
    </row>
    <row r="4853" spans="89:89" s="299" customFormat="1" ht="12.75" customHeight="1" x14ac:dyDescent="0.3">
      <c r="CK4853" s="481"/>
    </row>
    <row r="4854" spans="89:89" s="299" customFormat="1" ht="12.75" customHeight="1" x14ac:dyDescent="0.3">
      <c r="CK4854" s="481"/>
    </row>
    <row r="4855" spans="89:89" s="299" customFormat="1" ht="12.75" customHeight="1" x14ac:dyDescent="0.3">
      <c r="CK4855" s="481"/>
    </row>
    <row r="4856" spans="89:89" s="299" customFormat="1" ht="12.75" customHeight="1" x14ac:dyDescent="0.3">
      <c r="CK4856" s="481"/>
    </row>
    <row r="4857" spans="89:89" s="299" customFormat="1" ht="12.75" customHeight="1" x14ac:dyDescent="0.3">
      <c r="CK4857" s="481"/>
    </row>
    <row r="4858" spans="89:89" s="299" customFormat="1" ht="12.75" customHeight="1" x14ac:dyDescent="0.3">
      <c r="CK4858" s="481"/>
    </row>
    <row r="4859" spans="89:89" s="299" customFormat="1" ht="12.75" customHeight="1" x14ac:dyDescent="0.3">
      <c r="CK4859" s="481"/>
    </row>
    <row r="4860" spans="89:89" s="299" customFormat="1" ht="12.75" customHeight="1" x14ac:dyDescent="0.3">
      <c r="CK4860" s="481"/>
    </row>
    <row r="4861" spans="89:89" s="299" customFormat="1" ht="12.75" customHeight="1" x14ac:dyDescent="0.3">
      <c r="CK4861" s="481"/>
    </row>
    <row r="4862" spans="89:89" s="299" customFormat="1" ht="12.75" customHeight="1" x14ac:dyDescent="0.3">
      <c r="CK4862" s="481"/>
    </row>
    <row r="4863" spans="89:89" s="299" customFormat="1" ht="12.75" customHeight="1" x14ac:dyDescent="0.3">
      <c r="CK4863" s="481"/>
    </row>
    <row r="4864" spans="89:89" s="299" customFormat="1" ht="12.75" customHeight="1" x14ac:dyDescent="0.3">
      <c r="CK4864" s="481"/>
    </row>
    <row r="4865" spans="89:89" s="299" customFormat="1" ht="12.75" customHeight="1" x14ac:dyDescent="0.3">
      <c r="CK4865" s="481"/>
    </row>
    <row r="4866" spans="89:89" s="299" customFormat="1" ht="12.75" customHeight="1" x14ac:dyDescent="0.3">
      <c r="CK4866" s="481"/>
    </row>
    <row r="4867" spans="89:89" s="299" customFormat="1" ht="12.75" customHeight="1" x14ac:dyDescent="0.3">
      <c r="CK4867" s="481"/>
    </row>
    <row r="4868" spans="89:89" s="299" customFormat="1" ht="12.75" customHeight="1" x14ac:dyDescent="0.3">
      <c r="CK4868" s="481"/>
    </row>
    <row r="4869" spans="89:89" s="299" customFormat="1" ht="12.75" customHeight="1" x14ac:dyDescent="0.3">
      <c r="CK4869" s="481"/>
    </row>
    <row r="4870" spans="89:89" s="299" customFormat="1" ht="12.75" customHeight="1" x14ac:dyDescent="0.3">
      <c r="CK4870" s="481"/>
    </row>
    <row r="4871" spans="89:89" s="299" customFormat="1" ht="12.75" customHeight="1" x14ac:dyDescent="0.3">
      <c r="CK4871" s="481"/>
    </row>
    <row r="4872" spans="89:89" s="299" customFormat="1" ht="12.75" customHeight="1" x14ac:dyDescent="0.3">
      <c r="CK4872" s="481"/>
    </row>
    <row r="4873" spans="89:89" s="299" customFormat="1" ht="12.75" customHeight="1" x14ac:dyDescent="0.3">
      <c r="CK4873" s="481"/>
    </row>
    <row r="4874" spans="89:89" s="299" customFormat="1" ht="12.75" customHeight="1" x14ac:dyDescent="0.3">
      <c r="CK4874" s="481"/>
    </row>
    <row r="4875" spans="89:89" s="299" customFormat="1" ht="12.75" customHeight="1" x14ac:dyDescent="0.3">
      <c r="CK4875" s="481"/>
    </row>
    <row r="4876" spans="89:89" s="299" customFormat="1" ht="12.75" customHeight="1" x14ac:dyDescent="0.3">
      <c r="CK4876" s="481"/>
    </row>
    <row r="4877" spans="89:89" s="299" customFormat="1" ht="12.75" customHeight="1" x14ac:dyDescent="0.3">
      <c r="CK4877" s="481"/>
    </row>
    <row r="4878" spans="89:89" s="299" customFormat="1" ht="12.75" customHeight="1" x14ac:dyDescent="0.3">
      <c r="CK4878" s="481"/>
    </row>
    <row r="4879" spans="89:89" s="299" customFormat="1" ht="12.75" customHeight="1" x14ac:dyDescent="0.3">
      <c r="CK4879" s="481"/>
    </row>
    <row r="4880" spans="89:89" s="299" customFormat="1" ht="12.75" customHeight="1" x14ac:dyDescent="0.3">
      <c r="CK4880" s="481"/>
    </row>
    <row r="4881" spans="89:89" s="299" customFormat="1" ht="12.75" customHeight="1" x14ac:dyDescent="0.3">
      <c r="CK4881" s="481"/>
    </row>
    <row r="4882" spans="89:89" s="299" customFormat="1" ht="12.75" customHeight="1" x14ac:dyDescent="0.3">
      <c r="CK4882" s="481"/>
    </row>
    <row r="4883" spans="89:89" s="299" customFormat="1" ht="12.75" customHeight="1" x14ac:dyDescent="0.3">
      <c r="CK4883" s="481"/>
    </row>
    <row r="4884" spans="89:89" s="299" customFormat="1" ht="12.75" customHeight="1" x14ac:dyDescent="0.3">
      <c r="CK4884" s="481"/>
    </row>
    <row r="4885" spans="89:89" s="299" customFormat="1" ht="12.75" customHeight="1" x14ac:dyDescent="0.3">
      <c r="CK4885" s="481"/>
    </row>
    <row r="4886" spans="89:89" s="299" customFormat="1" ht="12.75" customHeight="1" x14ac:dyDescent="0.3">
      <c r="CK4886" s="481"/>
    </row>
    <row r="4887" spans="89:89" s="299" customFormat="1" ht="12.75" customHeight="1" x14ac:dyDescent="0.3">
      <c r="CK4887" s="481"/>
    </row>
    <row r="4888" spans="89:89" s="299" customFormat="1" ht="12.75" customHeight="1" x14ac:dyDescent="0.3">
      <c r="CK4888" s="481"/>
    </row>
    <row r="4889" spans="89:89" s="299" customFormat="1" ht="12.75" customHeight="1" x14ac:dyDescent="0.3">
      <c r="CK4889" s="481"/>
    </row>
    <row r="4890" spans="89:89" s="299" customFormat="1" ht="12.75" customHeight="1" x14ac:dyDescent="0.3">
      <c r="CK4890" s="481"/>
    </row>
    <row r="4891" spans="89:89" s="299" customFormat="1" ht="12.75" customHeight="1" x14ac:dyDescent="0.3">
      <c r="CK4891" s="481"/>
    </row>
    <row r="4892" spans="89:89" s="299" customFormat="1" ht="12.75" customHeight="1" x14ac:dyDescent="0.3">
      <c r="CK4892" s="481"/>
    </row>
    <row r="4893" spans="89:89" s="299" customFormat="1" ht="12.75" customHeight="1" x14ac:dyDescent="0.3">
      <c r="CK4893" s="481"/>
    </row>
    <row r="4894" spans="89:89" s="299" customFormat="1" ht="12.75" customHeight="1" x14ac:dyDescent="0.3">
      <c r="CK4894" s="481"/>
    </row>
    <row r="4895" spans="89:89" s="299" customFormat="1" ht="12.75" customHeight="1" x14ac:dyDescent="0.3">
      <c r="CK4895" s="481"/>
    </row>
    <row r="4896" spans="89:89" s="299" customFormat="1" ht="12.75" customHeight="1" x14ac:dyDescent="0.3">
      <c r="CK4896" s="481"/>
    </row>
    <row r="4897" spans="89:89" s="299" customFormat="1" ht="12.75" customHeight="1" x14ac:dyDescent="0.3">
      <c r="CK4897" s="481"/>
    </row>
    <row r="4898" spans="89:89" s="299" customFormat="1" ht="12.75" customHeight="1" x14ac:dyDescent="0.3">
      <c r="CK4898" s="481"/>
    </row>
    <row r="4899" spans="89:89" s="299" customFormat="1" ht="12.75" customHeight="1" x14ac:dyDescent="0.3">
      <c r="CK4899" s="481"/>
    </row>
    <row r="4900" spans="89:89" s="299" customFormat="1" ht="12.75" customHeight="1" x14ac:dyDescent="0.3">
      <c r="CK4900" s="481"/>
    </row>
    <row r="4901" spans="89:89" s="299" customFormat="1" ht="12.75" customHeight="1" x14ac:dyDescent="0.3">
      <c r="CK4901" s="481"/>
    </row>
    <row r="4902" spans="89:89" s="299" customFormat="1" ht="12.75" customHeight="1" x14ac:dyDescent="0.3">
      <c r="CK4902" s="481"/>
    </row>
    <row r="4903" spans="89:89" s="299" customFormat="1" ht="12.75" customHeight="1" x14ac:dyDescent="0.3">
      <c r="CK4903" s="481"/>
    </row>
    <row r="4904" spans="89:89" s="299" customFormat="1" ht="12.75" customHeight="1" x14ac:dyDescent="0.3">
      <c r="CK4904" s="481"/>
    </row>
    <row r="4905" spans="89:89" s="299" customFormat="1" ht="12.75" customHeight="1" x14ac:dyDescent="0.3">
      <c r="CK4905" s="481"/>
    </row>
    <row r="4906" spans="89:89" s="299" customFormat="1" ht="12.75" customHeight="1" x14ac:dyDescent="0.3">
      <c r="CK4906" s="481"/>
    </row>
    <row r="4907" spans="89:89" s="299" customFormat="1" ht="12.75" customHeight="1" x14ac:dyDescent="0.3">
      <c r="CK4907" s="481"/>
    </row>
    <row r="4908" spans="89:89" s="299" customFormat="1" ht="12.75" customHeight="1" x14ac:dyDescent="0.3">
      <c r="CK4908" s="481"/>
    </row>
    <row r="4909" spans="89:89" s="299" customFormat="1" ht="12.75" customHeight="1" x14ac:dyDescent="0.3">
      <c r="CK4909" s="481"/>
    </row>
    <row r="4910" spans="89:89" s="299" customFormat="1" ht="12.75" customHeight="1" x14ac:dyDescent="0.3">
      <c r="CK4910" s="481"/>
    </row>
    <row r="4911" spans="89:89" s="299" customFormat="1" ht="12.75" customHeight="1" x14ac:dyDescent="0.3">
      <c r="CK4911" s="481"/>
    </row>
    <row r="4912" spans="89:89" s="299" customFormat="1" ht="12.75" customHeight="1" x14ac:dyDescent="0.3">
      <c r="CK4912" s="481"/>
    </row>
    <row r="4913" spans="89:89" s="299" customFormat="1" ht="12.75" customHeight="1" x14ac:dyDescent="0.3">
      <c r="CK4913" s="481"/>
    </row>
    <row r="4914" spans="89:89" s="299" customFormat="1" ht="12.75" customHeight="1" x14ac:dyDescent="0.3">
      <c r="CK4914" s="481"/>
    </row>
    <row r="4915" spans="89:89" s="299" customFormat="1" ht="12.75" customHeight="1" x14ac:dyDescent="0.3">
      <c r="CK4915" s="481"/>
    </row>
    <row r="4916" spans="89:89" s="299" customFormat="1" ht="12.75" customHeight="1" x14ac:dyDescent="0.3">
      <c r="CK4916" s="481"/>
    </row>
    <row r="4917" spans="89:89" s="299" customFormat="1" ht="12.75" customHeight="1" x14ac:dyDescent="0.3">
      <c r="CK4917" s="481"/>
    </row>
    <row r="4918" spans="89:89" s="299" customFormat="1" ht="12.75" customHeight="1" x14ac:dyDescent="0.3">
      <c r="CK4918" s="481"/>
    </row>
    <row r="4919" spans="89:89" s="299" customFormat="1" ht="12.75" customHeight="1" x14ac:dyDescent="0.3">
      <c r="CK4919" s="481"/>
    </row>
    <row r="4920" spans="89:89" s="299" customFormat="1" ht="12.75" customHeight="1" x14ac:dyDescent="0.3">
      <c r="CK4920" s="481"/>
    </row>
    <row r="4921" spans="89:89" s="299" customFormat="1" ht="12.75" customHeight="1" x14ac:dyDescent="0.3">
      <c r="CK4921" s="481"/>
    </row>
    <row r="4922" spans="89:89" s="299" customFormat="1" ht="12.75" customHeight="1" x14ac:dyDescent="0.3">
      <c r="CK4922" s="481"/>
    </row>
    <row r="4923" spans="89:89" s="299" customFormat="1" ht="12.75" customHeight="1" x14ac:dyDescent="0.3">
      <c r="CK4923" s="481"/>
    </row>
    <row r="4924" spans="89:89" s="299" customFormat="1" ht="12.75" customHeight="1" x14ac:dyDescent="0.3">
      <c r="CK4924" s="481"/>
    </row>
    <row r="4925" spans="89:89" s="299" customFormat="1" ht="12.75" customHeight="1" x14ac:dyDescent="0.3">
      <c r="CK4925" s="481"/>
    </row>
    <row r="4926" spans="89:89" s="299" customFormat="1" ht="12.75" customHeight="1" x14ac:dyDescent="0.3">
      <c r="CK4926" s="481"/>
    </row>
    <row r="4927" spans="89:89" s="299" customFormat="1" ht="12.75" customHeight="1" x14ac:dyDescent="0.3">
      <c r="CK4927" s="481"/>
    </row>
    <row r="4928" spans="89:89" s="299" customFormat="1" ht="12.75" customHeight="1" x14ac:dyDescent="0.3">
      <c r="CK4928" s="481"/>
    </row>
    <row r="4929" spans="89:89" s="299" customFormat="1" ht="12.75" customHeight="1" x14ac:dyDescent="0.3">
      <c r="CK4929" s="481"/>
    </row>
    <row r="4930" spans="89:89" s="299" customFormat="1" ht="12.75" customHeight="1" x14ac:dyDescent="0.3">
      <c r="CK4930" s="481"/>
    </row>
    <row r="4931" spans="89:89" s="299" customFormat="1" ht="12.75" customHeight="1" x14ac:dyDescent="0.3">
      <c r="CK4931" s="481"/>
    </row>
    <row r="4932" spans="89:89" s="299" customFormat="1" ht="12.75" customHeight="1" x14ac:dyDescent="0.3">
      <c r="CK4932" s="481"/>
    </row>
    <row r="4933" spans="89:89" s="299" customFormat="1" ht="12.75" customHeight="1" x14ac:dyDescent="0.3">
      <c r="CK4933" s="481"/>
    </row>
    <row r="4934" spans="89:89" s="299" customFormat="1" ht="12.75" customHeight="1" x14ac:dyDescent="0.3">
      <c r="CK4934" s="481"/>
    </row>
    <row r="4935" spans="89:89" s="299" customFormat="1" ht="12.75" customHeight="1" x14ac:dyDescent="0.3">
      <c r="CK4935" s="481"/>
    </row>
    <row r="4936" spans="89:89" s="299" customFormat="1" ht="12.75" customHeight="1" x14ac:dyDescent="0.3">
      <c r="CK4936" s="481"/>
    </row>
    <row r="4937" spans="89:89" s="299" customFormat="1" ht="12.75" customHeight="1" x14ac:dyDescent="0.3">
      <c r="CK4937" s="481"/>
    </row>
    <row r="4938" spans="89:89" s="299" customFormat="1" ht="12.75" customHeight="1" x14ac:dyDescent="0.3">
      <c r="CK4938" s="481"/>
    </row>
    <row r="4939" spans="89:89" s="299" customFormat="1" ht="12.75" customHeight="1" x14ac:dyDescent="0.3">
      <c r="CK4939" s="481"/>
    </row>
    <row r="4940" spans="89:89" s="299" customFormat="1" ht="12.75" customHeight="1" x14ac:dyDescent="0.3">
      <c r="CK4940" s="481"/>
    </row>
    <row r="4941" spans="89:89" s="299" customFormat="1" ht="12.75" customHeight="1" x14ac:dyDescent="0.3">
      <c r="CK4941" s="481"/>
    </row>
    <row r="4942" spans="89:89" s="299" customFormat="1" ht="12.75" customHeight="1" x14ac:dyDescent="0.3">
      <c r="CK4942" s="481"/>
    </row>
    <row r="4943" spans="89:89" s="299" customFormat="1" ht="12.75" customHeight="1" x14ac:dyDescent="0.3">
      <c r="CK4943" s="481"/>
    </row>
    <row r="4944" spans="89:89" s="299" customFormat="1" ht="12.75" customHeight="1" x14ac:dyDescent="0.3">
      <c r="CK4944" s="481"/>
    </row>
    <row r="4945" spans="89:89" s="299" customFormat="1" ht="12.75" customHeight="1" x14ac:dyDescent="0.3">
      <c r="CK4945" s="481"/>
    </row>
    <row r="4946" spans="89:89" s="299" customFormat="1" ht="12.75" customHeight="1" x14ac:dyDescent="0.3">
      <c r="CK4946" s="481"/>
    </row>
    <row r="4947" spans="89:89" s="299" customFormat="1" ht="12.75" customHeight="1" x14ac:dyDescent="0.3">
      <c r="CK4947" s="481"/>
    </row>
    <row r="4948" spans="89:89" s="299" customFormat="1" ht="12.75" customHeight="1" x14ac:dyDescent="0.3">
      <c r="CK4948" s="481"/>
    </row>
    <row r="4949" spans="89:89" s="299" customFormat="1" ht="12.75" customHeight="1" x14ac:dyDescent="0.3">
      <c r="CK4949" s="481"/>
    </row>
    <row r="4950" spans="89:89" s="299" customFormat="1" ht="12.75" customHeight="1" x14ac:dyDescent="0.3">
      <c r="CK4950" s="481"/>
    </row>
    <row r="4951" spans="89:89" s="299" customFormat="1" ht="12.75" customHeight="1" x14ac:dyDescent="0.3">
      <c r="CK4951" s="481"/>
    </row>
    <row r="4952" spans="89:89" s="299" customFormat="1" ht="12.75" customHeight="1" x14ac:dyDescent="0.3">
      <c r="CK4952" s="481"/>
    </row>
    <row r="4953" spans="89:89" s="299" customFormat="1" ht="12.75" customHeight="1" x14ac:dyDescent="0.3">
      <c r="CK4953" s="481"/>
    </row>
    <row r="4954" spans="89:89" s="299" customFormat="1" ht="12.75" customHeight="1" x14ac:dyDescent="0.3">
      <c r="CK4954" s="481"/>
    </row>
    <row r="4955" spans="89:89" s="299" customFormat="1" ht="12.75" customHeight="1" x14ac:dyDescent="0.3">
      <c r="CK4955" s="481"/>
    </row>
    <row r="4956" spans="89:89" s="299" customFormat="1" ht="12.75" customHeight="1" x14ac:dyDescent="0.3">
      <c r="CK4956" s="481"/>
    </row>
    <row r="4957" spans="89:89" s="299" customFormat="1" ht="12.75" customHeight="1" x14ac:dyDescent="0.3">
      <c r="CK4957" s="481"/>
    </row>
    <row r="4958" spans="89:89" s="299" customFormat="1" ht="12.75" customHeight="1" x14ac:dyDescent="0.3">
      <c r="CK4958" s="481"/>
    </row>
    <row r="4959" spans="89:89" s="299" customFormat="1" ht="12.75" customHeight="1" x14ac:dyDescent="0.3">
      <c r="CK4959" s="481"/>
    </row>
    <row r="4960" spans="89:89" s="299" customFormat="1" ht="12.75" customHeight="1" x14ac:dyDescent="0.3">
      <c r="CK4960" s="481"/>
    </row>
    <row r="4961" spans="89:89" s="299" customFormat="1" ht="12.75" customHeight="1" x14ac:dyDescent="0.3">
      <c r="CK4961" s="481"/>
    </row>
    <row r="4962" spans="89:89" s="299" customFormat="1" ht="12.75" customHeight="1" x14ac:dyDescent="0.3">
      <c r="CK4962" s="481"/>
    </row>
    <row r="4963" spans="89:89" s="299" customFormat="1" ht="12.75" customHeight="1" x14ac:dyDescent="0.3">
      <c r="CK4963" s="481"/>
    </row>
    <row r="4964" spans="89:89" s="299" customFormat="1" ht="12.75" customHeight="1" x14ac:dyDescent="0.3">
      <c r="CK4964" s="481"/>
    </row>
    <row r="4965" spans="89:89" s="299" customFormat="1" ht="12.75" customHeight="1" x14ac:dyDescent="0.3">
      <c r="CK4965" s="481"/>
    </row>
    <row r="4966" spans="89:89" s="299" customFormat="1" ht="12.75" customHeight="1" x14ac:dyDescent="0.3">
      <c r="CK4966" s="481"/>
    </row>
    <row r="4967" spans="89:89" s="299" customFormat="1" ht="12.75" customHeight="1" x14ac:dyDescent="0.3">
      <c r="CK4967" s="481"/>
    </row>
    <row r="4968" spans="89:89" s="299" customFormat="1" ht="12.75" customHeight="1" x14ac:dyDescent="0.3">
      <c r="CK4968" s="481"/>
    </row>
    <row r="4969" spans="89:89" s="299" customFormat="1" ht="12.75" customHeight="1" x14ac:dyDescent="0.3">
      <c r="CK4969" s="481"/>
    </row>
    <row r="4970" spans="89:89" s="299" customFormat="1" ht="12.75" customHeight="1" x14ac:dyDescent="0.3">
      <c r="CK4970" s="481"/>
    </row>
    <row r="4971" spans="89:89" s="299" customFormat="1" ht="12.75" customHeight="1" x14ac:dyDescent="0.3">
      <c r="CK4971" s="481"/>
    </row>
    <row r="4972" spans="89:89" s="299" customFormat="1" ht="12.75" customHeight="1" x14ac:dyDescent="0.3">
      <c r="CK4972" s="481"/>
    </row>
    <row r="4973" spans="89:89" s="299" customFormat="1" ht="12.75" customHeight="1" x14ac:dyDescent="0.3">
      <c r="CK4973" s="481"/>
    </row>
    <row r="4974" spans="89:89" s="299" customFormat="1" ht="12.75" customHeight="1" x14ac:dyDescent="0.3">
      <c r="CK4974" s="481"/>
    </row>
    <row r="4975" spans="89:89" s="299" customFormat="1" ht="12.75" customHeight="1" x14ac:dyDescent="0.3">
      <c r="CK4975" s="481"/>
    </row>
    <row r="4976" spans="89:89" s="299" customFormat="1" ht="12.75" customHeight="1" x14ac:dyDescent="0.3">
      <c r="CK4976" s="481"/>
    </row>
    <row r="4977" spans="89:89" s="299" customFormat="1" ht="12.75" customHeight="1" x14ac:dyDescent="0.3">
      <c r="CK4977" s="481"/>
    </row>
    <row r="4978" spans="89:89" s="299" customFormat="1" ht="12.75" customHeight="1" x14ac:dyDescent="0.3">
      <c r="CK4978" s="481"/>
    </row>
    <row r="4979" spans="89:89" s="299" customFormat="1" ht="12.75" customHeight="1" x14ac:dyDescent="0.3">
      <c r="CK4979" s="481"/>
    </row>
    <row r="4980" spans="89:89" s="299" customFormat="1" ht="12.75" customHeight="1" x14ac:dyDescent="0.3">
      <c r="CK4980" s="481"/>
    </row>
    <row r="4981" spans="89:89" s="299" customFormat="1" ht="12.75" customHeight="1" x14ac:dyDescent="0.3">
      <c r="CK4981" s="481"/>
    </row>
    <row r="4982" spans="89:89" s="299" customFormat="1" ht="12.75" customHeight="1" x14ac:dyDescent="0.3">
      <c r="CK4982" s="481"/>
    </row>
    <row r="4983" spans="89:89" s="299" customFormat="1" ht="12.75" customHeight="1" x14ac:dyDescent="0.3">
      <c r="CK4983" s="481"/>
    </row>
    <row r="4984" spans="89:89" s="299" customFormat="1" ht="12.75" customHeight="1" x14ac:dyDescent="0.3">
      <c r="CK4984" s="481"/>
    </row>
    <row r="4985" spans="89:89" s="299" customFormat="1" ht="12.75" customHeight="1" x14ac:dyDescent="0.3">
      <c r="CK4985" s="481"/>
    </row>
    <row r="4986" spans="89:89" s="299" customFormat="1" ht="12.75" customHeight="1" x14ac:dyDescent="0.3">
      <c r="CK4986" s="481"/>
    </row>
    <row r="4987" spans="89:89" s="299" customFormat="1" ht="12.75" customHeight="1" x14ac:dyDescent="0.3">
      <c r="CK4987" s="481"/>
    </row>
    <row r="4988" spans="89:89" s="299" customFormat="1" ht="12.75" customHeight="1" x14ac:dyDescent="0.3">
      <c r="CK4988" s="481"/>
    </row>
    <row r="4989" spans="89:89" s="299" customFormat="1" ht="12.75" customHeight="1" x14ac:dyDescent="0.3">
      <c r="CK4989" s="481"/>
    </row>
    <row r="4990" spans="89:89" s="299" customFormat="1" ht="12.75" customHeight="1" x14ac:dyDescent="0.3">
      <c r="CK4990" s="481"/>
    </row>
    <row r="4991" spans="89:89" s="299" customFormat="1" ht="12.75" customHeight="1" x14ac:dyDescent="0.3">
      <c r="CK4991" s="481"/>
    </row>
    <row r="4992" spans="89:89" s="299" customFormat="1" ht="12.75" customHeight="1" x14ac:dyDescent="0.3">
      <c r="CK4992" s="481"/>
    </row>
    <row r="4993" spans="89:89" s="299" customFormat="1" ht="12.75" customHeight="1" x14ac:dyDescent="0.3">
      <c r="CK4993" s="481"/>
    </row>
    <row r="4994" spans="89:89" s="299" customFormat="1" ht="12.75" customHeight="1" x14ac:dyDescent="0.3">
      <c r="CK4994" s="481"/>
    </row>
    <row r="4995" spans="89:89" s="299" customFormat="1" ht="12.75" customHeight="1" x14ac:dyDescent="0.3">
      <c r="CK4995" s="481"/>
    </row>
    <row r="4996" spans="89:89" s="299" customFormat="1" ht="12.75" customHeight="1" x14ac:dyDescent="0.3">
      <c r="CK4996" s="481"/>
    </row>
    <row r="4997" spans="89:89" s="299" customFormat="1" ht="12.75" customHeight="1" x14ac:dyDescent="0.3">
      <c r="CK4997" s="481"/>
    </row>
    <row r="4998" spans="89:89" s="299" customFormat="1" ht="12.75" customHeight="1" x14ac:dyDescent="0.3">
      <c r="CK4998" s="481"/>
    </row>
    <row r="4999" spans="89:89" s="299" customFormat="1" ht="12.75" customHeight="1" x14ac:dyDescent="0.3">
      <c r="CK4999" s="481"/>
    </row>
    <row r="5000" spans="89:89" s="299" customFormat="1" ht="12.75" customHeight="1" x14ac:dyDescent="0.3">
      <c r="CK5000" s="481"/>
    </row>
    <row r="5001" spans="89:89" s="299" customFormat="1" ht="12.75" customHeight="1" x14ac:dyDescent="0.3">
      <c r="CK5001" s="481"/>
    </row>
    <row r="5002" spans="89:89" s="299" customFormat="1" ht="12.75" customHeight="1" x14ac:dyDescent="0.3">
      <c r="CK5002" s="481"/>
    </row>
    <row r="5003" spans="89:89" s="299" customFormat="1" ht="12.75" customHeight="1" x14ac:dyDescent="0.3">
      <c r="CK5003" s="481"/>
    </row>
    <row r="5004" spans="89:89" s="299" customFormat="1" ht="12.75" customHeight="1" x14ac:dyDescent="0.3">
      <c r="CK5004" s="481"/>
    </row>
    <row r="5005" spans="89:89" s="299" customFormat="1" ht="12.75" customHeight="1" x14ac:dyDescent="0.3">
      <c r="CK5005" s="481"/>
    </row>
    <row r="5006" spans="89:89" s="299" customFormat="1" ht="12.75" customHeight="1" x14ac:dyDescent="0.3">
      <c r="CK5006" s="481"/>
    </row>
    <row r="5007" spans="89:89" s="299" customFormat="1" ht="12.75" customHeight="1" x14ac:dyDescent="0.3">
      <c r="CK5007" s="481"/>
    </row>
    <row r="5008" spans="89:89" s="299" customFormat="1" ht="12.75" customHeight="1" x14ac:dyDescent="0.3">
      <c r="CK5008" s="481"/>
    </row>
    <row r="5009" spans="89:89" s="299" customFormat="1" ht="12.75" customHeight="1" x14ac:dyDescent="0.3">
      <c r="CK5009" s="481"/>
    </row>
    <row r="5010" spans="89:89" s="299" customFormat="1" ht="12.75" customHeight="1" x14ac:dyDescent="0.3">
      <c r="CK5010" s="481"/>
    </row>
    <row r="5011" spans="89:89" s="299" customFormat="1" ht="12.75" customHeight="1" x14ac:dyDescent="0.3">
      <c r="CK5011" s="481"/>
    </row>
    <row r="5012" spans="89:89" s="299" customFormat="1" ht="12.75" customHeight="1" x14ac:dyDescent="0.3">
      <c r="CK5012" s="481"/>
    </row>
    <row r="5013" spans="89:89" s="299" customFormat="1" ht="12.75" customHeight="1" x14ac:dyDescent="0.3">
      <c r="CK5013" s="481"/>
    </row>
    <row r="5014" spans="89:89" s="299" customFormat="1" ht="12.75" customHeight="1" x14ac:dyDescent="0.3">
      <c r="CK5014" s="481"/>
    </row>
    <row r="5015" spans="89:89" s="299" customFormat="1" ht="12.75" customHeight="1" x14ac:dyDescent="0.3">
      <c r="CK5015" s="481"/>
    </row>
    <row r="5016" spans="89:89" s="299" customFormat="1" ht="12.75" customHeight="1" x14ac:dyDescent="0.3">
      <c r="CK5016" s="481"/>
    </row>
    <row r="5017" spans="89:89" s="299" customFormat="1" ht="12.75" customHeight="1" x14ac:dyDescent="0.3">
      <c r="CK5017" s="481"/>
    </row>
    <row r="5018" spans="89:89" s="299" customFormat="1" ht="12.75" customHeight="1" x14ac:dyDescent="0.3">
      <c r="CK5018" s="481"/>
    </row>
    <row r="5019" spans="89:89" s="299" customFormat="1" ht="12.75" customHeight="1" x14ac:dyDescent="0.3">
      <c r="CK5019" s="481"/>
    </row>
    <row r="5020" spans="89:89" s="299" customFormat="1" ht="12.75" customHeight="1" x14ac:dyDescent="0.3">
      <c r="CK5020" s="481"/>
    </row>
    <row r="5021" spans="89:89" s="299" customFormat="1" ht="12.75" customHeight="1" x14ac:dyDescent="0.3">
      <c r="CK5021" s="481"/>
    </row>
    <row r="5022" spans="89:89" s="299" customFormat="1" ht="12.75" customHeight="1" x14ac:dyDescent="0.3">
      <c r="CK5022" s="481"/>
    </row>
    <row r="5023" spans="89:89" s="299" customFormat="1" ht="12.75" customHeight="1" x14ac:dyDescent="0.3">
      <c r="CK5023" s="481"/>
    </row>
    <row r="5024" spans="89:89" s="299" customFormat="1" ht="12.75" customHeight="1" x14ac:dyDescent="0.3">
      <c r="CK5024" s="481"/>
    </row>
    <row r="5025" spans="89:89" s="299" customFormat="1" ht="12.75" customHeight="1" x14ac:dyDescent="0.3">
      <c r="CK5025" s="481"/>
    </row>
    <row r="5026" spans="89:89" s="299" customFormat="1" ht="12.75" customHeight="1" x14ac:dyDescent="0.3">
      <c r="CK5026" s="481"/>
    </row>
    <row r="5027" spans="89:89" s="299" customFormat="1" ht="12.75" customHeight="1" x14ac:dyDescent="0.3">
      <c r="CK5027" s="481"/>
    </row>
    <row r="5028" spans="89:89" s="299" customFormat="1" ht="12.75" customHeight="1" x14ac:dyDescent="0.3">
      <c r="CK5028" s="481"/>
    </row>
    <row r="5029" spans="89:89" s="299" customFormat="1" ht="12.75" customHeight="1" x14ac:dyDescent="0.3">
      <c r="CK5029" s="481"/>
    </row>
    <row r="5030" spans="89:89" s="299" customFormat="1" ht="12.75" customHeight="1" x14ac:dyDescent="0.3">
      <c r="CK5030" s="481"/>
    </row>
    <row r="5031" spans="89:89" s="299" customFormat="1" ht="12.75" customHeight="1" x14ac:dyDescent="0.3">
      <c r="CK5031" s="481"/>
    </row>
    <row r="5032" spans="89:89" s="299" customFormat="1" ht="12.75" customHeight="1" x14ac:dyDescent="0.3">
      <c r="CK5032" s="481"/>
    </row>
    <row r="5033" spans="89:89" s="299" customFormat="1" ht="12.75" customHeight="1" x14ac:dyDescent="0.3">
      <c r="CK5033" s="481"/>
    </row>
    <row r="5034" spans="89:89" s="299" customFormat="1" ht="12.75" customHeight="1" x14ac:dyDescent="0.3">
      <c r="CK5034" s="481"/>
    </row>
    <row r="5035" spans="89:89" s="299" customFormat="1" ht="12.75" customHeight="1" x14ac:dyDescent="0.3">
      <c r="CK5035" s="481"/>
    </row>
    <row r="5036" spans="89:89" s="299" customFormat="1" ht="12.75" customHeight="1" x14ac:dyDescent="0.3">
      <c r="CK5036" s="481"/>
    </row>
    <row r="5037" spans="89:89" s="299" customFormat="1" ht="12.75" customHeight="1" x14ac:dyDescent="0.3">
      <c r="CK5037" s="481"/>
    </row>
    <row r="5038" spans="89:89" s="299" customFormat="1" ht="12.75" customHeight="1" x14ac:dyDescent="0.3">
      <c r="CK5038" s="481"/>
    </row>
    <row r="5039" spans="89:89" s="299" customFormat="1" ht="12.75" customHeight="1" x14ac:dyDescent="0.3">
      <c r="CK5039" s="481"/>
    </row>
    <row r="5040" spans="89:89" s="299" customFormat="1" ht="12.75" customHeight="1" x14ac:dyDescent="0.3">
      <c r="CK5040" s="481"/>
    </row>
    <row r="5041" spans="89:89" s="299" customFormat="1" ht="12.75" customHeight="1" x14ac:dyDescent="0.3">
      <c r="CK5041" s="481"/>
    </row>
    <row r="5042" spans="89:89" s="299" customFormat="1" ht="12.75" customHeight="1" x14ac:dyDescent="0.3">
      <c r="CK5042" s="481"/>
    </row>
    <row r="5043" spans="89:89" s="299" customFormat="1" ht="12.75" customHeight="1" x14ac:dyDescent="0.3">
      <c r="CK5043" s="481"/>
    </row>
    <row r="5044" spans="89:89" s="299" customFormat="1" ht="12.75" customHeight="1" x14ac:dyDescent="0.3">
      <c r="CK5044" s="481"/>
    </row>
    <row r="5045" spans="89:89" s="299" customFormat="1" ht="12.75" customHeight="1" x14ac:dyDescent="0.3">
      <c r="CK5045" s="481"/>
    </row>
    <row r="5046" spans="89:89" s="299" customFormat="1" ht="12.75" customHeight="1" x14ac:dyDescent="0.3">
      <c r="CK5046" s="481"/>
    </row>
    <row r="5047" spans="89:89" s="299" customFormat="1" ht="12.75" customHeight="1" x14ac:dyDescent="0.3">
      <c r="CK5047" s="481"/>
    </row>
    <row r="5048" spans="89:89" s="299" customFormat="1" ht="12.75" customHeight="1" x14ac:dyDescent="0.3">
      <c r="CK5048" s="481"/>
    </row>
    <row r="5049" spans="89:89" s="299" customFormat="1" ht="12.75" customHeight="1" x14ac:dyDescent="0.3">
      <c r="CK5049" s="481"/>
    </row>
    <row r="5050" spans="89:89" s="299" customFormat="1" ht="12.75" customHeight="1" x14ac:dyDescent="0.3">
      <c r="CK5050" s="481"/>
    </row>
    <row r="5051" spans="89:89" s="299" customFormat="1" ht="12.75" customHeight="1" x14ac:dyDescent="0.3">
      <c r="CK5051" s="481"/>
    </row>
    <row r="5052" spans="89:89" s="299" customFormat="1" ht="12.75" customHeight="1" x14ac:dyDescent="0.3">
      <c r="CK5052" s="481"/>
    </row>
    <row r="5053" spans="89:89" s="299" customFormat="1" ht="12.75" customHeight="1" x14ac:dyDescent="0.3">
      <c r="CK5053" s="481"/>
    </row>
    <row r="5054" spans="89:89" s="299" customFormat="1" ht="12.75" customHeight="1" x14ac:dyDescent="0.3">
      <c r="CK5054" s="481"/>
    </row>
    <row r="5055" spans="89:89" s="299" customFormat="1" ht="12.75" customHeight="1" x14ac:dyDescent="0.3">
      <c r="CK5055" s="481"/>
    </row>
    <row r="5056" spans="89:89" s="299" customFormat="1" ht="12.75" customHeight="1" x14ac:dyDescent="0.3">
      <c r="CK5056" s="481"/>
    </row>
    <row r="5057" spans="89:89" s="299" customFormat="1" ht="12.75" customHeight="1" x14ac:dyDescent="0.3">
      <c r="CK5057" s="481"/>
    </row>
    <row r="5058" spans="89:89" s="299" customFormat="1" ht="12.75" customHeight="1" x14ac:dyDescent="0.3">
      <c r="CK5058" s="481"/>
    </row>
    <row r="5059" spans="89:89" s="299" customFormat="1" ht="12.75" customHeight="1" x14ac:dyDescent="0.3">
      <c r="CK5059" s="481"/>
    </row>
    <row r="5060" spans="89:89" s="299" customFormat="1" ht="12.75" customHeight="1" x14ac:dyDescent="0.3">
      <c r="CK5060" s="481"/>
    </row>
    <row r="5061" spans="89:89" s="299" customFormat="1" ht="12.75" customHeight="1" x14ac:dyDescent="0.3">
      <c r="CK5061" s="481"/>
    </row>
    <row r="5062" spans="89:89" s="299" customFormat="1" ht="12.75" customHeight="1" x14ac:dyDescent="0.3">
      <c r="CK5062" s="481"/>
    </row>
    <row r="5063" spans="89:89" s="299" customFormat="1" ht="12.75" customHeight="1" x14ac:dyDescent="0.3">
      <c r="CK5063" s="481"/>
    </row>
    <row r="5064" spans="89:89" s="299" customFormat="1" ht="12.75" customHeight="1" x14ac:dyDescent="0.3">
      <c r="CK5064" s="481"/>
    </row>
    <row r="5065" spans="89:89" s="299" customFormat="1" ht="12.75" customHeight="1" x14ac:dyDescent="0.3">
      <c r="CK5065" s="481"/>
    </row>
    <row r="5066" spans="89:89" s="299" customFormat="1" ht="12.75" customHeight="1" x14ac:dyDescent="0.3">
      <c r="CK5066" s="481"/>
    </row>
    <row r="5067" spans="89:89" s="299" customFormat="1" ht="12.75" customHeight="1" x14ac:dyDescent="0.3">
      <c r="CK5067" s="481"/>
    </row>
    <row r="5068" spans="89:89" s="299" customFormat="1" ht="12.75" customHeight="1" x14ac:dyDescent="0.3">
      <c r="CK5068" s="481"/>
    </row>
    <row r="5069" spans="89:89" s="299" customFormat="1" ht="12.75" customHeight="1" x14ac:dyDescent="0.3">
      <c r="CK5069" s="481"/>
    </row>
    <row r="5070" spans="89:89" s="299" customFormat="1" ht="12.75" customHeight="1" x14ac:dyDescent="0.3">
      <c r="CK5070" s="481"/>
    </row>
    <row r="5071" spans="89:89" s="299" customFormat="1" ht="12.75" customHeight="1" x14ac:dyDescent="0.3">
      <c r="CK5071" s="481"/>
    </row>
    <row r="5072" spans="89:89" s="299" customFormat="1" ht="12.75" customHeight="1" x14ac:dyDescent="0.3">
      <c r="CK5072" s="481"/>
    </row>
    <row r="5073" spans="89:89" s="299" customFormat="1" ht="12.75" customHeight="1" x14ac:dyDescent="0.3">
      <c r="CK5073" s="481"/>
    </row>
    <row r="5074" spans="89:89" s="299" customFormat="1" ht="12.75" customHeight="1" x14ac:dyDescent="0.3">
      <c r="CK5074" s="481"/>
    </row>
    <row r="5075" spans="89:89" s="299" customFormat="1" ht="12.75" customHeight="1" x14ac:dyDescent="0.3">
      <c r="CK5075" s="481"/>
    </row>
    <row r="5076" spans="89:89" s="299" customFormat="1" ht="12.75" customHeight="1" x14ac:dyDescent="0.3">
      <c r="CK5076" s="481"/>
    </row>
    <row r="5077" spans="89:89" s="299" customFormat="1" ht="12.75" customHeight="1" x14ac:dyDescent="0.3">
      <c r="CK5077" s="481"/>
    </row>
    <row r="5078" spans="89:89" s="299" customFormat="1" ht="12.75" customHeight="1" x14ac:dyDescent="0.3">
      <c r="CK5078" s="481"/>
    </row>
    <row r="5079" spans="89:89" s="299" customFormat="1" ht="12.75" customHeight="1" x14ac:dyDescent="0.3">
      <c r="CK5079" s="481"/>
    </row>
    <row r="5080" spans="89:89" s="299" customFormat="1" ht="12.75" customHeight="1" x14ac:dyDescent="0.3">
      <c r="CK5080" s="481"/>
    </row>
    <row r="5081" spans="89:89" s="299" customFormat="1" ht="12.75" customHeight="1" x14ac:dyDescent="0.3">
      <c r="CK5081" s="481"/>
    </row>
    <row r="5082" spans="89:89" s="299" customFormat="1" ht="12.75" customHeight="1" x14ac:dyDescent="0.3">
      <c r="CK5082" s="481"/>
    </row>
    <row r="5083" spans="89:89" s="299" customFormat="1" ht="12.75" customHeight="1" x14ac:dyDescent="0.3">
      <c r="CK5083" s="481"/>
    </row>
    <row r="5084" spans="89:89" s="299" customFormat="1" ht="12.75" customHeight="1" x14ac:dyDescent="0.3">
      <c r="CK5084" s="481"/>
    </row>
    <row r="5085" spans="89:89" s="299" customFormat="1" ht="12.75" customHeight="1" x14ac:dyDescent="0.3">
      <c r="CK5085" s="481"/>
    </row>
    <row r="5086" spans="89:89" s="299" customFormat="1" ht="12.75" customHeight="1" x14ac:dyDescent="0.3">
      <c r="CK5086" s="481"/>
    </row>
    <row r="5087" spans="89:89" s="299" customFormat="1" ht="12.75" customHeight="1" x14ac:dyDescent="0.3">
      <c r="CK5087" s="481"/>
    </row>
    <row r="5088" spans="89:89" s="299" customFormat="1" ht="12.75" customHeight="1" x14ac:dyDescent="0.3">
      <c r="CK5088" s="481"/>
    </row>
    <row r="5089" spans="89:89" s="299" customFormat="1" ht="12.75" customHeight="1" x14ac:dyDescent="0.3">
      <c r="CK5089" s="481"/>
    </row>
    <row r="5090" spans="89:89" s="299" customFormat="1" ht="12.75" customHeight="1" x14ac:dyDescent="0.3">
      <c r="CK5090" s="481"/>
    </row>
    <row r="5091" spans="89:89" s="299" customFormat="1" ht="12.75" customHeight="1" x14ac:dyDescent="0.3">
      <c r="CK5091" s="481"/>
    </row>
    <row r="5092" spans="89:89" s="299" customFormat="1" ht="12.75" customHeight="1" x14ac:dyDescent="0.3">
      <c r="CK5092" s="481"/>
    </row>
    <row r="5093" spans="89:89" s="299" customFormat="1" ht="12.75" customHeight="1" x14ac:dyDescent="0.3">
      <c r="CK5093" s="481"/>
    </row>
    <row r="5094" spans="89:89" s="299" customFormat="1" ht="12.75" customHeight="1" x14ac:dyDescent="0.3">
      <c r="CK5094" s="481"/>
    </row>
    <row r="5095" spans="89:89" s="299" customFormat="1" ht="12.75" customHeight="1" x14ac:dyDescent="0.3">
      <c r="CK5095" s="481"/>
    </row>
    <row r="5096" spans="89:89" s="299" customFormat="1" ht="12.75" customHeight="1" x14ac:dyDescent="0.3">
      <c r="CK5096" s="481"/>
    </row>
    <row r="5097" spans="89:89" s="299" customFormat="1" ht="12.75" customHeight="1" x14ac:dyDescent="0.3">
      <c r="CK5097" s="481"/>
    </row>
    <row r="5098" spans="89:89" s="299" customFormat="1" ht="12.75" customHeight="1" x14ac:dyDescent="0.3">
      <c r="CK5098" s="481"/>
    </row>
    <row r="5099" spans="89:89" s="299" customFormat="1" ht="12.75" customHeight="1" x14ac:dyDescent="0.3">
      <c r="CK5099" s="481"/>
    </row>
    <row r="5100" spans="89:89" s="299" customFormat="1" ht="12.75" customHeight="1" x14ac:dyDescent="0.3">
      <c r="CK5100" s="481"/>
    </row>
    <row r="5101" spans="89:89" s="299" customFormat="1" ht="12.75" customHeight="1" x14ac:dyDescent="0.3">
      <c r="CK5101" s="481"/>
    </row>
    <row r="5102" spans="89:89" s="299" customFormat="1" ht="12.75" customHeight="1" x14ac:dyDescent="0.3">
      <c r="CK5102" s="481"/>
    </row>
    <row r="5103" spans="89:89" s="299" customFormat="1" ht="12.75" customHeight="1" x14ac:dyDescent="0.3">
      <c r="CK5103" s="481"/>
    </row>
    <row r="5104" spans="89:89" s="299" customFormat="1" ht="12.75" customHeight="1" x14ac:dyDescent="0.3">
      <c r="CK5104" s="481"/>
    </row>
    <row r="5105" spans="89:89" s="299" customFormat="1" ht="12.75" customHeight="1" x14ac:dyDescent="0.3">
      <c r="CK5105" s="481"/>
    </row>
    <row r="5106" spans="89:89" s="299" customFormat="1" ht="12.75" customHeight="1" x14ac:dyDescent="0.3">
      <c r="CK5106" s="481"/>
    </row>
    <row r="5107" spans="89:89" s="299" customFormat="1" ht="12.75" customHeight="1" x14ac:dyDescent="0.3">
      <c r="CK5107" s="481"/>
    </row>
    <row r="5108" spans="89:89" s="299" customFormat="1" ht="12.75" customHeight="1" x14ac:dyDescent="0.3">
      <c r="CK5108" s="481"/>
    </row>
    <row r="5109" spans="89:89" s="299" customFormat="1" ht="12.75" customHeight="1" x14ac:dyDescent="0.3">
      <c r="CK5109" s="481"/>
    </row>
    <row r="5110" spans="89:89" s="299" customFormat="1" ht="12.75" customHeight="1" x14ac:dyDescent="0.3">
      <c r="CK5110" s="481"/>
    </row>
    <row r="5111" spans="89:89" s="299" customFormat="1" ht="12.75" customHeight="1" x14ac:dyDescent="0.3">
      <c r="CK5111" s="481"/>
    </row>
    <row r="5112" spans="89:89" s="299" customFormat="1" ht="12.75" customHeight="1" x14ac:dyDescent="0.3">
      <c r="CK5112" s="481"/>
    </row>
    <row r="5113" spans="89:89" s="299" customFormat="1" ht="12.75" customHeight="1" x14ac:dyDescent="0.3">
      <c r="CK5113" s="481"/>
    </row>
    <row r="5114" spans="89:89" s="299" customFormat="1" ht="12.75" customHeight="1" x14ac:dyDescent="0.3">
      <c r="CK5114" s="481"/>
    </row>
    <row r="5115" spans="89:89" s="299" customFormat="1" ht="12.75" customHeight="1" x14ac:dyDescent="0.3">
      <c r="CK5115" s="481"/>
    </row>
    <row r="5116" spans="89:89" s="299" customFormat="1" ht="12.75" customHeight="1" x14ac:dyDescent="0.3">
      <c r="CK5116" s="481"/>
    </row>
    <row r="5117" spans="89:89" s="299" customFormat="1" ht="12.75" customHeight="1" x14ac:dyDescent="0.3">
      <c r="CK5117" s="481"/>
    </row>
    <row r="5118" spans="89:89" s="299" customFormat="1" ht="12.75" customHeight="1" x14ac:dyDescent="0.3">
      <c r="CK5118" s="481"/>
    </row>
    <row r="5119" spans="89:89" s="299" customFormat="1" ht="12.75" customHeight="1" x14ac:dyDescent="0.3">
      <c r="CK5119" s="481"/>
    </row>
    <row r="5120" spans="89:89" s="299" customFormat="1" ht="12.75" customHeight="1" x14ac:dyDescent="0.3">
      <c r="CK5120" s="481"/>
    </row>
    <row r="5121" spans="89:89" s="299" customFormat="1" ht="12.75" customHeight="1" x14ac:dyDescent="0.3">
      <c r="CK5121" s="481"/>
    </row>
    <row r="5122" spans="89:89" s="299" customFormat="1" ht="12.75" customHeight="1" x14ac:dyDescent="0.3">
      <c r="CK5122" s="481"/>
    </row>
    <row r="5123" spans="89:89" s="299" customFormat="1" ht="12.75" customHeight="1" x14ac:dyDescent="0.3">
      <c r="CK5123" s="481"/>
    </row>
    <row r="5124" spans="89:89" s="299" customFormat="1" ht="12.75" customHeight="1" x14ac:dyDescent="0.3">
      <c r="CK5124" s="481"/>
    </row>
    <row r="5125" spans="89:89" s="299" customFormat="1" ht="12.75" customHeight="1" x14ac:dyDescent="0.3">
      <c r="CK5125" s="481"/>
    </row>
    <row r="5126" spans="89:89" s="299" customFormat="1" ht="12.75" customHeight="1" x14ac:dyDescent="0.3">
      <c r="CK5126" s="481"/>
    </row>
    <row r="5127" spans="89:89" s="299" customFormat="1" ht="12.75" customHeight="1" x14ac:dyDescent="0.3">
      <c r="CK5127" s="481"/>
    </row>
    <row r="5128" spans="89:89" s="299" customFormat="1" ht="12.75" customHeight="1" x14ac:dyDescent="0.3">
      <c r="CK5128" s="481"/>
    </row>
    <row r="5129" spans="89:89" s="299" customFormat="1" ht="12.75" customHeight="1" x14ac:dyDescent="0.3">
      <c r="CK5129" s="481"/>
    </row>
    <row r="5130" spans="89:89" s="299" customFormat="1" ht="12.75" customHeight="1" x14ac:dyDescent="0.3">
      <c r="CK5130" s="481"/>
    </row>
    <row r="5131" spans="89:89" s="299" customFormat="1" ht="12.75" customHeight="1" x14ac:dyDescent="0.3">
      <c r="CK5131" s="481"/>
    </row>
    <row r="5132" spans="89:89" s="299" customFormat="1" ht="12.75" customHeight="1" x14ac:dyDescent="0.3">
      <c r="CK5132" s="481"/>
    </row>
    <row r="5133" spans="89:89" s="299" customFormat="1" ht="12.75" customHeight="1" x14ac:dyDescent="0.3">
      <c r="CK5133" s="481"/>
    </row>
    <row r="5134" spans="89:89" s="299" customFormat="1" ht="12.75" customHeight="1" x14ac:dyDescent="0.3">
      <c r="CK5134" s="481"/>
    </row>
    <row r="5135" spans="89:89" s="299" customFormat="1" ht="12.75" customHeight="1" x14ac:dyDescent="0.3">
      <c r="CK5135" s="481"/>
    </row>
    <row r="5136" spans="89:89" s="299" customFormat="1" ht="12.75" customHeight="1" x14ac:dyDescent="0.3">
      <c r="CK5136" s="481"/>
    </row>
    <row r="5137" spans="89:89" s="299" customFormat="1" ht="12.75" customHeight="1" x14ac:dyDescent="0.3">
      <c r="CK5137" s="481"/>
    </row>
    <row r="5138" spans="89:89" s="299" customFormat="1" ht="12.75" customHeight="1" x14ac:dyDescent="0.3">
      <c r="CK5138" s="481"/>
    </row>
    <row r="5139" spans="89:89" s="299" customFormat="1" ht="12.75" customHeight="1" x14ac:dyDescent="0.3">
      <c r="CK5139" s="481"/>
    </row>
    <row r="5140" spans="89:89" s="299" customFormat="1" ht="12.75" customHeight="1" x14ac:dyDescent="0.3">
      <c r="CK5140" s="481"/>
    </row>
    <row r="5141" spans="89:89" s="299" customFormat="1" ht="12.75" customHeight="1" x14ac:dyDescent="0.3">
      <c r="CK5141" s="481"/>
    </row>
    <row r="5142" spans="89:89" s="299" customFormat="1" ht="12.75" customHeight="1" x14ac:dyDescent="0.3">
      <c r="CK5142" s="481"/>
    </row>
    <row r="5143" spans="89:89" s="299" customFormat="1" ht="12.75" customHeight="1" x14ac:dyDescent="0.3">
      <c r="CK5143" s="481"/>
    </row>
    <row r="5144" spans="89:89" s="299" customFormat="1" ht="12.75" customHeight="1" x14ac:dyDescent="0.3">
      <c r="CK5144" s="481"/>
    </row>
    <row r="5145" spans="89:89" s="299" customFormat="1" ht="12.75" customHeight="1" x14ac:dyDescent="0.3">
      <c r="CK5145" s="481"/>
    </row>
    <row r="5146" spans="89:89" s="299" customFormat="1" ht="12.75" customHeight="1" x14ac:dyDescent="0.3">
      <c r="CK5146" s="481"/>
    </row>
    <row r="5147" spans="89:89" s="299" customFormat="1" ht="12.75" customHeight="1" x14ac:dyDescent="0.3">
      <c r="CK5147" s="481"/>
    </row>
    <row r="5148" spans="89:89" s="299" customFormat="1" ht="12.75" customHeight="1" x14ac:dyDescent="0.3">
      <c r="CK5148" s="481"/>
    </row>
    <row r="5149" spans="89:89" s="299" customFormat="1" ht="12.75" customHeight="1" x14ac:dyDescent="0.3">
      <c r="CK5149" s="481"/>
    </row>
    <row r="5150" spans="89:89" s="299" customFormat="1" ht="12.75" customHeight="1" x14ac:dyDescent="0.3">
      <c r="CK5150" s="481"/>
    </row>
    <row r="5151" spans="89:89" s="299" customFormat="1" ht="12.75" customHeight="1" x14ac:dyDescent="0.3">
      <c r="CK5151" s="481"/>
    </row>
    <row r="5152" spans="89:89" s="299" customFormat="1" ht="12.75" customHeight="1" x14ac:dyDescent="0.3">
      <c r="CK5152" s="481"/>
    </row>
    <row r="5153" spans="89:89" s="299" customFormat="1" ht="12.75" customHeight="1" x14ac:dyDescent="0.3">
      <c r="CK5153" s="481"/>
    </row>
    <row r="5154" spans="89:89" s="299" customFormat="1" ht="12.75" customHeight="1" x14ac:dyDescent="0.3">
      <c r="CK5154" s="481"/>
    </row>
    <row r="5155" spans="89:89" s="299" customFormat="1" ht="12.75" customHeight="1" x14ac:dyDescent="0.3">
      <c r="CK5155" s="481"/>
    </row>
    <row r="5156" spans="89:89" s="299" customFormat="1" ht="12.75" customHeight="1" x14ac:dyDescent="0.3">
      <c r="CK5156" s="481"/>
    </row>
    <row r="5157" spans="89:89" s="299" customFormat="1" ht="12.75" customHeight="1" x14ac:dyDescent="0.3">
      <c r="CK5157" s="481"/>
    </row>
    <row r="5158" spans="89:89" s="299" customFormat="1" ht="12.75" customHeight="1" x14ac:dyDescent="0.3">
      <c r="CK5158" s="481"/>
    </row>
    <row r="5159" spans="89:89" s="299" customFormat="1" ht="12.75" customHeight="1" x14ac:dyDescent="0.3">
      <c r="CK5159" s="481"/>
    </row>
    <row r="5160" spans="89:89" s="299" customFormat="1" ht="12.75" customHeight="1" x14ac:dyDescent="0.3">
      <c r="CK5160" s="481"/>
    </row>
    <row r="5161" spans="89:89" s="299" customFormat="1" ht="12.75" customHeight="1" x14ac:dyDescent="0.3">
      <c r="CK5161" s="481"/>
    </row>
    <row r="5162" spans="89:89" s="299" customFormat="1" ht="12.75" customHeight="1" x14ac:dyDescent="0.3">
      <c r="CK5162" s="481"/>
    </row>
    <row r="5163" spans="89:89" s="299" customFormat="1" ht="12.75" customHeight="1" x14ac:dyDescent="0.3">
      <c r="CK5163" s="481"/>
    </row>
    <row r="5164" spans="89:89" s="299" customFormat="1" ht="12.75" customHeight="1" x14ac:dyDescent="0.3">
      <c r="CK5164" s="481"/>
    </row>
    <row r="5165" spans="89:89" s="299" customFormat="1" ht="12.75" customHeight="1" x14ac:dyDescent="0.3">
      <c r="CK5165" s="481"/>
    </row>
    <row r="5166" spans="89:89" s="299" customFormat="1" ht="12.75" customHeight="1" x14ac:dyDescent="0.3">
      <c r="CK5166" s="481"/>
    </row>
    <row r="5167" spans="89:89" s="299" customFormat="1" ht="12.75" customHeight="1" x14ac:dyDescent="0.3">
      <c r="CK5167" s="481"/>
    </row>
    <row r="5168" spans="89:89" s="299" customFormat="1" ht="12.75" customHeight="1" x14ac:dyDescent="0.3">
      <c r="CK5168" s="481"/>
    </row>
    <row r="5169" spans="89:89" s="299" customFormat="1" ht="12.75" customHeight="1" x14ac:dyDescent="0.3">
      <c r="CK5169" s="481"/>
    </row>
    <row r="5170" spans="89:89" s="299" customFormat="1" ht="12.75" customHeight="1" x14ac:dyDescent="0.3">
      <c r="CK5170" s="481"/>
    </row>
    <row r="5171" spans="89:89" s="299" customFormat="1" ht="12.75" customHeight="1" x14ac:dyDescent="0.3">
      <c r="CK5171" s="481"/>
    </row>
    <row r="5172" spans="89:89" s="299" customFormat="1" ht="12.75" customHeight="1" x14ac:dyDescent="0.3">
      <c r="CK5172" s="481"/>
    </row>
    <row r="5173" spans="89:89" s="299" customFormat="1" ht="12.75" customHeight="1" x14ac:dyDescent="0.3">
      <c r="CK5173" s="481"/>
    </row>
    <row r="5174" spans="89:89" s="299" customFormat="1" ht="12.75" customHeight="1" x14ac:dyDescent="0.3">
      <c r="CK5174" s="481"/>
    </row>
    <row r="5175" spans="89:89" s="299" customFormat="1" ht="12.75" customHeight="1" x14ac:dyDescent="0.3">
      <c r="CK5175" s="481"/>
    </row>
    <row r="5176" spans="89:89" s="299" customFormat="1" ht="12.75" customHeight="1" x14ac:dyDescent="0.3">
      <c r="CK5176" s="481"/>
    </row>
    <row r="5177" spans="89:89" s="299" customFormat="1" ht="12.75" customHeight="1" x14ac:dyDescent="0.3">
      <c r="CK5177" s="481"/>
    </row>
    <row r="5178" spans="89:89" s="299" customFormat="1" ht="12.75" customHeight="1" x14ac:dyDescent="0.3">
      <c r="CK5178" s="481"/>
    </row>
    <row r="5179" spans="89:89" s="299" customFormat="1" ht="12.75" customHeight="1" x14ac:dyDescent="0.3">
      <c r="CK5179" s="481"/>
    </row>
    <row r="5180" spans="89:89" s="299" customFormat="1" ht="12.75" customHeight="1" x14ac:dyDescent="0.3">
      <c r="CK5180" s="481"/>
    </row>
    <row r="5181" spans="89:89" s="299" customFormat="1" ht="12.75" customHeight="1" x14ac:dyDescent="0.3">
      <c r="CK5181" s="481"/>
    </row>
    <row r="5182" spans="89:89" s="299" customFormat="1" ht="12.75" customHeight="1" x14ac:dyDescent="0.3">
      <c r="CK5182" s="481"/>
    </row>
    <row r="5183" spans="89:89" s="299" customFormat="1" ht="12.75" customHeight="1" x14ac:dyDescent="0.3">
      <c r="CK5183" s="481"/>
    </row>
    <row r="5184" spans="89:89" s="299" customFormat="1" ht="12.75" customHeight="1" x14ac:dyDescent="0.3">
      <c r="CK5184" s="481"/>
    </row>
    <row r="5185" spans="89:89" s="299" customFormat="1" ht="12.75" customHeight="1" x14ac:dyDescent="0.3">
      <c r="CK5185" s="481"/>
    </row>
    <row r="5186" spans="89:89" s="299" customFormat="1" ht="12.75" customHeight="1" x14ac:dyDescent="0.3">
      <c r="CK5186" s="481"/>
    </row>
    <row r="5187" spans="89:89" s="299" customFormat="1" ht="12.75" customHeight="1" x14ac:dyDescent="0.3">
      <c r="CK5187" s="481"/>
    </row>
    <row r="5188" spans="89:89" s="299" customFormat="1" ht="12.75" customHeight="1" x14ac:dyDescent="0.3">
      <c r="CK5188" s="481"/>
    </row>
    <row r="5189" spans="89:89" s="299" customFormat="1" ht="12.75" customHeight="1" x14ac:dyDescent="0.3">
      <c r="CK5189" s="481"/>
    </row>
    <row r="5190" spans="89:89" s="299" customFormat="1" ht="12.75" customHeight="1" x14ac:dyDescent="0.3">
      <c r="CK5190" s="481"/>
    </row>
    <row r="5191" spans="89:89" s="299" customFormat="1" ht="12.75" customHeight="1" x14ac:dyDescent="0.3">
      <c r="CK5191" s="481"/>
    </row>
    <row r="5192" spans="89:89" s="299" customFormat="1" ht="12.75" customHeight="1" x14ac:dyDescent="0.3">
      <c r="CK5192" s="481"/>
    </row>
    <row r="5193" spans="89:89" s="299" customFormat="1" ht="12.75" customHeight="1" x14ac:dyDescent="0.3">
      <c r="CK5193" s="481"/>
    </row>
    <row r="5194" spans="89:89" s="299" customFormat="1" ht="12.75" customHeight="1" x14ac:dyDescent="0.3">
      <c r="CK5194" s="481"/>
    </row>
    <row r="5195" spans="89:89" s="299" customFormat="1" ht="12.75" customHeight="1" x14ac:dyDescent="0.3">
      <c r="CK5195" s="481"/>
    </row>
    <row r="5196" spans="89:89" s="299" customFormat="1" ht="12.75" customHeight="1" x14ac:dyDescent="0.3">
      <c r="CK5196" s="481"/>
    </row>
    <row r="5197" spans="89:89" s="299" customFormat="1" ht="12.75" customHeight="1" x14ac:dyDescent="0.3">
      <c r="CK5197" s="481"/>
    </row>
    <row r="5198" spans="89:89" s="299" customFormat="1" ht="12.75" customHeight="1" x14ac:dyDescent="0.3">
      <c r="CK5198" s="481"/>
    </row>
    <row r="5199" spans="89:89" s="299" customFormat="1" ht="12.75" customHeight="1" x14ac:dyDescent="0.3">
      <c r="CK5199" s="481"/>
    </row>
    <row r="5200" spans="89:89" s="299" customFormat="1" ht="12.75" customHeight="1" x14ac:dyDescent="0.3">
      <c r="CK5200" s="481"/>
    </row>
    <row r="5201" spans="89:89" s="299" customFormat="1" ht="12.75" customHeight="1" x14ac:dyDescent="0.3">
      <c r="CK5201" s="481"/>
    </row>
    <row r="5202" spans="89:89" s="299" customFormat="1" ht="12.75" customHeight="1" x14ac:dyDescent="0.3">
      <c r="CK5202" s="481"/>
    </row>
    <row r="5203" spans="89:89" s="299" customFormat="1" ht="12.75" customHeight="1" x14ac:dyDescent="0.3">
      <c r="CK5203" s="481"/>
    </row>
    <row r="5204" spans="89:89" s="299" customFormat="1" ht="12.75" customHeight="1" x14ac:dyDescent="0.3">
      <c r="CK5204" s="481"/>
    </row>
    <row r="5205" spans="89:89" s="299" customFormat="1" ht="12.75" customHeight="1" x14ac:dyDescent="0.3">
      <c r="CK5205" s="481"/>
    </row>
    <row r="5206" spans="89:89" s="299" customFormat="1" ht="12.75" customHeight="1" x14ac:dyDescent="0.3">
      <c r="CK5206" s="481"/>
    </row>
    <row r="5207" spans="89:89" s="299" customFormat="1" ht="12.75" customHeight="1" x14ac:dyDescent="0.3">
      <c r="CK5207" s="481"/>
    </row>
    <row r="5208" spans="89:89" s="299" customFormat="1" ht="12.75" customHeight="1" x14ac:dyDescent="0.3">
      <c r="CK5208" s="481"/>
    </row>
    <row r="5209" spans="89:89" s="299" customFormat="1" ht="12.75" customHeight="1" x14ac:dyDescent="0.3">
      <c r="CK5209" s="481"/>
    </row>
    <row r="5210" spans="89:89" s="299" customFormat="1" ht="12.75" customHeight="1" x14ac:dyDescent="0.3">
      <c r="CK5210" s="481"/>
    </row>
    <row r="5211" spans="89:89" s="299" customFormat="1" ht="12.75" customHeight="1" x14ac:dyDescent="0.3">
      <c r="CK5211" s="481"/>
    </row>
    <row r="5212" spans="89:89" s="299" customFormat="1" ht="12.75" customHeight="1" x14ac:dyDescent="0.3">
      <c r="CK5212" s="481"/>
    </row>
    <row r="5213" spans="89:89" s="299" customFormat="1" ht="12.75" customHeight="1" x14ac:dyDescent="0.3">
      <c r="CK5213" s="481"/>
    </row>
    <row r="5214" spans="89:89" s="299" customFormat="1" ht="12.75" customHeight="1" x14ac:dyDescent="0.3">
      <c r="CK5214" s="481"/>
    </row>
    <row r="5215" spans="89:89" s="299" customFormat="1" ht="12.75" customHeight="1" x14ac:dyDescent="0.3">
      <c r="CK5215" s="481"/>
    </row>
    <row r="5216" spans="89:89" s="299" customFormat="1" ht="12.75" customHeight="1" x14ac:dyDescent="0.3">
      <c r="CK5216" s="481"/>
    </row>
    <row r="5217" spans="89:89" s="299" customFormat="1" ht="12.75" customHeight="1" x14ac:dyDescent="0.3">
      <c r="CK5217" s="481"/>
    </row>
    <row r="5218" spans="89:89" s="299" customFormat="1" ht="12.75" customHeight="1" x14ac:dyDescent="0.3">
      <c r="CK5218" s="481"/>
    </row>
    <row r="5219" spans="89:89" s="299" customFormat="1" ht="12.75" customHeight="1" x14ac:dyDescent="0.3">
      <c r="CK5219" s="481"/>
    </row>
    <row r="5220" spans="89:89" s="299" customFormat="1" ht="12.75" customHeight="1" x14ac:dyDescent="0.3">
      <c r="CK5220" s="481"/>
    </row>
    <row r="5221" spans="89:89" s="299" customFormat="1" ht="12.75" customHeight="1" x14ac:dyDescent="0.3">
      <c r="CK5221" s="481"/>
    </row>
    <row r="5222" spans="89:89" s="299" customFormat="1" ht="12.75" customHeight="1" x14ac:dyDescent="0.3">
      <c r="CK5222" s="481"/>
    </row>
    <row r="5223" spans="89:89" s="299" customFormat="1" ht="12.75" customHeight="1" x14ac:dyDescent="0.3">
      <c r="CK5223" s="481"/>
    </row>
    <row r="5224" spans="89:89" s="299" customFormat="1" ht="12.75" customHeight="1" x14ac:dyDescent="0.3">
      <c r="CK5224" s="481"/>
    </row>
    <row r="5225" spans="89:89" s="299" customFormat="1" ht="12.75" customHeight="1" x14ac:dyDescent="0.3">
      <c r="CK5225" s="481"/>
    </row>
    <row r="5226" spans="89:89" s="299" customFormat="1" ht="12.75" customHeight="1" x14ac:dyDescent="0.3">
      <c r="CK5226" s="481"/>
    </row>
    <row r="5227" spans="89:89" s="299" customFormat="1" ht="12.75" customHeight="1" x14ac:dyDescent="0.3">
      <c r="CK5227" s="481"/>
    </row>
    <row r="5228" spans="89:89" s="299" customFormat="1" ht="12.75" customHeight="1" x14ac:dyDescent="0.3">
      <c r="CK5228" s="481"/>
    </row>
    <row r="5229" spans="89:89" s="299" customFormat="1" ht="12.75" customHeight="1" x14ac:dyDescent="0.3">
      <c r="CK5229" s="481"/>
    </row>
    <row r="5230" spans="89:89" s="299" customFormat="1" ht="12.75" customHeight="1" x14ac:dyDescent="0.3">
      <c r="CK5230" s="481"/>
    </row>
    <row r="5231" spans="89:89" s="299" customFormat="1" ht="12.75" customHeight="1" x14ac:dyDescent="0.3">
      <c r="CK5231" s="481"/>
    </row>
    <row r="5232" spans="89:89" s="299" customFormat="1" ht="12.75" customHeight="1" x14ac:dyDescent="0.3">
      <c r="CK5232" s="481"/>
    </row>
    <row r="5233" spans="89:89" s="299" customFormat="1" ht="12.75" customHeight="1" x14ac:dyDescent="0.3">
      <c r="CK5233" s="481"/>
    </row>
    <row r="5234" spans="89:89" s="299" customFormat="1" ht="12.75" customHeight="1" x14ac:dyDescent="0.3">
      <c r="CK5234" s="481"/>
    </row>
    <row r="5235" spans="89:89" s="299" customFormat="1" ht="12.75" customHeight="1" x14ac:dyDescent="0.3">
      <c r="CK5235" s="481"/>
    </row>
    <row r="5236" spans="89:89" s="299" customFormat="1" ht="12.75" customHeight="1" x14ac:dyDescent="0.3">
      <c r="CK5236" s="481"/>
    </row>
    <row r="5237" spans="89:89" s="299" customFormat="1" ht="12.75" customHeight="1" x14ac:dyDescent="0.3">
      <c r="CK5237" s="481"/>
    </row>
    <row r="5238" spans="89:89" s="299" customFormat="1" ht="12.75" customHeight="1" x14ac:dyDescent="0.3">
      <c r="CK5238" s="481"/>
    </row>
    <row r="5239" spans="89:89" s="299" customFormat="1" ht="12.75" customHeight="1" x14ac:dyDescent="0.3">
      <c r="CK5239" s="481"/>
    </row>
    <row r="5240" spans="89:89" s="299" customFormat="1" ht="12.75" customHeight="1" x14ac:dyDescent="0.3">
      <c r="CK5240" s="481"/>
    </row>
    <row r="5241" spans="89:89" s="299" customFormat="1" ht="12.75" customHeight="1" x14ac:dyDescent="0.3">
      <c r="CK5241" s="481"/>
    </row>
    <row r="5242" spans="89:89" s="299" customFormat="1" ht="12.75" customHeight="1" x14ac:dyDescent="0.3">
      <c r="CK5242" s="481"/>
    </row>
    <row r="5243" spans="89:89" s="299" customFormat="1" ht="12.75" customHeight="1" x14ac:dyDescent="0.3">
      <c r="CK5243" s="481"/>
    </row>
    <row r="5244" spans="89:89" s="299" customFormat="1" ht="12.75" customHeight="1" x14ac:dyDescent="0.3">
      <c r="CK5244" s="481"/>
    </row>
    <row r="5245" spans="89:89" s="299" customFormat="1" ht="12.75" customHeight="1" x14ac:dyDescent="0.3">
      <c r="CK5245" s="481"/>
    </row>
    <row r="5246" spans="89:89" s="299" customFormat="1" ht="12.75" customHeight="1" x14ac:dyDescent="0.3">
      <c r="CK5246" s="481"/>
    </row>
    <row r="5247" spans="89:89" s="299" customFormat="1" ht="12.75" customHeight="1" x14ac:dyDescent="0.3">
      <c r="CK5247" s="481"/>
    </row>
    <row r="5248" spans="89:89" s="299" customFormat="1" ht="12.75" customHeight="1" x14ac:dyDescent="0.3">
      <c r="CK5248" s="481"/>
    </row>
    <row r="5249" spans="89:89" s="299" customFormat="1" ht="12.75" customHeight="1" x14ac:dyDescent="0.3">
      <c r="CK5249" s="481"/>
    </row>
    <row r="5250" spans="89:89" s="299" customFormat="1" ht="12.75" customHeight="1" x14ac:dyDescent="0.3">
      <c r="CK5250" s="481"/>
    </row>
    <row r="5251" spans="89:89" s="299" customFormat="1" ht="12.75" customHeight="1" x14ac:dyDescent="0.3">
      <c r="CK5251" s="481"/>
    </row>
    <row r="5252" spans="89:89" s="299" customFormat="1" ht="12.75" customHeight="1" x14ac:dyDescent="0.3">
      <c r="CK5252" s="481"/>
    </row>
    <row r="5253" spans="89:89" s="299" customFormat="1" ht="12.75" customHeight="1" x14ac:dyDescent="0.3">
      <c r="CK5253" s="481"/>
    </row>
    <row r="5254" spans="89:89" s="299" customFormat="1" ht="12.75" customHeight="1" x14ac:dyDescent="0.3">
      <c r="CK5254" s="481"/>
    </row>
    <row r="5255" spans="89:89" s="299" customFormat="1" ht="12.75" customHeight="1" x14ac:dyDescent="0.3">
      <c r="CK5255" s="481"/>
    </row>
    <row r="5256" spans="89:89" s="299" customFormat="1" ht="12.75" customHeight="1" x14ac:dyDescent="0.3">
      <c r="CK5256" s="481"/>
    </row>
    <row r="5257" spans="89:89" s="299" customFormat="1" ht="12.75" customHeight="1" x14ac:dyDescent="0.3">
      <c r="CK5257" s="481"/>
    </row>
    <row r="5258" spans="89:89" s="299" customFormat="1" ht="12.75" customHeight="1" x14ac:dyDescent="0.3">
      <c r="CK5258" s="481"/>
    </row>
    <row r="5259" spans="89:89" s="299" customFormat="1" ht="12.75" customHeight="1" x14ac:dyDescent="0.3">
      <c r="CK5259" s="481"/>
    </row>
    <row r="5260" spans="89:89" s="299" customFormat="1" ht="12.75" customHeight="1" x14ac:dyDescent="0.3">
      <c r="CK5260" s="481"/>
    </row>
    <row r="5261" spans="89:89" s="299" customFormat="1" ht="12.75" customHeight="1" x14ac:dyDescent="0.3">
      <c r="CK5261" s="481"/>
    </row>
    <row r="5262" spans="89:89" s="299" customFormat="1" ht="12.75" customHeight="1" x14ac:dyDescent="0.3">
      <c r="CK5262" s="481"/>
    </row>
    <row r="5263" spans="89:89" s="299" customFormat="1" ht="12.75" customHeight="1" x14ac:dyDescent="0.3">
      <c r="CK5263" s="481"/>
    </row>
    <row r="5264" spans="89:89" s="299" customFormat="1" ht="12.75" customHeight="1" x14ac:dyDescent="0.3">
      <c r="CK5264" s="481"/>
    </row>
    <row r="5265" spans="89:89" s="299" customFormat="1" ht="12.75" customHeight="1" x14ac:dyDescent="0.3">
      <c r="CK5265" s="481"/>
    </row>
    <row r="5266" spans="89:89" s="299" customFormat="1" ht="12.75" customHeight="1" x14ac:dyDescent="0.3">
      <c r="CK5266" s="481"/>
    </row>
    <row r="5267" spans="89:89" s="299" customFormat="1" ht="12.75" customHeight="1" x14ac:dyDescent="0.3">
      <c r="CK5267" s="481"/>
    </row>
    <row r="5268" spans="89:89" s="299" customFormat="1" ht="12.75" customHeight="1" x14ac:dyDescent="0.3">
      <c r="CK5268" s="481"/>
    </row>
    <row r="5269" spans="89:89" s="299" customFormat="1" ht="12.75" customHeight="1" x14ac:dyDescent="0.3">
      <c r="CK5269" s="481"/>
    </row>
    <row r="5270" spans="89:89" s="299" customFormat="1" ht="12.75" customHeight="1" x14ac:dyDescent="0.3">
      <c r="CK5270" s="481"/>
    </row>
    <row r="5271" spans="89:89" s="299" customFormat="1" ht="12.75" customHeight="1" x14ac:dyDescent="0.3">
      <c r="CK5271" s="481"/>
    </row>
    <row r="5272" spans="89:89" s="299" customFormat="1" ht="12.75" customHeight="1" x14ac:dyDescent="0.3">
      <c r="CK5272" s="481"/>
    </row>
    <row r="5273" spans="89:89" s="299" customFormat="1" ht="12.75" customHeight="1" x14ac:dyDescent="0.3">
      <c r="CK5273" s="481"/>
    </row>
    <row r="5274" spans="89:89" s="299" customFormat="1" ht="12.75" customHeight="1" x14ac:dyDescent="0.3">
      <c r="CK5274" s="481"/>
    </row>
    <row r="5275" spans="89:89" s="299" customFormat="1" ht="12.75" customHeight="1" x14ac:dyDescent="0.3">
      <c r="CK5275" s="481"/>
    </row>
    <row r="5276" spans="89:89" s="299" customFormat="1" ht="12.75" customHeight="1" x14ac:dyDescent="0.3">
      <c r="CK5276" s="481"/>
    </row>
    <row r="5277" spans="89:89" s="299" customFormat="1" ht="12.75" customHeight="1" x14ac:dyDescent="0.3">
      <c r="CK5277" s="481"/>
    </row>
    <row r="5278" spans="89:89" s="299" customFormat="1" ht="12.75" customHeight="1" x14ac:dyDescent="0.3">
      <c r="CK5278" s="481"/>
    </row>
    <row r="5279" spans="89:89" s="299" customFormat="1" ht="12.75" customHeight="1" x14ac:dyDescent="0.3">
      <c r="CK5279" s="481"/>
    </row>
    <row r="5280" spans="89:89" s="299" customFormat="1" ht="12.75" customHeight="1" x14ac:dyDescent="0.3">
      <c r="CK5280" s="481"/>
    </row>
    <row r="5281" spans="89:89" s="299" customFormat="1" ht="12.75" customHeight="1" x14ac:dyDescent="0.3">
      <c r="CK5281" s="481"/>
    </row>
    <row r="5282" spans="89:89" s="299" customFormat="1" ht="12.75" customHeight="1" x14ac:dyDescent="0.3">
      <c r="CK5282" s="481"/>
    </row>
    <row r="5283" spans="89:89" s="299" customFormat="1" ht="12.75" customHeight="1" x14ac:dyDescent="0.3">
      <c r="CK5283" s="481"/>
    </row>
    <row r="5284" spans="89:89" s="299" customFormat="1" ht="12.75" customHeight="1" x14ac:dyDescent="0.3">
      <c r="CK5284" s="481"/>
    </row>
    <row r="5285" spans="89:89" s="299" customFormat="1" ht="12.75" customHeight="1" x14ac:dyDescent="0.3">
      <c r="CK5285" s="481"/>
    </row>
    <row r="5286" spans="89:89" s="299" customFormat="1" ht="12.75" customHeight="1" x14ac:dyDescent="0.3">
      <c r="CK5286" s="481"/>
    </row>
    <row r="5287" spans="89:89" s="299" customFormat="1" ht="12.75" customHeight="1" x14ac:dyDescent="0.3">
      <c r="CK5287" s="481"/>
    </row>
    <row r="5288" spans="89:89" s="299" customFormat="1" ht="12.75" customHeight="1" x14ac:dyDescent="0.3">
      <c r="CK5288" s="481"/>
    </row>
    <row r="5289" spans="89:89" s="299" customFormat="1" ht="12.75" customHeight="1" x14ac:dyDescent="0.3">
      <c r="CK5289" s="481"/>
    </row>
    <row r="5290" spans="89:89" s="299" customFormat="1" ht="12.75" customHeight="1" x14ac:dyDescent="0.3">
      <c r="CK5290" s="481"/>
    </row>
    <row r="5291" spans="89:89" s="299" customFormat="1" ht="12.75" customHeight="1" x14ac:dyDescent="0.3">
      <c r="CK5291" s="481"/>
    </row>
    <row r="5292" spans="89:89" s="299" customFormat="1" ht="12.75" customHeight="1" x14ac:dyDescent="0.3">
      <c r="CK5292" s="481"/>
    </row>
    <row r="5293" spans="89:89" s="299" customFormat="1" ht="12.75" customHeight="1" x14ac:dyDescent="0.3">
      <c r="CK5293" s="481"/>
    </row>
    <row r="5294" spans="89:89" s="299" customFormat="1" ht="12.75" customHeight="1" x14ac:dyDescent="0.3">
      <c r="CK5294" s="481"/>
    </row>
    <row r="5295" spans="89:89" s="299" customFormat="1" ht="12.75" customHeight="1" x14ac:dyDescent="0.3">
      <c r="CK5295" s="481"/>
    </row>
    <row r="5296" spans="89:89" s="299" customFormat="1" ht="12.75" customHeight="1" x14ac:dyDescent="0.3">
      <c r="CK5296" s="481"/>
    </row>
    <row r="5297" spans="89:89" s="299" customFormat="1" ht="12.75" customHeight="1" x14ac:dyDescent="0.3">
      <c r="CK5297" s="481"/>
    </row>
    <row r="5298" spans="89:89" s="299" customFormat="1" ht="12.75" customHeight="1" x14ac:dyDescent="0.3">
      <c r="CK5298" s="481"/>
    </row>
    <row r="5299" spans="89:89" s="299" customFormat="1" ht="12.75" customHeight="1" x14ac:dyDescent="0.3">
      <c r="CK5299" s="665"/>
    </row>
    <row r="5300" spans="89:89" s="299" customFormat="1" ht="12.75" customHeight="1" x14ac:dyDescent="0.3">
      <c r="CK5300" s="481"/>
    </row>
    <row r="5301" spans="89:89" s="299" customFormat="1" ht="12.75" customHeight="1" x14ac:dyDescent="0.3">
      <c r="CK5301" s="481"/>
    </row>
    <row r="5302" spans="89:89" s="299" customFormat="1" ht="12.75" customHeight="1" x14ac:dyDescent="0.3">
      <c r="CK5302" s="481"/>
    </row>
    <row r="5303" spans="89:89" s="299" customFormat="1" ht="12.75" customHeight="1" x14ac:dyDescent="0.3">
      <c r="CK5303" s="481"/>
    </row>
    <row r="5304" spans="89:89" s="299" customFormat="1" ht="12.75" customHeight="1" x14ac:dyDescent="0.3">
      <c r="CK5304" s="481"/>
    </row>
    <row r="5305" spans="89:89" s="299" customFormat="1" ht="12.75" customHeight="1" x14ac:dyDescent="0.3">
      <c r="CK5305" s="481"/>
    </row>
    <row r="5306" spans="89:89" s="299" customFormat="1" ht="12.75" customHeight="1" x14ac:dyDescent="0.3">
      <c r="CK5306" s="481"/>
    </row>
    <row r="5307" spans="89:89" s="299" customFormat="1" ht="12.75" customHeight="1" x14ac:dyDescent="0.3">
      <c r="CK5307" s="481"/>
    </row>
    <row r="5308" spans="89:89" s="299" customFormat="1" ht="12.75" customHeight="1" x14ac:dyDescent="0.3">
      <c r="CK5308" s="481"/>
    </row>
    <row r="5309" spans="89:89" s="299" customFormat="1" ht="12.75" customHeight="1" x14ac:dyDescent="0.3">
      <c r="CK5309" s="481"/>
    </row>
    <row r="5310" spans="89:89" s="299" customFormat="1" ht="12.75" customHeight="1" x14ac:dyDescent="0.3">
      <c r="CK5310" s="481"/>
    </row>
    <row r="5311" spans="89:89" s="299" customFormat="1" ht="12.75" customHeight="1" x14ac:dyDescent="0.3">
      <c r="CK5311" s="481"/>
    </row>
    <row r="5312" spans="89:89" s="299" customFormat="1" ht="12.75" customHeight="1" x14ac:dyDescent="0.3">
      <c r="CK5312" s="481"/>
    </row>
    <row r="5313" spans="89:89" s="299" customFormat="1" ht="12.75" customHeight="1" x14ac:dyDescent="0.3">
      <c r="CK5313" s="481"/>
    </row>
    <row r="5314" spans="89:89" s="299" customFormat="1" ht="12.75" customHeight="1" x14ac:dyDescent="0.3">
      <c r="CK5314" s="481"/>
    </row>
    <row r="5315" spans="89:89" s="299" customFormat="1" ht="12.75" customHeight="1" x14ac:dyDescent="0.3">
      <c r="CK5315" s="481"/>
    </row>
    <row r="5316" spans="89:89" s="299" customFormat="1" ht="12.75" customHeight="1" x14ac:dyDescent="0.3">
      <c r="CK5316" s="481"/>
    </row>
    <row r="5317" spans="89:89" s="299" customFormat="1" ht="12.75" customHeight="1" x14ac:dyDescent="0.3">
      <c r="CK5317" s="481"/>
    </row>
    <row r="5318" spans="89:89" s="299" customFormat="1" ht="12.75" customHeight="1" x14ac:dyDescent="0.3">
      <c r="CK5318" s="481"/>
    </row>
    <row r="5319" spans="89:89" s="299" customFormat="1" ht="12.75" customHeight="1" x14ac:dyDescent="0.3">
      <c r="CK5319" s="481"/>
    </row>
    <row r="5320" spans="89:89" s="299" customFormat="1" ht="12.75" customHeight="1" x14ac:dyDescent="0.3">
      <c r="CK5320" s="481"/>
    </row>
    <row r="5321" spans="89:89" s="299" customFormat="1" ht="12.75" customHeight="1" x14ac:dyDescent="0.3">
      <c r="CK5321" s="481"/>
    </row>
    <row r="5322" spans="89:89" s="299" customFormat="1" ht="12.75" customHeight="1" x14ac:dyDescent="0.3">
      <c r="CK5322" s="481"/>
    </row>
    <row r="5323" spans="89:89" s="299" customFormat="1" ht="12.75" customHeight="1" x14ac:dyDescent="0.3">
      <c r="CK5323" s="481"/>
    </row>
    <row r="5324" spans="89:89" s="299" customFormat="1" ht="12.75" customHeight="1" x14ac:dyDescent="0.3">
      <c r="CK5324" s="481"/>
    </row>
    <row r="5325" spans="89:89" s="299" customFormat="1" ht="12.75" customHeight="1" x14ac:dyDescent="0.3">
      <c r="CK5325" s="481"/>
    </row>
    <row r="5326" spans="89:89" s="299" customFormat="1" ht="12.75" customHeight="1" x14ac:dyDescent="0.3">
      <c r="CK5326" s="481"/>
    </row>
    <row r="5327" spans="89:89" s="299" customFormat="1" ht="12.75" customHeight="1" x14ac:dyDescent="0.3">
      <c r="CK5327" s="481"/>
    </row>
    <row r="5328" spans="89:89" s="299" customFormat="1" ht="12.75" customHeight="1" x14ac:dyDescent="0.3">
      <c r="CK5328" s="481"/>
    </row>
    <row r="5329" spans="89:89" s="299" customFormat="1" ht="12.75" customHeight="1" x14ac:dyDescent="0.3">
      <c r="CK5329" s="481"/>
    </row>
    <row r="5330" spans="89:89" s="299" customFormat="1" ht="12.75" customHeight="1" x14ac:dyDescent="0.3">
      <c r="CK5330" s="481"/>
    </row>
    <row r="5331" spans="89:89" s="299" customFormat="1" ht="12.75" customHeight="1" x14ac:dyDescent="0.3">
      <c r="CK5331" s="481"/>
    </row>
    <row r="5332" spans="89:89" s="299" customFormat="1" ht="12.75" customHeight="1" x14ac:dyDescent="0.3">
      <c r="CK5332" s="481"/>
    </row>
    <row r="5333" spans="89:89" s="299" customFormat="1" ht="12.75" customHeight="1" x14ac:dyDescent="0.3">
      <c r="CK5333" s="481"/>
    </row>
    <row r="5334" spans="89:89" s="299" customFormat="1" ht="12.75" customHeight="1" x14ac:dyDescent="0.3">
      <c r="CK5334" s="481"/>
    </row>
    <row r="5335" spans="89:89" s="299" customFormat="1" ht="12.75" customHeight="1" x14ac:dyDescent="0.3">
      <c r="CK5335" s="481"/>
    </row>
    <row r="5336" spans="89:89" s="299" customFormat="1" ht="12.75" customHeight="1" x14ac:dyDescent="0.3">
      <c r="CK5336" s="481"/>
    </row>
    <row r="5337" spans="89:89" s="299" customFormat="1" ht="12.75" customHeight="1" x14ac:dyDescent="0.3">
      <c r="CK5337" s="481"/>
    </row>
    <row r="5338" spans="89:89" s="299" customFormat="1" ht="12.75" customHeight="1" x14ac:dyDescent="0.3">
      <c r="CK5338" s="481"/>
    </row>
    <row r="5339" spans="89:89" s="299" customFormat="1" ht="12.75" customHeight="1" x14ac:dyDescent="0.3">
      <c r="CK5339" s="481"/>
    </row>
    <row r="5340" spans="89:89" s="299" customFormat="1" ht="12.75" customHeight="1" x14ac:dyDescent="0.3">
      <c r="CK5340" s="481"/>
    </row>
    <row r="5341" spans="89:89" s="299" customFormat="1" ht="12.75" customHeight="1" x14ac:dyDescent="0.3">
      <c r="CK5341" s="481"/>
    </row>
    <row r="5342" spans="89:89" s="299" customFormat="1" ht="12.75" customHeight="1" x14ac:dyDescent="0.3">
      <c r="CK5342" s="481"/>
    </row>
    <row r="5343" spans="89:89" s="299" customFormat="1" ht="12.75" customHeight="1" x14ac:dyDescent="0.3">
      <c r="CK5343" s="481"/>
    </row>
    <row r="5344" spans="89:89" s="299" customFormat="1" ht="12.75" customHeight="1" x14ac:dyDescent="0.3">
      <c r="CK5344" s="481"/>
    </row>
    <row r="5345" spans="89:89" s="299" customFormat="1" ht="12.75" customHeight="1" x14ac:dyDescent="0.3">
      <c r="CK5345" s="481"/>
    </row>
    <row r="5346" spans="89:89" s="299" customFormat="1" ht="12.75" customHeight="1" x14ac:dyDescent="0.3">
      <c r="CK5346" s="481"/>
    </row>
    <row r="5347" spans="89:89" s="299" customFormat="1" ht="12.75" customHeight="1" x14ac:dyDescent="0.3">
      <c r="CK5347" s="481"/>
    </row>
    <row r="5348" spans="89:89" s="299" customFormat="1" ht="12.75" customHeight="1" x14ac:dyDescent="0.3">
      <c r="CK5348" s="481"/>
    </row>
    <row r="5349" spans="89:89" s="299" customFormat="1" ht="12.75" customHeight="1" x14ac:dyDescent="0.3">
      <c r="CK5349" s="481"/>
    </row>
    <row r="5350" spans="89:89" s="299" customFormat="1" ht="12.75" customHeight="1" x14ac:dyDescent="0.3">
      <c r="CK5350" s="481"/>
    </row>
    <row r="5351" spans="89:89" s="299" customFormat="1" ht="12.75" customHeight="1" x14ac:dyDescent="0.3">
      <c r="CK5351" s="481"/>
    </row>
    <row r="5352" spans="89:89" s="299" customFormat="1" ht="12.75" customHeight="1" x14ac:dyDescent="0.3">
      <c r="CK5352" s="481"/>
    </row>
    <row r="5353" spans="89:89" s="299" customFormat="1" ht="12.75" customHeight="1" x14ac:dyDescent="0.3">
      <c r="CK5353" s="481"/>
    </row>
    <row r="5354" spans="89:89" s="299" customFormat="1" ht="12.75" customHeight="1" x14ac:dyDescent="0.3">
      <c r="CK5354" s="481"/>
    </row>
    <row r="5355" spans="89:89" s="299" customFormat="1" ht="12.75" customHeight="1" x14ac:dyDescent="0.3">
      <c r="CK5355" s="481"/>
    </row>
    <row r="5356" spans="89:89" s="299" customFormat="1" ht="12.75" customHeight="1" x14ac:dyDescent="0.3">
      <c r="CK5356" s="481"/>
    </row>
    <row r="5357" spans="89:89" s="299" customFormat="1" ht="12.75" customHeight="1" x14ac:dyDescent="0.3">
      <c r="CK5357" s="481"/>
    </row>
    <row r="5358" spans="89:89" s="299" customFormat="1" ht="12.75" customHeight="1" x14ac:dyDescent="0.3">
      <c r="CK5358" s="481"/>
    </row>
    <row r="5359" spans="89:89" s="299" customFormat="1" ht="12.75" customHeight="1" x14ac:dyDescent="0.3">
      <c r="CK5359" s="481"/>
    </row>
    <row r="5360" spans="89:89" s="299" customFormat="1" ht="12.75" customHeight="1" x14ac:dyDescent="0.3">
      <c r="CK5360" s="481"/>
    </row>
    <row r="5361" spans="89:89" s="299" customFormat="1" ht="12.75" customHeight="1" x14ac:dyDescent="0.3">
      <c r="CK5361" s="481"/>
    </row>
    <row r="5362" spans="89:89" s="299" customFormat="1" ht="12.75" customHeight="1" x14ac:dyDescent="0.3">
      <c r="CK5362" s="481"/>
    </row>
    <row r="5363" spans="89:89" s="299" customFormat="1" ht="12.75" customHeight="1" x14ac:dyDescent="0.3">
      <c r="CK5363" s="481"/>
    </row>
    <row r="5364" spans="89:89" s="299" customFormat="1" ht="12.75" customHeight="1" x14ac:dyDescent="0.3">
      <c r="CK5364" s="481"/>
    </row>
    <row r="5365" spans="89:89" s="299" customFormat="1" ht="12.75" customHeight="1" x14ac:dyDescent="0.3">
      <c r="CK5365" s="481"/>
    </row>
    <row r="5366" spans="89:89" s="299" customFormat="1" ht="12.75" customHeight="1" x14ac:dyDescent="0.3">
      <c r="CK5366" s="481"/>
    </row>
    <row r="5367" spans="89:89" s="299" customFormat="1" ht="12.75" customHeight="1" x14ac:dyDescent="0.3">
      <c r="CK5367" s="481"/>
    </row>
    <row r="5368" spans="89:89" s="299" customFormat="1" ht="12.75" customHeight="1" x14ac:dyDescent="0.3">
      <c r="CK5368" s="481"/>
    </row>
    <row r="5369" spans="89:89" s="299" customFormat="1" ht="12.75" customHeight="1" x14ac:dyDescent="0.3">
      <c r="CK5369" s="481"/>
    </row>
    <row r="5370" spans="89:89" s="299" customFormat="1" ht="12.75" customHeight="1" x14ac:dyDescent="0.3">
      <c r="CK5370" s="481"/>
    </row>
    <row r="5371" spans="89:89" s="299" customFormat="1" ht="12.75" customHeight="1" x14ac:dyDescent="0.3">
      <c r="CK5371" s="481"/>
    </row>
    <row r="5372" spans="89:89" s="299" customFormat="1" ht="12.75" customHeight="1" x14ac:dyDescent="0.3">
      <c r="CK5372" s="481"/>
    </row>
    <row r="5373" spans="89:89" s="299" customFormat="1" ht="12.75" customHeight="1" x14ac:dyDescent="0.3">
      <c r="CK5373" s="481"/>
    </row>
    <row r="5374" spans="89:89" s="299" customFormat="1" ht="12.75" customHeight="1" x14ac:dyDescent="0.3">
      <c r="CK5374" s="481"/>
    </row>
    <row r="5375" spans="89:89" s="299" customFormat="1" ht="12.75" customHeight="1" x14ac:dyDescent="0.3">
      <c r="CK5375" s="481"/>
    </row>
    <row r="5376" spans="89:89" s="299" customFormat="1" ht="12.75" customHeight="1" x14ac:dyDescent="0.3">
      <c r="CK5376" s="481"/>
    </row>
    <row r="5377" spans="89:89" s="299" customFormat="1" ht="12.75" customHeight="1" x14ac:dyDescent="0.3">
      <c r="CK5377" s="481"/>
    </row>
    <row r="5378" spans="89:89" s="299" customFormat="1" ht="12.75" customHeight="1" x14ac:dyDescent="0.3">
      <c r="CK5378" s="481"/>
    </row>
    <row r="5379" spans="89:89" s="299" customFormat="1" ht="12.75" customHeight="1" x14ac:dyDescent="0.3">
      <c r="CK5379" s="481"/>
    </row>
    <row r="5380" spans="89:89" s="299" customFormat="1" ht="12.75" customHeight="1" x14ac:dyDescent="0.3">
      <c r="CK5380" s="481"/>
    </row>
    <row r="5381" spans="89:89" s="299" customFormat="1" ht="12.75" customHeight="1" x14ac:dyDescent="0.3">
      <c r="CK5381" s="481"/>
    </row>
    <row r="5382" spans="89:89" s="299" customFormat="1" ht="12.75" customHeight="1" x14ac:dyDescent="0.3">
      <c r="CK5382" s="481"/>
    </row>
    <row r="5383" spans="89:89" s="299" customFormat="1" ht="12.75" customHeight="1" x14ac:dyDescent="0.3">
      <c r="CK5383" s="481"/>
    </row>
    <row r="5384" spans="89:89" s="299" customFormat="1" ht="12.75" customHeight="1" x14ac:dyDescent="0.3">
      <c r="CK5384" s="481"/>
    </row>
    <row r="5385" spans="89:89" s="299" customFormat="1" ht="12.75" customHeight="1" x14ac:dyDescent="0.3">
      <c r="CK5385" s="481"/>
    </row>
    <row r="5386" spans="89:89" s="299" customFormat="1" ht="12.75" customHeight="1" x14ac:dyDescent="0.3">
      <c r="CK5386" s="481"/>
    </row>
    <row r="5387" spans="89:89" s="299" customFormat="1" ht="12.75" customHeight="1" x14ac:dyDescent="0.3">
      <c r="CK5387" s="481"/>
    </row>
    <row r="5388" spans="89:89" s="299" customFormat="1" ht="12.75" customHeight="1" x14ac:dyDescent="0.3">
      <c r="CK5388" s="481"/>
    </row>
    <row r="5389" spans="89:89" s="299" customFormat="1" ht="12.75" customHeight="1" x14ac:dyDescent="0.3">
      <c r="CK5389" s="481"/>
    </row>
    <row r="5390" spans="89:89" s="299" customFormat="1" ht="12.75" customHeight="1" x14ac:dyDescent="0.3">
      <c r="CK5390" s="481"/>
    </row>
    <row r="5391" spans="89:89" s="299" customFormat="1" ht="12.75" customHeight="1" x14ac:dyDescent="0.3">
      <c r="CK5391" s="481"/>
    </row>
    <row r="5392" spans="89:89" s="299" customFormat="1" ht="12.75" customHeight="1" x14ac:dyDescent="0.3">
      <c r="CK5392" s="481"/>
    </row>
    <row r="5393" spans="89:89" s="299" customFormat="1" ht="12.75" customHeight="1" x14ac:dyDescent="0.3">
      <c r="CK5393" s="481"/>
    </row>
    <row r="5394" spans="89:89" s="299" customFormat="1" ht="12.75" customHeight="1" x14ac:dyDescent="0.3">
      <c r="CK5394" s="481"/>
    </row>
    <row r="5395" spans="89:89" s="299" customFormat="1" ht="12.75" customHeight="1" x14ac:dyDescent="0.3">
      <c r="CK5395" s="481"/>
    </row>
    <row r="5396" spans="89:89" s="299" customFormat="1" ht="12.75" customHeight="1" x14ac:dyDescent="0.3">
      <c r="CK5396" s="481"/>
    </row>
    <row r="5397" spans="89:89" s="299" customFormat="1" ht="12.75" customHeight="1" x14ac:dyDescent="0.3">
      <c r="CK5397" s="481"/>
    </row>
    <row r="5398" spans="89:89" s="299" customFormat="1" ht="12.75" customHeight="1" x14ac:dyDescent="0.3">
      <c r="CK5398" s="481"/>
    </row>
    <row r="5399" spans="89:89" s="299" customFormat="1" ht="12.75" customHeight="1" x14ac:dyDescent="0.3">
      <c r="CK5399" s="481"/>
    </row>
    <row r="5400" spans="89:89" s="299" customFormat="1" ht="12.75" customHeight="1" x14ac:dyDescent="0.3">
      <c r="CK5400" s="481"/>
    </row>
    <row r="5401" spans="89:89" s="299" customFormat="1" ht="12.75" customHeight="1" x14ac:dyDescent="0.3">
      <c r="CK5401" s="481"/>
    </row>
    <row r="5402" spans="89:89" s="299" customFormat="1" ht="12.75" customHeight="1" x14ac:dyDescent="0.3">
      <c r="CK5402" s="481"/>
    </row>
    <row r="5403" spans="89:89" s="299" customFormat="1" ht="12.75" customHeight="1" x14ac:dyDescent="0.3">
      <c r="CK5403" s="481"/>
    </row>
    <row r="5404" spans="89:89" s="299" customFormat="1" ht="12.75" customHeight="1" x14ac:dyDescent="0.3">
      <c r="CK5404" s="481"/>
    </row>
    <row r="5405" spans="89:89" s="299" customFormat="1" ht="12.75" customHeight="1" x14ac:dyDescent="0.3">
      <c r="CK5405" s="481"/>
    </row>
    <row r="5406" spans="89:89" s="299" customFormat="1" ht="12.75" customHeight="1" x14ac:dyDescent="0.3">
      <c r="CK5406" s="481"/>
    </row>
    <row r="5407" spans="89:89" s="299" customFormat="1" ht="12.75" customHeight="1" x14ac:dyDescent="0.3">
      <c r="CK5407" s="481"/>
    </row>
    <row r="5408" spans="89:89" s="299" customFormat="1" ht="12.75" customHeight="1" x14ac:dyDescent="0.3">
      <c r="CK5408" s="481"/>
    </row>
    <row r="5409" spans="89:89" s="299" customFormat="1" ht="12.75" customHeight="1" x14ac:dyDescent="0.3">
      <c r="CK5409" s="481"/>
    </row>
    <row r="5410" spans="89:89" s="299" customFormat="1" ht="12.75" customHeight="1" x14ac:dyDescent="0.3">
      <c r="CK5410" s="481"/>
    </row>
    <row r="5411" spans="89:89" s="299" customFormat="1" ht="12.75" customHeight="1" x14ac:dyDescent="0.3">
      <c r="CK5411" s="481"/>
    </row>
    <row r="5412" spans="89:89" s="299" customFormat="1" ht="12.75" customHeight="1" x14ac:dyDescent="0.3">
      <c r="CK5412" s="481"/>
    </row>
    <row r="5413" spans="89:89" s="299" customFormat="1" ht="12.75" customHeight="1" x14ac:dyDescent="0.3">
      <c r="CK5413" s="481"/>
    </row>
    <row r="5414" spans="89:89" s="299" customFormat="1" ht="12.75" customHeight="1" x14ac:dyDescent="0.3">
      <c r="CK5414" s="481"/>
    </row>
    <row r="5415" spans="89:89" s="299" customFormat="1" ht="12.75" customHeight="1" x14ac:dyDescent="0.3">
      <c r="CK5415" s="481"/>
    </row>
    <row r="5416" spans="89:89" s="299" customFormat="1" ht="12.75" customHeight="1" x14ac:dyDescent="0.3">
      <c r="CK5416" s="481"/>
    </row>
    <row r="5417" spans="89:89" s="299" customFormat="1" ht="12.75" customHeight="1" x14ac:dyDescent="0.3">
      <c r="CK5417" s="481"/>
    </row>
    <row r="5418" spans="89:89" s="299" customFormat="1" ht="12.75" customHeight="1" x14ac:dyDescent="0.3">
      <c r="CK5418" s="481"/>
    </row>
    <row r="5419" spans="89:89" s="299" customFormat="1" ht="12.75" customHeight="1" x14ac:dyDescent="0.3">
      <c r="CK5419" s="481"/>
    </row>
    <row r="5420" spans="89:89" s="299" customFormat="1" ht="12.75" customHeight="1" x14ac:dyDescent="0.3">
      <c r="CK5420" s="481"/>
    </row>
    <row r="5421" spans="89:89" s="299" customFormat="1" ht="12.75" customHeight="1" x14ac:dyDescent="0.3">
      <c r="CK5421" s="481"/>
    </row>
    <row r="5422" spans="89:89" s="299" customFormat="1" ht="12.75" customHeight="1" x14ac:dyDescent="0.3">
      <c r="CK5422" s="481"/>
    </row>
    <row r="5423" spans="89:89" s="299" customFormat="1" ht="12.75" customHeight="1" x14ac:dyDescent="0.3">
      <c r="CK5423" s="481"/>
    </row>
    <row r="5424" spans="89:89" s="299" customFormat="1" ht="12.75" customHeight="1" x14ac:dyDescent="0.3">
      <c r="CK5424" s="481"/>
    </row>
    <row r="5425" spans="89:89" s="299" customFormat="1" ht="12.75" customHeight="1" x14ac:dyDescent="0.3">
      <c r="CK5425" s="481"/>
    </row>
    <row r="5426" spans="89:89" s="299" customFormat="1" ht="12.75" customHeight="1" x14ac:dyDescent="0.3">
      <c r="CK5426" s="481"/>
    </row>
    <row r="5427" spans="89:89" s="299" customFormat="1" ht="12.75" customHeight="1" x14ac:dyDescent="0.3">
      <c r="CK5427" s="481"/>
    </row>
    <row r="5428" spans="89:89" s="299" customFormat="1" ht="12.75" customHeight="1" x14ac:dyDescent="0.3">
      <c r="CK5428" s="481"/>
    </row>
    <row r="5429" spans="89:89" s="299" customFormat="1" ht="12.75" customHeight="1" x14ac:dyDescent="0.3">
      <c r="CK5429" s="481"/>
    </row>
    <row r="5430" spans="89:89" s="299" customFormat="1" ht="12.75" customHeight="1" x14ac:dyDescent="0.3">
      <c r="CK5430" s="481"/>
    </row>
    <row r="5431" spans="89:89" s="299" customFormat="1" ht="12.75" customHeight="1" x14ac:dyDescent="0.3">
      <c r="CK5431" s="481"/>
    </row>
    <row r="5432" spans="89:89" s="299" customFormat="1" ht="12.75" customHeight="1" x14ac:dyDescent="0.3">
      <c r="CK5432" s="481"/>
    </row>
    <row r="5433" spans="89:89" s="299" customFormat="1" ht="12.75" customHeight="1" x14ac:dyDescent="0.3">
      <c r="CK5433" s="481"/>
    </row>
    <row r="5434" spans="89:89" s="299" customFormat="1" ht="12.75" customHeight="1" x14ac:dyDescent="0.3">
      <c r="CK5434" s="481"/>
    </row>
    <row r="5435" spans="89:89" s="299" customFormat="1" ht="12.75" customHeight="1" x14ac:dyDescent="0.3">
      <c r="CK5435" s="481"/>
    </row>
    <row r="5436" spans="89:89" s="299" customFormat="1" ht="12.75" customHeight="1" x14ac:dyDescent="0.3">
      <c r="CK5436" s="481"/>
    </row>
    <row r="5437" spans="89:89" s="299" customFormat="1" ht="12.75" customHeight="1" x14ac:dyDescent="0.3">
      <c r="CK5437" s="481"/>
    </row>
    <row r="5438" spans="89:89" s="299" customFormat="1" ht="12.75" customHeight="1" x14ac:dyDescent="0.3">
      <c r="CK5438" s="481"/>
    </row>
    <row r="5439" spans="89:89" s="299" customFormat="1" ht="12.75" customHeight="1" x14ac:dyDescent="0.3">
      <c r="CK5439" s="481"/>
    </row>
    <row r="5440" spans="89:89" s="299" customFormat="1" ht="12.75" customHeight="1" x14ac:dyDescent="0.3">
      <c r="CK5440" s="481"/>
    </row>
    <row r="5441" spans="89:89" s="299" customFormat="1" ht="12.75" customHeight="1" x14ac:dyDescent="0.3">
      <c r="CK5441" s="481"/>
    </row>
    <row r="5442" spans="89:89" s="299" customFormat="1" ht="12.75" customHeight="1" x14ac:dyDescent="0.3">
      <c r="CK5442" s="481"/>
    </row>
    <row r="5443" spans="89:89" s="299" customFormat="1" ht="12.75" customHeight="1" x14ac:dyDescent="0.3">
      <c r="CK5443" s="481"/>
    </row>
    <row r="5444" spans="89:89" s="299" customFormat="1" ht="12.75" customHeight="1" x14ac:dyDescent="0.3">
      <c r="CK5444" s="481"/>
    </row>
    <row r="5445" spans="89:89" s="299" customFormat="1" ht="12.75" customHeight="1" x14ac:dyDescent="0.3">
      <c r="CK5445" s="481"/>
    </row>
    <row r="5446" spans="89:89" s="299" customFormat="1" ht="12.75" customHeight="1" x14ac:dyDescent="0.3">
      <c r="CK5446" s="481"/>
    </row>
    <row r="5447" spans="89:89" s="299" customFormat="1" ht="12.75" customHeight="1" x14ac:dyDescent="0.3">
      <c r="CK5447" s="481"/>
    </row>
    <row r="5448" spans="89:89" s="299" customFormat="1" ht="12.75" customHeight="1" x14ac:dyDescent="0.3">
      <c r="CK5448" s="481"/>
    </row>
    <row r="5449" spans="89:89" s="299" customFormat="1" ht="12.75" customHeight="1" x14ac:dyDescent="0.3">
      <c r="CK5449" s="481"/>
    </row>
    <row r="5450" spans="89:89" s="299" customFormat="1" ht="12.75" customHeight="1" x14ac:dyDescent="0.3">
      <c r="CK5450" s="481"/>
    </row>
    <row r="5451" spans="89:89" s="299" customFormat="1" ht="12.75" customHeight="1" x14ac:dyDescent="0.3">
      <c r="CK5451" s="481"/>
    </row>
    <row r="5452" spans="89:89" s="299" customFormat="1" ht="12.75" customHeight="1" x14ac:dyDescent="0.3">
      <c r="CK5452" s="481"/>
    </row>
    <row r="5453" spans="89:89" s="299" customFormat="1" ht="12.75" customHeight="1" x14ac:dyDescent="0.3">
      <c r="CK5453" s="481"/>
    </row>
    <row r="5454" spans="89:89" s="299" customFormat="1" ht="12.75" customHeight="1" x14ac:dyDescent="0.3">
      <c r="CK5454" s="481"/>
    </row>
    <row r="5455" spans="89:89" s="299" customFormat="1" ht="12.75" customHeight="1" x14ac:dyDescent="0.3">
      <c r="CK5455" s="481"/>
    </row>
    <row r="5456" spans="89:89" s="299" customFormat="1" ht="12.75" customHeight="1" x14ac:dyDescent="0.3">
      <c r="CK5456" s="481"/>
    </row>
    <row r="5457" spans="89:89" s="299" customFormat="1" ht="12.75" customHeight="1" x14ac:dyDescent="0.3">
      <c r="CK5457" s="481"/>
    </row>
    <row r="5458" spans="89:89" s="299" customFormat="1" ht="12.75" customHeight="1" x14ac:dyDescent="0.3">
      <c r="CK5458" s="481"/>
    </row>
    <row r="5459" spans="89:89" s="299" customFormat="1" ht="12.75" customHeight="1" x14ac:dyDescent="0.3">
      <c r="CK5459" s="481"/>
    </row>
    <row r="5460" spans="89:89" s="299" customFormat="1" ht="12.75" customHeight="1" x14ac:dyDescent="0.3">
      <c r="CK5460" s="481"/>
    </row>
    <row r="5461" spans="89:89" s="299" customFormat="1" ht="12.75" customHeight="1" x14ac:dyDescent="0.3">
      <c r="CK5461" s="481"/>
    </row>
    <row r="5462" spans="89:89" s="299" customFormat="1" ht="12.75" customHeight="1" x14ac:dyDescent="0.3">
      <c r="CK5462" s="481"/>
    </row>
    <row r="5463" spans="89:89" s="299" customFormat="1" ht="12.75" customHeight="1" x14ac:dyDescent="0.3">
      <c r="CK5463" s="481"/>
    </row>
    <row r="5464" spans="89:89" s="299" customFormat="1" ht="12.75" customHeight="1" x14ac:dyDescent="0.3">
      <c r="CK5464" s="481"/>
    </row>
    <row r="5465" spans="89:89" s="299" customFormat="1" ht="12.75" customHeight="1" x14ac:dyDescent="0.3">
      <c r="CK5465" s="481"/>
    </row>
    <row r="5466" spans="89:89" s="299" customFormat="1" ht="12.75" customHeight="1" x14ac:dyDescent="0.3">
      <c r="CK5466" s="481"/>
    </row>
    <row r="5467" spans="89:89" s="299" customFormat="1" ht="12.75" customHeight="1" x14ac:dyDescent="0.3">
      <c r="CK5467" s="481"/>
    </row>
    <row r="5468" spans="89:89" s="299" customFormat="1" ht="12.75" customHeight="1" x14ac:dyDescent="0.3">
      <c r="CK5468" s="481"/>
    </row>
    <row r="5469" spans="89:89" s="299" customFormat="1" ht="12.75" customHeight="1" x14ac:dyDescent="0.3">
      <c r="CK5469" s="481"/>
    </row>
    <row r="5470" spans="89:89" s="299" customFormat="1" ht="12.75" customHeight="1" x14ac:dyDescent="0.3">
      <c r="CK5470" s="481"/>
    </row>
    <row r="5471" spans="89:89" s="299" customFormat="1" ht="12.75" customHeight="1" x14ac:dyDescent="0.3">
      <c r="CK5471" s="481"/>
    </row>
    <row r="5472" spans="89:89" s="299" customFormat="1" ht="12.75" customHeight="1" x14ac:dyDescent="0.3">
      <c r="CK5472" s="481"/>
    </row>
    <row r="5473" spans="89:89" s="299" customFormat="1" ht="12.75" customHeight="1" x14ac:dyDescent="0.3">
      <c r="CK5473" s="481"/>
    </row>
    <row r="5474" spans="89:89" s="299" customFormat="1" ht="12.75" customHeight="1" x14ac:dyDescent="0.3">
      <c r="CK5474" s="481"/>
    </row>
    <row r="5475" spans="89:89" s="299" customFormat="1" ht="12.75" customHeight="1" x14ac:dyDescent="0.3">
      <c r="CK5475" s="481"/>
    </row>
    <row r="5476" spans="89:89" s="299" customFormat="1" ht="12.75" customHeight="1" x14ac:dyDescent="0.3">
      <c r="CK5476" s="481"/>
    </row>
    <row r="5477" spans="89:89" s="299" customFormat="1" ht="12.75" customHeight="1" x14ac:dyDescent="0.3">
      <c r="CK5477" s="481"/>
    </row>
    <row r="5478" spans="89:89" s="299" customFormat="1" ht="12.75" customHeight="1" x14ac:dyDescent="0.3">
      <c r="CK5478" s="481"/>
    </row>
    <row r="5479" spans="89:89" s="299" customFormat="1" ht="12.75" customHeight="1" x14ac:dyDescent="0.3">
      <c r="CK5479" s="481"/>
    </row>
    <row r="5480" spans="89:89" s="299" customFormat="1" ht="12.75" customHeight="1" x14ac:dyDescent="0.3">
      <c r="CK5480" s="481"/>
    </row>
    <row r="5481" spans="89:89" s="299" customFormat="1" ht="12.75" customHeight="1" x14ac:dyDescent="0.3">
      <c r="CK5481" s="481"/>
    </row>
    <row r="5482" spans="89:89" s="299" customFormat="1" ht="12.75" customHeight="1" x14ac:dyDescent="0.3">
      <c r="CK5482" s="481"/>
    </row>
    <row r="5483" spans="89:89" s="299" customFormat="1" ht="12.75" customHeight="1" x14ac:dyDescent="0.3">
      <c r="CK5483" s="481"/>
    </row>
    <row r="5484" spans="89:89" s="299" customFormat="1" ht="12.75" customHeight="1" x14ac:dyDescent="0.3">
      <c r="CK5484" s="481"/>
    </row>
    <row r="5485" spans="89:89" s="299" customFormat="1" ht="12.75" customHeight="1" x14ac:dyDescent="0.3">
      <c r="CK5485" s="481"/>
    </row>
    <row r="5486" spans="89:89" s="299" customFormat="1" ht="12.75" customHeight="1" x14ac:dyDescent="0.3">
      <c r="CK5486" s="481"/>
    </row>
    <row r="5487" spans="89:89" s="299" customFormat="1" ht="12.75" customHeight="1" x14ac:dyDescent="0.3">
      <c r="CK5487" s="481"/>
    </row>
    <row r="5488" spans="89:89" s="299" customFormat="1" ht="12.75" customHeight="1" x14ac:dyDescent="0.3">
      <c r="CK5488" s="481"/>
    </row>
    <row r="5489" spans="89:89" s="299" customFormat="1" ht="12.75" customHeight="1" x14ac:dyDescent="0.3">
      <c r="CK5489" s="481"/>
    </row>
    <row r="5490" spans="89:89" s="299" customFormat="1" ht="12.75" customHeight="1" x14ac:dyDescent="0.3">
      <c r="CK5490" s="481"/>
    </row>
    <row r="5491" spans="89:89" s="299" customFormat="1" ht="12.75" customHeight="1" x14ac:dyDescent="0.3">
      <c r="CK5491" s="481"/>
    </row>
    <row r="5492" spans="89:89" s="299" customFormat="1" ht="12.75" customHeight="1" x14ac:dyDescent="0.3">
      <c r="CK5492" s="481"/>
    </row>
    <row r="5493" spans="89:89" s="299" customFormat="1" ht="12.75" customHeight="1" x14ac:dyDescent="0.3">
      <c r="CK5493" s="481"/>
    </row>
    <row r="5494" spans="89:89" s="299" customFormat="1" ht="12.75" customHeight="1" x14ac:dyDescent="0.3">
      <c r="CK5494" s="481"/>
    </row>
    <row r="5495" spans="89:89" s="299" customFormat="1" ht="12.75" customHeight="1" x14ac:dyDescent="0.3">
      <c r="CK5495" s="481"/>
    </row>
    <row r="5496" spans="89:89" s="299" customFormat="1" ht="12.75" customHeight="1" x14ac:dyDescent="0.3">
      <c r="CK5496" s="481"/>
    </row>
    <row r="5497" spans="89:89" s="299" customFormat="1" ht="12.75" customHeight="1" x14ac:dyDescent="0.3">
      <c r="CK5497" s="481"/>
    </row>
    <row r="5498" spans="89:89" s="299" customFormat="1" ht="12.75" customHeight="1" x14ac:dyDescent="0.3">
      <c r="CK5498" s="481"/>
    </row>
    <row r="5499" spans="89:89" s="299" customFormat="1" ht="12.75" customHeight="1" x14ac:dyDescent="0.3">
      <c r="CK5499" s="481"/>
    </row>
    <row r="5500" spans="89:89" s="299" customFormat="1" ht="12.75" customHeight="1" x14ac:dyDescent="0.3">
      <c r="CK5500" s="481"/>
    </row>
    <row r="5501" spans="89:89" s="299" customFormat="1" ht="12.75" customHeight="1" x14ac:dyDescent="0.3">
      <c r="CK5501" s="481"/>
    </row>
    <row r="5502" spans="89:89" s="299" customFormat="1" ht="12.75" customHeight="1" x14ac:dyDescent="0.3">
      <c r="CK5502" s="481"/>
    </row>
    <row r="5503" spans="89:89" s="299" customFormat="1" ht="12.75" customHeight="1" x14ac:dyDescent="0.3">
      <c r="CK5503" s="481"/>
    </row>
    <row r="5504" spans="89:89" s="299" customFormat="1" ht="12.75" customHeight="1" x14ac:dyDescent="0.3">
      <c r="CK5504" s="481"/>
    </row>
    <row r="5505" spans="89:89" s="299" customFormat="1" ht="12.75" customHeight="1" x14ac:dyDescent="0.3">
      <c r="CK5505" s="481"/>
    </row>
    <row r="5506" spans="89:89" s="299" customFormat="1" ht="12.75" customHeight="1" x14ac:dyDescent="0.3">
      <c r="CK5506" s="481"/>
    </row>
    <row r="5507" spans="89:89" s="299" customFormat="1" ht="12.75" customHeight="1" x14ac:dyDescent="0.3">
      <c r="CK5507" s="481"/>
    </row>
    <row r="5508" spans="89:89" s="299" customFormat="1" ht="12.75" customHeight="1" x14ac:dyDescent="0.3">
      <c r="CK5508" s="481"/>
    </row>
    <row r="5509" spans="89:89" s="299" customFormat="1" ht="12.75" customHeight="1" x14ac:dyDescent="0.3">
      <c r="CK5509" s="481"/>
    </row>
    <row r="5510" spans="89:89" s="299" customFormat="1" ht="12.75" customHeight="1" x14ac:dyDescent="0.3">
      <c r="CK5510" s="481"/>
    </row>
    <row r="5511" spans="89:89" s="299" customFormat="1" ht="12.75" customHeight="1" x14ac:dyDescent="0.3">
      <c r="CK5511" s="481"/>
    </row>
    <row r="5512" spans="89:89" s="299" customFormat="1" ht="12.75" customHeight="1" x14ac:dyDescent="0.3">
      <c r="CK5512" s="481"/>
    </row>
    <row r="5513" spans="89:89" s="299" customFormat="1" ht="12.75" customHeight="1" x14ac:dyDescent="0.3">
      <c r="CK5513" s="481"/>
    </row>
    <row r="5514" spans="89:89" s="299" customFormat="1" ht="12.75" customHeight="1" x14ac:dyDescent="0.3">
      <c r="CK5514" s="481"/>
    </row>
    <row r="5515" spans="89:89" s="299" customFormat="1" ht="12.75" customHeight="1" x14ac:dyDescent="0.3">
      <c r="CK5515" s="481"/>
    </row>
    <row r="5516" spans="89:89" s="299" customFormat="1" ht="12.75" customHeight="1" x14ac:dyDescent="0.3">
      <c r="CK5516" s="481"/>
    </row>
    <row r="5517" spans="89:89" s="299" customFormat="1" ht="12.75" customHeight="1" x14ac:dyDescent="0.3">
      <c r="CK5517" s="481"/>
    </row>
    <row r="5518" spans="89:89" s="299" customFormat="1" ht="12.75" customHeight="1" x14ac:dyDescent="0.3">
      <c r="CK5518" s="481"/>
    </row>
    <row r="5519" spans="89:89" s="299" customFormat="1" ht="12.75" customHeight="1" x14ac:dyDescent="0.3">
      <c r="CK5519" s="481"/>
    </row>
    <row r="5520" spans="89:89" s="299" customFormat="1" ht="12.75" customHeight="1" x14ac:dyDescent="0.3">
      <c r="CK5520" s="481"/>
    </row>
    <row r="5521" spans="89:89" s="299" customFormat="1" ht="12.75" customHeight="1" x14ac:dyDescent="0.3">
      <c r="CK5521" s="481"/>
    </row>
    <row r="5522" spans="89:89" s="299" customFormat="1" ht="12.75" customHeight="1" x14ac:dyDescent="0.3">
      <c r="CK5522" s="481"/>
    </row>
    <row r="5523" spans="89:89" s="299" customFormat="1" ht="12.75" customHeight="1" x14ac:dyDescent="0.3">
      <c r="CK5523" s="481"/>
    </row>
    <row r="5524" spans="89:89" s="299" customFormat="1" ht="12.75" customHeight="1" x14ac:dyDescent="0.3">
      <c r="CK5524" s="481"/>
    </row>
    <row r="5525" spans="89:89" s="299" customFormat="1" ht="12.75" customHeight="1" x14ac:dyDescent="0.3">
      <c r="CK5525" s="481"/>
    </row>
    <row r="5526" spans="89:89" s="299" customFormat="1" ht="12.75" customHeight="1" x14ac:dyDescent="0.3">
      <c r="CK5526" s="481"/>
    </row>
    <row r="5527" spans="89:89" s="299" customFormat="1" ht="12.75" customHeight="1" x14ac:dyDescent="0.3">
      <c r="CK5527" s="481"/>
    </row>
    <row r="5528" spans="89:89" s="299" customFormat="1" ht="12.75" customHeight="1" x14ac:dyDescent="0.3">
      <c r="CK5528" s="481"/>
    </row>
    <row r="5529" spans="89:89" s="299" customFormat="1" ht="12.75" customHeight="1" x14ac:dyDescent="0.3">
      <c r="CK5529" s="481"/>
    </row>
    <row r="5530" spans="89:89" s="299" customFormat="1" ht="12.75" customHeight="1" x14ac:dyDescent="0.3">
      <c r="CK5530" s="481"/>
    </row>
    <row r="5531" spans="89:89" s="299" customFormat="1" ht="12.75" customHeight="1" x14ac:dyDescent="0.3">
      <c r="CK5531" s="481"/>
    </row>
    <row r="5532" spans="89:89" s="299" customFormat="1" ht="12.75" customHeight="1" x14ac:dyDescent="0.3">
      <c r="CK5532" s="481"/>
    </row>
    <row r="5533" spans="89:89" s="299" customFormat="1" ht="12.75" customHeight="1" x14ac:dyDescent="0.3">
      <c r="CK5533" s="481"/>
    </row>
    <row r="5534" spans="89:89" s="299" customFormat="1" ht="12.75" customHeight="1" x14ac:dyDescent="0.3">
      <c r="CK5534" s="481"/>
    </row>
    <row r="5535" spans="89:89" s="299" customFormat="1" ht="12.75" customHeight="1" x14ac:dyDescent="0.3">
      <c r="CK5535" s="481"/>
    </row>
    <row r="5536" spans="89:89" s="299" customFormat="1" ht="12.75" customHeight="1" x14ac:dyDescent="0.3">
      <c r="CK5536" s="481"/>
    </row>
    <row r="5537" spans="89:89" s="299" customFormat="1" ht="12.75" customHeight="1" x14ac:dyDescent="0.3">
      <c r="CK5537" s="481"/>
    </row>
    <row r="5538" spans="89:89" s="299" customFormat="1" ht="12.75" customHeight="1" x14ac:dyDescent="0.3">
      <c r="CK5538" s="481"/>
    </row>
    <row r="5539" spans="89:89" s="299" customFormat="1" ht="12.75" customHeight="1" x14ac:dyDescent="0.3">
      <c r="CK5539" s="481"/>
    </row>
    <row r="5540" spans="89:89" s="299" customFormat="1" ht="12.75" customHeight="1" x14ac:dyDescent="0.3">
      <c r="CK5540" s="481"/>
    </row>
    <row r="5541" spans="89:89" s="299" customFormat="1" ht="12.75" customHeight="1" x14ac:dyDescent="0.3">
      <c r="CK5541" s="481"/>
    </row>
    <row r="5542" spans="89:89" s="299" customFormat="1" ht="12.75" customHeight="1" x14ac:dyDescent="0.3">
      <c r="CK5542" s="481"/>
    </row>
    <row r="5543" spans="89:89" s="299" customFormat="1" ht="12.75" customHeight="1" x14ac:dyDescent="0.3">
      <c r="CK5543" s="481"/>
    </row>
    <row r="5544" spans="89:89" s="299" customFormat="1" ht="12.75" customHeight="1" x14ac:dyDescent="0.3">
      <c r="CK5544" s="481"/>
    </row>
    <row r="5545" spans="89:89" s="299" customFormat="1" ht="12.75" customHeight="1" x14ac:dyDescent="0.3">
      <c r="CK5545" s="481"/>
    </row>
    <row r="5546" spans="89:89" s="299" customFormat="1" ht="12.75" customHeight="1" x14ac:dyDescent="0.3">
      <c r="CK5546" s="481"/>
    </row>
    <row r="5547" spans="89:89" s="299" customFormat="1" ht="12.75" customHeight="1" x14ac:dyDescent="0.3">
      <c r="CK5547" s="481"/>
    </row>
    <row r="5548" spans="89:89" s="299" customFormat="1" ht="12.75" customHeight="1" x14ac:dyDescent="0.3">
      <c r="CK5548" s="481"/>
    </row>
    <row r="5549" spans="89:89" s="299" customFormat="1" ht="12.75" customHeight="1" x14ac:dyDescent="0.3">
      <c r="CK5549" s="481"/>
    </row>
    <row r="5550" spans="89:89" s="299" customFormat="1" ht="12.75" customHeight="1" x14ac:dyDescent="0.3">
      <c r="CK5550" s="481"/>
    </row>
    <row r="5551" spans="89:89" s="299" customFormat="1" ht="12.75" customHeight="1" x14ac:dyDescent="0.3">
      <c r="CK5551" s="481"/>
    </row>
    <row r="5552" spans="89:89" s="299" customFormat="1" ht="12.75" customHeight="1" x14ac:dyDescent="0.3">
      <c r="CK5552" s="481"/>
    </row>
    <row r="5553" spans="89:89" s="299" customFormat="1" ht="12.75" customHeight="1" x14ac:dyDescent="0.3">
      <c r="CK5553" s="481"/>
    </row>
    <row r="5554" spans="89:89" s="299" customFormat="1" ht="12.75" customHeight="1" x14ac:dyDescent="0.3">
      <c r="CK5554" s="481"/>
    </row>
    <row r="5555" spans="89:89" s="299" customFormat="1" ht="12.75" customHeight="1" x14ac:dyDescent="0.3">
      <c r="CK5555" s="481"/>
    </row>
    <row r="5556" spans="89:89" s="299" customFormat="1" ht="12.75" customHeight="1" x14ac:dyDescent="0.3">
      <c r="CK5556" s="481"/>
    </row>
    <row r="5557" spans="89:89" s="299" customFormat="1" ht="12.75" customHeight="1" x14ac:dyDescent="0.3">
      <c r="CK5557" s="481"/>
    </row>
    <row r="5558" spans="89:89" s="299" customFormat="1" ht="12.75" customHeight="1" x14ac:dyDescent="0.3">
      <c r="CK5558" s="481"/>
    </row>
    <row r="5559" spans="89:89" s="299" customFormat="1" ht="12.75" customHeight="1" x14ac:dyDescent="0.3">
      <c r="CK5559" s="481"/>
    </row>
    <row r="5560" spans="89:89" s="299" customFormat="1" ht="12.75" customHeight="1" x14ac:dyDescent="0.3">
      <c r="CK5560" s="481"/>
    </row>
    <row r="5561" spans="89:89" s="299" customFormat="1" ht="12.75" customHeight="1" x14ac:dyDescent="0.3">
      <c r="CK5561" s="481"/>
    </row>
    <row r="5562" spans="89:89" s="299" customFormat="1" ht="12.75" customHeight="1" x14ac:dyDescent="0.3">
      <c r="CK5562" s="481"/>
    </row>
    <row r="5563" spans="89:89" s="299" customFormat="1" ht="12.75" customHeight="1" x14ac:dyDescent="0.3">
      <c r="CK5563" s="481"/>
    </row>
    <row r="5564" spans="89:89" s="299" customFormat="1" ht="12.75" customHeight="1" x14ac:dyDescent="0.3">
      <c r="CK5564" s="481"/>
    </row>
    <row r="5565" spans="89:89" s="299" customFormat="1" ht="12.75" customHeight="1" x14ac:dyDescent="0.3">
      <c r="CK5565" s="481"/>
    </row>
    <row r="5566" spans="89:89" s="299" customFormat="1" ht="12.75" customHeight="1" x14ac:dyDescent="0.3">
      <c r="CK5566" s="481"/>
    </row>
    <row r="5567" spans="89:89" s="299" customFormat="1" ht="12.75" customHeight="1" x14ac:dyDescent="0.3">
      <c r="CK5567" s="481"/>
    </row>
    <row r="5568" spans="89:89" s="299" customFormat="1" ht="12.75" customHeight="1" x14ac:dyDescent="0.3">
      <c r="CK5568" s="481"/>
    </row>
    <row r="5569" spans="89:89" s="299" customFormat="1" ht="12.75" customHeight="1" x14ac:dyDescent="0.3">
      <c r="CK5569" s="481"/>
    </row>
    <row r="5570" spans="89:89" s="299" customFormat="1" ht="12.75" customHeight="1" x14ac:dyDescent="0.3">
      <c r="CK5570" s="481"/>
    </row>
    <row r="5571" spans="89:89" s="299" customFormat="1" ht="12.75" customHeight="1" x14ac:dyDescent="0.3">
      <c r="CK5571" s="481"/>
    </row>
    <row r="5572" spans="89:89" s="299" customFormat="1" ht="12.75" customHeight="1" x14ac:dyDescent="0.3">
      <c r="CK5572" s="481"/>
    </row>
    <row r="5573" spans="89:89" s="299" customFormat="1" ht="12.75" customHeight="1" x14ac:dyDescent="0.3">
      <c r="CK5573" s="481"/>
    </row>
    <row r="5574" spans="89:89" s="299" customFormat="1" ht="12.75" customHeight="1" x14ac:dyDescent="0.3">
      <c r="CK5574" s="481"/>
    </row>
    <row r="5575" spans="89:89" s="299" customFormat="1" ht="12.75" customHeight="1" x14ac:dyDescent="0.3">
      <c r="CK5575" s="481"/>
    </row>
    <row r="5576" spans="89:89" s="299" customFormat="1" ht="12.75" customHeight="1" x14ac:dyDescent="0.3">
      <c r="CK5576" s="481"/>
    </row>
    <row r="5577" spans="89:89" s="299" customFormat="1" ht="12.75" customHeight="1" x14ac:dyDescent="0.3">
      <c r="CK5577" s="481"/>
    </row>
    <row r="5578" spans="89:89" s="299" customFormat="1" ht="12.75" customHeight="1" x14ac:dyDescent="0.3">
      <c r="CK5578" s="481"/>
    </row>
    <row r="5579" spans="89:89" s="299" customFormat="1" ht="12.75" customHeight="1" x14ac:dyDescent="0.3">
      <c r="CK5579" s="481"/>
    </row>
    <row r="5580" spans="89:89" s="299" customFormat="1" ht="12.75" customHeight="1" x14ac:dyDescent="0.3">
      <c r="CK5580" s="481"/>
    </row>
    <row r="5581" spans="89:89" s="299" customFormat="1" ht="12.75" customHeight="1" x14ac:dyDescent="0.3">
      <c r="CK5581" s="481"/>
    </row>
    <row r="5582" spans="89:89" s="299" customFormat="1" ht="12.75" customHeight="1" x14ac:dyDescent="0.3">
      <c r="CK5582" s="481"/>
    </row>
    <row r="5583" spans="89:89" s="299" customFormat="1" ht="12.75" customHeight="1" x14ac:dyDescent="0.3">
      <c r="CK5583" s="481"/>
    </row>
    <row r="5584" spans="89:89" s="299" customFormat="1" ht="12.75" customHeight="1" x14ac:dyDescent="0.3">
      <c r="CK5584" s="481"/>
    </row>
    <row r="5585" spans="89:89" s="299" customFormat="1" ht="12.75" customHeight="1" x14ac:dyDescent="0.3">
      <c r="CK5585" s="481"/>
    </row>
    <row r="5586" spans="89:89" s="299" customFormat="1" ht="12.75" customHeight="1" x14ac:dyDescent="0.3">
      <c r="CK5586" s="481"/>
    </row>
    <row r="5587" spans="89:89" s="299" customFormat="1" ht="12.75" customHeight="1" x14ac:dyDescent="0.3">
      <c r="CK5587" s="481"/>
    </row>
    <row r="5588" spans="89:89" s="299" customFormat="1" ht="12.75" customHeight="1" x14ac:dyDescent="0.3">
      <c r="CK5588" s="481"/>
    </row>
    <row r="5589" spans="89:89" s="299" customFormat="1" ht="12.75" customHeight="1" x14ac:dyDescent="0.3">
      <c r="CK5589" s="481"/>
    </row>
    <row r="5590" spans="89:89" s="299" customFormat="1" ht="12.75" customHeight="1" x14ac:dyDescent="0.3">
      <c r="CK5590" s="481"/>
    </row>
    <row r="5591" spans="89:89" s="299" customFormat="1" ht="12.75" customHeight="1" x14ac:dyDescent="0.3">
      <c r="CK5591" s="481"/>
    </row>
    <row r="5592" spans="89:89" s="299" customFormat="1" ht="12.75" customHeight="1" x14ac:dyDescent="0.3">
      <c r="CK5592" s="481"/>
    </row>
    <row r="5593" spans="89:89" s="299" customFormat="1" ht="12.75" customHeight="1" x14ac:dyDescent="0.3">
      <c r="CK5593" s="481"/>
    </row>
    <row r="5594" spans="89:89" s="299" customFormat="1" ht="12.75" customHeight="1" x14ac:dyDescent="0.3">
      <c r="CK5594" s="481"/>
    </row>
    <row r="5595" spans="89:89" s="299" customFormat="1" ht="12.75" customHeight="1" x14ac:dyDescent="0.3">
      <c r="CK5595" s="481"/>
    </row>
    <row r="5596" spans="89:89" s="299" customFormat="1" ht="12.75" customHeight="1" x14ac:dyDescent="0.3">
      <c r="CK5596" s="481"/>
    </row>
    <row r="5597" spans="89:89" s="299" customFormat="1" ht="12.75" customHeight="1" x14ac:dyDescent="0.3">
      <c r="CK5597" s="481"/>
    </row>
    <row r="5598" spans="89:89" s="299" customFormat="1" ht="12.75" customHeight="1" x14ac:dyDescent="0.3">
      <c r="CK5598" s="481"/>
    </row>
    <row r="5599" spans="89:89" s="299" customFormat="1" ht="12.75" customHeight="1" x14ac:dyDescent="0.3">
      <c r="CK5599" s="481"/>
    </row>
    <row r="5600" spans="89:89" s="299" customFormat="1" ht="12.75" customHeight="1" x14ac:dyDescent="0.3">
      <c r="CK5600" s="481"/>
    </row>
    <row r="5601" spans="89:89" s="299" customFormat="1" ht="12.75" customHeight="1" x14ac:dyDescent="0.3">
      <c r="CK5601" s="481"/>
    </row>
    <row r="5602" spans="89:89" s="299" customFormat="1" ht="12.75" customHeight="1" x14ac:dyDescent="0.3">
      <c r="CK5602" s="481"/>
    </row>
    <row r="5603" spans="89:89" s="299" customFormat="1" ht="12.75" customHeight="1" x14ac:dyDescent="0.3">
      <c r="CK5603" s="481"/>
    </row>
    <row r="5604" spans="89:89" s="299" customFormat="1" ht="12.75" customHeight="1" x14ac:dyDescent="0.3">
      <c r="CK5604" s="481"/>
    </row>
    <row r="5605" spans="89:89" s="299" customFormat="1" ht="12.75" customHeight="1" x14ac:dyDescent="0.3">
      <c r="CK5605" s="481"/>
    </row>
    <row r="5606" spans="89:89" s="299" customFormat="1" ht="12.75" customHeight="1" x14ac:dyDescent="0.3">
      <c r="CK5606" s="481"/>
    </row>
    <row r="5607" spans="89:89" s="299" customFormat="1" ht="12.75" customHeight="1" x14ac:dyDescent="0.3">
      <c r="CK5607" s="481"/>
    </row>
    <row r="5608" spans="89:89" s="299" customFormat="1" ht="12.75" customHeight="1" x14ac:dyDescent="0.3">
      <c r="CK5608" s="481"/>
    </row>
    <row r="5609" spans="89:89" s="299" customFormat="1" ht="12.75" customHeight="1" x14ac:dyDescent="0.3">
      <c r="CK5609" s="481"/>
    </row>
    <row r="5610" spans="89:89" s="299" customFormat="1" ht="12.75" customHeight="1" x14ac:dyDescent="0.3">
      <c r="CK5610" s="481"/>
    </row>
    <row r="5611" spans="89:89" s="299" customFormat="1" ht="12.75" customHeight="1" x14ac:dyDescent="0.3">
      <c r="CK5611" s="481"/>
    </row>
    <row r="5612" spans="89:89" s="299" customFormat="1" ht="12.75" customHeight="1" x14ac:dyDescent="0.3">
      <c r="CK5612" s="481"/>
    </row>
    <row r="5613" spans="89:89" s="299" customFormat="1" ht="12.75" customHeight="1" x14ac:dyDescent="0.3">
      <c r="CK5613" s="481"/>
    </row>
    <row r="5614" spans="89:89" s="299" customFormat="1" ht="12.75" customHeight="1" x14ac:dyDescent="0.3">
      <c r="CK5614" s="481"/>
    </row>
    <row r="5615" spans="89:89" s="299" customFormat="1" ht="12.75" customHeight="1" x14ac:dyDescent="0.3">
      <c r="CK5615" s="481"/>
    </row>
    <row r="5616" spans="89:89" s="299" customFormat="1" ht="12.75" customHeight="1" x14ac:dyDescent="0.3">
      <c r="CK5616" s="481"/>
    </row>
    <row r="5617" spans="89:89" s="299" customFormat="1" ht="12.75" customHeight="1" x14ac:dyDescent="0.3">
      <c r="CK5617" s="481"/>
    </row>
    <row r="5618" spans="89:89" s="299" customFormat="1" ht="12.75" customHeight="1" x14ac:dyDescent="0.3">
      <c r="CK5618" s="481"/>
    </row>
    <row r="5619" spans="89:89" s="299" customFormat="1" ht="12.75" customHeight="1" x14ac:dyDescent="0.3">
      <c r="CK5619" s="481"/>
    </row>
    <row r="5620" spans="89:89" s="299" customFormat="1" ht="12.75" customHeight="1" x14ac:dyDescent="0.3">
      <c r="CK5620" s="481"/>
    </row>
    <row r="5621" spans="89:89" s="299" customFormat="1" ht="12.75" customHeight="1" x14ac:dyDescent="0.3">
      <c r="CK5621" s="481"/>
    </row>
    <row r="5622" spans="89:89" s="299" customFormat="1" ht="12.75" customHeight="1" x14ac:dyDescent="0.3">
      <c r="CK5622" s="481"/>
    </row>
    <row r="5623" spans="89:89" s="299" customFormat="1" ht="12.75" customHeight="1" x14ac:dyDescent="0.3">
      <c r="CK5623" s="481"/>
    </row>
    <row r="5624" spans="89:89" s="299" customFormat="1" ht="12.75" customHeight="1" x14ac:dyDescent="0.3">
      <c r="CK5624" s="481"/>
    </row>
    <row r="5625" spans="89:89" s="299" customFormat="1" ht="12.75" customHeight="1" x14ac:dyDescent="0.3">
      <c r="CK5625" s="666"/>
    </row>
    <row r="5626" spans="89:89" s="299" customFormat="1" ht="12.75" customHeight="1" x14ac:dyDescent="0.3">
      <c r="CK5626" s="666"/>
    </row>
    <row r="5627" spans="89:89" s="299" customFormat="1" ht="12.75" customHeight="1" x14ac:dyDescent="0.3">
      <c r="CK5627" s="666"/>
    </row>
    <row r="5628" spans="89:89" s="299" customFormat="1" ht="12.75" customHeight="1" x14ac:dyDescent="0.3">
      <c r="CK5628" s="666"/>
    </row>
    <row r="5629" spans="89:89" s="299" customFormat="1" ht="12.75" customHeight="1" x14ac:dyDescent="0.3">
      <c r="CK5629" s="666"/>
    </row>
    <row r="5630" spans="89:89" s="299" customFormat="1" ht="12.75" customHeight="1" x14ac:dyDescent="0.3">
      <c r="CK5630" s="666"/>
    </row>
    <row r="5631" spans="89:89" s="299" customFormat="1" ht="12.75" customHeight="1" x14ac:dyDescent="0.3">
      <c r="CK5631" s="666"/>
    </row>
    <row r="5632" spans="89:89" s="299" customFormat="1" ht="12.75" customHeight="1" x14ac:dyDescent="0.3">
      <c r="CK5632" s="666"/>
    </row>
    <row r="5633" spans="89:89" s="299" customFormat="1" ht="12.75" customHeight="1" x14ac:dyDescent="0.3">
      <c r="CK5633" s="666"/>
    </row>
    <row r="5634" spans="89:89" s="299" customFormat="1" ht="12.75" customHeight="1" x14ac:dyDescent="0.3">
      <c r="CK5634" s="666"/>
    </row>
    <row r="5635" spans="89:89" s="299" customFormat="1" ht="12.75" customHeight="1" x14ac:dyDescent="0.3">
      <c r="CK5635" s="666"/>
    </row>
    <row r="5636" spans="89:89" s="299" customFormat="1" ht="12.75" customHeight="1" x14ac:dyDescent="0.3">
      <c r="CK5636" s="666"/>
    </row>
    <row r="5637" spans="89:89" s="299" customFormat="1" ht="12.75" customHeight="1" x14ac:dyDescent="0.3">
      <c r="CK5637" s="666"/>
    </row>
    <row r="5638" spans="89:89" s="299" customFormat="1" ht="12.75" customHeight="1" x14ac:dyDescent="0.3">
      <c r="CK5638" s="666"/>
    </row>
    <row r="5639" spans="89:89" s="299" customFormat="1" ht="12.75" customHeight="1" x14ac:dyDescent="0.3">
      <c r="CK5639" s="666"/>
    </row>
    <row r="5640" spans="89:89" s="299" customFormat="1" ht="12.75" customHeight="1" x14ac:dyDescent="0.3">
      <c r="CK5640" s="666"/>
    </row>
    <row r="5641" spans="89:89" s="299" customFormat="1" ht="12.75" customHeight="1" x14ac:dyDescent="0.3">
      <c r="CK5641" s="666"/>
    </row>
    <row r="5642" spans="89:89" s="299" customFormat="1" ht="12.75" customHeight="1" x14ac:dyDescent="0.3">
      <c r="CK5642" s="666"/>
    </row>
    <row r="5643" spans="89:89" s="299" customFormat="1" ht="12.75" customHeight="1" x14ac:dyDescent="0.3">
      <c r="CK5643" s="666"/>
    </row>
    <row r="5644" spans="89:89" s="299" customFormat="1" ht="12.75" customHeight="1" x14ac:dyDescent="0.3">
      <c r="CK5644" s="666"/>
    </row>
    <row r="5645" spans="89:89" s="299" customFormat="1" ht="12.75" customHeight="1" x14ac:dyDescent="0.3">
      <c r="CK5645" s="666"/>
    </row>
    <row r="5646" spans="89:89" s="299" customFormat="1" ht="12.75" customHeight="1" x14ac:dyDescent="0.3">
      <c r="CK5646" s="666"/>
    </row>
    <row r="5647" spans="89:89" s="299" customFormat="1" ht="12.75" customHeight="1" x14ac:dyDescent="0.3">
      <c r="CK5647" s="666"/>
    </row>
    <row r="5648" spans="89:89" s="299" customFormat="1" ht="12.75" customHeight="1" x14ac:dyDescent="0.3">
      <c r="CK5648" s="666"/>
    </row>
    <row r="5649" spans="89:89" s="299" customFormat="1" ht="12.75" customHeight="1" x14ac:dyDescent="0.3">
      <c r="CK5649" s="666"/>
    </row>
    <row r="5650" spans="89:89" s="299" customFormat="1" ht="12.75" customHeight="1" x14ac:dyDescent="0.3">
      <c r="CK5650" s="666"/>
    </row>
    <row r="5651" spans="89:89" s="299" customFormat="1" ht="12.75" customHeight="1" x14ac:dyDescent="0.3">
      <c r="CK5651" s="666"/>
    </row>
    <row r="5652" spans="89:89" s="299" customFormat="1" ht="12.75" customHeight="1" x14ac:dyDescent="0.3">
      <c r="CK5652" s="666"/>
    </row>
    <row r="5653" spans="89:89" s="299" customFormat="1" ht="12.75" customHeight="1" x14ac:dyDescent="0.3">
      <c r="CK5653" s="666"/>
    </row>
    <row r="5654" spans="89:89" s="299" customFormat="1" ht="12.75" customHeight="1" x14ac:dyDescent="0.3">
      <c r="CK5654" s="666"/>
    </row>
    <row r="5655" spans="89:89" s="299" customFormat="1" ht="12.75" customHeight="1" x14ac:dyDescent="0.3">
      <c r="CK5655" s="666"/>
    </row>
    <row r="5656" spans="89:89" s="299" customFormat="1" ht="12.75" customHeight="1" x14ac:dyDescent="0.3">
      <c r="CK5656" s="666"/>
    </row>
    <row r="5657" spans="89:89" s="299" customFormat="1" ht="12.75" customHeight="1" x14ac:dyDescent="0.3">
      <c r="CK5657" s="666"/>
    </row>
    <row r="5658" spans="89:89" s="299" customFormat="1" ht="12.75" customHeight="1" x14ac:dyDescent="0.3">
      <c r="CK5658" s="666"/>
    </row>
    <row r="5659" spans="89:89" s="299" customFormat="1" ht="12.75" customHeight="1" x14ac:dyDescent="0.3">
      <c r="CK5659" s="666"/>
    </row>
    <row r="5660" spans="89:89" s="299" customFormat="1" ht="12.75" customHeight="1" x14ac:dyDescent="0.3">
      <c r="CK5660" s="666"/>
    </row>
    <row r="5661" spans="89:89" s="299" customFormat="1" ht="12.75" customHeight="1" x14ac:dyDescent="0.3">
      <c r="CK5661" s="666"/>
    </row>
    <row r="5662" spans="89:89" s="299" customFormat="1" ht="12.75" customHeight="1" x14ac:dyDescent="0.3">
      <c r="CK5662" s="666"/>
    </row>
    <row r="5663" spans="89:89" s="299" customFormat="1" ht="12.75" customHeight="1" x14ac:dyDescent="0.3">
      <c r="CK5663" s="666"/>
    </row>
    <row r="5664" spans="89:89" s="299" customFormat="1" ht="12.75" customHeight="1" x14ac:dyDescent="0.3">
      <c r="CK5664" s="666"/>
    </row>
    <row r="5665" spans="89:89" s="299" customFormat="1" ht="12.75" customHeight="1" x14ac:dyDescent="0.3">
      <c r="CK5665" s="666"/>
    </row>
    <row r="5666" spans="89:89" s="299" customFormat="1" ht="12.75" customHeight="1" x14ac:dyDescent="0.3">
      <c r="CK5666" s="666"/>
    </row>
    <row r="5667" spans="89:89" s="299" customFormat="1" ht="12.75" customHeight="1" x14ac:dyDescent="0.3">
      <c r="CK5667" s="666"/>
    </row>
    <row r="5668" spans="89:89" s="299" customFormat="1" ht="12.75" customHeight="1" x14ac:dyDescent="0.3">
      <c r="CK5668" s="666"/>
    </row>
    <row r="5669" spans="89:89" s="299" customFormat="1" ht="12.75" customHeight="1" x14ac:dyDescent="0.3">
      <c r="CK5669" s="666"/>
    </row>
    <row r="5670" spans="89:89" s="299" customFormat="1" ht="12.75" customHeight="1" x14ac:dyDescent="0.3">
      <c r="CK5670" s="666"/>
    </row>
    <row r="5671" spans="89:89" s="299" customFormat="1" ht="12.75" customHeight="1" x14ac:dyDescent="0.3">
      <c r="CK5671" s="666"/>
    </row>
    <row r="5672" spans="89:89" s="299" customFormat="1" ht="12.75" customHeight="1" x14ac:dyDescent="0.3">
      <c r="CK5672" s="666"/>
    </row>
    <row r="5673" spans="89:89" s="299" customFormat="1" ht="12.75" customHeight="1" x14ac:dyDescent="0.3">
      <c r="CK5673" s="666"/>
    </row>
    <row r="5674" spans="89:89" s="299" customFormat="1" ht="12.75" customHeight="1" x14ac:dyDescent="0.3">
      <c r="CK5674" s="666"/>
    </row>
    <row r="5675" spans="89:89" s="299" customFormat="1" ht="12.75" customHeight="1" x14ac:dyDescent="0.3">
      <c r="CK5675" s="666"/>
    </row>
    <row r="5676" spans="89:89" s="299" customFormat="1" ht="12.75" customHeight="1" x14ac:dyDescent="0.3">
      <c r="CK5676" s="666"/>
    </row>
    <row r="5677" spans="89:89" s="299" customFormat="1" ht="12.75" customHeight="1" x14ac:dyDescent="0.3">
      <c r="CK5677" s="666"/>
    </row>
    <row r="5678" spans="89:89" s="299" customFormat="1" ht="12.75" customHeight="1" x14ac:dyDescent="0.3">
      <c r="CK5678" s="666"/>
    </row>
    <row r="5679" spans="89:89" s="299" customFormat="1" ht="12.75" customHeight="1" x14ac:dyDescent="0.3">
      <c r="CK5679" s="666"/>
    </row>
    <row r="5680" spans="89:89" s="299" customFormat="1" ht="12.75" customHeight="1" x14ac:dyDescent="0.3">
      <c r="CK5680" s="666"/>
    </row>
    <row r="5681" spans="89:89" s="299" customFormat="1" ht="12.75" customHeight="1" x14ac:dyDescent="0.3">
      <c r="CK5681" s="666"/>
    </row>
    <row r="5682" spans="89:89" s="299" customFormat="1" ht="12.75" customHeight="1" x14ac:dyDescent="0.3">
      <c r="CK5682" s="666"/>
    </row>
    <row r="5683" spans="89:89" s="299" customFormat="1" ht="12.75" customHeight="1" x14ac:dyDescent="0.3">
      <c r="CK5683" s="666"/>
    </row>
    <row r="5684" spans="89:89" s="299" customFormat="1" ht="12.75" customHeight="1" x14ac:dyDescent="0.3">
      <c r="CK5684" s="666"/>
    </row>
    <row r="5685" spans="89:89" s="299" customFormat="1" ht="12.75" customHeight="1" x14ac:dyDescent="0.3">
      <c r="CK5685" s="666"/>
    </row>
    <row r="5686" spans="89:89" s="299" customFormat="1" ht="12.75" customHeight="1" x14ac:dyDescent="0.3">
      <c r="CK5686" s="666"/>
    </row>
    <row r="5687" spans="89:89" s="299" customFormat="1" ht="12.75" customHeight="1" x14ac:dyDescent="0.3">
      <c r="CK5687" s="666"/>
    </row>
    <row r="5688" spans="89:89" s="299" customFormat="1" ht="12.75" customHeight="1" x14ac:dyDescent="0.3">
      <c r="CK5688" s="666"/>
    </row>
    <row r="5689" spans="89:89" s="299" customFormat="1" ht="12.75" customHeight="1" x14ac:dyDescent="0.3">
      <c r="CK5689" s="666"/>
    </row>
    <row r="5690" spans="89:89" s="299" customFormat="1" ht="12.75" customHeight="1" x14ac:dyDescent="0.3">
      <c r="CK5690" s="666"/>
    </row>
    <row r="5691" spans="89:89" s="299" customFormat="1" ht="12.75" customHeight="1" x14ac:dyDescent="0.3">
      <c r="CK5691" s="666"/>
    </row>
    <row r="5692" spans="89:89" s="299" customFormat="1" ht="12.75" customHeight="1" x14ac:dyDescent="0.3">
      <c r="CK5692" s="666"/>
    </row>
    <row r="5693" spans="89:89" s="299" customFormat="1" ht="12.75" customHeight="1" x14ac:dyDescent="0.3">
      <c r="CK5693" s="666"/>
    </row>
    <row r="5694" spans="89:89" s="299" customFormat="1" ht="12.75" customHeight="1" x14ac:dyDescent="0.3">
      <c r="CK5694" s="666"/>
    </row>
    <row r="5695" spans="89:89" s="299" customFormat="1" ht="12.75" customHeight="1" x14ac:dyDescent="0.3">
      <c r="CK5695" s="666"/>
    </row>
    <row r="5696" spans="89:89" s="299" customFormat="1" ht="12.75" customHeight="1" x14ac:dyDescent="0.3">
      <c r="CK5696" s="666"/>
    </row>
    <row r="5697" spans="89:89" s="299" customFormat="1" ht="12.75" customHeight="1" x14ac:dyDescent="0.3">
      <c r="CK5697" s="666"/>
    </row>
    <row r="5698" spans="89:89" s="299" customFormat="1" ht="12.75" customHeight="1" x14ac:dyDescent="0.3">
      <c r="CK5698" s="666"/>
    </row>
    <row r="5699" spans="89:89" s="299" customFormat="1" ht="12.75" customHeight="1" x14ac:dyDescent="0.3">
      <c r="CK5699" s="666"/>
    </row>
    <row r="5700" spans="89:89" s="299" customFormat="1" ht="12.75" customHeight="1" x14ac:dyDescent="0.3">
      <c r="CK5700" s="666"/>
    </row>
    <row r="5701" spans="89:89" s="299" customFormat="1" ht="12.75" customHeight="1" x14ac:dyDescent="0.3">
      <c r="CK5701" s="666"/>
    </row>
    <row r="5702" spans="89:89" s="299" customFormat="1" ht="12.75" customHeight="1" x14ac:dyDescent="0.3">
      <c r="CK5702" s="666"/>
    </row>
    <row r="5703" spans="89:89" s="299" customFormat="1" ht="12.75" customHeight="1" x14ac:dyDescent="0.3">
      <c r="CK5703" s="666"/>
    </row>
    <row r="5704" spans="89:89" s="299" customFormat="1" ht="12.75" customHeight="1" x14ac:dyDescent="0.3">
      <c r="CK5704" s="666"/>
    </row>
    <row r="5705" spans="89:89" s="299" customFormat="1" ht="12.75" customHeight="1" x14ac:dyDescent="0.3">
      <c r="CK5705" s="666"/>
    </row>
    <row r="5706" spans="89:89" s="299" customFormat="1" ht="12.75" customHeight="1" x14ac:dyDescent="0.3">
      <c r="CK5706" s="666"/>
    </row>
    <row r="5707" spans="89:89" s="299" customFormat="1" ht="12.75" customHeight="1" x14ac:dyDescent="0.3">
      <c r="CK5707" s="666"/>
    </row>
    <row r="5708" spans="89:89" s="299" customFormat="1" ht="12.75" customHeight="1" x14ac:dyDescent="0.3">
      <c r="CK5708" s="666"/>
    </row>
    <row r="5709" spans="89:89" s="299" customFormat="1" ht="12.75" customHeight="1" x14ac:dyDescent="0.3">
      <c r="CK5709" s="666"/>
    </row>
    <row r="5710" spans="89:89" s="299" customFormat="1" ht="12.75" customHeight="1" x14ac:dyDescent="0.3">
      <c r="CK5710" s="666"/>
    </row>
    <row r="5711" spans="89:89" s="299" customFormat="1" ht="12.75" customHeight="1" x14ac:dyDescent="0.3">
      <c r="CK5711" s="666"/>
    </row>
    <row r="5712" spans="89:89" s="299" customFormat="1" ht="12.75" customHeight="1" x14ac:dyDescent="0.3">
      <c r="CK5712" s="666"/>
    </row>
    <row r="5713" spans="89:89" s="299" customFormat="1" ht="12.75" customHeight="1" x14ac:dyDescent="0.3">
      <c r="CK5713" s="666"/>
    </row>
    <row r="5714" spans="89:89" s="299" customFormat="1" ht="12.75" customHeight="1" x14ac:dyDescent="0.3">
      <c r="CK5714" s="666"/>
    </row>
    <row r="5715" spans="89:89" s="299" customFormat="1" ht="12.75" customHeight="1" x14ac:dyDescent="0.3">
      <c r="CK5715" s="666"/>
    </row>
    <row r="5716" spans="89:89" s="299" customFormat="1" ht="12.75" customHeight="1" x14ac:dyDescent="0.3">
      <c r="CK5716" s="666"/>
    </row>
    <row r="5717" spans="89:89" s="299" customFormat="1" ht="12.75" customHeight="1" x14ac:dyDescent="0.3">
      <c r="CK5717" s="666"/>
    </row>
    <row r="5718" spans="89:89" s="299" customFormat="1" ht="12.75" customHeight="1" x14ac:dyDescent="0.3">
      <c r="CK5718" s="666"/>
    </row>
    <row r="5719" spans="89:89" s="299" customFormat="1" ht="12.75" customHeight="1" x14ac:dyDescent="0.3">
      <c r="CK5719" s="666"/>
    </row>
    <row r="5720" spans="89:89" s="299" customFormat="1" ht="12.75" customHeight="1" x14ac:dyDescent="0.3">
      <c r="CK5720" s="666"/>
    </row>
    <row r="5721" spans="89:89" s="299" customFormat="1" ht="12.75" customHeight="1" x14ac:dyDescent="0.3">
      <c r="CK5721" s="666"/>
    </row>
    <row r="5722" spans="89:89" s="299" customFormat="1" ht="12.75" customHeight="1" x14ac:dyDescent="0.3">
      <c r="CK5722" s="666"/>
    </row>
    <row r="5723" spans="89:89" s="299" customFormat="1" ht="12.75" customHeight="1" x14ac:dyDescent="0.3">
      <c r="CK5723" s="666"/>
    </row>
    <row r="5724" spans="89:89" s="299" customFormat="1" ht="12.75" customHeight="1" x14ac:dyDescent="0.3">
      <c r="CK5724" s="666"/>
    </row>
    <row r="5725" spans="89:89" s="299" customFormat="1" ht="12.75" customHeight="1" x14ac:dyDescent="0.3">
      <c r="CK5725" s="666"/>
    </row>
    <row r="5726" spans="89:89" s="299" customFormat="1" ht="12.75" customHeight="1" x14ac:dyDescent="0.3">
      <c r="CK5726" s="666"/>
    </row>
    <row r="5727" spans="89:89" s="299" customFormat="1" ht="12.75" customHeight="1" x14ac:dyDescent="0.3">
      <c r="CK5727" s="666"/>
    </row>
    <row r="5728" spans="89:89" s="299" customFormat="1" ht="12.75" customHeight="1" x14ac:dyDescent="0.3">
      <c r="CK5728" s="666"/>
    </row>
    <row r="5729" spans="89:89" s="299" customFormat="1" ht="12.75" customHeight="1" x14ac:dyDescent="0.3">
      <c r="CK5729" s="666"/>
    </row>
    <row r="5730" spans="89:89" s="299" customFormat="1" ht="12.75" customHeight="1" x14ac:dyDescent="0.3">
      <c r="CK5730" s="666"/>
    </row>
    <row r="5731" spans="89:89" s="299" customFormat="1" ht="12.75" customHeight="1" x14ac:dyDescent="0.3">
      <c r="CK5731" s="666"/>
    </row>
    <row r="5732" spans="89:89" s="299" customFormat="1" ht="12.75" customHeight="1" x14ac:dyDescent="0.3">
      <c r="CK5732" s="666"/>
    </row>
    <row r="5733" spans="89:89" s="299" customFormat="1" ht="12.75" customHeight="1" x14ac:dyDescent="0.3">
      <c r="CK5733" s="666"/>
    </row>
    <row r="5734" spans="89:89" s="299" customFormat="1" ht="12.75" customHeight="1" x14ac:dyDescent="0.3">
      <c r="CK5734" s="666"/>
    </row>
    <row r="5735" spans="89:89" s="299" customFormat="1" ht="12.75" customHeight="1" x14ac:dyDescent="0.3">
      <c r="CK5735" s="666"/>
    </row>
    <row r="5736" spans="89:89" s="299" customFormat="1" ht="12.75" customHeight="1" x14ac:dyDescent="0.3">
      <c r="CK5736" s="666"/>
    </row>
    <row r="5737" spans="89:89" s="299" customFormat="1" ht="12.75" customHeight="1" x14ac:dyDescent="0.3">
      <c r="CK5737" s="666"/>
    </row>
    <row r="5738" spans="89:89" s="299" customFormat="1" ht="12.75" customHeight="1" x14ac:dyDescent="0.3">
      <c r="CK5738" s="666"/>
    </row>
    <row r="5739" spans="89:89" s="299" customFormat="1" ht="12.75" customHeight="1" x14ac:dyDescent="0.3">
      <c r="CK5739" s="666"/>
    </row>
    <row r="5740" spans="89:89" s="299" customFormat="1" ht="12.75" customHeight="1" x14ac:dyDescent="0.3">
      <c r="CK5740" s="666"/>
    </row>
    <row r="5741" spans="89:89" s="299" customFormat="1" ht="12.75" customHeight="1" x14ac:dyDescent="0.3">
      <c r="CK5741" s="666"/>
    </row>
    <row r="5742" spans="89:89" s="299" customFormat="1" ht="12.75" customHeight="1" x14ac:dyDescent="0.3">
      <c r="CK5742" s="666"/>
    </row>
    <row r="5743" spans="89:89" s="299" customFormat="1" ht="12.75" customHeight="1" x14ac:dyDescent="0.3">
      <c r="CK5743" s="666"/>
    </row>
    <row r="5744" spans="89:89" s="299" customFormat="1" ht="12.75" customHeight="1" x14ac:dyDescent="0.3">
      <c r="CK5744" s="666"/>
    </row>
    <row r="5745" spans="89:89" s="299" customFormat="1" ht="12.75" customHeight="1" x14ac:dyDescent="0.3">
      <c r="CK5745" s="666"/>
    </row>
    <row r="5746" spans="89:89" s="299" customFormat="1" ht="12.75" customHeight="1" x14ac:dyDescent="0.3">
      <c r="CK5746" s="666"/>
    </row>
    <row r="5747" spans="89:89" s="299" customFormat="1" ht="12.75" customHeight="1" x14ac:dyDescent="0.3">
      <c r="CK5747" s="666"/>
    </row>
    <row r="5748" spans="89:89" s="299" customFormat="1" ht="12.75" customHeight="1" x14ac:dyDescent="0.3">
      <c r="CK5748" s="666"/>
    </row>
    <row r="5749" spans="89:89" s="299" customFormat="1" ht="12.75" customHeight="1" x14ac:dyDescent="0.3">
      <c r="CK5749" s="666"/>
    </row>
    <row r="5750" spans="89:89" s="299" customFormat="1" ht="12.75" customHeight="1" x14ac:dyDescent="0.3">
      <c r="CK5750" s="666"/>
    </row>
    <row r="5751" spans="89:89" s="299" customFormat="1" ht="12.75" customHeight="1" x14ac:dyDescent="0.3">
      <c r="CK5751" s="666"/>
    </row>
    <row r="5752" spans="89:89" s="299" customFormat="1" ht="12.75" customHeight="1" x14ac:dyDescent="0.3">
      <c r="CK5752" s="666"/>
    </row>
    <row r="5753" spans="89:89" s="299" customFormat="1" ht="12.75" customHeight="1" x14ac:dyDescent="0.3">
      <c r="CK5753" s="666"/>
    </row>
    <row r="5754" spans="89:89" s="299" customFormat="1" ht="12.75" customHeight="1" x14ac:dyDescent="0.3">
      <c r="CK5754" s="666"/>
    </row>
    <row r="5755" spans="89:89" s="299" customFormat="1" ht="12.75" customHeight="1" x14ac:dyDescent="0.3">
      <c r="CK5755" s="666"/>
    </row>
    <row r="5756" spans="89:89" s="299" customFormat="1" ht="12.75" customHeight="1" x14ac:dyDescent="0.3">
      <c r="CK5756" s="666"/>
    </row>
    <row r="5757" spans="89:89" s="299" customFormat="1" ht="12.75" customHeight="1" x14ac:dyDescent="0.3">
      <c r="CK5757" s="666"/>
    </row>
    <row r="5758" spans="89:89" s="299" customFormat="1" ht="12.75" customHeight="1" x14ac:dyDescent="0.3">
      <c r="CK5758" s="666"/>
    </row>
    <row r="5759" spans="89:89" s="299" customFormat="1" ht="12.75" customHeight="1" x14ac:dyDescent="0.3">
      <c r="CK5759" s="666"/>
    </row>
    <row r="5760" spans="89:89" s="299" customFormat="1" ht="12.75" customHeight="1" x14ac:dyDescent="0.3">
      <c r="CK5760" s="666"/>
    </row>
    <row r="5761" spans="89:89" s="299" customFormat="1" ht="12.75" customHeight="1" x14ac:dyDescent="0.3">
      <c r="CK5761" s="666"/>
    </row>
    <row r="5762" spans="89:89" s="299" customFormat="1" ht="12.75" customHeight="1" x14ac:dyDescent="0.3">
      <c r="CK5762" s="666"/>
    </row>
    <row r="5763" spans="89:89" s="299" customFormat="1" ht="12.75" customHeight="1" x14ac:dyDescent="0.3">
      <c r="CK5763" s="666"/>
    </row>
    <row r="5764" spans="89:89" s="299" customFormat="1" ht="12.75" customHeight="1" x14ac:dyDescent="0.3">
      <c r="CK5764" s="666"/>
    </row>
    <row r="5765" spans="89:89" s="299" customFormat="1" ht="12.75" customHeight="1" x14ac:dyDescent="0.3">
      <c r="CK5765" s="666"/>
    </row>
    <row r="5766" spans="89:89" s="299" customFormat="1" ht="12.75" customHeight="1" x14ac:dyDescent="0.3">
      <c r="CK5766" s="666"/>
    </row>
    <row r="5767" spans="89:89" s="299" customFormat="1" ht="12.75" customHeight="1" x14ac:dyDescent="0.3">
      <c r="CK5767" s="666"/>
    </row>
    <row r="5768" spans="89:89" s="299" customFormat="1" ht="12.75" customHeight="1" x14ac:dyDescent="0.3">
      <c r="CK5768" s="666"/>
    </row>
    <row r="5769" spans="89:89" s="299" customFormat="1" ht="12.75" customHeight="1" x14ac:dyDescent="0.3">
      <c r="CK5769" s="666"/>
    </row>
    <row r="5770" spans="89:89" s="299" customFormat="1" ht="12.75" customHeight="1" x14ac:dyDescent="0.3">
      <c r="CK5770" s="666"/>
    </row>
    <row r="5771" spans="89:89" s="299" customFormat="1" ht="12.75" customHeight="1" x14ac:dyDescent="0.3">
      <c r="CK5771" s="666"/>
    </row>
    <row r="5772" spans="89:89" s="299" customFormat="1" ht="12.75" customHeight="1" x14ac:dyDescent="0.3">
      <c r="CK5772" s="666"/>
    </row>
    <row r="5773" spans="89:89" s="299" customFormat="1" ht="12.75" customHeight="1" x14ac:dyDescent="0.3">
      <c r="CK5773" s="666"/>
    </row>
    <row r="5774" spans="89:89" s="299" customFormat="1" ht="12.75" customHeight="1" x14ac:dyDescent="0.3">
      <c r="CK5774" s="666"/>
    </row>
    <row r="5775" spans="89:89" s="299" customFormat="1" ht="12.75" customHeight="1" x14ac:dyDescent="0.3">
      <c r="CK5775" s="666"/>
    </row>
    <row r="5776" spans="89:89" s="299" customFormat="1" ht="12.75" customHeight="1" x14ac:dyDescent="0.3">
      <c r="CK5776" s="666"/>
    </row>
    <row r="5777" spans="89:89" s="299" customFormat="1" ht="12.75" customHeight="1" x14ac:dyDescent="0.3">
      <c r="CK5777" s="666"/>
    </row>
    <row r="5778" spans="89:89" s="299" customFormat="1" ht="12.75" customHeight="1" x14ac:dyDescent="0.3">
      <c r="CK5778" s="666"/>
    </row>
    <row r="5779" spans="89:89" s="299" customFormat="1" ht="12.75" customHeight="1" x14ac:dyDescent="0.3">
      <c r="CK5779" s="666"/>
    </row>
    <row r="5780" spans="89:89" s="299" customFormat="1" ht="12.75" customHeight="1" x14ac:dyDescent="0.3">
      <c r="CK5780" s="666"/>
    </row>
    <row r="5781" spans="89:89" s="299" customFormat="1" ht="12.75" customHeight="1" x14ac:dyDescent="0.3">
      <c r="CK5781" s="666"/>
    </row>
    <row r="5782" spans="89:89" s="299" customFormat="1" ht="12.75" customHeight="1" x14ac:dyDescent="0.3">
      <c r="CK5782" s="666"/>
    </row>
    <row r="5783" spans="89:89" s="299" customFormat="1" ht="12.75" customHeight="1" x14ac:dyDescent="0.3">
      <c r="CK5783" s="666"/>
    </row>
    <row r="5784" spans="89:89" s="299" customFormat="1" ht="12.75" customHeight="1" x14ac:dyDescent="0.3">
      <c r="CK5784" s="666"/>
    </row>
    <row r="5785" spans="89:89" s="299" customFormat="1" ht="12.75" customHeight="1" x14ac:dyDescent="0.3">
      <c r="CK5785" s="666"/>
    </row>
    <row r="5786" spans="89:89" s="299" customFormat="1" ht="12.75" customHeight="1" x14ac:dyDescent="0.3">
      <c r="CK5786" s="666"/>
    </row>
    <row r="5787" spans="89:89" s="299" customFormat="1" ht="12.75" customHeight="1" x14ac:dyDescent="0.3">
      <c r="CK5787" s="666"/>
    </row>
    <row r="5788" spans="89:89" s="299" customFormat="1" ht="12.75" customHeight="1" x14ac:dyDescent="0.3">
      <c r="CK5788" s="666"/>
    </row>
    <row r="5789" spans="89:89" s="299" customFormat="1" ht="12.75" customHeight="1" x14ac:dyDescent="0.3">
      <c r="CK5789" s="666"/>
    </row>
    <row r="5790" spans="89:89" s="299" customFormat="1" ht="12.75" customHeight="1" x14ac:dyDescent="0.3">
      <c r="CK5790" s="666"/>
    </row>
    <row r="5791" spans="89:89" s="299" customFormat="1" ht="12.75" customHeight="1" x14ac:dyDescent="0.3">
      <c r="CK5791" s="666"/>
    </row>
    <row r="5792" spans="89:89" s="299" customFormat="1" ht="12.75" customHeight="1" x14ac:dyDescent="0.3">
      <c r="CK5792" s="666"/>
    </row>
    <row r="5793" spans="89:89" s="299" customFormat="1" ht="12.75" customHeight="1" x14ac:dyDescent="0.3">
      <c r="CK5793" s="666"/>
    </row>
    <row r="5794" spans="89:89" s="299" customFormat="1" ht="12.75" customHeight="1" x14ac:dyDescent="0.3">
      <c r="CK5794" s="666"/>
    </row>
    <row r="5795" spans="89:89" s="299" customFormat="1" ht="12.75" customHeight="1" x14ac:dyDescent="0.3">
      <c r="CK5795" s="666"/>
    </row>
    <row r="5796" spans="89:89" s="299" customFormat="1" ht="12.75" customHeight="1" x14ac:dyDescent="0.3">
      <c r="CK5796" s="666"/>
    </row>
    <row r="5797" spans="89:89" s="299" customFormat="1" ht="12.75" customHeight="1" x14ac:dyDescent="0.3">
      <c r="CK5797" s="666"/>
    </row>
    <row r="5798" spans="89:89" s="299" customFormat="1" ht="12.75" customHeight="1" x14ac:dyDescent="0.3">
      <c r="CK5798" s="666"/>
    </row>
    <row r="5799" spans="89:89" s="299" customFormat="1" ht="12.75" customHeight="1" x14ac:dyDescent="0.3">
      <c r="CK5799" s="666"/>
    </row>
    <row r="5800" spans="89:89" s="299" customFormat="1" ht="12.75" customHeight="1" x14ac:dyDescent="0.3">
      <c r="CK5800" s="666"/>
    </row>
    <row r="5801" spans="89:89" s="299" customFormat="1" ht="12.75" customHeight="1" x14ac:dyDescent="0.3">
      <c r="CK5801" s="666"/>
    </row>
    <row r="5802" spans="89:89" s="299" customFormat="1" ht="12.75" customHeight="1" x14ac:dyDescent="0.3">
      <c r="CK5802" s="666"/>
    </row>
    <row r="5803" spans="89:89" s="299" customFormat="1" ht="12.75" customHeight="1" x14ac:dyDescent="0.3">
      <c r="CK5803" s="666"/>
    </row>
    <row r="5804" spans="89:89" s="299" customFormat="1" ht="12.75" customHeight="1" x14ac:dyDescent="0.3">
      <c r="CK5804" s="666"/>
    </row>
    <row r="5805" spans="89:89" s="299" customFormat="1" ht="12.75" customHeight="1" x14ac:dyDescent="0.3">
      <c r="CK5805" s="666"/>
    </row>
    <row r="5806" spans="89:89" s="299" customFormat="1" ht="12.75" customHeight="1" x14ac:dyDescent="0.3">
      <c r="CK5806" s="666"/>
    </row>
    <row r="5807" spans="89:89" s="299" customFormat="1" ht="12.75" customHeight="1" x14ac:dyDescent="0.3">
      <c r="CK5807" s="666"/>
    </row>
    <row r="5808" spans="89:89" s="299" customFormat="1" ht="12.75" customHeight="1" x14ac:dyDescent="0.3">
      <c r="CK5808" s="666"/>
    </row>
    <row r="5809" spans="89:89" s="299" customFormat="1" ht="12.75" customHeight="1" x14ac:dyDescent="0.3">
      <c r="CK5809" s="666"/>
    </row>
    <row r="5810" spans="89:89" s="299" customFormat="1" ht="12.75" customHeight="1" x14ac:dyDescent="0.3">
      <c r="CK5810" s="666"/>
    </row>
    <row r="5811" spans="89:89" s="299" customFormat="1" ht="12.75" customHeight="1" x14ac:dyDescent="0.3">
      <c r="CK5811" s="666"/>
    </row>
    <row r="5812" spans="89:89" s="299" customFormat="1" ht="12.75" customHeight="1" x14ac:dyDescent="0.3">
      <c r="CK5812" s="666"/>
    </row>
    <row r="5813" spans="89:89" s="299" customFormat="1" ht="12.75" customHeight="1" x14ac:dyDescent="0.3">
      <c r="CK5813" s="666"/>
    </row>
    <row r="5814" spans="89:89" s="299" customFormat="1" ht="12.75" customHeight="1" x14ac:dyDescent="0.3">
      <c r="CK5814" s="666"/>
    </row>
    <row r="5815" spans="89:89" s="299" customFormat="1" ht="12.75" customHeight="1" x14ac:dyDescent="0.3">
      <c r="CK5815" s="666"/>
    </row>
    <row r="5816" spans="89:89" s="299" customFormat="1" ht="12.75" customHeight="1" x14ac:dyDescent="0.3">
      <c r="CK5816" s="666"/>
    </row>
    <row r="5817" spans="89:89" s="299" customFormat="1" ht="12.75" customHeight="1" x14ac:dyDescent="0.3">
      <c r="CK5817" s="666"/>
    </row>
    <row r="5818" spans="89:89" s="299" customFormat="1" ht="12.75" customHeight="1" x14ac:dyDescent="0.3">
      <c r="CK5818" s="666"/>
    </row>
    <row r="5819" spans="89:89" s="299" customFormat="1" ht="12.75" customHeight="1" x14ac:dyDescent="0.3">
      <c r="CK5819" s="666"/>
    </row>
    <row r="5820" spans="89:89" s="299" customFormat="1" ht="12.75" customHeight="1" x14ac:dyDescent="0.3">
      <c r="CK5820" s="666"/>
    </row>
    <row r="5821" spans="89:89" s="299" customFormat="1" ht="12.75" customHeight="1" x14ac:dyDescent="0.3">
      <c r="CK5821" s="666"/>
    </row>
    <row r="5822" spans="89:89" s="299" customFormat="1" ht="12.75" customHeight="1" x14ac:dyDescent="0.3">
      <c r="CK5822" s="666"/>
    </row>
    <row r="5823" spans="89:89" s="299" customFormat="1" ht="12.75" customHeight="1" x14ac:dyDescent="0.3">
      <c r="CK5823" s="666"/>
    </row>
    <row r="5824" spans="89:89" s="299" customFormat="1" ht="12.75" customHeight="1" x14ac:dyDescent="0.3">
      <c r="CK5824" s="666"/>
    </row>
    <row r="5825" spans="89:89" s="299" customFormat="1" ht="12.75" customHeight="1" x14ac:dyDescent="0.3">
      <c r="CK5825" s="666"/>
    </row>
    <row r="5826" spans="89:89" s="299" customFormat="1" ht="12.75" customHeight="1" x14ac:dyDescent="0.3">
      <c r="CK5826" s="666"/>
    </row>
    <row r="5827" spans="89:89" s="299" customFormat="1" ht="12.75" customHeight="1" x14ac:dyDescent="0.3">
      <c r="CK5827" s="666"/>
    </row>
    <row r="5828" spans="89:89" s="299" customFormat="1" ht="12.75" customHeight="1" x14ac:dyDescent="0.3">
      <c r="CK5828" s="666"/>
    </row>
    <row r="5829" spans="89:89" s="299" customFormat="1" ht="12.75" customHeight="1" x14ac:dyDescent="0.3">
      <c r="CK5829" s="666"/>
    </row>
    <row r="5830" spans="89:89" s="299" customFormat="1" ht="12.75" customHeight="1" x14ac:dyDescent="0.3">
      <c r="CK5830" s="666"/>
    </row>
    <row r="5831" spans="89:89" s="299" customFormat="1" ht="12.75" customHeight="1" x14ac:dyDescent="0.3">
      <c r="CK5831" s="666"/>
    </row>
    <row r="5832" spans="89:89" s="299" customFormat="1" ht="12.75" customHeight="1" x14ac:dyDescent="0.3">
      <c r="CK5832" s="666"/>
    </row>
    <row r="5833" spans="89:89" s="299" customFormat="1" ht="12.75" customHeight="1" x14ac:dyDescent="0.3">
      <c r="CK5833" s="666"/>
    </row>
    <row r="5834" spans="89:89" s="299" customFormat="1" ht="12.75" customHeight="1" x14ac:dyDescent="0.3">
      <c r="CK5834" s="666"/>
    </row>
    <row r="5835" spans="89:89" s="299" customFormat="1" ht="12.75" customHeight="1" x14ac:dyDescent="0.3">
      <c r="CK5835" s="666"/>
    </row>
    <row r="5836" spans="89:89" s="299" customFormat="1" ht="12.75" customHeight="1" x14ac:dyDescent="0.3">
      <c r="CK5836" s="666"/>
    </row>
    <row r="5837" spans="89:89" s="299" customFormat="1" ht="12.75" customHeight="1" x14ac:dyDescent="0.3">
      <c r="CK5837" s="666"/>
    </row>
    <row r="5838" spans="89:89" s="299" customFormat="1" ht="12.75" customHeight="1" x14ac:dyDescent="0.3">
      <c r="CK5838" s="666"/>
    </row>
    <row r="5839" spans="89:89" s="299" customFormat="1" ht="12.75" customHeight="1" x14ac:dyDescent="0.3">
      <c r="CK5839" s="666"/>
    </row>
    <row r="5840" spans="89:89" s="299" customFormat="1" ht="12.75" customHeight="1" x14ac:dyDescent="0.3">
      <c r="CK5840" s="666"/>
    </row>
    <row r="5841" spans="89:89" s="299" customFormat="1" ht="12.75" customHeight="1" x14ac:dyDescent="0.3">
      <c r="CK5841" s="666"/>
    </row>
    <row r="5842" spans="89:89" s="299" customFormat="1" ht="12.75" customHeight="1" x14ac:dyDescent="0.3">
      <c r="CK5842" s="666"/>
    </row>
    <row r="5843" spans="89:89" s="299" customFormat="1" ht="12.75" customHeight="1" x14ac:dyDescent="0.3">
      <c r="CK5843" s="666"/>
    </row>
    <row r="5844" spans="89:89" s="299" customFormat="1" ht="12.75" customHeight="1" x14ac:dyDescent="0.3">
      <c r="CK5844" s="666"/>
    </row>
    <row r="5845" spans="89:89" s="299" customFormat="1" ht="12.75" customHeight="1" x14ac:dyDescent="0.3">
      <c r="CK5845" s="666"/>
    </row>
    <row r="5846" spans="89:89" s="299" customFormat="1" ht="12.75" customHeight="1" x14ac:dyDescent="0.3">
      <c r="CK5846" s="666"/>
    </row>
    <row r="5847" spans="89:89" s="299" customFormat="1" ht="12.75" customHeight="1" x14ac:dyDescent="0.3">
      <c r="CK5847" s="666"/>
    </row>
    <row r="5848" spans="89:89" s="299" customFormat="1" ht="12.75" customHeight="1" x14ac:dyDescent="0.3">
      <c r="CK5848" s="666"/>
    </row>
    <row r="5849" spans="89:89" s="299" customFormat="1" ht="12.75" customHeight="1" x14ac:dyDescent="0.3">
      <c r="CK5849" s="666"/>
    </row>
    <row r="5850" spans="89:89" s="299" customFormat="1" ht="12.75" customHeight="1" x14ac:dyDescent="0.3">
      <c r="CK5850" s="666"/>
    </row>
    <row r="5851" spans="89:89" s="299" customFormat="1" ht="12.75" customHeight="1" x14ac:dyDescent="0.3">
      <c r="CK5851" s="666"/>
    </row>
    <row r="5852" spans="89:89" s="299" customFormat="1" ht="12.75" customHeight="1" x14ac:dyDescent="0.3">
      <c r="CK5852" s="666"/>
    </row>
    <row r="5853" spans="89:89" s="299" customFormat="1" ht="12.75" customHeight="1" x14ac:dyDescent="0.3">
      <c r="CK5853" s="666"/>
    </row>
    <row r="5854" spans="89:89" s="299" customFormat="1" ht="12.75" customHeight="1" x14ac:dyDescent="0.3">
      <c r="CK5854" s="666"/>
    </row>
    <row r="5855" spans="89:89" s="299" customFormat="1" ht="12.75" customHeight="1" x14ac:dyDescent="0.3">
      <c r="CK5855" s="666"/>
    </row>
    <row r="5856" spans="89:89" s="299" customFormat="1" ht="12.75" customHeight="1" x14ac:dyDescent="0.3">
      <c r="CK5856" s="666"/>
    </row>
    <row r="5857" spans="89:89" s="299" customFormat="1" ht="12.75" customHeight="1" x14ac:dyDescent="0.3">
      <c r="CK5857" s="666"/>
    </row>
    <row r="5858" spans="89:89" s="299" customFormat="1" ht="12.75" customHeight="1" x14ac:dyDescent="0.3">
      <c r="CK5858" s="666"/>
    </row>
    <row r="5859" spans="89:89" s="299" customFormat="1" ht="12.75" customHeight="1" x14ac:dyDescent="0.3">
      <c r="CK5859" s="666"/>
    </row>
    <row r="5860" spans="89:89" s="299" customFormat="1" ht="12.75" customHeight="1" x14ac:dyDescent="0.3">
      <c r="CK5860" s="666"/>
    </row>
    <row r="5861" spans="89:89" s="299" customFormat="1" ht="12.75" customHeight="1" x14ac:dyDescent="0.3">
      <c r="CK5861" s="666"/>
    </row>
    <row r="5862" spans="89:89" s="299" customFormat="1" ht="12.75" customHeight="1" x14ac:dyDescent="0.3">
      <c r="CK5862" s="666"/>
    </row>
    <row r="5863" spans="89:89" s="299" customFormat="1" ht="12.75" customHeight="1" x14ac:dyDescent="0.3">
      <c r="CK5863" s="666"/>
    </row>
    <row r="5864" spans="89:89" s="299" customFormat="1" ht="12.75" customHeight="1" x14ac:dyDescent="0.3">
      <c r="CK5864" s="666"/>
    </row>
    <row r="5865" spans="89:89" s="299" customFormat="1" ht="12.75" customHeight="1" x14ac:dyDescent="0.3">
      <c r="CK5865" s="666"/>
    </row>
    <row r="5866" spans="89:89" s="299" customFormat="1" ht="12.75" customHeight="1" x14ac:dyDescent="0.3">
      <c r="CK5866" s="666"/>
    </row>
    <row r="5867" spans="89:89" s="299" customFormat="1" ht="12.75" customHeight="1" x14ac:dyDescent="0.3">
      <c r="CK5867" s="666"/>
    </row>
    <row r="5868" spans="89:89" s="299" customFormat="1" ht="12.75" customHeight="1" x14ac:dyDescent="0.3">
      <c r="CK5868" s="666"/>
    </row>
    <row r="5869" spans="89:89" s="299" customFormat="1" ht="12.75" customHeight="1" x14ac:dyDescent="0.3">
      <c r="CK5869" s="666"/>
    </row>
    <row r="5870" spans="89:89" s="299" customFormat="1" ht="12.75" customHeight="1" x14ac:dyDescent="0.3">
      <c r="CK5870" s="666"/>
    </row>
    <row r="5871" spans="89:89" s="299" customFormat="1" ht="12.75" customHeight="1" x14ac:dyDescent="0.3">
      <c r="CK5871" s="666"/>
    </row>
    <row r="5872" spans="89:89" s="299" customFormat="1" ht="12.75" customHeight="1" x14ac:dyDescent="0.3">
      <c r="CK5872" s="666"/>
    </row>
    <row r="5873" spans="89:89" s="299" customFormat="1" ht="12.75" customHeight="1" x14ac:dyDescent="0.3">
      <c r="CK5873" s="666"/>
    </row>
    <row r="5874" spans="89:89" s="299" customFormat="1" ht="12.75" customHeight="1" x14ac:dyDescent="0.3">
      <c r="CK5874" s="666"/>
    </row>
    <row r="5875" spans="89:89" s="299" customFormat="1" ht="12.75" customHeight="1" x14ac:dyDescent="0.3">
      <c r="CK5875" s="666"/>
    </row>
    <row r="5876" spans="89:89" s="299" customFormat="1" ht="12.75" customHeight="1" x14ac:dyDescent="0.3">
      <c r="CK5876" s="666"/>
    </row>
    <row r="5877" spans="89:89" s="299" customFormat="1" ht="12.75" customHeight="1" x14ac:dyDescent="0.3">
      <c r="CK5877" s="666"/>
    </row>
    <row r="5878" spans="89:89" s="299" customFormat="1" ht="12.75" customHeight="1" x14ac:dyDescent="0.3">
      <c r="CK5878" s="666"/>
    </row>
    <row r="5879" spans="89:89" s="299" customFormat="1" ht="12.75" customHeight="1" x14ac:dyDescent="0.3">
      <c r="CK5879" s="666"/>
    </row>
    <row r="5880" spans="89:89" s="299" customFormat="1" ht="12.75" customHeight="1" x14ac:dyDescent="0.3">
      <c r="CK5880" s="666"/>
    </row>
    <row r="5881" spans="89:89" s="299" customFormat="1" ht="12.75" customHeight="1" x14ac:dyDescent="0.3">
      <c r="CK5881" s="666"/>
    </row>
    <row r="5882" spans="89:89" s="299" customFormat="1" ht="12.75" customHeight="1" x14ac:dyDescent="0.3">
      <c r="CK5882" s="666"/>
    </row>
    <row r="5883" spans="89:89" s="299" customFormat="1" ht="12.75" customHeight="1" x14ac:dyDescent="0.3">
      <c r="CK5883" s="666"/>
    </row>
    <row r="5884" spans="89:89" s="299" customFormat="1" ht="12.75" customHeight="1" x14ac:dyDescent="0.3">
      <c r="CK5884" s="666"/>
    </row>
    <row r="5885" spans="89:89" s="299" customFormat="1" ht="12.75" customHeight="1" x14ac:dyDescent="0.3">
      <c r="CK5885" s="666"/>
    </row>
    <row r="5886" spans="89:89" s="299" customFormat="1" ht="12.75" customHeight="1" x14ac:dyDescent="0.3">
      <c r="CK5886" s="666"/>
    </row>
    <row r="5887" spans="89:89" s="299" customFormat="1" ht="12.75" customHeight="1" x14ac:dyDescent="0.3">
      <c r="CK5887" s="666"/>
    </row>
    <row r="5888" spans="89:89" s="299" customFormat="1" ht="12.75" customHeight="1" x14ac:dyDescent="0.3">
      <c r="CK5888" s="666"/>
    </row>
    <row r="5889" spans="89:89" s="299" customFormat="1" ht="12.75" customHeight="1" x14ac:dyDescent="0.3">
      <c r="CK5889" s="666"/>
    </row>
    <row r="5890" spans="89:89" s="299" customFormat="1" ht="12.75" customHeight="1" x14ac:dyDescent="0.3">
      <c r="CK5890" s="666"/>
    </row>
    <row r="5891" spans="89:89" s="299" customFormat="1" ht="12.75" customHeight="1" x14ac:dyDescent="0.3">
      <c r="CK5891" s="666"/>
    </row>
    <row r="5892" spans="89:89" s="299" customFormat="1" ht="12.75" customHeight="1" x14ac:dyDescent="0.3">
      <c r="CK5892" s="666"/>
    </row>
    <row r="5893" spans="89:89" s="299" customFormat="1" ht="12.75" customHeight="1" x14ac:dyDescent="0.3">
      <c r="CK5893" s="666"/>
    </row>
    <row r="5894" spans="89:89" s="299" customFormat="1" ht="12.75" customHeight="1" x14ac:dyDescent="0.3">
      <c r="CK5894" s="666"/>
    </row>
    <row r="5895" spans="89:89" s="299" customFormat="1" ht="12.75" customHeight="1" x14ac:dyDescent="0.3">
      <c r="CK5895" s="666"/>
    </row>
    <row r="5896" spans="89:89" s="299" customFormat="1" ht="12.75" customHeight="1" x14ac:dyDescent="0.3">
      <c r="CK5896" s="666"/>
    </row>
    <row r="5897" spans="89:89" s="299" customFormat="1" ht="12.75" customHeight="1" x14ac:dyDescent="0.3">
      <c r="CK5897" s="666"/>
    </row>
    <row r="5898" spans="89:89" s="299" customFormat="1" ht="12.75" customHeight="1" x14ac:dyDescent="0.3">
      <c r="CK5898" s="666"/>
    </row>
    <row r="5899" spans="89:89" s="299" customFormat="1" ht="12.75" customHeight="1" x14ac:dyDescent="0.3">
      <c r="CK5899" s="666"/>
    </row>
    <row r="5900" spans="89:89" s="299" customFormat="1" ht="12.75" customHeight="1" x14ac:dyDescent="0.3">
      <c r="CK5900" s="666"/>
    </row>
    <row r="5901" spans="89:89" s="299" customFormat="1" ht="12.75" customHeight="1" x14ac:dyDescent="0.3">
      <c r="CK5901" s="666"/>
    </row>
    <row r="5902" spans="89:89" s="299" customFormat="1" ht="12.75" customHeight="1" x14ac:dyDescent="0.3">
      <c r="CK5902" s="666"/>
    </row>
    <row r="5903" spans="89:89" s="299" customFormat="1" ht="12.75" customHeight="1" x14ac:dyDescent="0.3">
      <c r="CK5903" s="666"/>
    </row>
    <row r="5904" spans="89:89" s="299" customFormat="1" ht="12.75" customHeight="1" x14ac:dyDescent="0.3">
      <c r="CK5904" s="666"/>
    </row>
    <row r="5905" spans="89:89" s="299" customFormat="1" ht="12.75" customHeight="1" x14ac:dyDescent="0.3">
      <c r="CK5905" s="666"/>
    </row>
    <row r="5906" spans="89:89" s="299" customFormat="1" ht="12.75" customHeight="1" x14ac:dyDescent="0.3">
      <c r="CK5906" s="666"/>
    </row>
    <row r="5907" spans="89:89" s="299" customFormat="1" ht="12.75" customHeight="1" x14ac:dyDescent="0.3">
      <c r="CK5907" s="666"/>
    </row>
    <row r="5908" spans="89:89" s="299" customFormat="1" ht="12.75" customHeight="1" x14ac:dyDescent="0.3">
      <c r="CK5908" s="666"/>
    </row>
    <row r="5909" spans="89:89" s="299" customFormat="1" ht="12.75" customHeight="1" x14ac:dyDescent="0.3">
      <c r="CK5909" s="666"/>
    </row>
    <row r="5910" spans="89:89" s="299" customFormat="1" ht="12.75" customHeight="1" x14ac:dyDescent="0.3">
      <c r="CK5910" s="666"/>
    </row>
    <row r="5911" spans="89:89" s="299" customFormat="1" ht="12.75" customHeight="1" x14ac:dyDescent="0.3">
      <c r="CK5911" s="666"/>
    </row>
    <row r="5912" spans="89:89" s="299" customFormat="1" ht="12.75" customHeight="1" x14ac:dyDescent="0.3">
      <c r="CK5912" s="666"/>
    </row>
    <row r="5913" spans="89:89" s="299" customFormat="1" ht="12.75" customHeight="1" x14ac:dyDescent="0.3">
      <c r="CK5913" s="666"/>
    </row>
    <row r="5914" spans="89:89" s="299" customFormat="1" ht="12.75" customHeight="1" x14ac:dyDescent="0.3">
      <c r="CK5914" s="666"/>
    </row>
    <row r="5915" spans="89:89" s="299" customFormat="1" ht="12.75" customHeight="1" x14ac:dyDescent="0.3">
      <c r="CK5915" s="666"/>
    </row>
    <row r="5916" spans="89:89" s="299" customFormat="1" ht="12.75" customHeight="1" x14ac:dyDescent="0.3">
      <c r="CK5916" s="666"/>
    </row>
    <row r="5917" spans="89:89" s="299" customFormat="1" ht="12.75" customHeight="1" x14ac:dyDescent="0.3">
      <c r="CK5917" s="666"/>
    </row>
    <row r="5918" spans="89:89" s="299" customFormat="1" ht="12.75" customHeight="1" x14ac:dyDescent="0.3">
      <c r="CK5918" s="666"/>
    </row>
    <row r="5919" spans="89:89" s="299" customFormat="1" ht="12.75" customHeight="1" x14ac:dyDescent="0.3">
      <c r="CK5919" s="666"/>
    </row>
    <row r="5920" spans="89:89" s="299" customFormat="1" ht="12.75" customHeight="1" x14ac:dyDescent="0.3">
      <c r="CK5920" s="666"/>
    </row>
    <row r="5921" spans="89:89" s="299" customFormat="1" ht="12.75" customHeight="1" x14ac:dyDescent="0.3">
      <c r="CK5921" s="666"/>
    </row>
    <row r="5922" spans="89:89" s="299" customFormat="1" ht="12.75" customHeight="1" x14ac:dyDescent="0.3">
      <c r="CK5922" s="666"/>
    </row>
    <row r="5923" spans="89:89" s="299" customFormat="1" ht="12.75" customHeight="1" x14ac:dyDescent="0.3">
      <c r="CK5923" s="666"/>
    </row>
    <row r="5924" spans="89:89" s="299" customFormat="1" ht="12.75" customHeight="1" x14ac:dyDescent="0.3">
      <c r="CK5924" s="666"/>
    </row>
    <row r="5925" spans="89:89" s="299" customFormat="1" ht="12.75" customHeight="1" x14ac:dyDescent="0.3">
      <c r="CK5925" s="666"/>
    </row>
    <row r="5926" spans="89:89" s="299" customFormat="1" ht="12.75" customHeight="1" x14ac:dyDescent="0.3">
      <c r="CK5926" s="666"/>
    </row>
    <row r="5927" spans="89:89" s="299" customFormat="1" ht="12.75" customHeight="1" x14ac:dyDescent="0.3">
      <c r="CK5927" s="666"/>
    </row>
    <row r="5928" spans="89:89" s="299" customFormat="1" ht="12.75" customHeight="1" x14ac:dyDescent="0.3">
      <c r="CK5928" s="666"/>
    </row>
    <row r="5929" spans="89:89" s="299" customFormat="1" ht="12.75" customHeight="1" x14ac:dyDescent="0.3">
      <c r="CK5929" s="666"/>
    </row>
    <row r="5930" spans="89:89" s="299" customFormat="1" ht="12.75" customHeight="1" x14ac:dyDescent="0.3">
      <c r="CK5930" s="666"/>
    </row>
    <row r="5931" spans="89:89" s="299" customFormat="1" ht="12.75" customHeight="1" x14ac:dyDescent="0.3">
      <c r="CK5931" s="666"/>
    </row>
    <row r="5932" spans="89:89" s="299" customFormat="1" ht="12.75" customHeight="1" x14ac:dyDescent="0.3">
      <c r="CK5932" s="666"/>
    </row>
    <row r="5933" spans="89:89" s="299" customFormat="1" ht="12.75" customHeight="1" x14ac:dyDescent="0.3">
      <c r="CK5933" s="666"/>
    </row>
    <row r="5934" spans="89:89" s="299" customFormat="1" ht="12.75" customHeight="1" x14ac:dyDescent="0.3">
      <c r="CK5934" s="666"/>
    </row>
    <row r="5935" spans="89:89" s="299" customFormat="1" ht="12.75" customHeight="1" x14ac:dyDescent="0.3">
      <c r="CK5935" s="666"/>
    </row>
    <row r="5936" spans="89:89" s="299" customFormat="1" ht="12.75" customHeight="1" x14ac:dyDescent="0.3">
      <c r="CK5936" s="666"/>
    </row>
    <row r="5937" spans="89:89" s="299" customFormat="1" ht="12.75" customHeight="1" x14ac:dyDescent="0.3">
      <c r="CK5937" s="666"/>
    </row>
    <row r="5938" spans="89:89" s="299" customFormat="1" ht="12.75" customHeight="1" x14ac:dyDescent="0.3">
      <c r="CK5938" s="666"/>
    </row>
    <row r="5939" spans="89:89" s="299" customFormat="1" ht="12.75" customHeight="1" x14ac:dyDescent="0.3">
      <c r="CK5939" s="666"/>
    </row>
    <row r="5940" spans="89:89" s="299" customFormat="1" ht="12.75" customHeight="1" x14ac:dyDescent="0.3">
      <c r="CK5940" s="666"/>
    </row>
    <row r="5941" spans="89:89" s="299" customFormat="1" ht="12.75" customHeight="1" x14ac:dyDescent="0.3">
      <c r="CK5941" s="666"/>
    </row>
    <row r="5942" spans="89:89" s="299" customFormat="1" ht="12.75" customHeight="1" x14ac:dyDescent="0.3">
      <c r="CK5942" s="666"/>
    </row>
    <row r="5943" spans="89:89" s="299" customFormat="1" ht="12.75" customHeight="1" x14ac:dyDescent="0.3">
      <c r="CK5943" s="666"/>
    </row>
    <row r="5944" spans="89:89" s="299" customFormat="1" ht="12.75" customHeight="1" x14ac:dyDescent="0.3">
      <c r="CK5944" s="666"/>
    </row>
    <row r="5945" spans="89:89" s="299" customFormat="1" ht="12.75" customHeight="1" x14ac:dyDescent="0.3">
      <c r="CK5945" s="666"/>
    </row>
    <row r="5946" spans="89:89" s="299" customFormat="1" ht="12.75" customHeight="1" x14ac:dyDescent="0.3">
      <c r="CK5946" s="666"/>
    </row>
    <row r="5947" spans="89:89" s="299" customFormat="1" ht="12.75" customHeight="1" x14ac:dyDescent="0.3">
      <c r="CK5947" s="666"/>
    </row>
    <row r="5948" spans="89:89" s="299" customFormat="1" ht="12.75" customHeight="1" x14ac:dyDescent="0.3">
      <c r="CK5948" s="666"/>
    </row>
    <row r="5949" spans="89:89" s="299" customFormat="1" ht="12.75" customHeight="1" x14ac:dyDescent="0.3">
      <c r="CK5949" s="666"/>
    </row>
    <row r="5950" spans="89:89" s="299" customFormat="1" ht="12.75" customHeight="1" x14ac:dyDescent="0.3">
      <c r="CK5950" s="666"/>
    </row>
    <row r="5951" spans="89:89" s="299" customFormat="1" ht="12.75" customHeight="1" x14ac:dyDescent="0.3">
      <c r="CK5951" s="666"/>
    </row>
    <row r="5952" spans="89:89" s="299" customFormat="1" ht="12.75" customHeight="1" x14ac:dyDescent="0.3">
      <c r="CK5952" s="666"/>
    </row>
    <row r="5953" spans="89:89" s="299" customFormat="1" ht="12.75" customHeight="1" x14ac:dyDescent="0.3">
      <c r="CK5953" s="666"/>
    </row>
    <row r="5954" spans="89:89" s="299" customFormat="1" ht="12.75" customHeight="1" x14ac:dyDescent="0.3">
      <c r="CK5954" s="666"/>
    </row>
    <row r="5955" spans="89:89" s="299" customFormat="1" ht="12.75" customHeight="1" x14ac:dyDescent="0.3">
      <c r="CK5955" s="666"/>
    </row>
    <row r="5956" spans="89:89" s="299" customFormat="1" ht="12.75" customHeight="1" x14ac:dyDescent="0.3">
      <c r="CK5956" s="666"/>
    </row>
    <row r="5957" spans="89:89" s="299" customFormat="1" ht="12.75" customHeight="1" x14ac:dyDescent="0.3">
      <c r="CK5957" s="666"/>
    </row>
    <row r="5958" spans="89:89" s="299" customFormat="1" ht="12.75" customHeight="1" x14ac:dyDescent="0.3">
      <c r="CK5958" s="666"/>
    </row>
    <row r="5959" spans="89:89" s="299" customFormat="1" ht="12.75" customHeight="1" x14ac:dyDescent="0.3">
      <c r="CK5959" s="666"/>
    </row>
    <row r="5960" spans="89:89" s="299" customFormat="1" ht="12.75" customHeight="1" x14ac:dyDescent="0.3">
      <c r="CK5960" s="666"/>
    </row>
    <row r="5961" spans="89:89" s="299" customFormat="1" ht="12.75" customHeight="1" x14ac:dyDescent="0.3">
      <c r="CK5961" s="666"/>
    </row>
    <row r="5962" spans="89:89" s="299" customFormat="1" ht="12.75" customHeight="1" x14ac:dyDescent="0.3">
      <c r="CK5962" s="666"/>
    </row>
    <row r="5963" spans="89:89" s="299" customFormat="1" ht="12.75" customHeight="1" x14ac:dyDescent="0.3">
      <c r="CK5963" s="666"/>
    </row>
    <row r="5964" spans="89:89" s="299" customFormat="1" ht="12.75" customHeight="1" x14ac:dyDescent="0.3">
      <c r="CK5964" s="666"/>
    </row>
    <row r="5965" spans="89:89" s="299" customFormat="1" ht="12.75" customHeight="1" x14ac:dyDescent="0.3">
      <c r="CK5965" s="666"/>
    </row>
    <row r="5966" spans="89:89" s="299" customFormat="1" ht="12.75" customHeight="1" x14ac:dyDescent="0.3">
      <c r="CK5966" s="666"/>
    </row>
    <row r="5967" spans="89:89" s="299" customFormat="1" ht="12.75" customHeight="1" x14ac:dyDescent="0.3">
      <c r="CK5967" s="666"/>
    </row>
    <row r="5968" spans="89:89" s="299" customFormat="1" ht="12.75" customHeight="1" x14ac:dyDescent="0.3">
      <c r="CK5968" s="666"/>
    </row>
    <row r="5969" spans="89:89" s="299" customFormat="1" ht="12.75" customHeight="1" x14ac:dyDescent="0.3">
      <c r="CK5969" s="666"/>
    </row>
    <row r="5970" spans="89:89" s="299" customFormat="1" ht="12.75" customHeight="1" x14ac:dyDescent="0.3">
      <c r="CK5970" s="666"/>
    </row>
    <row r="5971" spans="89:89" s="299" customFormat="1" ht="12.75" customHeight="1" x14ac:dyDescent="0.3">
      <c r="CK5971" s="666"/>
    </row>
    <row r="5972" spans="89:89" s="299" customFormat="1" ht="12.75" customHeight="1" x14ac:dyDescent="0.3">
      <c r="CK5972" s="666"/>
    </row>
    <row r="5973" spans="89:89" s="299" customFormat="1" ht="12.75" customHeight="1" x14ac:dyDescent="0.3">
      <c r="CK5973" s="666"/>
    </row>
    <row r="5974" spans="89:89" s="299" customFormat="1" ht="12.75" customHeight="1" x14ac:dyDescent="0.3">
      <c r="CK5974" s="666"/>
    </row>
    <row r="5975" spans="89:89" s="299" customFormat="1" ht="12.75" customHeight="1" x14ac:dyDescent="0.3">
      <c r="CK5975" s="666"/>
    </row>
    <row r="5976" spans="89:89" s="299" customFormat="1" ht="12.75" customHeight="1" x14ac:dyDescent="0.3">
      <c r="CK5976" s="666"/>
    </row>
    <row r="5977" spans="89:89" s="299" customFormat="1" ht="12.75" customHeight="1" x14ac:dyDescent="0.3">
      <c r="CK5977" s="666"/>
    </row>
    <row r="5978" spans="89:89" s="299" customFormat="1" ht="12.75" customHeight="1" x14ac:dyDescent="0.3">
      <c r="CK5978" s="666"/>
    </row>
    <row r="5979" spans="89:89" s="299" customFormat="1" ht="12.75" customHeight="1" x14ac:dyDescent="0.3">
      <c r="CK5979" s="666"/>
    </row>
    <row r="5980" spans="89:89" s="299" customFormat="1" ht="12.75" customHeight="1" x14ac:dyDescent="0.3">
      <c r="CK5980" s="666"/>
    </row>
    <row r="5981" spans="89:89" s="299" customFormat="1" ht="12.75" customHeight="1" x14ac:dyDescent="0.3">
      <c r="CK5981" s="666"/>
    </row>
    <row r="5982" spans="89:89" s="299" customFormat="1" ht="12.75" customHeight="1" x14ac:dyDescent="0.3">
      <c r="CK5982" s="666"/>
    </row>
    <row r="5983" spans="89:89" s="299" customFormat="1" ht="12.75" customHeight="1" x14ac:dyDescent="0.3">
      <c r="CK5983" s="666"/>
    </row>
    <row r="5984" spans="89:89" s="299" customFormat="1" ht="12.75" customHeight="1" x14ac:dyDescent="0.3">
      <c r="CK5984" s="666"/>
    </row>
    <row r="5985" spans="89:89" s="299" customFormat="1" ht="12.75" customHeight="1" x14ac:dyDescent="0.3">
      <c r="CK5985" s="666"/>
    </row>
    <row r="5986" spans="89:89" s="299" customFormat="1" ht="12.75" customHeight="1" x14ac:dyDescent="0.3">
      <c r="CK5986" s="666"/>
    </row>
    <row r="5987" spans="89:89" s="299" customFormat="1" ht="12.75" customHeight="1" x14ac:dyDescent="0.3">
      <c r="CK5987" s="666"/>
    </row>
    <row r="5988" spans="89:89" s="299" customFormat="1" ht="12.75" customHeight="1" x14ac:dyDescent="0.3">
      <c r="CK5988" s="666"/>
    </row>
    <row r="5989" spans="89:89" s="299" customFormat="1" ht="12.75" customHeight="1" x14ac:dyDescent="0.3">
      <c r="CK5989" s="666"/>
    </row>
    <row r="5990" spans="89:89" s="299" customFormat="1" ht="12.75" customHeight="1" x14ac:dyDescent="0.3">
      <c r="CK5990" s="666"/>
    </row>
    <row r="5991" spans="89:89" s="299" customFormat="1" ht="12.75" customHeight="1" x14ac:dyDescent="0.3">
      <c r="CK5991" s="666"/>
    </row>
    <row r="5992" spans="89:89" s="299" customFormat="1" ht="12.75" customHeight="1" x14ac:dyDescent="0.3">
      <c r="CK5992" s="666"/>
    </row>
    <row r="5993" spans="89:89" s="299" customFormat="1" ht="12.75" customHeight="1" x14ac:dyDescent="0.3">
      <c r="CK5993" s="666"/>
    </row>
    <row r="5994" spans="89:89" s="299" customFormat="1" ht="12.75" customHeight="1" x14ac:dyDescent="0.3">
      <c r="CK5994" s="666"/>
    </row>
    <row r="5995" spans="89:89" s="299" customFormat="1" ht="12.75" customHeight="1" x14ac:dyDescent="0.3">
      <c r="CK5995" s="666"/>
    </row>
    <row r="5996" spans="89:89" s="299" customFormat="1" ht="12.75" customHeight="1" x14ac:dyDescent="0.3">
      <c r="CK5996" s="666"/>
    </row>
    <row r="5997" spans="89:89" s="299" customFormat="1" ht="12.75" customHeight="1" x14ac:dyDescent="0.3">
      <c r="CK5997" s="666"/>
    </row>
    <row r="5998" spans="89:89" s="299" customFormat="1" ht="12.75" customHeight="1" x14ac:dyDescent="0.3">
      <c r="CK5998" s="666"/>
    </row>
    <row r="5999" spans="89:89" s="299" customFormat="1" ht="12.75" customHeight="1" x14ac:dyDescent="0.3">
      <c r="CK5999" s="666"/>
    </row>
    <row r="6000" spans="89:89" s="299" customFormat="1" ht="12.75" customHeight="1" x14ac:dyDescent="0.3">
      <c r="CK6000" s="666"/>
    </row>
    <row r="6001" spans="89:89" s="299" customFormat="1" ht="12.75" customHeight="1" x14ac:dyDescent="0.3">
      <c r="CK6001" s="666"/>
    </row>
    <row r="6002" spans="89:89" s="299" customFormat="1" ht="12.75" customHeight="1" x14ac:dyDescent="0.3">
      <c r="CK6002" s="666"/>
    </row>
    <row r="6003" spans="89:89" s="299" customFormat="1" ht="12.75" customHeight="1" x14ac:dyDescent="0.3">
      <c r="CK6003" s="666"/>
    </row>
    <row r="6004" spans="89:89" s="299" customFormat="1" ht="12.75" customHeight="1" x14ac:dyDescent="0.3">
      <c r="CK6004" s="666"/>
    </row>
    <row r="6005" spans="89:89" s="299" customFormat="1" ht="12.75" customHeight="1" x14ac:dyDescent="0.3">
      <c r="CK6005" s="666"/>
    </row>
    <row r="6006" spans="89:89" s="299" customFormat="1" ht="12.75" customHeight="1" x14ac:dyDescent="0.3">
      <c r="CK6006" s="666"/>
    </row>
    <row r="6007" spans="89:89" s="299" customFormat="1" ht="12.75" customHeight="1" x14ac:dyDescent="0.3">
      <c r="CK6007" s="666"/>
    </row>
    <row r="6008" spans="89:89" s="299" customFormat="1" ht="12.75" customHeight="1" x14ac:dyDescent="0.3">
      <c r="CK6008" s="666"/>
    </row>
    <row r="6009" spans="89:89" s="299" customFormat="1" ht="12.75" customHeight="1" x14ac:dyDescent="0.3">
      <c r="CK6009" s="666"/>
    </row>
    <row r="6010" spans="89:89" s="299" customFormat="1" ht="12.75" customHeight="1" x14ac:dyDescent="0.3">
      <c r="CK6010" s="666"/>
    </row>
    <row r="6011" spans="89:89" s="299" customFormat="1" ht="12.75" customHeight="1" x14ac:dyDescent="0.3">
      <c r="CK6011" s="666"/>
    </row>
    <row r="6012" spans="89:89" s="299" customFormat="1" ht="12.75" customHeight="1" x14ac:dyDescent="0.3">
      <c r="CK6012" s="666"/>
    </row>
    <row r="6013" spans="89:89" s="299" customFormat="1" ht="12.75" customHeight="1" x14ac:dyDescent="0.3">
      <c r="CK6013" s="666"/>
    </row>
    <row r="6014" spans="89:89" s="299" customFormat="1" ht="12.75" customHeight="1" x14ac:dyDescent="0.3">
      <c r="CK6014" s="666"/>
    </row>
    <row r="6015" spans="89:89" s="299" customFormat="1" ht="12.75" customHeight="1" x14ac:dyDescent="0.3">
      <c r="CK6015" s="666"/>
    </row>
    <row r="6016" spans="89:89" s="299" customFormat="1" ht="12.75" customHeight="1" x14ac:dyDescent="0.3">
      <c r="CK6016" s="666"/>
    </row>
    <row r="6017" spans="89:89" s="299" customFormat="1" ht="12.75" customHeight="1" x14ac:dyDescent="0.3">
      <c r="CK6017" s="666"/>
    </row>
    <row r="6018" spans="89:89" s="299" customFormat="1" ht="12.75" customHeight="1" x14ac:dyDescent="0.3">
      <c r="CK6018" s="666"/>
    </row>
    <row r="6019" spans="89:89" s="299" customFormat="1" ht="12.75" customHeight="1" x14ac:dyDescent="0.3">
      <c r="CK6019" s="666"/>
    </row>
    <row r="6020" spans="89:89" s="299" customFormat="1" ht="12.75" customHeight="1" x14ac:dyDescent="0.3">
      <c r="CK6020" s="666"/>
    </row>
    <row r="6021" spans="89:89" s="299" customFormat="1" ht="12.75" customHeight="1" x14ac:dyDescent="0.3">
      <c r="CK6021" s="666"/>
    </row>
    <row r="6022" spans="89:89" s="299" customFormat="1" ht="12.75" customHeight="1" x14ac:dyDescent="0.3">
      <c r="CK6022" s="666"/>
    </row>
    <row r="6023" spans="89:89" s="299" customFormat="1" ht="12.75" customHeight="1" x14ac:dyDescent="0.3">
      <c r="CK6023" s="666"/>
    </row>
    <row r="6024" spans="89:89" s="299" customFormat="1" ht="12.75" customHeight="1" x14ac:dyDescent="0.3">
      <c r="CK6024" s="666"/>
    </row>
    <row r="6025" spans="89:89" s="299" customFormat="1" ht="12.75" customHeight="1" x14ac:dyDescent="0.3">
      <c r="CK6025" s="666"/>
    </row>
    <row r="6026" spans="89:89" s="299" customFormat="1" ht="12.75" customHeight="1" x14ac:dyDescent="0.3">
      <c r="CK6026" s="666"/>
    </row>
    <row r="6027" spans="89:89" s="299" customFormat="1" ht="12.75" customHeight="1" x14ac:dyDescent="0.3">
      <c r="CK6027" s="666"/>
    </row>
    <row r="6028" spans="89:89" s="299" customFormat="1" ht="12.75" customHeight="1" x14ac:dyDescent="0.3">
      <c r="CK6028" s="666"/>
    </row>
    <row r="6029" spans="89:89" s="299" customFormat="1" ht="12.75" customHeight="1" x14ac:dyDescent="0.3">
      <c r="CK6029" s="666"/>
    </row>
    <row r="6030" spans="89:89" s="299" customFormat="1" ht="12.75" customHeight="1" x14ac:dyDescent="0.3">
      <c r="CK6030" s="666"/>
    </row>
    <row r="6031" spans="89:89" s="299" customFormat="1" ht="12.75" customHeight="1" x14ac:dyDescent="0.3">
      <c r="CK6031" s="666"/>
    </row>
    <row r="6032" spans="89:89" s="299" customFormat="1" ht="12.75" customHeight="1" x14ac:dyDescent="0.3">
      <c r="CK6032" s="666"/>
    </row>
    <row r="6033" spans="89:89" s="299" customFormat="1" ht="12.75" customHeight="1" x14ac:dyDescent="0.3">
      <c r="CK6033" s="666"/>
    </row>
    <row r="6034" spans="89:89" s="299" customFormat="1" ht="12.75" customHeight="1" x14ac:dyDescent="0.3">
      <c r="CK6034" s="666"/>
    </row>
    <row r="6035" spans="89:89" s="299" customFormat="1" ht="12.75" customHeight="1" x14ac:dyDescent="0.3">
      <c r="CK6035" s="666"/>
    </row>
    <row r="6036" spans="89:89" s="299" customFormat="1" ht="12.75" customHeight="1" x14ac:dyDescent="0.3">
      <c r="CK6036" s="666"/>
    </row>
    <row r="6037" spans="89:89" s="299" customFormat="1" ht="12.75" customHeight="1" x14ac:dyDescent="0.3">
      <c r="CK6037" s="666"/>
    </row>
    <row r="6038" spans="89:89" s="299" customFormat="1" ht="12.75" customHeight="1" x14ac:dyDescent="0.3">
      <c r="CK6038" s="666"/>
    </row>
    <row r="6039" spans="89:89" s="299" customFormat="1" ht="12.75" customHeight="1" x14ac:dyDescent="0.3">
      <c r="CK6039" s="666"/>
    </row>
    <row r="6040" spans="89:89" s="299" customFormat="1" ht="12.75" customHeight="1" x14ac:dyDescent="0.3">
      <c r="CK6040" s="666"/>
    </row>
    <row r="6041" spans="89:89" s="299" customFormat="1" ht="12.75" customHeight="1" x14ac:dyDescent="0.3">
      <c r="CK6041" s="666"/>
    </row>
    <row r="6042" spans="89:89" s="299" customFormat="1" ht="12.75" customHeight="1" x14ac:dyDescent="0.3">
      <c r="CK6042" s="666"/>
    </row>
    <row r="6043" spans="89:89" s="299" customFormat="1" ht="12.75" customHeight="1" x14ac:dyDescent="0.3">
      <c r="CK6043" s="666"/>
    </row>
    <row r="6044" spans="89:89" s="299" customFormat="1" ht="12.75" customHeight="1" x14ac:dyDescent="0.3">
      <c r="CK6044" s="666"/>
    </row>
    <row r="6045" spans="89:89" s="299" customFormat="1" ht="12.75" customHeight="1" x14ac:dyDescent="0.3">
      <c r="CK6045" s="666"/>
    </row>
    <row r="6046" spans="89:89" s="299" customFormat="1" ht="12.75" customHeight="1" x14ac:dyDescent="0.3">
      <c r="CK6046" s="666"/>
    </row>
    <row r="6047" spans="89:89" s="299" customFormat="1" ht="12.75" customHeight="1" x14ac:dyDescent="0.3">
      <c r="CK6047" s="666"/>
    </row>
    <row r="6048" spans="89:89" s="299" customFormat="1" ht="12.75" customHeight="1" x14ac:dyDescent="0.3">
      <c r="CK6048" s="666"/>
    </row>
    <row r="6049" spans="89:89" s="299" customFormat="1" ht="12.75" customHeight="1" x14ac:dyDescent="0.3">
      <c r="CK6049" s="666"/>
    </row>
    <row r="6050" spans="89:89" s="299" customFormat="1" ht="12.75" customHeight="1" x14ac:dyDescent="0.3">
      <c r="CK6050" s="666"/>
    </row>
    <row r="6051" spans="89:89" s="299" customFormat="1" ht="12.75" customHeight="1" x14ac:dyDescent="0.3">
      <c r="CK6051" s="666"/>
    </row>
    <row r="6052" spans="89:89" s="299" customFormat="1" ht="12.75" customHeight="1" x14ac:dyDescent="0.3">
      <c r="CK6052" s="666"/>
    </row>
    <row r="6053" spans="89:89" s="299" customFormat="1" ht="12.75" customHeight="1" x14ac:dyDescent="0.3">
      <c r="CK6053" s="666"/>
    </row>
    <row r="6054" spans="89:89" s="299" customFormat="1" ht="12.75" customHeight="1" x14ac:dyDescent="0.3">
      <c r="CK6054" s="666"/>
    </row>
    <row r="6055" spans="89:89" s="299" customFormat="1" ht="12.75" customHeight="1" x14ac:dyDescent="0.3">
      <c r="CK6055" s="666"/>
    </row>
    <row r="6056" spans="89:89" s="299" customFormat="1" ht="12.75" customHeight="1" x14ac:dyDescent="0.3">
      <c r="CK6056" s="666"/>
    </row>
    <row r="6057" spans="89:89" s="299" customFormat="1" ht="12.75" customHeight="1" x14ac:dyDescent="0.3">
      <c r="CK6057" s="666"/>
    </row>
    <row r="6058" spans="89:89" s="299" customFormat="1" ht="12.75" customHeight="1" x14ac:dyDescent="0.3">
      <c r="CK6058" s="666"/>
    </row>
    <row r="6059" spans="89:89" s="299" customFormat="1" ht="12.75" customHeight="1" x14ac:dyDescent="0.3">
      <c r="CK6059" s="666"/>
    </row>
    <row r="6060" spans="89:89" s="299" customFormat="1" ht="12.75" customHeight="1" x14ac:dyDescent="0.3">
      <c r="CK6060" s="666"/>
    </row>
    <row r="6061" spans="89:89" s="299" customFormat="1" ht="12.75" customHeight="1" x14ac:dyDescent="0.3">
      <c r="CK6061" s="666"/>
    </row>
    <row r="6062" spans="89:89" s="299" customFormat="1" ht="12.75" customHeight="1" x14ac:dyDescent="0.3">
      <c r="CK6062" s="666"/>
    </row>
    <row r="6063" spans="89:89" s="299" customFormat="1" ht="12.75" customHeight="1" x14ac:dyDescent="0.3">
      <c r="CK6063" s="666"/>
    </row>
    <row r="6064" spans="89:89" s="299" customFormat="1" ht="12.75" customHeight="1" x14ac:dyDescent="0.3">
      <c r="CK6064" s="666"/>
    </row>
    <row r="6065" spans="89:89" s="299" customFormat="1" ht="12.75" customHeight="1" x14ac:dyDescent="0.3">
      <c r="CK6065" s="666"/>
    </row>
    <row r="6066" spans="89:89" s="299" customFormat="1" ht="12.75" customHeight="1" x14ac:dyDescent="0.3">
      <c r="CK6066" s="666"/>
    </row>
    <row r="6067" spans="89:89" s="299" customFormat="1" ht="12.75" customHeight="1" x14ac:dyDescent="0.3">
      <c r="CK6067" s="666"/>
    </row>
    <row r="6068" spans="89:89" s="299" customFormat="1" ht="12.75" customHeight="1" x14ac:dyDescent="0.3">
      <c r="CK6068" s="666"/>
    </row>
    <row r="6069" spans="89:89" s="299" customFormat="1" ht="12.75" customHeight="1" x14ac:dyDescent="0.3">
      <c r="CK6069" s="666"/>
    </row>
    <row r="6070" spans="89:89" s="299" customFormat="1" ht="12.75" customHeight="1" x14ac:dyDescent="0.3">
      <c r="CK6070" s="666"/>
    </row>
    <row r="6071" spans="89:89" s="299" customFormat="1" ht="12.75" customHeight="1" x14ac:dyDescent="0.3">
      <c r="CK6071" s="666"/>
    </row>
    <row r="6072" spans="89:89" s="299" customFormat="1" ht="12.75" customHeight="1" x14ac:dyDescent="0.3">
      <c r="CK6072" s="666"/>
    </row>
    <row r="6073" spans="89:89" s="299" customFormat="1" ht="12.75" customHeight="1" x14ac:dyDescent="0.3">
      <c r="CK6073" s="666"/>
    </row>
    <row r="6074" spans="89:89" s="299" customFormat="1" ht="12.75" customHeight="1" x14ac:dyDescent="0.3">
      <c r="CK6074" s="666"/>
    </row>
    <row r="6075" spans="89:89" s="299" customFormat="1" ht="12.75" customHeight="1" x14ac:dyDescent="0.3">
      <c r="CK6075" s="666"/>
    </row>
    <row r="6076" spans="89:89" s="299" customFormat="1" ht="12.75" customHeight="1" x14ac:dyDescent="0.3">
      <c r="CK6076" s="666"/>
    </row>
    <row r="6077" spans="89:89" s="299" customFormat="1" ht="12.75" customHeight="1" x14ac:dyDescent="0.3">
      <c r="CK6077" s="666"/>
    </row>
    <row r="6078" spans="89:89" s="299" customFormat="1" ht="12.75" customHeight="1" x14ac:dyDescent="0.3">
      <c r="CK6078" s="666"/>
    </row>
    <row r="6079" spans="89:89" s="299" customFormat="1" ht="12.75" customHeight="1" x14ac:dyDescent="0.3">
      <c r="CK6079" s="666"/>
    </row>
    <row r="6080" spans="89:89" s="299" customFormat="1" ht="12.75" customHeight="1" x14ac:dyDescent="0.3">
      <c r="CK6080" s="666"/>
    </row>
    <row r="6081" spans="89:89" s="299" customFormat="1" ht="12.75" customHeight="1" x14ac:dyDescent="0.3">
      <c r="CK6081" s="666"/>
    </row>
    <row r="6082" spans="89:89" s="299" customFormat="1" ht="12.75" customHeight="1" x14ac:dyDescent="0.3">
      <c r="CK6082" s="666"/>
    </row>
    <row r="6083" spans="89:89" s="299" customFormat="1" ht="12.75" customHeight="1" x14ac:dyDescent="0.3">
      <c r="CK6083" s="666"/>
    </row>
    <row r="6084" spans="89:89" s="299" customFormat="1" ht="12.75" customHeight="1" x14ac:dyDescent="0.3">
      <c r="CK6084" s="666"/>
    </row>
    <row r="6085" spans="89:89" s="299" customFormat="1" ht="12.75" customHeight="1" x14ac:dyDescent="0.3">
      <c r="CK6085" s="666"/>
    </row>
    <row r="6086" spans="89:89" s="299" customFormat="1" ht="12.75" customHeight="1" x14ac:dyDescent="0.3">
      <c r="CK6086" s="666"/>
    </row>
    <row r="6087" spans="89:89" s="299" customFormat="1" ht="12.75" customHeight="1" x14ac:dyDescent="0.3">
      <c r="CK6087" s="666"/>
    </row>
    <row r="6088" spans="89:89" s="299" customFormat="1" ht="12.75" customHeight="1" x14ac:dyDescent="0.3">
      <c r="CK6088" s="666"/>
    </row>
    <row r="6089" spans="89:89" s="299" customFormat="1" ht="12.75" customHeight="1" x14ac:dyDescent="0.3">
      <c r="CK6089" s="666"/>
    </row>
    <row r="6090" spans="89:89" s="299" customFormat="1" ht="12.75" customHeight="1" x14ac:dyDescent="0.3">
      <c r="CK6090" s="666"/>
    </row>
    <row r="6091" spans="89:89" s="299" customFormat="1" ht="12.75" customHeight="1" x14ac:dyDescent="0.3">
      <c r="CK6091" s="666"/>
    </row>
    <row r="6092" spans="89:89" s="299" customFormat="1" ht="12.75" customHeight="1" x14ac:dyDescent="0.3">
      <c r="CK6092" s="666"/>
    </row>
    <row r="6093" spans="89:89" s="299" customFormat="1" ht="12.75" customHeight="1" x14ac:dyDescent="0.3">
      <c r="CK6093" s="666"/>
    </row>
    <row r="6094" spans="89:89" s="299" customFormat="1" ht="12.75" customHeight="1" x14ac:dyDescent="0.3">
      <c r="CK6094" s="666"/>
    </row>
    <row r="6095" spans="89:89" s="299" customFormat="1" ht="12.75" customHeight="1" x14ac:dyDescent="0.3">
      <c r="CK6095" s="666"/>
    </row>
    <row r="6096" spans="89:89" s="299" customFormat="1" ht="12.75" customHeight="1" x14ac:dyDescent="0.3">
      <c r="CK6096" s="666"/>
    </row>
    <row r="6097" spans="89:89" s="299" customFormat="1" ht="12.75" customHeight="1" x14ac:dyDescent="0.3">
      <c r="CK6097" s="666"/>
    </row>
    <row r="6098" spans="89:89" s="299" customFormat="1" ht="12.75" customHeight="1" x14ac:dyDescent="0.3">
      <c r="CK6098" s="666"/>
    </row>
    <row r="6099" spans="89:89" s="299" customFormat="1" ht="12.75" customHeight="1" x14ac:dyDescent="0.3">
      <c r="CK6099" s="666"/>
    </row>
    <row r="6100" spans="89:89" s="299" customFormat="1" ht="12.75" customHeight="1" x14ac:dyDescent="0.3">
      <c r="CK6100" s="666"/>
    </row>
    <row r="6101" spans="89:89" s="299" customFormat="1" ht="12.75" customHeight="1" x14ac:dyDescent="0.3">
      <c r="CK6101" s="666"/>
    </row>
    <row r="6102" spans="89:89" s="299" customFormat="1" ht="12.75" customHeight="1" x14ac:dyDescent="0.3">
      <c r="CK6102" s="666"/>
    </row>
    <row r="6103" spans="89:89" s="299" customFormat="1" ht="12.75" customHeight="1" x14ac:dyDescent="0.3">
      <c r="CK6103" s="666"/>
    </row>
    <row r="6104" spans="89:89" s="299" customFormat="1" ht="12.75" customHeight="1" x14ac:dyDescent="0.3">
      <c r="CK6104" s="666"/>
    </row>
    <row r="6105" spans="89:89" s="299" customFormat="1" ht="12.75" customHeight="1" x14ac:dyDescent="0.3">
      <c r="CK6105" s="666"/>
    </row>
    <row r="6106" spans="89:89" s="299" customFormat="1" ht="12.75" customHeight="1" x14ac:dyDescent="0.3">
      <c r="CK6106" s="666"/>
    </row>
    <row r="6107" spans="89:89" s="299" customFormat="1" ht="12.75" customHeight="1" x14ac:dyDescent="0.3">
      <c r="CK6107" s="666"/>
    </row>
    <row r="6108" spans="89:89" s="299" customFormat="1" ht="12.75" customHeight="1" x14ac:dyDescent="0.3">
      <c r="CK6108" s="666"/>
    </row>
    <row r="6109" spans="89:89" s="299" customFormat="1" ht="12.75" customHeight="1" x14ac:dyDescent="0.3">
      <c r="CK6109" s="666"/>
    </row>
    <row r="6110" spans="89:89" s="299" customFormat="1" ht="12.75" customHeight="1" x14ac:dyDescent="0.3">
      <c r="CK6110" s="666"/>
    </row>
    <row r="6111" spans="89:89" s="299" customFormat="1" ht="12.75" customHeight="1" x14ac:dyDescent="0.3">
      <c r="CK6111" s="666"/>
    </row>
    <row r="6112" spans="89:89" s="299" customFormat="1" ht="12.75" customHeight="1" x14ac:dyDescent="0.3">
      <c r="CK6112" s="666"/>
    </row>
    <row r="6113" spans="89:89" s="299" customFormat="1" ht="12.75" customHeight="1" x14ac:dyDescent="0.3">
      <c r="CK6113" s="666"/>
    </row>
    <row r="6114" spans="89:89" s="299" customFormat="1" ht="12.75" customHeight="1" x14ac:dyDescent="0.3">
      <c r="CK6114" s="666"/>
    </row>
    <row r="6115" spans="89:89" s="299" customFormat="1" ht="12.75" customHeight="1" x14ac:dyDescent="0.3">
      <c r="CK6115" s="666"/>
    </row>
    <row r="6116" spans="89:89" s="299" customFormat="1" ht="12.75" customHeight="1" x14ac:dyDescent="0.3">
      <c r="CK6116" s="666"/>
    </row>
    <row r="6117" spans="89:89" s="299" customFormat="1" ht="12.75" customHeight="1" x14ac:dyDescent="0.3">
      <c r="CK6117" s="666"/>
    </row>
    <row r="6118" spans="89:89" s="299" customFormat="1" ht="12.75" customHeight="1" x14ac:dyDescent="0.3">
      <c r="CK6118" s="666"/>
    </row>
    <row r="6119" spans="89:89" s="299" customFormat="1" ht="12.75" customHeight="1" x14ac:dyDescent="0.3">
      <c r="CK6119" s="666"/>
    </row>
    <row r="6120" spans="89:89" s="299" customFormat="1" ht="12.75" customHeight="1" x14ac:dyDescent="0.3">
      <c r="CK6120" s="666"/>
    </row>
    <row r="6121" spans="89:89" s="299" customFormat="1" ht="12.75" customHeight="1" x14ac:dyDescent="0.3">
      <c r="CK6121" s="666"/>
    </row>
    <row r="6122" spans="89:89" s="299" customFormat="1" ht="12.75" customHeight="1" x14ac:dyDescent="0.3">
      <c r="CK6122" s="666"/>
    </row>
    <row r="6123" spans="89:89" s="299" customFormat="1" ht="12.75" customHeight="1" x14ac:dyDescent="0.3">
      <c r="CK6123" s="666"/>
    </row>
    <row r="6124" spans="89:89" s="299" customFormat="1" ht="12.75" customHeight="1" x14ac:dyDescent="0.3">
      <c r="CK6124" s="666"/>
    </row>
    <row r="6125" spans="89:89" s="299" customFormat="1" ht="12.75" customHeight="1" x14ac:dyDescent="0.3">
      <c r="CK6125" s="666"/>
    </row>
    <row r="6126" spans="89:89" s="299" customFormat="1" ht="12.75" customHeight="1" x14ac:dyDescent="0.3">
      <c r="CK6126" s="666"/>
    </row>
    <row r="6127" spans="89:89" s="299" customFormat="1" ht="12.75" customHeight="1" x14ac:dyDescent="0.3">
      <c r="CK6127" s="666"/>
    </row>
    <row r="6128" spans="89:89" s="299" customFormat="1" ht="12.75" customHeight="1" x14ac:dyDescent="0.3">
      <c r="CK6128" s="666"/>
    </row>
    <row r="6129" spans="89:89" s="299" customFormat="1" ht="12.75" customHeight="1" x14ac:dyDescent="0.3">
      <c r="CK6129" s="666"/>
    </row>
    <row r="6130" spans="89:89" s="299" customFormat="1" ht="12.75" customHeight="1" x14ac:dyDescent="0.3">
      <c r="CK6130" s="666"/>
    </row>
    <row r="6131" spans="89:89" s="299" customFormat="1" ht="12.75" customHeight="1" x14ac:dyDescent="0.3">
      <c r="CK6131" s="666"/>
    </row>
    <row r="6132" spans="89:89" s="299" customFormat="1" ht="12.75" customHeight="1" x14ac:dyDescent="0.3">
      <c r="CK6132" s="666"/>
    </row>
    <row r="6133" spans="89:89" s="299" customFormat="1" ht="12.75" customHeight="1" x14ac:dyDescent="0.3">
      <c r="CK6133" s="666"/>
    </row>
    <row r="6134" spans="89:89" s="299" customFormat="1" ht="12.75" customHeight="1" x14ac:dyDescent="0.3">
      <c r="CK6134" s="666"/>
    </row>
    <row r="6135" spans="89:89" s="299" customFormat="1" ht="12.75" customHeight="1" x14ac:dyDescent="0.3">
      <c r="CK6135" s="666"/>
    </row>
    <row r="6136" spans="89:89" s="299" customFormat="1" ht="12.75" customHeight="1" x14ac:dyDescent="0.3">
      <c r="CK6136" s="666"/>
    </row>
    <row r="6137" spans="89:89" s="299" customFormat="1" ht="12.75" customHeight="1" x14ac:dyDescent="0.3">
      <c r="CK6137" s="666"/>
    </row>
    <row r="6138" spans="89:89" s="299" customFormat="1" ht="12.75" customHeight="1" x14ac:dyDescent="0.3">
      <c r="CK6138" s="666"/>
    </row>
    <row r="6139" spans="89:89" s="299" customFormat="1" ht="12.75" customHeight="1" x14ac:dyDescent="0.3">
      <c r="CK6139" s="666"/>
    </row>
    <row r="6140" spans="89:89" s="299" customFormat="1" ht="12.75" customHeight="1" x14ac:dyDescent="0.3">
      <c r="CK6140" s="666"/>
    </row>
    <row r="6141" spans="89:89" s="299" customFormat="1" ht="12.75" customHeight="1" x14ac:dyDescent="0.3">
      <c r="CK6141" s="666"/>
    </row>
    <row r="6142" spans="89:89" s="299" customFormat="1" ht="12.75" customHeight="1" x14ac:dyDescent="0.3">
      <c r="CK6142" s="666"/>
    </row>
    <row r="6143" spans="89:89" s="299" customFormat="1" ht="12.75" customHeight="1" x14ac:dyDescent="0.3">
      <c r="CK6143" s="666"/>
    </row>
    <row r="6144" spans="89:89" s="299" customFormat="1" ht="12.75" customHeight="1" x14ac:dyDescent="0.3">
      <c r="CK6144" s="666"/>
    </row>
    <row r="6145" spans="89:89" s="299" customFormat="1" ht="12.75" customHeight="1" x14ac:dyDescent="0.3">
      <c r="CK6145" s="666"/>
    </row>
    <row r="6146" spans="89:89" s="299" customFormat="1" ht="12.75" customHeight="1" x14ac:dyDescent="0.3">
      <c r="CK6146" s="666"/>
    </row>
    <row r="6147" spans="89:89" s="299" customFormat="1" ht="12.75" customHeight="1" x14ac:dyDescent="0.3">
      <c r="CK6147" s="666"/>
    </row>
    <row r="6148" spans="89:89" s="299" customFormat="1" ht="12.75" customHeight="1" x14ac:dyDescent="0.3">
      <c r="CK6148" s="666"/>
    </row>
    <row r="6149" spans="89:89" s="299" customFormat="1" ht="12.75" customHeight="1" x14ac:dyDescent="0.3">
      <c r="CK6149" s="666"/>
    </row>
    <row r="6150" spans="89:89" s="299" customFormat="1" ht="12.75" customHeight="1" x14ac:dyDescent="0.3">
      <c r="CK6150" s="666"/>
    </row>
    <row r="6151" spans="89:89" s="299" customFormat="1" ht="12.75" customHeight="1" x14ac:dyDescent="0.3">
      <c r="CK6151" s="666"/>
    </row>
    <row r="6152" spans="89:89" s="299" customFormat="1" ht="12.75" customHeight="1" x14ac:dyDescent="0.3">
      <c r="CK6152" s="666"/>
    </row>
    <row r="6153" spans="89:89" s="299" customFormat="1" ht="12.75" customHeight="1" x14ac:dyDescent="0.3">
      <c r="CK6153" s="666"/>
    </row>
    <row r="6154" spans="89:89" s="299" customFormat="1" ht="12.75" customHeight="1" x14ac:dyDescent="0.3">
      <c r="CK6154" s="666"/>
    </row>
    <row r="6155" spans="89:89" s="299" customFormat="1" ht="12.75" customHeight="1" x14ac:dyDescent="0.3">
      <c r="CK6155" s="666"/>
    </row>
    <row r="6156" spans="89:89" s="299" customFormat="1" ht="12.75" customHeight="1" x14ac:dyDescent="0.3">
      <c r="CK6156" s="666"/>
    </row>
    <row r="6157" spans="89:89" s="299" customFormat="1" ht="12.75" customHeight="1" x14ac:dyDescent="0.3">
      <c r="CK6157" s="666"/>
    </row>
    <row r="6158" spans="89:89" s="299" customFormat="1" ht="12.75" customHeight="1" x14ac:dyDescent="0.3">
      <c r="CK6158" s="666"/>
    </row>
    <row r="6159" spans="89:89" s="299" customFormat="1" ht="12.75" customHeight="1" x14ac:dyDescent="0.3">
      <c r="CK6159" s="666"/>
    </row>
    <row r="6160" spans="89:89" s="299" customFormat="1" ht="12.75" customHeight="1" x14ac:dyDescent="0.3">
      <c r="CK6160" s="666"/>
    </row>
    <row r="6161" spans="89:89" s="299" customFormat="1" ht="12.75" customHeight="1" x14ac:dyDescent="0.3">
      <c r="CK6161" s="666"/>
    </row>
    <row r="6162" spans="89:89" s="299" customFormat="1" ht="12.75" customHeight="1" x14ac:dyDescent="0.3">
      <c r="CK6162" s="666"/>
    </row>
    <row r="6163" spans="89:89" s="299" customFormat="1" ht="12.75" customHeight="1" x14ac:dyDescent="0.3">
      <c r="CK6163" s="666"/>
    </row>
    <row r="6164" spans="89:89" s="299" customFormat="1" ht="12.75" customHeight="1" x14ac:dyDescent="0.3">
      <c r="CK6164" s="666"/>
    </row>
    <row r="6165" spans="89:89" s="299" customFormat="1" ht="12.75" customHeight="1" x14ac:dyDescent="0.3">
      <c r="CK6165" s="666"/>
    </row>
    <row r="6166" spans="89:89" s="299" customFormat="1" ht="12.75" customHeight="1" x14ac:dyDescent="0.3">
      <c r="CK6166" s="666"/>
    </row>
    <row r="6167" spans="89:89" s="299" customFormat="1" ht="12.75" customHeight="1" x14ac:dyDescent="0.3">
      <c r="CK6167" s="666"/>
    </row>
    <row r="6168" spans="89:89" s="299" customFormat="1" ht="12.75" customHeight="1" x14ac:dyDescent="0.3">
      <c r="CK6168" s="666"/>
    </row>
    <row r="6169" spans="89:89" s="299" customFormat="1" ht="12.75" customHeight="1" x14ac:dyDescent="0.3">
      <c r="CK6169" s="666"/>
    </row>
    <row r="6170" spans="89:89" s="299" customFormat="1" ht="12.75" customHeight="1" x14ac:dyDescent="0.3">
      <c r="CK6170" s="666"/>
    </row>
    <row r="6171" spans="89:89" s="299" customFormat="1" ht="12.75" customHeight="1" x14ac:dyDescent="0.3">
      <c r="CK6171" s="666"/>
    </row>
    <row r="6172" spans="89:89" s="299" customFormat="1" ht="12.75" customHeight="1" x14ac:dyDescent="0.3">
      <c r="CK6172" s="666"/>
    </row>
    <row r="6173" spans="89:89" s="299" customFormat="1" ht="12.75" customHeight="1" x14ac:dyDescent="0.3">
      <c r="CK6173" s="666"/>
    </row>
    <row r="6174" spans="89:89" s="299" customFormat="1" ht="12.75" customHeight="1" x14ac:dyDescent="0.3">
      <c r="CK6174" s="666"/>
    </row>
    <row r="6175" spans="89:89" s="299" customFormat="1" ht="12.75" customHeight="1" x14ac:dyDescent="0.3">
      <c r="CK6175" s="666"/>
    </row>
    <row r="6176" spans="89:89" s="299" customFormat="1" ht="12.75" customHeight="1" x14ac:dyDescent="0.3">
      <c r="CK6176" s="666"/>
    </row>
    <row r="6177" spans="89:89" s="299" customFormat="1" ht="12.75" customHeight="1" x14ac:dyDescent="0.3">
      <c r="CK6177" s="666"/>
    </row>
    <row r="6178" spans="89:89" s="299" customFormat="1" ht="12.75" customHeight="1" x14ac:dyDescent="0.3">
      <c r="CK6178" s="666"/>
    </row>
    <row r="6179" spans="89:89" s="299" customFormat="1" ht="12.75" customHeight="1" x14ac:dyDescent="0.3">
      <c r="CK6179" s="666"/>
    </row>
    <row r="6180" spans="89:89" s="299" customFormat="1" ht="12.75" customHeight="1" x14ac:dyDescent="0.3">
      <c r="CK6180" s="666"/>
    </row>
    <row r="6181" spans="89:89" s="299" customFormat="1" ht="12.75" customHeight="1" x14ac:dyDescent="0.3">
      <c r="CK6181" s="666"/>
    </row>
    <row r="6182" spans="89:89" s="299" customFormat="1" ht="12.75" customHeight="1" x14ac:dyDescent="0.3">
      <c r="CK6182" s="666"/>
    </row>
    <row r="6183" spans="89:89" s="299" customFormat="1" ht="12.75" customHeight="1" x14ac:dyDescent="0.3">
      <c r="CK6183" s="666"/>
    </row>
    <row r="6184" spans="89:89" s="299" customFormat="1" ht="12.75" customHeight="1" x14ac:dyDescent="0.3">
      <c r="CK6184" s="666"/>
    </row>
    <row r="6185" spans="89:89" s="299" customFormat="1" ht="12.75" customHeight="1" x14ac:dyDescent="0.3">
      <c r="CK6185" s="666"/>
    </row>
    <row r="6186" spans="89:89" s="299" customFormat="1" ht="12.75" customHeight="1" x14ac:dyDescent="0.3">
      <c r="CK6186" s="666"/>
    </row>
    <row r="6187" spans="89:89" s="299" customFormat="1" ht="12.75" customHeight="1" x14ac:dyDescent="0.3">
      <c r="CK6187" s="666"/>
    </row>
    <row r="6188" spans="89:89" s="299" customFormat="1" ht="12.75" customHeight="1" x14ac:dyDescent="0.3">
      <c r="CK6188" s="666"/>
    </row>
    <row r="6189" spans="89:89" s="299" customFormat="1" ht="12.75" customHeight="1" x14ac:dyDescent="0.3">
      <c r="CK6189" s="666"/>
    </row>
    <row r="6190" spans="89:89" s="299" customFormat="1" ht="12.75" customHeight="1" x14ac:dyDescent="0.3">
      <c r="CK6190" s="666"/>
    </row>
    <row r="6191" spans="89:89" s="299" customFormat="1" ht="12.75" customHeight="1" x14ac:dyDescent="0.3">
      <c r="CK6191" s="666"/>
    </row>
    <row r="6192" spans="89:89" s="299" customFormat="1" ht="12.75" customHeight="1" x14ac:dyDescent="0.3">
      <c r="CK6192" s="666"/>
    </row>
    <row r="6193" spans="89:89" s="299" customFormat="1" ht="12.75" customHeight="1" x14ac:dyDescent="0.3">
      <c r="CK6193" s="666"/>
    </row>
    <row r="6194" spans="89:89" s="299" customFormat="1" ht="12.75" customHeight="1" x14ac:dyDescent="0.3">
      <c r="CK6194" s="666"/>
    </row>
    <row r="6195" spans="89:89" s="299" customFormat="1" ht="12.75" customHeight="1" x14ac:dyDescent="0.3">
      <c r="CK6195" s="666"/>
    </row>
    <row r="6196" spans="89:89" s="299" customFormat="1" ht="12.75" customHeight="1" x14ac:dyDescent="0.3">
      <c r="CK6196" s="666"/>
    </row>
    <row r="6197" spans="89:89" s="299" customFormat="1" ht="12.75" customHeight="1" x14ac:dyDescent="0.3">
      <c r="CK6197" s="666"/>
    </row>
    <row r="6198" spans="89:89" s="299" customFormat="1" ht="12.75" customHeight="1" x14ac:dyDescent="0.3">
      <c r="CK6198" s="666"/>
    </row>
    <row r="6199" spans="89:89" s="299" customFormat="1" ht="12.75" customHeight="1" x14ac:dyDescent="0.3">
      <c r="CK6199" s="666"/>
    </row>
    <row r="6200" spans="89:89" s="299" customFormat="1" ht="12.75" customHeight="1" x14ac:dyDescent="0.3">
      <c r="CK6200" s="666"/>
    </row>
    <row r="6201" spans="89:89" s="299" customFormat="1" ht="12.75" customHeight="1" x14ac:dyDescent="0.3">
      <c r="CK6201" s="666"/>
    </row>
    <row r="6202" spans="89:89" s="299" customFormat="1" ht="12.75" customHeight="1" x14ac:dyDescent="0.3">
      <c r="CK6202" s="666"/>
    </row>
    <row r="6203" spans="89:89" s="299" customFormat="1" ht="12.75" customHeight="1" x14ac:dyDescent="0.3">
      <c r="CK6203" s="666"/>
    </row>
    <row r="6204" spans="89:89" s="299" customFormat="1" ht="12.75" customHeight="1" x14ac:dyDescent="0.3">
      <c r="CK6204" s="666"/>
    </row>
    <row r="6205" spans="89:89" s="299" customFormat="1" ht="12.75" customHeight="1" x14ac:dyDescent="0.3">
      <c r="CK6205" s="666"/>
    </row>
    <row r="6206" spans="89:89" s="299" customFormat="1" ht="12.75" customHeight="1" x14ac:dyDescent="0.3">
      <c r="CK6206" s="666"/>
    </row>
    <row r="6207" spans="89:89" s="299" customFormat="1" ht="12.75" customHeight="1" x14ac:dyDescent="0.3">
      <c r="CK6207" s="666"/>
    </row>
    <row r="6208" spans="89:89" s="299" customFormat="1" ht="12.75" customHeight="1" x14ac:dyDescent="0.3">
      <c r="CK6208" s="666"/>
    </row>
    <row r="6209" spans="89:89" s="299" customFormat="1" ht="12.75" customHeight="1" x14ac:dyDescent="0.3">
      <c r="CK6209" s="666"/>
    </row>
    <row r="6210" spans="89:89" s="299" customFormat="1" ht="12.75" customHeight="1" x14ac:dyDescent="0.3">
      <c r="CK6210" s="666"/>
    </row>
    <row r="6211" spans="89:89" s="299" customFormat="1" ht="12.75" customHeight="1" x14ac:dyDescent="0.3">
      <c r="CK6211" s="666"/>
    </row>
    <row r="6212" spans="89:89" s="299" customFormat="1" ht="12.75" customHeight="1" x14ac:dyDescent="0.3">
      <c r="CK6212" s="666"/>
    </row>
    <row r="6213" spans="89:89" s="299" customFormat="1" ht="12.75" customHeight="1" x14ac:dyDescent="0.3">
      <c r="CK6213" s="666"/>
    </row>
    <row r="6214" spans="89:89" s="299" customFormat="1" ht="12.75" customHeight="1" x14ac:dyDescent="0.3">
      <c r="CK6214" s="666"/>
    </row>
    <row r="6215" spans="89:89" s="299" customFormat="1" ht="12.75" customHeight="1" x14ac:dyDescent="0.3">
      <c r="CK6215" s="666"/>
    </row>
    <row r="6216" spans="89:89" s="299" customFormat="1" ht="12.75" customHeight="1" x14ac:dyDescent="0.3">
      <c r="CK6216" s="666"/>
    </row>
    <row r="6217" spans="89:89" s="299" customFormat="1" ht="12.75" customHeight="1" x14ac:dyDescent="0.3">
      <c r="CK6217" s="666"/>
    </row>
    <row r="6218" spans="89:89" s="299" customFormat="1" ht="12.75" customHeight="1" x14ac:dyDescent="0.3">
      <c r="CK6218" s="666"/>
    </row>
    <row r="6219" spans="89:89" s="299" customFormat="1" ht="12.75" customHeight="1" x14ac:dyDescent="0.3">
      <c r="CK6219" s="666"/>
    </row>
    <row r="6220" spans="89:89" s="299" customFormat="1" ht="12.75" customHeight="1" x14ac:dyDescent="0.3">
      <c r="CK6220" s="666"/>
    </row>
    <row r="6221" spans="89:89" s="299" customFormat="1" ht="12.75" customHeight="1" x14ac:dyDescent="0.3">
      <c r="CK6221" s="666"/>
    </row>
    <row r="6222" spans="89:89" s="299" customFormat="1" ht="12.75" customHeight="1" x14ac:dyDescent="0.3">
      <c r="CK6222" s="666"/>
    </row>
    <row r="6223" spans="89:89" s="299" customFormat="1" ht="12.75" customHeight="1" x14ac:dyDescent="0.3">
      <c r="CK6223" s="666"/>
    </row>
    <row r="6224" spans="89:89" s="299" customFormat="1" ht="12.75" customHeight="1" x14ac:dyDescent="0.3">
      <c r="CK6224" s="666"/>
    </row>
    <row r="6225" spans="89:89" s="299" customFormat="1" ht="12.75" customHeight="1" x14ac:dyDescent="0.3">
      <c r="CK6225" s="666"/>
    </row>
    <row r="6226" spans="89:89" s="299" customFormat="1" ht="12.75" customHeight="1" x14ac:dyDescent="0.3">
      <c r="CK6226" s="666"/>
    </row>
    <row r="6227" spans="89:89" s="299" customFormat="1" ht="12.75" customHeight="1" x14ac:dyDescent="0.3">
      <c r="CK6227" s="666"/>
    </row>
    <row r="6228" spans="89:89" s="299" customFormat="1" ht="12.75" customHeight="1" x14ac:dyDescent="0.3">
      <c r="CK6228" s="666"/>
    </row>
    <row r="6229" spans="89:89" s="299" customFormat="1" ht="12.75" customHeight="1" x14ac:dyDescent="0.3">
      <c r="CK6229" s="666"/>
    </row>
    <row r="6230" spans="89:89" s="299" customFormat="1" ht="12.75" customHeight="1" x14ac:dyDescent="0.3">
      <c r="CK6230" s="666"/>
    </row>
    <row r="6231" spans="89:89" s="299" customFormat="1" ht="12.75" customHeight="1" x14ac:dyDescent="0.3">
      <c r="CK6231" s="666"/>
    </row>
    <row r="6232" spans="89:89" s="299" customFormat="1" ht="12.75" customHeight="1" x14ac:dyDescent="0.3">
      <c r="CK6232" s="666"/>
    </row>
    <row r="6233" spans="89:89" s="299" customFormat="1" ht="12.75" customHeight="1" x14ac:dyDescent="0.3">
      <c r="CK6233" s="666"/>
    </row>
    <row r="6234" spans="89:89" s="299" customFormat="1" ht="12.75" customHeight="1" x14ac:dyDescent="0.3">
      <c r="CK6234" s="666"/>
    </row>
    <row r="6235" spans="89:89" s="299" customFormat="1" ht="12.75" customHeight="1" x14ac:dyDescent="0.3">
      <c r="CK6235" s="666"/>
    </row>
    <row r="6236" spans="89:89" s="299" customFormat="1" ht="12.75" customHeight="1" x14ac:dyDescent="0.3">
      <c r="CK6236" s="666"/>
    </row>
    <row r="6237" spans="89:89" s="299" customFormat="1" ht="12.75" customHeight="1" x14ac:dyDescent="0.3">
      <c r="CK6237" s="666"/>
    </row>
    <row r="6238" spans="89:89" s="299" customFormat="1" ht="12.75" customHeight="1" x14ac:dyDescent="0.3">
      <c r="CK6238" s="666"/>
    </row>
    <row r="6239" spans="89:89" s="299" customFormat="1" ht="12.75" customHeight="1" x14ac:dyDescent="0.3">
      <c r="CK6239" s="666"/>
    </row>
    <row r="6240" spans="89:89" s="299" customFormat="1" ht="12.75" customHeight="1" x14ac:dyDescent="0.3">
      <c r="CK6240" s="666"/>
    </row>
    <row r="6241" spans="89:89" s="299" customFormat="1" ht="12.75" customHeight="1" x14ac:dyDescent="0.3">
      <c r="CK6241" s="666"/>
    </row>
    <row r="6242" spans="89:89" s="299" customFormat="1" ht="12.75" customHeight="1" x14ac:dyDescent="0.3">
      <c r="CK6242" s="666"/>
    </row>
    <row r="6243" spans="89:89" s="299" customFormat="1" ht="12.75" customHeight="1" x14ac:dyDescent="0.3">
      <c r="CK6243" s="666"/>
    </row>
    <row r="6244" spans="89:89" s="299" customFormat="1" ht="12.75" customHeight="1" x14ac:dyDescent="0.3">
      <c r="CK6244" s="666"/>
    </row>
    <row r="6245" spans="89:89" s="299" customFormat="1" ht="12.75" customHeight="1" x14ac:dyDescent="0.3">
      <c r="CK6245" s="666"/>
    </row>
    <row r="6246" spans="89:89" s="299" customFormat="1" ht="12.75" customHeight="1" x14ac:dyDescent="0.3">
      <c r="CK6246" s="666"/>
    </row>
    <row r="6247" spans="89:89" s="299" customFormat="1" ht="12.75" customHeight="1" x14ac:dyDescent="0.3">
      <c r="CK6247" s="666"/>
    </row>
    <row r="6248" spans="89:89" s="299" customFormat="1" ht="12.75" customHeight="1" x14ac:dyDescent="0.3">
      <c r="CK6248" s="666"/>
    </row>
    <row r="6249" spans="89:89" s="299" customFormat="1" ht="12.75" customHeight="1" x14ac:dyDescent="0.3">
      <c r="CK6249" s="666"/>
    </row>
    <row r="6250" spans="89:89" s="299" customFormat="1" ht="12.75" customHeight="1" x14ac:dyDescent="0.3">
      <c r="CK6250" s="666"/>
    </row>
    <row r="6251" spans="89:89" s="299" customFormat="1" ht="12.75" customHeight="1" x14ac:dyDescent="0.3">
      <c r="CK6251" s="666"/>
    </row>
    <row r="6252" spans="89:89" s="299" customFormat="1" ht="12.75" customHeight="1" x14ac:dyDescent="0.3">
      <c r="CK6252" s="666"/>
    </row>
    <row r="6253" spans="89:89" s="299" customFormat="1" ht="12.75" customHeight="1" x14ac:dyDescent="0.3">
      <c r="CK6253" s="666"/>
    </row>
    <row r="6254" spans="89:89" s="299" customFormat="1" ht="12.75" customHeight="1" x14ac:dyDescent="0.3">
      <c r="CK6254" s="666"/>
    </row>
    <row r="6255" spans="89:89" s="299" customFormat="1" ht="12.75" customHeight="1" x14ac:dyDescent="0.3">
      <c r="CK6255" s="666"/>
    </row>
    <row r="6256" spans="89:89" s="299" customFormat="1" ht="12.75" customHeight="1" x14ac:dyDescent="0.3">
      <c r="CK6256" s="666"/>
    </row>
    <row r="6257" spans="89:89" s="299" customFormat="1" ht="12.75" customHeight="1" x14ac:dyDescent="0.3">
      <c r="CK6257" s="666"/>
    </row>
    <row r="6258" spans="89:89" s="299" customFormat="1" ht="12.75" customHeight="1" x14ac:dyDescent="0.3">
      <c r="CK6258" s="666"/>
    </row>
    <row r="6259" spans="89:89" s="299" customFormat="1" ht="12.75" customHeight="1" x14ac:dyDescent="0.3">
      <c r="CK6259" s="666"/>
    </row>
    <row r="6260" spans="89:89" s="299" customFormat="1" ht="12.75" customHeight="1" x14ac:dyDescent="0.3">
      <c r="CK6260" s="666"/>
    </row>
    <row r="6261" spans="89:89" s="299" customFormat="1" ht="12.75" customHeight="1" x14ac:dyDescent="0.3">
      <c r="CK6261" s="666"/>
    </row>
    <row r="6262" spans="89:89" s="299" customFormat="1" ht="12.75" customHeight="1" x14ac:dyDescent="0.3">
      <c r="CK6262" s="666"/>
    </row>
    <row r="6263" spans="89:89" s="299" customFormat="1" ht="12.75" customHeight="1" x14ac:dyDescent="0.3">
      <c r="CK6263" s="666"/>
    </row>
    <row r="6264" spans="89:89" s="299" customFormat="1" ht="12.75" customHeight="1" x14ac:dyDescent="0.3">
      <c r="CK6264" s="666"/>
    </row>
    <row r="6265" spans="89:89" s="299" customFormat="1" ht="12.75" customHeight="1" x14ac:dyDescent="0.3">
      <c r="CK6265" s="666"/>
    </row>
    <row r="6266" spans="89:89" s="299" customFormat="1" ht="12.75" customHeight="1" x14ac:dyDescent="0.3">
      <c r="CK6266" s="666"/>
    </row>
    <row r="6267" spans="89:89" s="299" customFormat="1" ht="12.75" customHeight="1" x14ac:dyDescent="0.3">
      <c r="CK6267" s="666"/>
    </row>
    <row r="6268" spans="89:89" s="299" customFormat="1" ht="12.75" customHeight="1" x14ac:dyDescent="0.3">
      <c r="CK6268" s="666"/>
    </row>
    <row r="6269" spans="89:89" s="299" customFormat="1" ht="12.75" customHeight="1" x14ac:dyDescent="0.3">
      <c r="CK6269" s="666"/>
    </row>
    <row r="6270" spans="89:89" s="299" customFormat="1" ht="12.75" customHeight="1" x14ac:dyDescent="0.3">
      <c r="CK6270" s="666"/>
    </row>
    <row r="6271" spans="89:89" s="299" customFormat="1" ht="12.75" customHeight="1" x14ac:dyDescent="0.3">
      <c r="CK6271" s="666"/>
    </row>
    <row r="6272" spans="89:89" s="299" customFormat="1" ht="12.75" customHeight="1" x14ac:dyDescent="0.3">
      <c r="CK6272" s="666"/>
    </row>
    <row r="6273" spans="89:89" s="299" customFormat="1" ht="12.75" customHeight="1" x14ac:dyDescent="0.3">
      <c r="CK6273" s="666"/>
    </row>
    <row r="6274" spans="89:89" s="299" customFormat="1" ht="12.75" customHeight="1" x14ac:dyDescent="0.3">
      <c r="CK6274" s="666"/>
    </row>
    <row r="6275" spans="89:89" s="299" customFormat="1" ht="12.75" customHeight="1" x14ac:dyDescent="0.3">
      <c r="CK6275" s="666"/>
    </row>
    <row r="6276" spans="89:89" s="299" customFormat="1" ht="12.75" customHeight="1" x14ac:dyDescent="0.3">
      <c r="CK6276" s="666"/>
    </row>
    <row r="6277" spans="89:89" s="299" customFormat="1" ht="12.75" customHeight="1" x14ac:dyDescent="0.3">
      <c r="CK6277" s="666"/>
    </row>
    <row r="6278" spans="89:89" s="299" customFormat="1" ht="12.75" customHeight="1" x14ac:dyDescent="0.3">
      <c r="CK6278" s="666"/>
    </row>
    <row r="6279" spans="89:89" s="299" customFormat="1" ht="12.75" customHeight="1" x14ac:dyDescent="0.3">
      <c r="CK6279" s="666"/>
    </row>
    <row r="6280" spans="89:89" s="299" customFormat="1" ht="12.75" customHeight="1" x14ac:dyDescent="0.3">
      <c r="CK6280" s="666"/>
    </row>
    <row r="6281" spans="89:89" s="299" customFormat="1" ht="12.75" customHeight="1" x14ac:dyDescent="0.3">
      <c r="CK6281" s="666"/>
    </row>
    <row r="6282" spans="89:89" s="299" customFormat="1" ht="12.75" customHeight="1" x14ac:dyDescent="0.3">
      <c r="CK6282" s="666"/>
    </row>
    <row r="6283" spans="89:89" s="299" customFormat="1" ht="12.75" customHeight="1" x14ac:dyDescent="0.3">
      <c r="CK6283" s="666"/>
    </row>
    <row r="6284" spans="89:89" s="299" customFormat="1" ht="12.75" customHeight="1" x14ac:dyDescent="0.3">
      <c r="CK6284" s="666"/>
    </row>
    <row r="6285" spans="89:89" s="299" customFormat="1" ht="12.75" customHeight="1" x14ac:dyDescent="0.3">
      <c r="CK6285" s="666"/>
    </row>
    <row r="6286" spans="89:89" s="299" customFormat="1" ht="12.75" customHeight="1" x14ac:dyDescent="0.3">
      <c r="CK6286" s="666"/>
    </row>
    <row r="6287" spans="89:89" s="299" customFormat="1" ht="12.75" customHeight="1" x14ac:dyDescent="0.3">
      <c r="CK6287" s="666"/>
    </row>
    <row r="6288" spans="89:89" s="299" customFormat="1" ht="12.75" customHeight="1" x14ac:dyDescent="0.3">
      <c r="CK6288" s="666"/>
    </row>
    <row r="6289" spans="89:89" s="299" customFormat="1" ht="12.75" customHeight="1" x14ac:dyDescent="0.3">
      <c r="CK6289" s="666"/>
    </row>
    <row r="6290" spans="89:89" s="299" customFormat="1" ht="12.75" customHeight="1" x14ac:dyDescent="0.3">
      <c r="CK6290" s="666"/>
    </row>
    <row r="6291" spans="89:89" s="299" customFormat="1" ht="12.75" customHeight="1" x14ac:dyDescent="0.3">
      <c r="CK6291" s="666"/>
    </row>
    <row r="6292" spans="89:89" s="299" customFormat="1" ht="12.75" customHeight="1" x14ac:dyDescent="0.3">
      <c r="CK6292" s="666"/>
    </row>
    <row r="6293" spans="89:89" s="299" customFormat="1" ht="12.75" customHeight="1" x14ac:dyDescent="0.3">
      <c r="CK6293" s="666"/>
    </row>
    <row r="6294" spans="89:89" s="299" customFormat="1" ht="12.75" customHeight="1" x14ac:dyDescent="0.3">
      <c r="CK6294" s="666"/>
    </row>
    <row r="6295" spans="89:89" s="299" customFormat="1" ht="12.75" customHeight="1" x14ac:dyDescent="0.3">
      <c r="CK6295" s="666"/>
    </row>
    <row r="6296" spans="89:89" s="299" customFormat="1" ht="12.75" customHeight="1" x14ac:dyDescent="0.3">
      <c r="CK6296" s="666"/>
    </row>
    <row r="6297" spans="89:89" s="299" customFormat="1" ht="12.75" customHeight="1" x14ac:dyDescent="0.3">
      <c r="CK6297" s="666"/>
    </row>
    <row r="6298" spans="89:89" s="299" customFormat="1" ht="12.75" customHeight="1" x14ac:dyDescent="0.3">
      <c r="CK6298" s="666"/>
    </row>
    <row r="6299" spans="89:89" s="299" customFormat="1" ht="12.75" customHeight="1" x14ac:dyDescent="0.3">
      <c r="CK6299" s="666"/>
    </row>
    <row r="6300" spans="89:89" s="299" customFormat="1" ht="12.75" customHeight="1" x14ac:dyDescent="0.3">
      <c r="CK6300" s="666"/>
    </row>
    <row r="6301" spans="89:89" s="299" customFormat="1" ht="12.75" customHeight="1" x14ac:dyDescent="0.3">
      <c r="CK6301" s="666"/>
    </row>
    <row r="6302" spans="89:89" s="299" customFormat="1" ht="12.75" customHeight="1" x14ac:dyDescent="0.3">
      <c r="CK6302" s="666"/>
    </row>
    <row r="6303" spans="89:89" s="299" customFormat="1" ht="12.75" customHeight="1" x14ac:dyDescent="0.3">
      <c r="CK6303" s="666"/>
    </row>
    <row r="6304" spans="89:89" s="299" customFormat="1" ht="12.75" customHeight="1" x14ac:dyDescent="0.3">
      <c r="CK6304" s="666"/>
    </row>
    <row r="6305" spans="89:89" s="299" customFormat="1" ht="12.75" customHeight="1" x14ac:dyDescent="0.3">
      <c r="CK6305" s="666"/>
    </row>
    <row r="6306" spans="89:89" s="299" customFormat="1" ht="12.75" customHeight="1" x14ac:dyDescent="0.3">
      <c r="CK6306" s="666"/>
    </row>
    <row r="6307" spans="89:89" s="299" customFormat="1" ht="12.75" customHeight="1" x14ac:dyDescent="0.3">
      <c r="CK6307" s="666"/>
    </row>
    <row r="6308" spans="89:89" s="299" customFormat="1" ht="12.75" customHeight="1" x14ac:dyDescent="0.3">
      <c r="CK6308" s="666"/>
    </row>
    <row r="6309" spans="89:89" s="299" customFormat="1" ht="12.75" customHeight="1" x14ac:dyDescent="0.3">
      <c r="CK6309" s="666"/>
    </row>
    <row r="6310" spans="89:89" s="299" customFormat="1" ht="12.75" customHeight="1" x14ac:dyDescent="0.3">
      <c r="CK6310" s="666"/>
    </row>
    <row r="6311" spans="89:89" s="299" customFormat="1" ht="12.75" customHeight="1" x14ac:dyDescent="0.3">
      <c r="CK6311" s="666"/>
    </row>
    <row r="6312" spans="89:89" s="299" customFormat="1" ht="12.75" customHeight="1" x14ac:dyDescent="0.3">
      <c r="CK6312" s="666"/>
    </row>
    <row r="6313" spans="89:89" s="299" customFormat="1" ht="12.75" customHeight="1" x14ac:dyDescent="0.3">
      <c r="CK6313" s="666"/>
    </row>
    <row r="6314" spans="89:89" s="299" customFormat="1" ht="12.75" customHeight="1" x14ac:dyDescent="0.3">
      <c r="CK6314" s="666"/>
    </row>
    <row r="6315" spans="89:89" s="299" customFormat="1" ht="12.75" customHeight="1" x14ac:dyDescent="0.3">
      <c r="CK6315" s="666"/>
    </row>
    <row r="6316" spans="89:89" s="299" customFormat="1" ht="12.75" customHeight="1" x14ac:dyDescent="0.3">
      <c r="CK6316" s="666"/>
    </row>
    <row r="6317" spans="89:89" s="299" customFormat="1" ht="12.75" customHeight="1" x14ac:dyDescent="0.3">
      <c r="CK6317" s="666"/>
    </row>
    <row r="6318" spans="89:89" s="299" customFormat="1" ht="12.75" customHeight="1" x14ac:dyDescent="0.3">
      <c r="CK6318" s="666"/>
    </row>
    <row r="6319" spans="89:89" s="299" customFormat="1" ht="12.75" customHeight="1" x14ac:dyDescent="0.3">
      <c r="CK6319" s="666"/>
    </row>
    <row r="6320" spans="89:89" s="299" customFormat="1" ht="12.75" customHeight="1" x14ac:dyDescent="0.3">
      <c r="CK6320" s="666"/>
    </row>
    <row r="6321" spans="89:89" s="299" customFormat="1" ht="12.75" customHeight="1" x14ac:dyDescent="0.3">
      <c r="CK6321" s="666"/>
    </row>
    <row r="6322" spans="89:89" s="299" customFormat="1" ht="12.75" customHeight="1" x14ac:dyDescent="0.3">
      <c r="CK6322" s="666"/>
    </row>
    <row r="6323" spans="89:89" s="299" customFormat="1" ht="12.75" customHeight="1" x14ac:dyDescent="0.3">
      <c r="CK6323" s="666"/>
    </row>
    <row r="6324" spans="89:89" s="299" customFormat="1" ht="12.75" customHeight="1" x14ac:dyDescent="0.3">
      <c r="CK6324" s="666"/>
    </row>
    <row r="6325" spans="89:89" s="299" customFormat="1" ht="12.75" customHeight="1" x14ac:dyDescent="0.3">
      <c r="CK6325" s="666"/>
    </row>
    <row r="6326" spans="89:89" s="299" customFormat="1" ht="12.75" customHeight="1" x14ac:dyDescent="0.3">
      <c r="CK6326" s="666"/>
    </row>
    <row r="6327" spans="89:89" s="299" customFormat="1" ht="12.75" customHeight="1" x14ac:dyDescent="0.3">
      <c r="CK6327" s="666"/>
    </row>
    <row r="6328" spans="89:89" s="299" customFormat="1" ht="12.75" customHeight="1" x14ac:dyDescent="0.3">
      <c r="CK6328" s="666"/>
    </row>
    <row r="6329" spans="89:89" s="299" customFormat="1" ht="12.75" customHeight="1" x14ac:dyDescent="0.3">
      <c r="CK6329" s="666"/>
    </row>
    <row r="6330" spans="89:89" s="299" customFormat="1" ht="12.75" customHeight="1" x14ac:dyDescent="0.3">
      <c r="CK6330" s="666"/>
    </row>
    <row r="6331" spans="89:89" s="299" customFormat="1" ht="12.75" customHeight="1" x14ac:dyDescent="0.3">
      <c r="CK6331" s="666"/>
    </row>
    <row r="6332" spans="89:89" s="299" customFormat="1" ht="12.75" customHeight="1" x14ac:dyDescent="0.3">
      <c r="CK6332" s="666"/>
    </row>
    <row r="6333" spans="89:89" s="299" customFormat="1" ht="12.75" customHeight="1" x14ac:dyDescent="0.3">
      <c r="CK6333" s="666"/>
    </row>
    <row r="6334" spans="89:89" s="299" customFormat="1" ht="12.75" customHeight="1" x14ac:dyDescent="0.3">
      <c r="CK6334" s="666"/>
    </row>
    <row r="6335" spans="89:89" s="299" customFormat="1" ht="12.75" customHeight="1" x14ac:dyDescent="0.3">
      <c r="CK6335" s="666"/>
    </row>
    <row r="6336" spans="89:89" s="299" customFormat="1" ht="12.75" customHeight="1" x14ac:dyDescent="0.3">
      <c r="CK6336" s="666"/>
    </row>
    <row r="6337" spans="89:89" s="299" customFormat="1" ht="12.75" customHeight="1" x14ac:dyDescent="0.3">
      <c r="CK6337" s="666"/>
    </row>
    <row r="6338" spans="89:89" s="299" customFormat="1" ht="12.75" customHeight="1" x14ac:dyDescent="0.3">
      <c r="CK6338" s="666"/>
    </row>
    <row r="6339" spans="89:89" s="299" customFormat="1" ht="12.75" customHeight="1" x14ac:dyDescent="0.3">
      <c r="CK6339" s="666"/>
    </row>
    <row r="6340" spans="89:89" s="299" customFormat="1" ht="12.75" customHeight="1" x14ac:dyDescent="0.3">
      <c r="CK6340" s="666"/>
    </row>
    <row r="6341" spans="89:89" s="299" customFormat="1" ht="12.75" customHeight="1" x14ac:dyDescent="0.3">
      <c r="CK6341" s="666"/>
    </row>
    <row r="6342" spans="89:89" s="299" customFormat="1" ht="12.75" customHeight="1" x14ac:dyDescent="0.3">
      <c r="CK6342" s="666"/>
    </row>
    <row r="6343" spans="89:89" s="299" customFormat="1" ht="12.75" customHeight="1" x14ac:dyDescent="0.3">
      <c r="CK6343" s="666"/>
    </row>
    <row r="6344" spans="89:89" s="299" customFormat="1" ht="12.75" customHeight="1" x14ac:dyDescent="0.3">
      <c r="CK6344" s="666"/>
    </row>
    <row r="6345" spans="89:89" s="299" customFormat="1" ht="12.75" customHeight="1" x14ac:dyDescent="0.3">
      <c r="CK6345" s="666"/>
    </row>
    <row r="6346" spans="89:89" s="299" customFormat="1" ht="12.75" customHeight="1" x14ac:dyDescent="0.3">
      <c r="CK6346" s="666"/>
    </row>
    <row r="6347" spans="89:89" s="299" customFormat="1" ht="12.75" customHeight="1" x14ac:dyDescent="0.3">
      <c r="CK6347" s="666"/>
    </row>
    <row r="6348" spans="89:89" s="299" customFormat="1" ht="12.75" customHeight="1" x14ac:dyDescent="0.3">
      <c r="CK6348" s="666"/>
    </row>
    <row r="6349" spans="89:89" s="299" customFormat="1" ht="12.75" customHeight="1" x14ac:dyDescent="0.3">
      <c r="CK6349" s="666"/>
    </row>
    <row r="6350" spans="89:89" s="299" customFormat="1" ht="12.75" customHeight="1" x14ac:dyDescent="0.3">
      <c r="CK6350" s="666"/>
    </row>
    <row r="6351" spans="89:89" s="299" customFormat="1" ht="12.75" customHeight="1" x14ac:dyDescent="0.3">
      <c r="CK6351" s="666"/>
    </row>
    <row r="6352" spans="89:89" s="299" customFormat="1" ht="12.75" customHeight="1" x14ac:dyDescent="0.3">
      <c r="CK6352" s="666"/>
    </row>
    <row r="6353" spans="89:89" s="299" customFormat="1" ht="12.75" customHeight="1" x14ac:dyDescent="0.3">
      <c r="CK6353" s="666"/>
    </row>
    <row r="6354" spans="89:89" s="299" customFormat="1" ht="12.75" customHeight="1" x14ac:dyDescent="0.3">
      <c r="CK6354" s="666"/>
    </row>
    <row r="6355" spans="89:89" s="299" customFormat="1" ht="12.75" customHeight="1" x14ac:dyDescent="0.3">
      <c r="CK6355" s="666"/>
    </row>
    <row r="6356" spans="89:89" s="299" customFormat="1" ht="12.75" customHeight="1" x14ac:dyDescent="0.3">
      <c r="CK6356" s="666"/>
    </row>
    <row r="6357" spans="89:89" s="299" customFormat="1" ht="12.75" customHeight="1" x14ac:dyDescent="0.3">
      <c r="CK6357" s="666"/>
    </row>
    <row r="6358" spans="89:89" s="299" customFormat="1" ht="12.75" customHeight="1" x14ac:dyDescent="0.3">
      <c r="CK6358" s="666"/>
    </row>
    <row r="6359" spans="89:89" s="299" customFormat="1" ht="12.75" customHeight="1" x14ac:dyDescent="0.3">
      <c r="CK6359" s="666"/>
    </row>
    <row r="6360" spans="89:89" s="299" customFormat="1" ht="12.75" customHeight="1" x14ac:dyDescent="0.3">
      <c r="CK6360" s="666"/>
    </row>
    <row r="6361" spans="89:89" s="299" customFormat="1" ht="12.75" customHeight="1" x14ac:dyDescent="0.3">
      <c r="CK6361" s="666"/>
    </row>
    <row r="6362" spans="89:89" s="299" customFormat="1" ht="12.75" customHeight="1" x14ac:dyDescent="0.3">
      <c r="CK6362" s="666"/>
    </row>
    <row r="6363" spans="89:89" s="299" customFormat="1" ht="12.75" customHeight="1" x14ac:dyDescent="0.3">
      <c r="CK6363" s="666"/>
    </row>
    <row r="6364" spans="89:89" s="299" customFormat="1" ht="12.75" customHeight="1" x14ac:dyDescent="0.3">
      <c r="CK6364" s="666"/>
    </row>
    <row r="6365" spans="89:89" s="299" customFormat="1" ht="12.75" customHeight="1" x14ac:dyDescent="0.3">
      <c r="CK6365" s="666"/>
    </row>
    <row r="6366" spans="89:89" s="299" customFormat="1" ht="12.75" customHeight="1" x14ac:dyDescent="0.3">
      <c r="CK6366" s="666"/>
    </row>
    <row r="6367" spans="89:89" s="299" customFormat="1" ht="12.75" customHeight="1" x14ac:dyDescent="0.3">
      <c r="CK6367" s="666"/>
    </row>
    <row r="6368" spans="89:89" s="299" customFormat="1" ht="12.75" customHeight="1" x14ac:dyDescent="0.3">
      <c r="CK6368" s="666"/>
    </row>
    <row r="6369" spans="89:89" s="299" customFormat="1" ht="12.75" customHeight="1" x14ac:dyDescent="0.3">
      <c r="CK6369" s="666"/>
    </row>
    <row r="6370" spans="89:89" s="299" customFormat="1" ht="12.75" customHeight="1" x14ac:dyDescent="0.3">
      <c r="CK6370" s="666"/>
    </row>
    <row r="6371" spans="89:89" s="299" customFormat="1" ht="12.75" customHeight="1" x14ac:dyDescent="0.3">
      <c r="CK6371" s="666"/>
    </row>
    <row r="6372" spans="89:89" s="299" customFormat="1" ht="12.75" customHeight="1" x14ac:dyDescent="0.3">
      <c r="CK6372" s="666"/>
    </row>
    <row r="6373" spans="89:89" s="299" customFormat="1" ht="12.75" customHeight="1" x14ac:dyDescent="0.3">
      <c r="CK6373" s="666"/>
    </row>
    <row r="6374" spans="89:89" s="299" customFormat="1" ht="12.75" customHeight="1" x14ac:dyDescent="0.3">
      <c r="CK6374" s="666"/>
    </row>
    <row r="6375" spans="89:89" s="299" customFormat="1" ht="12.75" customHeight="1" x14ac:dyDescent="0.3">
      <c r="CK6375" s="666"/>
    </row>
    <row r="6376" spans="89:89" s="299" customFormat="1" ht="12.75" customHeight="1" x14ac:dyDescent="0.3">
      <c r="CK6376" s="666"/>
    </row>
    <row r="6377" spans="89:89" s="299" customFormat="1" ht="12.75" customHeight="1" x14ac:dyDescent="0.3">
      <c r="CK6377" s="666"/>
    </row>
    <row r="6378" spans="89:89" s="299" customFormat="1" ht="12.75" customHeight="1" x14ac:dyDescent="0.3">
      <c r="CK6378" s="666"/>
    </row>
    <row r="6379" spans="89:89" s="299" customFormat="1" ht="12.75" customHeight="1" x14ac:dyDescent="0.3">
      <c r="CK6379" s="666"/>
    </row>
    <row r="6380" spans="89:89" s="299" customFormat="1" ht="12.75" customHeight="1" x14ac:dyDescent="0.3">
      <c r="CK6380" s="666"/>
    </row>
    <row r="6381" spans="89:89" s="299" customFormat="1" ht="12.75" customHeight="1" x14ac:dyDescent="0.3">
      <c r="CK6381" s="666"/>
    </row>
    <row r="6382" spans="89:89" s="299" customFormat="1" ht="12.75" customHeight="1" x14ac:dyDescent="0.3">
      <c r="CK6382" s="666"/>
    </row>
    <row r="6383" spans="89:89" s="299" customFormat="1" ht="12.75" customHeight="1" x14ac:dyDescent="0.3">
      <c r="CK6383" s="666"/>
    </row>
    <row r="6384" spans="89:89" s="299" customFormat="1" ht="12.75" customHeight="1" x14ac:dyDescent="0.3">
      <c r="CK6384" s="666"/>
    </row>
    <row r="6385" spans="89:89" s="299" customFormat="1" ht="12.75" customHeight="1" x14ac:dyDescent="0.3">
      <c r="CK6385" s="666"/>
    </row>
    <row r="6386" spans="89:89" s="299" customFormat="1" ht="12.75" customHeight="1" x14ac:dyDescent="0.3">
      <c r="CK6386" s="666"/>
    </row>
    <row r="6387" spans="89:89" s="299" customFormat="1" ht="12.75" customHeight="1" x14ac:dyDescent="0.3">
      <c r="CK6387" s="666"/>
    </row>
    <row r="6388" spans="89:89" s="299" customFormat="1" ht="12.75" customHeight="1" x14ac:dyDescent="0.3">
      <c r="CK6388" s="666"/>
    </row>
    <row r="6389" spans="89:89" s="299" customFormat="1" ht="12.75" customHeight="1" x14ac:dyDescent="0.3">
      <c r="CK6389" s="666"/>
    </row>
    <row r="6390" spans="89:89" s="299" customFormat="1" ht="12.75" customHeight="1" x14ac:dyDescent="0.3">
      <c r="CK6390" s="666"/>
    </row>
    <row r="6391" spans="89:89" s="299" customFormat="1" ht="12.75" customHeight="1" x14ac:dyDescent="0.3">
      <c r="CK6391" s="666"/>
    </row>
    <row r="6392" spans="89:89" s="299" customFormat="1" ht="12.75" customHeight="1" x14ac:dyDescent="0.3">
      <c r="CK6392" s="666"/>
    </row>
    <row r="6393" spans="89:89" s="299" customFormat="1" ht="12.75" customHeight="1" x14ac:dyDescent="0.3">
      <c r="CK6393" s="666"/>
    </row>
    <row r="6394" spans="89:89" s="299" customFormat="1" ht="12.75" customHeight="1" x14ac:dyDescent="0.3">
      <c r="CK6394" s="666"/>
    </row>
    <row r="6395" spans="89:89" s="299" customFormat="1" ht="12.75" customHeight="1" x14ac:dyDescent="0.3">
      <c r="CK6395" s="666"/>
    </row>
    <row r="6396" spans="89:89" s="299" customFormat="1" ht="12.75" customHeight="1" x14ac:dyDescent="0.3">
      <c r="CK6396" s="666"/>
    </row>
    <row r="6397" spans="89:89" s="299" customFormat="1" ht="12.75" customHeight="1" x14ac:dyDescent="0.3">
      <c r="CK6397" s="666"/>
    </row>
    <row r="6398" spans="89:89" s="299" customFormat="1" ht="12.75" customHeight="1" x14ac:dyDescent="0.3">
      <c r="CK6398" s="666"/>
    </row>
    <row r="6399" spans="89:89" s="299" customFormat="1" ht="12.75" customHeight="1" x14ac:dyDescent="0.3">
      <c r="CK6399" s="666"/>
    </row>
    <row r="6400" spans="89:89" s="299" customFormat="1" ht="12.75" customHeight="1" x14ac:dyDescent="0.3">
      <c r="CK6400" s="666"/>
    </row>
    <row r="6401" spans="89:89" s="299" customFormat="1" ht="12.75" customHeight="1" x14ac:dyDescent="0.3">
      <c r="CK6401" s="666"/>
    </row>
    <row r="6402" spans="89:89" s="299" customFormat="1" ht="12.75" customHeight="1" x14ac:dyDescent="0.3">
      <c r="CK6402" s="666"/>
    </row>
    <row r="6403" spans="89:89" s="299" customFormat="1" ht="12.75" customHeight="1" x14ac:dyDescent="0.3">
      <c r="CK6403" s="666"/>
    </row>
    <row r="6404" spans="89:89" s="299" customFormat="1" ht="12.75" customHeight="1" x14ac:dyDescent="0.3">
      <c r="CK6404" s="666"/>
    </row>
    <row r="6405" spans="89:89" s="299" customFormat="1" ht="12.75" customHeight="1" x14ac:dyDescent="0.3">
      <c r="CK6405" s="666"/>
    </row>
    <row r="6406" spans="89:89" s="299" customFormat="1" ht="12.75" customHeight="1" x14ac:dyDescent="0.3">
      <c r="CK6406" s="666"/>
    </row>
    <row r="6407" spans="89:89" s="299" customFormat="1" ht="12.75" customHeight="1" x14ac:dyDescent="0.3">
      <c r="CK6407" s="666"/>
    </row>
    <row r="6408" spans="89:89" s="299" customFormat="1" ht="12.75" customHeight="1" x14ac:dyDescent="0.3">
      <c r="CK6408" s="666"/>
    </row>
    <row r="6409" spans="89:89" s="299" customFormat="1" ht="12.75" customHeight="1" x14ac:dyDescent="0.3">
      <c r="CK6409" s="666"/>
    </row>
    <row r="6410" spans="89:89" s="299" customFormat="1" ht="12.75" customHeight="1" x14ac:dyDescent="0.3">
      <c r="CK6410" s="666"/>
    </row>
    <row r="6411" spans="89:89" s="299" customFormat="1" ht="12.75" customHeight="1" x14ac:dyDescent="0.3">
      <c r="CK6411" s="666"/>
    </row>
    <row r="6412" spans="89:89" s="299" customFormat="1" ht="12.75" customHeight="1" x14ac:dyDescent="0.3">
      <c r="CK6412" s="666"/>
    </row>
    <row r="6413" spans="89:89" s="299" customFormat="1" ht="12.75" customHeight="1" x14ac:dyDescent="0.3">
      <c r="CK6413" s="666"/>
    </row>
    <row r="6414" spans="89:89" s="299" customFormat="1" ht="12.75" customHeight="1" x14ac:dyDescent="0.3">
      <c r="CK6414" s="666"/>
    </row>
    <row r="6415" spans="89:89" s="299" customFormat="1" ht="12.75" customHeight="1" x14ac:dyDescent="0.3">
      <c r="CK6415" s="666"/>
    </row>
    <row r="6416" spans="89:89" s="299" customFormat="1" ht="12.75" customHeight="1" x14ac:dyDescent="0.3">
      <c r="CK6416" s="666"/>
    </row>
    <row r="6417" spans="89:89" s="299" customFormat="1" ht="12.75" customHeight="1" x14ac:dyDescent="0.3">
      <c r="CK6417" s="666"/>
    </row>
    <row r="6418" spans="89:89" s="299" customFormat="1" ht="12.75" customHeight="1" x14ac:dyDescent="0.3">
      <c r="CK6418" s="666"/>
    </row>
    <row r="6419" spans="89:89" s="299" customFormat="1" ht="12.75" customHeight="1" x14ac:dyDescent="0.3">
      <c r="CK6419" s="666"/>
    </row>
    <row r="6420" spans="89:89" s="299" customFormat="1" ht="12.75" customHeight="1" x14ac:dyDescent="0.3">
      <c r="CK6420" s="666"/>
    </row>
    <row r="6421" spans="89:89" s="299" customFormat="1" ht="12.75" customHeight="1" x14ac:dyDescent="0.3">
      <c r="CK6421" s="666"/>
    </row>
    <row r="6422" spans="89:89" s="299" customFormat="1" ht="12.75" customHeight="1" x14ac:dyDescent="0.3">
      <c r="CK6422" s="666"/>
    </row>
    <row r="6423" spans="89:89" s="299" customFormat="1" ht="12.75" customHeight="1" x14ac:dyDescent="0.3">
      <c r="CK6423" s="666"/>
    </row>
    <row r="6424" spans="89:89" s="299" customFormat="1" ht="12.75" customHeight="1" x14ac:dyDescent="0.3">
      <c r="CK6424" s="666"/>
    </row>
    <row r="6425" spans="89:89" s="299" customFormat="1" ht="12.75" customHeight="1" x14ac:dyDescent="0.3">
      <c r="CK6425" s="666"/>
    </row>
    <row r="6426" spans="89:89" s="299" customFormat="1" ht="12.75" customHeight="1" x14ac:dyDescent="0.3">
      <c r="CK6426" s="666"/>
    </row>
    <row r="6427" spans="89:89" s="299" customFormat="1" ht="12.75" customHeight="1" x14ac:dyDescent="0.3">
      <c r="CK6427" s="666"/>
    </row>
    <row r="6428" spans="89:89" s="299" customFormat="1" ht="12.75" customHeight="1" x14ac:dyDescent="0.3">
      <c r="CK6428" s="666"/>
    </row>
    <row r="6429" spans="89:89" s="299" customFormat="1" ht="12.75" customHeight="1" x14ac:dyDescent="0.3">
      <c r="CK6429" s="666"/>
    </row>
    <row r="6430" spans="89:89" s="299" customFormat="1" ht="12.75" customHeight="1" x14ac:dyDescent="0.3">
      <c r="CK6430" s="666"/>
    </row>
    <row r="6431" spans="89:89" s="299" customFormat="1" ht="12.75" customHeight="1" x14ac:dyDescent="0.3">
      <c r="CK6431" s="666"/>
    </row>
    <row r="6432" spans="89:89" s="299" customFormat="1" ht="12.75" customHeight="1" x14ac:dyDescent="0.3">
      <c r="CK6432" s="666"/>
    </row>
    <row r="6433" spans="89:89" s="299" customFormat="1" ht="12.75" customHeight="1" x14ac:dyDescent="0.3">
      <c r="CK6433" s="666"/>
    </row>
    <row r="6434" spans="89:89" s="299" customFormat="1" ht="12.75" customHeight="1" x14ac:dyDescent="0.3">
      <c r="CK6434" s="666"/>
    </row>
    <row r="6435" spans="89:89" s="299" customFormat="1" ht="12.75" customHeight="1" x14ac:dyDescent="0.3">
      <c r="CK6435" s="666"/>
    </row>
    <row r="6436" spans="89:89" s="299" customFormat="1" ht="12.75" customHeight="1" x14ac:dyDescent="0.3">
      <c r="CK6436" s="666"/>
    </row>
    <row r="6437" spans="89:89" s="299" customFormat="1" ht="12.75" customHeight="1" x14ac:dyDescent="0.3">
      <c r="CK6437" s="666"/>
    </row>
    <row r="6438" spans="89:89" s="299" customFormat="1" ht="12.75" customHeight="1" x14ac:dyDescent="0.3">
      <c r="CK6438" s="666"/>
    </row>
    <row r="6439" spans="89:89" s="299" customFormat="1" ht="12.75" customHeight="1" x14ac:dyDescent="0.3">
      <c r="CK6439" s="666"/>
    </row>
    <row r="6440" spans="89:89" s="299" customFormat="1" ht="12.75" customHeight="1" x14ac:dyDescent="0.3">
      <c r="CK6440" s="666"/>
    </row>
    <row r="6441" spans="89:89" s="299" customFormat="1" ht="12.75" customHeight="1" x14ac:dyDescent="0.3">
      <c r="CK6441" s="666"/>
    </row>
    <row r="6442" spans="89:89" s="299" customFormat="1" ht="12.75" customHeight="1" x14ac:dyDescent="0.3">
      <c r="CK6442" s="666"/>
    </row>
    <row r="6443" spans="89:89" s="299" customFormat="1" ht="12.75" customHeight="1" x14ac:dyDescent="0.3">
      <c r="CK6443" s="666"/>
    </row>
    <row r="6444" spans="89:89" s="299" customFormat="1" ht="12.75" customHeight="1" x14ac:dyDescent="0.3">
      <c r="CK6444" s="666"/>
    </row>
    <row r="6445" spans="89:89" s="299" customFormat="1" ht="12.75" customHeight="1" x14ac:dyDescent="0.3">
      <c r="CK6445" s="666"/>
    </row>
    <row r="6446" spans="89:89" s="299" customFormat="1" ht="12.75" customHeight="1" x14ac:dyDescent="0.3">
      <c r="CK6446" s="666"/>
    </row>
    <row r="6447" spans="89:89" s="299" customFormat="1" ht="12.75" customHeight="1" x14ac:dyDescent="0.3">
      <c r="CK6447" s="666"/>
    </row>
    <row r="6448" spans="89:89" s="299" customFormat="1" ht="12.75" customHeight="1" x14ac:dyDescent="0.3">
      <c r="CK6448" s="666"/>
    </row>
    <row r="6449" spans="89:89" s="299" customFormat="1" ht="12.75" customHeight="1" x14ac:dyDescent="0.3">
      <c r="CK6449" s="666"/>
    </row>
    <row r="6450" spans="89:89" s="299" customFormat="1" ht="12.75" customHeight="1" x14ac:dyDescent="0.3">
      <c r="CK6450" s="666"/>
    </row>
    <row r="6451" spans="89:89" s="299" customFormat="1" ht="12.75" customHeight="1" x14ac:dyDescent="0.3">
      <c r="CK6451" s="663"/>
    </row>
    <row r="6452" spans="89:89" s="299" customFormat="1" ht="12.75" customHeight="1" x14ac:dyDescent="0.3">
      <c r="CK6452" s="663"/>
    </row>
    <row r="6453" spans="89:89" s="299" customFormat="1" ht="12.75" customHeight="1" x14ac:dyDescent="0.3">
      <c r="CK6453" s="663"/>
    </row>
    <row r="6454" spans="89:89" s="299" customFormat="1" ht="12.75" customHeight="1" x14ac:dyDescent="0.3">
      <c r="CK6454" s="663"/>
    </row>
    <row r="6455" spans="89:89" s="299" customFormat="1" ht="12.75" customHeight="1" x14ac:dyDescent="0.3">
      <c r="CK6455" s="663"/>
    </row>
    <row r="6456" spans="89:89" s="299" customFormat="1" ht="12.75" customHeight="1" x14ac:dyDescent="0.3">
      <c r="CK6456" s="663"/>
    </row>
    <row r="6457" spans="89:89" s="299" customFormat="1" ht="12.75" customHeight="1" x14ac:dyDescent="0.3">
      <c r="CK6457" s="663"/>
    </row>
    <row r="6458" spans="89:89" s="299" customFormat="1" ht="12.75" customHeight="1" x14ac:dyDescent="0.3">
      <c r="CK6458" s="663"/>
    </row>
    <row r="6459" spans="89:89" s="299" customFormat="1" ht="12.75" customHeight="1" x14ac:dyDescent="0.3">
      <c r="CK6459" s="663"/>
    </row>
    <row r="6460" spans="89:89" s="299" customFormat="1" ht="12.75" customHeight="1" x14ac:dyDescent="0.3">
      <c r="CK6460" s="663"/>
    </row>
    <row r="6461" spans="89:89" s="299" customFormat="1" ht="12.75" customHeight="1" x14ac:dyDescent="0.3">
      <c r="CK6461" s="663"/>
    </row>
    <row r="6462" spans="89:89" s="299" customFormat="1" ht="12.75" customHeight="1" x14ac:dyDescent="0.3">
      <c r="CK6462" s="663"/>
    </row>
    <row r="6463" spans="89:89" s="299" customFormat="1" ht="12.75" customHeight="1" x14ac:dyDescent="0.3">
      <c r="CK6463" s="663"/>
    </row>
    <row r="6464" spans="89:89" s="299" customFormat="1" ht="12.75" customHeight="1" x14ac:dyDescent="0.3">
      <c r="CK6464" s="663"/>
    </row>
    <row r="6465" spans="89:89" s="299" customFormat="1" ht="12.75" customHeight="1" x14ac:dyDescent="0.3">
      <c r="CK6465" s="663"/>
    </row>
    <row r="6466" spans="89:89" s="299" customFormat="1" ht="12.75" customHeight="1" x14ac:dyDescent="0.3">
      <c r="CK6466" s="663"/>
    </row>
    <row r="6467" spans="89:89" s="299" customFormat="1" ht="12.75" customHeight="1" x14ac:dyDescent="0.3">
      <c r="CK6467" s="663"/>
    </row>
    <row r="6468" spans="89:89" s="299" customFormat="1" ht="12.75" customHeight="1" x14ac:dyDescent="0.3">
      <c r="CK6468" s="663"/>
    </row>
    <row r="6469" spans="89:89" s="299" customFormat="1" ht="12.75" customHeight="1" x14ac:dyDescent="0.3">
      <c r="CK6469" s="663"/>
    </row>
    <row r="6470" spans="89:89" s="299" customFormat="1" ht="12.75" customHeight="1" x14ac:dyDescent="0.3">
      <c r="CK6470" s="663"/>
    </row>
    <row r="6471" spans="89:89" s="299" customFormat="1" ht="12.75" customHeight="1" x14ac:dyDescent="0.3">
      <c r="CK6471" s="663"/>
    </row>
    <row r="6472" spans="89:89" s="299" customFormat="1" ht="12.75" customHeight="1" x14ac:dyDescent="0.3">
      <c r="CK6472" s="663"/>
    </row>
    <row r="6473" spans="89:89" s="299" customFormat="1" ht="12.75" customHeight="1" x14ac:dyDescent="0.3">
      <c r="CK6473" s="663"/>
    </row>
    <row r="6474" spans="89:89" s="299" customFormat="1" ht="12.75" customHeight="1" x14ac:dyDescent="0.3">
      <c r="CK6474" s="663"/>
    </row>
    <row r="6475" spans="89:89" s="299" customFormat="1" ht="12.75" customHeight="1" x14ac:dyDescent="0.3">
      <c r="CK6475" s="663"/>
    </row>
    <row r="6476" spans="89:89" s="299" customFormat="1" ht="12.75" customHeight="1" x14ac:dyDescent="0.3">
      <c r="CK6476" s="663"/>
    </row>
    <row r="6477" spans="89:89" s="299" customFormat="1" ht="12.75" customHeight="1" x14ac:dyDescent="0.3">
      <c r="CK6477" s="663"/>
    </row>
    <row r="6478" spans="89:89" s="299" customFormat="1" ht="12.75" customHeight="1" x14ac:dyDescent="0.3">
      <c r="CK6478" s="663"/>
    </row>
    <row r="6479" spans="89:89" s="299" customFormat="1" ht="12.75" customHeight="1" x14ac:dyDescent="0.3">
      <c r="CK6479" s="663"/>
    </row>
    <row r="6480" spans="89:89" s="299" customFormat="1" ht="12.75" customHeight="1" x14ac:dyDescent="0.3">
      <c r="CK6480" s="663"/>
    </row>
    <row r="6481" spans="89:89" s="299" customFormat="1" ht="12.75" customHeight="1" x14ac:dyDescent="0.3">
      <c r="CK6481" s="663"/>
    </row>
    <row r="6482" spans="89:89" s="299" customFormat="1" ht="12.75" customHeight="1" x14ac:dyDescent="0.3">
      <c r="CK6482" s="663"/>
    </row>
    <row r="6483" spans="89:89" s="299" customFormat="1" ht="12.75" customHeight="1" x14ac:dyDescent="0.3">
      <c r="CK6483" s="663"/>
    </row>
    <row r="6484" spans="89:89" s="299" customFormat="1" ht="12.75" customHeight="1" x14ac:dyDescent="0.3">
      <c r="CK6484" s="663"/>
    </row>
    <row r="6485" spans="89:89" s="299" customFormat="1" ht="12.75" customHeight="1" x14ac:dyDescent="0.3">
      <c r="CK6485" s="663"/>
    </row>
    <row r="6486" spans="89:89" s="299" customFormat="1" ht="12.75" customHeight="1" x14ac:dyDescent="0.3">
      <c r="CK6486" s="663"/>
    </row>
    <row r="6487" spans="89:89" s="299" customFormat="1" ht="12.75" customHeight="1" x14ac:dyDescent="0.3">
      <c r="CK6487" s="663"/>
    </row>
    <row r="6488" spans="89:89" s="299" customFormat="1" ht="12.75" customHeight="1" x14ac:dyDescent="0.3">
      <c r="CK6488" s="663"/>
    </row>
    <row r="6489" spans="89:89" s="299" customFormat="1" ht="12.75" customHeight="1" x14ac:dyDescent="0.3">
      <c r="CK6489" s="663"/>
    </row>
    <row r="6490" spans="89:89" s="299" customFormat="1" ht="12.75" customHeight="1" x14ac:dyDescent="0.3">
      <c r="CK6490" s="663"/>
    </row>
    <row r="6491" spans="89:89" s="299" customFormat="1" ht="12.75" customHeight="1" x14ac:dyDescent="0.3">
      <c r="CK6491" s="663"/>
    </row>
    <row r="6492" spans="89:89" s="299" customFormat="1" ht="12.75" customHeight="1" x14ac:dyDescent="0.3">
      <c r="CK6492" s="663"/>
    </row>
    <row r="6493" spans="89:89" s="299" customFormat="1" ht="12.75" customHeight="1" x14ac:dyDescent="0.3">
      <c r="CK6493" s="663"/>
    </row>
    <row r="6494" spans="89:89" s="299" customFormat="1" ht="12.75" customHeight="1" x14ac:dyDescent="0.3">
      <c r="CK6494" s="663"/>
    </row>
    <row r="6495" spans="89:89" s="299" customFormat="1" ht="12.75" customHeight="1" x14ac:dyDescent="0.3">
      <c r="CK6495" s="663"/>
    </row>
    <row r="6496" spans="89:89" s="299" customFormat="1" ht="12.75" customHeight="1" x14ac:dyDescent="0.3">
      <c r="CK6496" s="663"/>
    </row>
    <row r="6497" spans="89:89" s="299" customFormat="1" ht="12.75" customHeight="1" x14ac:dyDescent="0.3">
      <c r="CK6497" s="663"/>
    </row>
    <row r="6498" spans="89:89" s="299" customFormat="1" ht="12.75" customHeight="1" x14ac:dyDescent="0.3">
      <c r="CK6498" s="663"/>
    </row>
    <row r="6499" spans="89:89" s="299" customFormat="1" ht="12.75" customHeight="1" x14ac:dyDescent="0.3">
      <c r="CK6499" s="663"/>
    </row>
    <row r="6500" spans="89:89" s="299" customFormat="1" ht="12.75" customHeight="1" x14ac:dyDescent="0.3">
      <c r="CK6500" s="663"/>
    </row>
    <row r="6501" spans="89:89" s="299" customFormat="1" ht="12.75" customHeight="1" x14ac:dyDescent="0.3">
      <c r="CK6501" s="663"/>
    </row>
    <row r="6502" spans="89:89" s="299" customFormat="1" ht="12.75" customHeight="1" x14ac:dyDescent="0.3">
      <c r="CK6502" s="663"/>
    </row>
    <row r="6503" spans="89:89" s="299" customFormat="1" ht="12.75" customHeight="1" x14ac:dyDescent="0.3">
      <c r="CK6503" s="663"/>
    </row>
    <row r="6504" spans="89:89" s="299" customFormat="1" ht="12.75" customHeight="1" x14ac:dyDescent="0.3">
      <c r="CK6504" s="663"/>
    </row>
    <row r="6505" spans="89:89" s="299" customFormat="1" ht="12.75" customHeight="1" x14ac:dyDescent="0.3">
      <c r="CK6505" s="663"/>
    </row>
    <row r="6506" spans="89:89" s="299" customFormat="1" ht="12.75" customHeight="1" x14ac:dyDescent="0.3">
      <c r="CK6506" s="663"/>
    </row>
    <row r="6507" spans="89:89" s="299" customFormat="1" ht="12.75" customHeight="1" x14ac:dyDescent="0.3">
      <c r="CK6507" s="663"/>
    </row>
    <row r="6508" spans="89:89" s="299" customFormat="1" ht="12.75" customHeight="1" x14ac:dyDescent="0.3">
      <c r="CK6508" s="663"/>
    </row>
    <row r="6509" spans="89:89" s="299" customFormat="1" ht="12.75" customHeight="1" x14ac:dyDescent="0.3">
      <c r="CK6509" s="663"/>
    </row>
    <row r="6510" spans="89:89" s="299" customFormat="1" ht="12.75" customHeight="1" x14ac:dyDescent="0.3">
      <c r="CK6510" s="663"/>
    </row>
    <row r="6511" spans="89:89" s="299" customFormat="1" ht="12.75" customHeight="1" x14ac:dyDescent="0.3">
      <c r="CK6511" s="663"/>
    </row>
    <row r="6512" spans="89:89" s="299" customFormat="1" ht="12.75" customHeight="1" x14ac:dyDescent="0.3">
      <c r="CK6512" s="663"/>
    </row>
    <row r="6513" spans="89:89" s="299" customFormat="1" ht="12.75" customHeight="1" x14ac:dyDescent="0.3">
      <c r="CK6513" s="663"/>
    </row>
    <row r="6514" spans="89:89" s="299" customFormat="1" ht="12.75" customHeight="1" x14ac:dyDescent="0.3">
      <c r="CK6514" s="663"/>
    </row>
    <row r="6515" spans="89:89" s="299" customFormat="1" ht="12.75" customHeight="1" x14ac:dyDescent="0.3">
      <c r="CK6515" s="663"/>
    </row>
    <row r="6516" spans="89:89" s="299" customFormat="1" ht="12.75" customHeight="1" x14ac:dyDescent="0.3">
      <c r="CK6516" s="663"/>
    </row>
    <row r="6517" spans="89:89" s="299" customFormat="1" ht="12.75" customHeight="1" x14ac:dyDescent="0.3">
      <c r="CK6517" s="663"/>
    </row>
    <row r="6518" spans="89:89" s="299" customFormat="1" ht="12.75" customHeight="1" x14ac:dyDescent="0.3">
      <c r="CK6518" s="663"/>
    </row>
    <row r="6519" spans="89:89" s="299" customFormat="1" ht="12.75" customHeight="1" x14ac:dyDescent="0.3">
      <c r="CK6519" s="663"/>
    </row>
    <row r="6520" spans="89:89" s="299" customFormat="1" ht="12.75" customHeight="1" x14ac:dyDescent="0.3">
      <c r="CK6520" s="663"/>
    </row>
    <row r="6521" spans="89:89" s="299" customFormat="1" ht="12.75" customHeight="1" x14ac:dyDescent="0.3">
      <c r="CK6521" s="663"/>
    </row>
    <row r="6522" spans="89:89" s="299" customFormat="1" ht="12.75" customHeight="1" x14ac:dyDescent="0.3">
      <c r="CK6522" s="663"/>
    </row>
    <row r="6523" spans="89:89" s="299" customFormat="1" ht="12.75" customHeight="1" x14ac:dyDescent="0.3">
      <c r="CK6523" s="663"/>
    </row>
    <row r="6524" spans="89:89" s="299" customFormat="1" ht="12.75" customHeight="1" x14ac:dyDescent="0.3">
      <c r="CK6524" s="663"/>
    </row>
    <row r="6525" spans="89:89" s="299" customFormat="1" ht="12.75" customHeight="1" x14ac:dyDescent="0.3">
      <c r="CK6525" s="663"/>
    </row>
    <row r="6526" spans="89:89" s="299" customFormat="1" ht="12.75" customHeight="1" x14ac:dyDescent="0.3">
      <c r="CK6526" s="663"/>
    </row>
    <row r="6527" spans="89:89" s="299" customFormat="1" ht="12.75" customHeight="1" x14ac:dyDescent="0.3">
      <c r="CK6527" s="663"/>
    </row>
    <row r="6528" spans="89:89" s="299" customFormat="1" ht="12.75" customHeight="1" x14ac:dyDescent="0.3">
      <c r="CK6528" s="663"/>
    </row>
    <row r="6529" spans="89:89" s="299" customFormat="1" ht="12.75" customHeight="1" x14ac:dyDescent="0.3">
      <c r="CK6529" s="663"/>
    </row>
    <row r="6530" spans="89:89" s="299" customFormat="1" ht="12.75" customHeight="1" x14ac:dyDescent="0.3">
      <c r="CK6530" s="663"/>
    </row>
    <row r="6531" spans="89:89" s="299" customFormat="1" ht="12.75" customHeight="1" x14ac:dyDescent="0.3">
      <c r="CK6531" s="663"/>
    </row>
    <row r="6532" spans="89:89" s="299" customFormat="1" ht="12.75" customHeight="1" x14ac:dyDescent="0.3">
      <c r="CK6532" s="663"/>
    </row>
    <row r="6533" spans="89:89" s="299" customFormat="1" ht="12.75" customHeight="1" x14ac:dyDescent="0.3">
      <c r="CK6533" s="663"/>
    </row>
    <row r="6534" spans="89:89" s="299" customFormat="1" ht="12.75" customHeight="1" x14ac:dyDescent="0.3">
      <c r="CK6534" s="663"/>
    </row>
    <row r="6535" spans="89:89" s="299" customFormat="1" ht="12.75" customHeight="1" x14ac:dyDescent="0.3">
      <c r="CK6535" s="663"/>
    </row>
    <row r="6536" spans="89:89" s="299" customFormat="1" ht="12.75" customHeight="1" x14ac:dyDescent="0.3">
      <c r="CK6536" s="663"/>
    </row>
    <row r="6537" spans="89:89" s="299" customFormat="1" ht="12.75" customHeight="1" x14ac:dyDescent="0.3">
      <c r="CK6537" s="663"/>
    </row>
    <row r="6538" spans="89:89" s="299" customFormat="1" ht="12.75" customHeight="1" x14ac:dyDescent="0.3">
      <c r="CK6538" s="663"/>
    </row>
    <row r="6539" spans="89:89" s="299" customFormat="1" ht="12.75" customHeight="1" x14ac:dyDescent="0.3">
      <c r="CK6539" s="663"/>
    </row>
    <row r="6540" spans="89:89" s="299" customFormat="1" ht="12.75" customHeight="1" x14ac:dyDescent="0.3">
      <c r="CK6540" s="663"/>
    </row>
    <row r="6541" spans="89:89" s="299" customFormat="1" ht="12.75" customHeight="1" x14ac:dyDescent="0.3">
      <c r="CK6541" s="663"/>
    </row>
    <row r="6542" spans="89:89" s="299" customFormat="1" ht="12.75" customHeight="1" x14ac:dyDescent="0.3">
      <c r="CK6542" s="663"/>
    </row>
    <row r="6543" spans="89:89" s="299" customFormat="1" ht="12.75" customHeight="1" x14ac:dyDescent="0.3">
      <c r="CK6543" s="663"/>
    </row>
    <row r="6544" spans="89:89" s="299" customFormat="1" ht="12.75" customHeight="1" x14ac:dyDescent="0.3">
      <c r="CK6544" s="663"/>
    </row>
    <row r="6545" spans="89:89" s="299" customFormat="1" ht="12.75" customHeight="1" x14ac:dyDescent="0.3">
      <c r="CK6545" s="663"/>
    </row>
    <row r="6546" spans="89:89" s="299" customFormat="1" ht="12.75" customHeight="1" x14ac:dyDescent="0.3">
      <c r="CK6546" s="663"/>
    </row>
    <row r="6547" spans="89:89" s="299" customFormat="1" ht="12.75" customHeight="1" x14ac:dyDescent="0.3">
      <c r="CK6547" s="663"/>
    </row>
    <row r="6548" spans="89:89" s="299" customFormat="1" ht="12.75" customHeight="1" x14ac:dyDescent="0.3">
      <c r="CK6548" s="663"/>
    </row>
    <row r="6549" spans="89:89" s="299" customFormat="1" ht="12.75" customHeight="1" x14ac:dyDescent="0.3">
      <c r="CK6549" s="663"/>
    </row>
    <row r="6550" spans="89:89" s="299" customFormat="1" ht="12.75" customHeight="1" x14ac:dyDescent="0.3">
      <c r="CK6550" s="663"/>
    </row>
    <row r="6551" spans="89:89" s="299" customFormat="1" ht="12.75" customHeight="1" x14ac:dyDescent="0.3">
      <c r="CK6551" s="663"/>
    </row>
    <row r="6552" spans="89:89" s="299" customFormat="1" ht="12.75" customHeight="1" x14ac:dyDescent="0.3">
      <c r="CK6552" s="663"/>
    </row>
    <row r="6553" spans="89:89" s="299" customFormat="1" ht="12.75" customHeight="1" x14ac:dyDescent="0.3">
      <c r="CK6553" s="663"/>
    </row>
    <row r="6554" spans="89:89" s="299" customFormat="1" ht="12.75" customHeight="1" x14ac:dyDescent="0.3">
      <c r="CK6554" s="663"/>
    </row>
    <row r="6555" spans="89:89" s="299" customFormat="1" ht="12.75" customHeight="1" x14ac:dyDescent="0.3">
      <c r="CK6555" s="663"/>
    </row>
    <row r="6556" spans="89:89" s="299" customFormat="1" ht="12.75" customHeight="1" x14ac:dyDescent="0.3">
      <c r="CK6556" s="663"/>
    </row>
    <row r="6557" spans="89:89" s="299" customFormat="1" ht="12.75" customHeight="1" x14ac:dyDescent="0.3">
      <c r="CK6557" s="663"/>
    </row>
    <row r="6558" spans="89:89" s="299" customFormat="1" ht="12.75" customHeight="1" x14ac:dyDescent="0.3">
      <c r="CK6558" s="663"/>
    </row>
    <row r="6559" spans="89:89" s="299" customFormat="1" ht="12.75" customHeight="1" x14ac:dyDescent="0.3">
      <c r="CK6559" s="663"/>
    </row>
    <row r="6560" spans="89:89" s="299" customFormat="1" ht="12.75" customHeight="1" x14ac:dyDescent="0.3">
      <c r="CK6560" s="663"/>
    </row>
    <row r="6561" spans="89:89" s="299" customFormat="1" ht="12.75" customHeight="1" x14ac:dyDescent="0.3">
      <c r="CK6561" s="663"/>
    </row>
    <row r="6562" spans="89:89" s="299" customFormat="1" ht="12.75" customHeight="1" x14ac:dyDescent="0.3">
      <c r="CK6562" s="663"/>
    </row>
    <row r="6563" spans="89:89" s="299" customFormat="1" ht="12.75" customHeight="1" x14ac:dyDescent="0.3">
      <c r="CK6563" s="663"/>
    </row>
    <row r="6564" spans="89:89" s="299" customFormat="1" ht="12.75" customHeight="1" x14ac:dyDescent="0.3">
      <c r="CK6564" s="663"/>
    </row>
    <row r="6565" spans="89:89" s="299" customFormat="1" ht="12.75" customHeight="1" x14ac:dyDescent="0.3">
      <c r="CK6565" s="663"/>
    </row>
    <row r="6566" spans="89:89" s="299" customFormat="1" ht="12.75" customHeight="1" x14ac:dyDescent="0.3">
      <c r="CK6566" s="663"/>
    </row>
    <row r="6567" spans="89:89" s="299" customFormat="1" ht="12.75" customHeight="1" x14ac:dyDescent="0.3">
      <c r="CK6567" s="663"/>
    </row>
    <row r="6568" spans="89:89" s="299" customFormat="1" ht="12.75" customHeight="1" x14ac:dyDescent="0.3">
      <c r="CK6568" s="663"/>
    </row>
    <row r="6569" spans="89:89" s="299" customFormat="1" ht="12.75" customHeight="1" x14ac:dyDescent="0.3">
      <c r="CK6569" s="663"/>
    </row>
    <row r="6570" spans="89:89" s="299" customFormat="1" ht="12.75" customHeight="1" x14ac:dyDescent="0.3">
      <c r="CK6570" s="663"/>
    </row>
    <row r="6571" spans="89:89" s="299" customFormat="1" ht="12.75" customHeight="1" x14ac:dyDescent="0.3">
      <c r="CK6571" s="663"/>
    </row>
    <row r="6572" spans="89:89" s="299" customFormat="1" ht="12.75" customHeight="1" x14ac:dyDescent="0.3">
      <c r="CK6572" s="663"/>
    </row>
    <row r="6573" spans="89:89" s="299" customFormat="1" ht="12.75" customHeight="1" x14ac:dyDescent="0.3">
      <c r="CK6573" s="663"/>
    </row>
    <row r="6574" spans="89:89" s="299" customFormat="1" ht="12.75" customHeight="1" x14ac:dyDescent="0.3">
      <c r="CK6574" s="663"/>
    </row>
    <row r="6575" spans="89:89" s="299" customFormat="1" ht="12.75" customHeight="1" x14ac:dyDescent="0.3">
      <c r="CK6575" s="663"/>
    </row>
    <row r="6576" spans="89:89" s="299" customFormat="1" ht="12.75" customHeight="1" x14ac:dyDescent="0.3">
      <c r="CK6576" s="663"/>
    </row>
    <row r="6577" spans="89:89" s="299" customFormat="1" ht="12.75" customHeight="1" x14ac:dyDescent="0.3">
      <c r="CK6577" s="663"/>
    </row>
    <row r="6578" spans="89:89" s="299" customFormat="1" ht="12.75" customHeight="1" x14ac:dyDescent="0.3">
      <c r="CK6578" s="663"/>
    </row>
    <row r="6579" spans="89:89" s="299" customFormat="1" ht="12.75" customHeight="1" x14ac:dyDescent="0.3">
      <c r="CK6579" s="663"/>
    </row>
    <row r="6580" spans="89:89" s="299" customFormat="1" ht="12.75" customHeight="1" x14ac:dyDescent="0.3">
      <c r="CK6580" s="663"/>
    </row>
    <row r="6581" spans="89:89" s="299" customFormat="1" ht="12.75" customHeight="1" x14ac:dyDescent="0.3">
      <c r="CK6581" s="663"/>
    </row>
    <row r="6582" spans="89:89" s="299" customFormat="1" ht="12.75" customHeight="1" x14ac:dyDescent="0.3">
      <c r="CK6582" s="663"/>
    </row>
    <row r="6583" spans="89:89" s="299" customFormat="1" ht="12.75" customHeight="1" x14ac:dyDescent="0.3">
      <c r="CK6583" s="663"/>
    </row>
    <row r="6584" spans="89:89" s="299" customFormat="1" ht="12.75" customHeight="1" x14ac:dyDescent="0.3">
      <c r="CK6584" s="663"/>
    </row>
    <row r="6585" spans="89:89" s="299" customFormat="1" ht="12.75" customHeight="1" x14ac:dyDescent="0.3">
      <c r="CK6585" s="663"/>
    </row>
    <row r="6586" spans="89:89" s="299" customFormat="1" ht="12.75" customHeight="1" x14ac:dyDescent="0.3">
      <c r="CK6586" s="663"/>
    </row>
    <row r="6587" spans="89:89" s="299" customFormat="1" ht="12.75" customHeight="1" x14ac:dyDescent="0.3">
      <c r="CK6587" s="663"/>
    </row>
    <row r="6588" spans="89:89" s="299" customFormat="1" ht="12.75" customHeight="1" x14ac:dyDescent="0.3">
      <c r="CK6588" s="663"/>
    </row>
    <row r="6589" spans="89:89" s="299" customFormat="1" ht="12.75" customHeight="1" x14ac:dyDescent="0.3">
      <c r="CK6589" s="663"/>
    </row>
    <row r="6590" spans="89:89" s="299" customFormat="1" ht="12.75" customHeight="1" x14ac:dyDescent="0.3">
      <c r="CK6590" s="663"/>
    </row>
    <row r="6591" spans="89:89" s="299" customFormat="1" ht="12.75" customHeight="1" x14ac:dyDescent="0.3">
      <c r="CK6591" s="663"/>
    </row>
    <row r="6592" spans="89:89" s="299" customFormat="1" ht="12.75" customHeight="1" x14ac:dyDescent="0.3">
      <c r="CK6592" s="663"/>
    </row>
    <row r="6593" spans="89:89" s="299" customFormat="1" ht="12.75" customHeight="1" x14ac:dyDescent="0.3">
      <c r="CK6593" s="663"/>
    </row>
    <row r="6594" spans="89:89" s="299" customFormat="1" ht="12.75" customHeight="1" x14ac:dyDescent="0.3">
      <c r="CK6594" s="663"/>
    </row>
    <row r="6595" spans="89:89" s="299" customFormat="1" ht="12.75" customHeight="1" x14ac:dyDescent="0.3">
      <c r="CK6595" s="663"/>
    </row>
    <row r="6596" spans="89:89" s="299" customFormat="1" ht="12.75" customHeight="1" x14ac:dyDescent="0.3">
      <c r="CK6596" s="663"/>
    </row>
    <row r="6597" spans="89:89" s="299" customFormat="1" ht="12.75" customHeight="1" x14ac:dyDescent="0.3">
      <c r="CK6597" s="663"/>
    </row>
    <row r="6598" spans="89:89" s="299" customFormat="1" ht="12.75" customHeight="1" x14ac:dyDescent="0.3">
      <c r="CK6598" s="663"/>
    </row>
    <row r="6599" spans="89:89" s="299" customFormat="1" ht="12.75" customHeight="1" x14ac:dyDescent="0.3">
      <c r="CK6599" s="663"/>
    </row>
    <row r="6600" spans="89:89" s="299" customFormat="1" ht="12.75" customHeight="1" x14ac:dyDescent="0.3">
      <c r="CK6600" s="663"/>
    </row>
    <row r="6601" spans="89:89" s="299" customFormat="1" ht="12.75" customHeight="1" x14ac:dyDescent="0.3">
      <c r="CK6601" s="663"/>
    </row>
    <row r="6602" spans="89:89" s="299" customFormat="1" ht="12.75" customHeight="1" x14ac:dyDescent="0.3">
      <c r="CK6602" s="663"/>
    </row>
    <row r="6603" spans="89:89" s="299" customFormat="1" ht="12.75" customHeight="1" x14ac:dyDescent="0.3">
      <c r="CK6603" s="663"/>
    </row>
    <row r="6604" spans="89:89" s="299" customFormat="1" ht="12.75" customHeight="1" x14ac:dyDescent="0.3">
      <c r="CK6604" s="663"/>
    </row>
    <row r="6605" spans="89:89" s="299" customFormat="1" ht="12.75" customHeight="1" x14ac:dyDescent="0.3">
      <c r="CK6605" s="663"/>
    </row>
    <row r="6606" spans="89:89" s="299" customFormat="1" ht="12.75" customHeight="1" x14ac:dyDescent="0.3">
      <c r="CK6606" s="663"/>
    </row>
    <row r="6607" spans="89:89" s="299" customFormat="1" ht="12.75" customHeight="1" x14ac:dyDescent="0.3">
      <c r="CK6607" s="663"/>
    </row>
    <row r="6608" spans="89:89" s="299" customFormat="1" ht="12.75" customHeight="1" x14ac:dyDescent="0.3">
      <c r="CK6608" s="663"/>
    </row>
    <row r="6609" spans="89:89" s="299" customFormat="1" ht="12.75" customHeight="1" x14ac:dyDescent="0.3">
      <c r="CK6609" s="663"/>
    </row>
    <row r="6610" spans="89:89" s="299" customFormat="1" ht="12.75" customHeight="1" x14ac:dyDescent="0.3">
      <c r="CK6610" s="663"/>
    </row>
    <row r="6611" spans="89:89" s="299" customFormat="1" ht="12.75" customHeight="1" x14ac:dyDescent="0.3">
      <c r="CK6611" s="663"/>
    </row>
    <row r="6612" spans="89:89" s="299" customFormat="1" ht="12.75" customHeight="1" x14ac:dyDescent="0.3">
      <c r="CK6612" s="663"/>
    </row>
    <row r="6613" spans="89:89" s="299" customFormat="1" ht="12.75" customHeight="1" x14ac:dyDescent="0.3">
      <c r="CK6613" s="663"/>
    </row>
    <row r="6614" spans="89:89" s="299" customFormat="1" ht="12.75" customHeight="1" x14ac:dyDescent="0.3">
      <c r="CK6614" s="663"/>
    </row>
    <row r="6615" spans="89:89" s="299" customFormat="1" ht="12.75" customHeight="1" x14ac:dyDescent="0.3">
      <c r="CK6615" s="663"/>
    </row>
    <row r="6616" spans="89:89" s="299" customFormat="1" ht="12.75" customHeight="1" x14ac:dyDescent="0.3">
      <c r="CK6616" s="663"/>
    </row>
    <row r="6617" spans="89:89" s="299" customFormat="1" ht="12.75" customHeight="1" x14ac:dyDescent="0.3">
      <c r="CK6617" s="663"/>
    </row>
    <row r="6618" spans="89:89" s="299" customFormat="1" ht="12.75" customHeight="1" x14ac:dyDescent="0.3">
      <c r="CK6618" s="663"/>
    </row>
    <row r="6619" spans="89:89" s="299" customFormat="1" ht="12.75" customHeight="1" x14ac:dyDescent="0.3">
      <c r="CK6619" s="663"/>
    </row>
    <row r="6620" spans="89:89" s="299" customFormat="1" ht="12.75" customHeight="1" x14ac:dyDescent="0.3">
      <c r="CK6620" s="663"/>
    </row>
    <row r="6621" spans="89:89" s="299" customFormat="1" ht="12.75" customHeight="1" x14ac:dyDescent="0.3">
      <c r="CK6621" s="663"/>
    </row>
    <row r="6622" spans="89:89" s="299" customFormat="1" ht="12.75" customHeight="1" x14ac:dyDescent="0.3">
      <c r="CK6622" s="663"/>
    </row>
    <row r="6623" spans="89:89" s="299" customFormat="1" ht="12.75" customHeight="1" x14ac:dyDescent="0.3">
      <c r="CK6623" s="663"/>
    </row>
    <row r="6624" spans="89:89" s="299" customFormat="1" ht="12.75" customHeight="1" x14ac:dyDescent="0.3">
      <c r="CK6624" s="663"/>
    </row>
    <row r="6625" spans="89:89" s="299" customFormat="1" ht="12.75" customHeight="1" x14ac:dyDescent="0.3">
      <c r="CK6625" s="663"/>
    </row>
    <row r="6626" spans="89:89" s="299" customFormat="1" ht="12.75" customHeight="1" x14ac:dyDescent="0.3">
      <c r="CK6626" s="663"/>
    </row>
    <row r="6627" spans="89:89" s="299" customFormat="1" ht="12.75" customHeight="1" x14ac:dyDescent="0.3">
      <c r="CK6627" s="663"/>
    </row>
    <row r="6628" spans="89:89" s="299" customFormat="1" ht="12.75" customHeight="1" x14ac:dyDescent="0.3">
      <c r="CK6628" s="663"/>
    </row>
    <row r="6629" spans="89:89" s="299" customFormat="1" ht="12.75" customHeight="1" x14ac:dyDescent="0.3">
      <c r="CK6629" s="663"/>
    </row>
    <row r="6630" spans="89:89" s="299" customFormat="1" ht="12.75" customHeight="1" x14ac:dyDescent="0.3">
      <c r="CK6630" s="663"/>
    </row>
    <row r="6631" spans="89:89" s="299" customFormat="1" ht="12.75" customHeight="1" x14ac:dyDescent="0.3">
      <c r="CK6631" s="663"/>
    </row>
    <row r="6632" spans="89:89" s="299" customFormat="1" ht="12.75" customHeight="1" x14ac:dyDescent="0.3">
      <c r="CK6632" s="663"/>
    </row>
    <row r="6633" spans="89:89" s="299" customFormat="1" ht="12.75" customHeight="1" x14ac:dyDescent="0.3">
      <c r="CK6633" s="663"/>
    </row>
    <row r="6634" spans="89:89" s="299" customFormat="1" ht="12.75" customHeight="1" x14ac:dyDescent="0.3">
      <c r="CK6634" s="663"/>
    </row>
    <row r="6635" spans="89:89" s="299" customFormat="1" ht="12.75" customHeight="1" x14ac:dyDescent="0.3">
      <c r="CK6635" s="663"/>
    </row>
    <row r="6636" spans="89:89" s="299" customFormat="1" ht="12.75" customHeight="1" x14ac:dyDescent="0.3">
      <c r="CK6636" s="663"/>
    </row>
    <row r="6637" spans="89:89" s="299" customFormat="1" ht="12.75" customHeight="1" x14ac:dyDescent="0.3">
      <c r="CK6637" s="663"/>
    </row>
    <row r="6638" spans="89:89" s="299" customFormat="1" ht="12.75" customHeight="1" x14ac:dyDescent="0.3">
      <c r="CK6638" s="663"/>
    </row>
    <row r="6639" spans="89:89" s="299" customFormat="1" ht="12.75" customHeight="1" x14ac:dyDescent="0.3">
      <c r="CK6639" s="663"/>
    </row>
    <row r="6640" spans="89:89" s="299" customFormat="1" ht="12.75" customHeight="1" x14ac:dyDescent="0.3">
      <c r="CK6640" s="663"/>
    </row>
    <row r="6641" spans="89:89" s="299" customFormat="1" ht="12.75" customHeight="1" x14ac:dyDescent="0.3">
      <c r="CK6641" s="663"/>
    </row>
    <row r="6642" spans="89:89" s="299" customFormat="1" ht="12.75" customHeight="1" x14ac:dyDescent="0.3">
      <c r="CK6642" s="663"/>
    </row>
    <row r="6643" spans="89:89" s="299" customFormat="1" ht="12.75" customHeight="1" x14ac:dyDescent="0.3">
      <c r="CK6643" s="663"/>
    </row>
    <row r="6644" spans="89:89" s="299" customFormat="1" ht="12.75" customHeight="1" x14ac:dyDescent="0.3">
      <c r="CK6644" s="663"/>
    </row>
    <row r="6645" spans="89:89" s="299" customFormat="1" ht="12.75" customHeight="1" x14ac:dyDescent="0.3">
      <c r="CK6645" s="663"/>
    </row>
    <row r="6646" spans="89:89" s="299" customFormat="1" ht="12.75" customHeight="1" x14ac:dyDescent="0.3">
      <c r="CK6646" s="663"/>
    </row>
    <row r="6647" spans="89:89" s="299" customFormat="1" ht="12.75" customHeight="1" x14ac:dyDescent="0.3">
      <c r="CK6647" s="663"/>
    </row>
    <row r="6648" spans="89:89" s="299" customFormat="1" ht="12.75" customHeight="1" x14ac:dyDescent="0.3">
      <c r="CK6648" s="663"/>
    </row>
    <row r="6649" spans="89:89" s="299" customFormat="1" ht="12.75" customHeight="1" x14ac:dyDescent="0.3">
      <c r="CK6649" s="663"/>
    </row>
    <row r="6650" spans="89:89" s="299" customFormat="1" ht="12.75" customHeight="1" x14ac:dyDescent="0.3">
      <c r="CK6650" s="663"/>
    </row>
    <row r="6651" spans="89:89" s="299" customFormat="1" ht="12.75" customHeight="1" x14ac:dyDescent="0.3">
      <c r="CK6651" s="663"/>
    </row>
    <row r="6652" spans="89:89" s="299" customFormat="1" ht="12.75" customHeight="1" x14ac:dyDescent="0.3">
      <c r="CK6652" s="663"/>
    </row>
    <row r="6653" spans="89:89" s="299" customFormat="1" ht="12.75" customHeight="1" x14ac:dyDescent="0.3">
      <c r="CK6653" s="663"/>
    </row>
    <row r="6654" spans="89:89" s="299" customFormat="1" ht="12.75" customHeight="1" x14ac:dyDescent="0.3">
      <c r="CK6654" s="663"/>
    </row>
    <row r="6655" spans="89:89" s="299" customFormat="1" ht="12.75" customHeight="1" x14ac:dyDescent="0.3">
      <c r="CK6655" s="663"/>
    </row>
    <row r="6656" spans="89:89" s="299" customFormat="1" ht="12.75" customHeight="1" x14ac:dyDescent="0.3">
      <c r="CK6656" s="663"/>
    </row>
    <row r="6657" spans="89:89" s="299" customFormat="1" ht="12.75" customHeight="1" x14ac:dyDescent="0.3">
      <c r="CK6657" s="663"/>
    </row>
    <row r="6658" spans="89:89" s="299" customFormat="1" ht="12.75" customHeight="1" x14ac:dyDescent="0.3">
      <c r="CK6658" s="663"/>
    </row>
    <row r="6659" spans="89:89" s="299" customFormat="1" ht="12.75" customHeight="1" x14ac:dyDescent="0.3">
      <c r="CK6659" s="663"/>
    </row>
    <row r="6660" spans="89:89" s="299" customFormat="1" ht="12.75" customHeight="1" x14ac:dyDescent="0.3">
      <c r="CK6660" s="663"/>
    </row>
    <row r="6661" spans="89:89" s="299" customFormat="1" ht="12.75" customHeight="1" x14ac:dyDescent="0.3">
      <c r="CK6661" s="663"/>
    </row>
    <row r="6662" spans="89:89" s="299" customFormat="1" ht="12.75" customHeight="1" x14ac:dyDescent="0.3">
      <c r="CK6662" s="663"/>
    </row>
    <row r="6663" spans="89:89" s="299" customFormat="1" ht="12.75" customHeight="1" x14ac:dyDescent="0.3">
      <c r="CK6663" s="663"/>
    </row>
    <row r="6664" spans="89:89" s="299" customFormat="1" ht="12.75" customHeight="1" x14ac:dyDescent="0.3">
      <c r="CK6664" s="663"/>
    </row>
    <row r="6665" spans="89:89" s="299" customFormat="1" ht="12.75" customHeight="1" x14ac:dyDescent="0.3">
      <c r="CK6665" s="663"/>
    </row>
    <row r="6666" spans="89:89" s="299" customFormat="1" ht="12.75" customHeight="1" x14ac:dyDescent="0.3">
      <c r="CK6666" s="663"/>
    </row>
    <row r="6667" spans="89:89" s="299" customFormat="1" ht="12.75" customHeight="1" x14ac:dyDescent="0.3">
      <c r="CK6667" s="663"/>
    </row>
    <row r="6668" spans="89:89" s="299" customFormat="1" ht="12.75" customHeight="1" x14ac:dyDescent="0.3">
      <c r="CK6668" s="663"/>
    </row>
    <row r="6669" spans="89:89" s="299" customFormat="1" ht="12.75" customHeight="1" x14ac:dyDescent="0.3">
      <c r="CK6669" s="663"/>
    </row>
    <row r="6670" spans="89:89" s="299" customFormat="1" ht="12.75" customHeight="1" x14ac:dyDescent="0.3">
      <c r="CK6670" s="663"/>
    </row>
    <row r="6671" spans="89:89" s="299" customFormat="1" ht="12.75" customHeight="1" x14ac:dyDescent="0.3">
      <c r="CK6671" s="663"/>
    </row>
    <row r="6672" spans="89:89" s="299" customFormat="1" ht="12.75" customHeight="1" x14ac:dyDescent="0.3">
      <c r="CK6672" s="663"/>
    </row>
    <row r="6673" spans="89:89" s="299" customFormat="1" ht="12.75" customHeight="1" x14ac:dyDescent="0.3">
      <c r="CK6673" s="663"/>
    </row>
    <row r="6674" spans="89:89" s="299" customFormat="1" ht="12.75" customHeight="1" x14ac:dyDescent="0.3">
      <c r="CK6674" s="663"/>
    </row>
    <row r="6675" spans="89:89" s="299" customFormat="1" ht="12.75" customHeight="1" x14ac:dyDescent="0.3">
      <c r="CK6675" s="663"/>
    </row>
    <row r="6676" spans="89:89" s="299" customFormat="1" ht="12.75" customHeight="1" x14ac:dyDescent="0.3">
      <c r="CK6676" s="663"/>
    </row>
    <row r="6677" spans="89:89" s="299" customFormat="1" ht="12.75" customHeight="1" x14ac:dyDescent="0.3">
      <c r="CK6677" s="663"/>
    </row>
    <row r="6678" spans="89:89" s="299" customFormat="1" ht="12.75" customHeight="1" x14ac:dyDescent="0.3">
      <c r="CK6678" s="663"/>
    </row>
    <row r="6679" spans="89:89" s="299" customFormat="1" ht="12.75" customHeight="1" x14ac:dyDescent="0.3">
      <c r="CK6679" s="663"/>
    </row>
    <row r="6680" spans="89:89" s="299" customFormat="1" ht="12.75" customHeight="1" x14ac:dyDescent="0.3">
      <c r="CK6680" s="663"/>
    </row>
    <row r="6681" spans="89:89" s="299" customFormat="1" ht="12.75" customHeight="1" x14ac:dyDescent="0.3">
      <c r="CK6681" s="663"/>
    </row>
    <row r="6682" spans="89:89" s="299" customFormat="1" ht="12.75" customHeight="1" x14ac:dyDescent="0.3">
      <c r="CK6682" s="663"/>
    </row>
    <row r="6683" spans="89:89" s="299" customFormat="1" ht="12.75" customHeight="1" x14ac:dyDescent="0.3">
      <c r="CK6683" s="663"/>
    </row>
    <row r="6684" spans="89:89" s="299" customFormat="1" ht="12.75" customHeight="1" x14ac:dyDescent="0.3">
      <c r="CK6684" s="663"/>
    </row>
    <row r="6685" spans="89:89" s="299" customFormat="1" ht="12.75" customHeight="1" x14ac:dyDescent="0.3">
      <c r="CK6685" s="663"/>
    </row>
    <row r="6686" spans="89:89" s="299" customFormat="1" ht="12.75" customHeight="1" x14ac:dyDescent="0.3">
      <c r="CK6686" s="663"/>
    </row>
    <row r="6687" spans="89:89" s="299" customFormat="1" ht="12.75" customHeight="1" x14ac:dyDescent="0.3">
      <c r="CK6687" s="663"/>
    </row>
    <row r="6688" spans="89:89" s="299" customFormat="1" ht="12.75" customHeight="1" x14ac:dyDescent="0.3">
      <c r="CK6688" s="663"/>
    </row>
    <row r="6689" spans="89:89" s="299" customFormat="1" ht="12.75" customHeight="1" x14ac:dyDescent="0.3">
      <c r="CK6689" s="663"/>
    </row>
    <row r="6690" spans="89:89" s="299" customFormat="1" ht="12.75" customHeight="1" x14ac:dyDescent="0.3">
      <c r="CK6690" s="663"/>
    </row>
    <row r="6691" spans="89:89" s="299" customFormat="1" ht="12.75" customHeight="1" x14ac:dyDescent="0.3">
      <c r="CK6691" s="663"/>
    </row>
    <row r="6692" spans="89:89" s="299" customFormat="1" ht="12.75" customHeight="1" x14ac:dyDescent="0.3">
      <c r="CK6692" s="663"/>
    </row>
    <row r="6693" spans="89:89" s="299" customFormat="1" ht="12.75" customHeight="1" x14ac:dyDescent="0.3">
      <c r="CK6693" s="663"/>
    </row>
    <row r="6694" spans="89:89" s="299" customFormat="1" ht="12.75" customHeight="1" x14ac:dyDescent="0.3">
      <c r="CK6694" s="663"/>
    </row>
    <row r="6695" spans="89:89" s="299" customFormat="1" ht="12.75" customHeight="1" x14ac:dyDescent="0.3">
      <c r="CK6695" s="663"/>
    </row>
    <row r="6696" spans="89:89" s="299" customFormat="1" ht="12.75" customHeight="1" x14ac:dyDescent="0.3">
      <c r="CK6696" s="663"/>
    </row>
    <row r="6697" spans="89:89" s="299" customFormat="1" ht="12.75" customHeight="1" x14ac:dyDescent="0.3">
      <c r="CK6697" s="663"/>
    </row>
    <row r="6698" spans="89:89" s="299" customFormat="1" ht="12.75" customHeight="1" x14ac:dyDescent="0.3">
      <c r="CK6698" s="663"/>
    </row>
    <row r="6699" spans="89:89" s="299" customFormat="1" ht="12.75" customHeight="1" x14ac:dyDescent="0.3">
      <c r="CK6699" s="663"/>
    </row>
    <row r="6700" spans="89:89" s="299" customFormat="1" ht="12.75" customHeight="1" x14ac:dyDescent="0.3">
      <c r="CK6700" s="663"/>
    </row>
    <row r="6701" spans="89:89" s="299" customFormat="1" ht="12.75" customHeight="1" x14ac:dyDescent="0.3">
      <c r="CK6701" s="663"/>
    </row>
    <row r="6702" spans="89:89" s="299" customFormat="1" ht="12.75" customHeight="1" x14ac:dyDescent="0.3">
      <c r="CK6702" s="663"/>
    </row>
    <row r="6703" spans="89:89" s="299" customFormat="1" ht="12.75" customHeight="1" x14ac:dyDescent="0.3">
      <c r="CK6703" s="663"/>
    </row>
    <row r="6704" spans="89:89" s="299" customFormat="1" ht="12.75" customHeight="1" x14ac:dyDescent="0.3">
      <c r="CK6704" s="663"/>
    </row>
    <row r="6705" spans="89:89" s="299" customFormat="1" ht="12.75" customHeight="1" x14ac:dyDescent="0.3">
      <c r="CK6705" s="663"/>
    </row>
    <row r="6706" spans="89:89" s="299" customFormat="1" ht="12.75" customHeight="1" x14ac:dyDescent="0.3">
      <c r="CK6706" s="663"/>
    </row>
    <row r="6707" spans="89:89" s="299" customFormat="1" ht="12.75" customHeight="1" x14ac:dyDescent="0.3">
      <c r="CK6707" s="663"/>
    </row>
    <row r="6708" spans="89:89" s="299" customFormat="1" ht="12.75" customHeight="1" x14ac:dyDescent="0.3">
      <c r="CK6708" s="663"/>
    </row>
    <row r="6709" spans="89:89" s="299" customFormat="1" ht="12.75" customHeight="1" x14ac:dyDescent="0.3">
      <c r="CK6709" s="663"/>
    </row>
    <row r="6710" spans="89:89" s="299" customFormat="1" ht="12.75" customHeight="1" x14ac:dyDescent="0.3">
      <c r="CK6710" s="663"/>
    </row>
    <row r="6711" spans="89:89" s="299" customFormat="1" ht="12.75" customHeight="1" x14ac:dyDescent="0.3">
      <c r="CK6711" s="663"/>
    </row>
    <row r="6712" spans="89:89" s="299" customFormat="1" ht="12.75" customHeight="1" x14ac:dyDescent="0.3">
      <c r="CK6712" s="663"/>
    </row>
    <row r="6713" spans="89:89" s="299" customFormat="1" ht="12.75" customHeight="1" x14ac:dyDescent="0.3">
      <c r="CK6713" s="663"/>
    </row>
    <row r="6714" spans="89:89" s="299" customFormat="1" ht="12.75" customHeight="1" x14ac:dyDescent="0.3">
      <c r="CK6714" s="663"/>
    </row>
    <row r="6715" spans="89:89" s="299" customFormat="1" ht="12.75" customHeight="1" x14ac:dyDescent="0.3">
      <c r="CK6715" s="663"/>
    </row>
    <row r="6716" spans="89:89" s="299" customFormat="1" ht="12.75" customHeight="1" x14ac:dyDescent="0.3">
      <c r="CK6716" s="663"/>
    </row>
    <row r="6717" spans="89:89" s="299" customFormat="1" ht="12.75" customHeight="1" x14ac:dyDescent="0.3">
      <c r="CK6717" s="663"/>
    </row>
    <row r="6718" spans="89:89" s="299" customFormat="1" ht="12.75" customHeight="1" x14ac:dyDescent="0.3">
      <c r="CK6718" s="663"/>
    </row>
    <row r="6719" spans="89:89" s="299" customFormat="1" ht="12.75" customHeight="1" x14ac:dyDescent="0.3">
      <c r="CK6719" s="663"/>
    </row>
    <row r="6720" spans="89:89" s="299" customFormat="1" ht="12.75" customHeight="1" x14ac:dyDescent="0.3">
      <c r="CK6720" s="663"/>
    </row>
    <row r="6721" spans="89:89" s="299" customFormat="1" ht="12.75" customHeight="1" x14ac:dyDescent="0.3">
      <c r="CK6721" s="663"/>
    </row>
    <row r="6722" spans="89:89" s="299" customFormat="1" ht="12.75" customHeight="1" x14ac:dyDescent="0.3">
      <c r="CK6722" s="663"/>
    </row>
    <row r="6723" spans="89:89" s="299" customFormat="1" ht="12.75" customHeight="1" x14ac:dyDescent="0.3">
      <c r="CK6723" s="663"/>
    </row>
    <row r="6724" spans="89:89" s="299" customFormat="1" ht="12.75" customHeight="1" x14ac:dyDescent="0.3">
      <c r="CK6724" s="663"/>
    </row>
    <row r="6725" spans="89:89" s="299" customFormat="1" ht="12.75" customHeight="1" x14ac:dyDescent="0.3">
      <c r="CK6725" s="663"/>
    </row>
    <row r="6726" spans="89:89" s="299" customFormat="1" ht="12.75" customHeight="1" x14ac:dyDescent="0.3">
      <c r="CK6726" s="663"/>
    </row>
    <row r="6727" spans="89:89" s="299" customFormat="1" ht="12.75" customHeight="1" x14ac:dyDescent="0.3">
      <c r="CK6727" s="663"/>
    </row>
    <row r="6728" spans="89:89" s="299" customFormat="1" ht="12.75" customHeight="1" x14ac:dyDescent="0.3">
      <c r="CK6728" s="663"/>
    </row>
    <row r="6729" spans="89:89" s="299" customFormat="1" ht="12.75" customHeight="1" x14ac:dyDescent="0.3">
      <c r="CK6729" s="663"/>
    </row>
    <row r="6730" spans="89:89" s="299" customFormat="1" ht="12.75" customHeight="1" x14ac:dyDescent="0.3">
      <c r="CK6730" s="663"/>
    </row>
    <row r="6731" spans="89:89" s="299" customFormat="1" ht="12.75" customHeight="1" x14ac:dyDescent="0.3">
      <c r="CK6731" s="663"/>
    </row>
    <row r="6732" spans="89:89" s="299" customFormat="1" ht="12.75" customHeight="1" x14ac:dyDescent="0.3">
      <c r="CK6732" s="663"/>
    </row>
    <row r="6733" spans="89:89" s="299" customFormat="1" ht="12.75" customHeight="1" x14ac:dyDescent="0.3">
      <c r="CK6733" s="663"/>
    </row>
    <row r="6734" spans="89:89" s="299" customFormat="1" ht="12.75" customHeight="1" x14ac:dyDescent="0.3">
      <c r="CK6734" s="663"/>
    </row>
    <row r="6735" spans="89:89" s="299" customFormat="1" ht="12.75" customHeight="1" x14ac:dyDescent="0.3">
      <c r="CK6735" s="663"/>
    </row>
    <row r="6736" spans="89:89" s="299" customFormat="1" ht="12.75" customHeight="1" x14ac:dyDescent="0.3">
      <c r="CK6736" s="663"/>
    </row>
    <row r="6737" spans="89:89" s="299" customFormat="1" ht="12.75" customHeight="1" x14ac:dyDescent="0.3">
      <c r="CK6737" s="663"/>
    </row>
    <row r="6738" spans="89:89" s="299" customFormat="1" ht="12.75" customHeight="1" x14ac:dyDescent="0.3">
      <c r="CK6738" s="663"/>
    </row>
    <row r="6739" spans="89:89" s="299" customFormat="1" ht="12.75" customHeight="1" x14ac:dyDescent="0.3">
      <c r="CK6739" s="663"/>
    </row>
    <row r="6740" spans="89:89" s="299" customFormat="1" ht="12.75" customHeight="1" x14ac:dyDescent="0.3">
      <c r="CK6740" s="663"/>
    </row>
    <row r="6741" spans="89:89" s="299" customFormat="1" ht="12.75" customHeight="1" x14ac:dyDescent="0.3">
      <c r="CK6741" s="663"/>
    </row>
    <row r="6742" spans="89:89" s="299" customFormat="1" ht="12.75" customHeight="1" x14ac:dyDescent="0.3">
      <c r="CK6742" s="663"/>
    </row>
    <row r="6743" spans="89:89" s="299" customFormat="1" ht="12.75" customHeight="1" x14ac:dyDescent="0.3">
      <c r="CK6743" s="663"/>
    </row>
    <row r="6744" spans="89:89" s="299" customFormat="1" ht="12.75" customHeight="1" x14ac:dyDescent="0.3">
      <c r="CK6744" s="663"/>
    </row>
    <row r="6745" spans="89:89" s="299" customFormat="1" ht="12.75" customHeight="1" x14ac:dyDescent="0.3">
      <c r="CK6745" s="663"/>
    </row>
    <row r="6746" spans="89:89" s="299" customFormat="1" ht="12.75" customHeight="1" x14ac:dyDescent="0.3">
      <c r="CK6746" s="663"/>
    </row>
    <row r="6747" spans="89:89" s="299" customFormat="1" ht="12.75" customHeight="1" x14ac:dyDescent="0.3">
      <c r="CK6747" s="663"/>
    </row>
    <row r="6748" spans="89:89" s="299" customFormat="1" ht="12.75" customHeight="1" x14ac:dyDescent="0.3">
      <c r="CK6748" s="663"/>
    </row>
    <row r="6749" spans="89:89" s="299" customFormat="1" ht="12.75" customHeight="1" x14ac:dyDescent="0.3">
      <c r="CK6749" s="663"/>
    </row>
    <row r="6750" spans="89:89" s="299" customFormat="1" ht="12.75" customHeight="1" x14ac:dyDescent="0.3">
      <c r="CK6750" s="663"/>
    </row>
    <row r="6751" spans="89:89" s="299" customFormat="1" ht="12.75" customHeight="1" x14ac:dyDescent="0.3">
      <c r="CK6751" s="663"/>
    </row>
    <row r="6752" spans="89:89" s="299" customFormat="1" ht="12.75" customHeight="1" x14ac:dyDescent="0.3">
      <c r="CK6752" s="663"/>
    </row>
    <row r="6753" spans="89:89" s="299" customFormat="1" ht="12.75" customHeight="1" x14ac:dyDescent="0.3">
      <c r="CK6753" s="663"/>
    </row>
    <row r="6754" spans="89:89" s="299" customFormat="1" ht="12.75" customHeight="1" x14ac:dyDescent="0.3">
      <c r="CK6754" s="663"/>
    </row>
    <row r="6755" spans="89:89" s="299" customFormat="1" ht="12.75" customHeight="1" x14ac:dyDescent="0.3">
      <c r="CK6755" s="663"/>
    </row>
    <row r="6756" spans="89:89" s="299" customFormat="1" ht="12.75" customHeight="1" x14ac:dyDescent="0.3">
      <c r="CK6756" s="663"/>
    </row>
    <row r="6757" spans="89:89" s="299" customFormat="1" ht="12.75" customHeight="1" x14ac:dyDescent="0.3">
      <c r="CK6757" s="663"/>
    </row>
    <row r="6758" spans="89:89" s="299" customFormat="1" ht="12.75" customHeight="1" x14ac:dyDescent="0.3">
      <c r="CK6758" s="663"/>
    </row>
    <row r="6759" spans="89:89" s="299" customFormat="1" ht="12.75" customHeight="1" x14ac:dyDescent="0.3">
      <c r="CK6759" s="663"/>
    </row>
    <row r="6760" spans="89:89" s="299" customFormat="1" ht="12.75" customHeight="1" x14ac:dyDescent="0.3">
      <c r="CK6760" s="663"/>
    </row>
    <row r="6761" spans="89:89" s="299" customFormat="1" ht="12.75" customHeight="1" x14ac:dyDescent="0.3">
      <c r="CK6761" s="663"/>
    </row>
    <row r="6762" spans="89:89" s="299" customFormat="1" ht="12.75" customHeight="1" x14ac:dyDescent="0.3">
      <c r="CK6762" s="663"/>
    </row>
    <row r="6763" spans="89:89" s="299" customFormat="1" ht="12.75" customHeight="1" x14ac:dyDescent="0.3">
      <c r="CK6763" s="663"/>
    </row>
    <row r="6764" spans="89:89" s="299" customFormat="1" ht="12.75" customHeight="1" x14ac:dyDescent="0.3">
      <c r="CK6764" s="663"/>
    </row>
    <row r="6765" spans="89:89" s="299" customFormat="1" ht="12.75" customHeight="1" x14ac:dyDescent="0.3">
      <c r="CK6765" s="663"/>
    </row>
    <row r="6766" spans="89:89" s="299" customFormat="1" ht="12.75" customHeight="1" x14ac:dyDescent="0.3">
      <c r="CK6766" s="663"/>
    </row>
    <row r="6767" spans="89:89" s="299" customFormat="1" ht="12.75" customHeight="1" x14ac:dyDescent="0.3">
      <c r="CK6767" s="663"/>
    </row>
    <row r="6768" spans="89:89" s="299" customFormat="1" ht="12.75" customHeight="1" x14ac:dyDescent="0.3">
      <c r="CK6768" s="663"/>
    </row>
    <row r="6769" spans="89:89" s="299" customFormat="1" ht="12.75" customHeight="1" x14ac:dyDescent="0.3">
      <c r="CK6769" s="663"/>
    </row>
    <row r="6770" spans="89:89" s="299" customFormat="1" ht="12.75" customHeight="1" x14ac:dyDescent="0.3">
      <c r="CK6770" s="663"/>
    </row>
    <row r="6771" spans="89:89" s="299" customFormat="1" ht="12.75" customHeight="1" x14ac:dyDescent="0.3">
      <c r="CK6771" s="663"/>
    </row>
    <row r="6772" spans="89:89" s="299" customFormat="1" ht="12.75" customHeight="1" x14ac:dyDescent="0.3">
      <c r="CK6772" s="663"/>
    </row>
    <row r="6773" spans="89:89" s="299" customFormat="1" ht="12.75" customHeight="1" x14ac:dyDescent="0.3">
      <c r="CK6773" s="663"/>
    </row>
    <row r="6774" spans="89:89" s="299" customFormat="1" ht="12.75" customHeight="1" x14ac:dyDescent="0.3">
      <c r="CK6774" s="663"/>
    </row>
    <row r="6775" spans="89:89" s="299" customFormat="1" ht="12.75" customHeight="1" x14ac:dyDescent="0.3">
      <c r="CK6775" s="663"/>
    </row>
    <row r="6776" spans="89:89" s="299" customFormat="1" ht="12.75" customHeight="1" x14ac:dyDescent="0.3">
      <c r="CK6776" s="663"/>
    </row>
    <row r="6777" spans="89:89" s="299" customFormat="1" ht="12.75" customHeight="1" x14ac:dyDescent="0.3">
      <c r="CK6777" s="663"/>
    </row>
    <row r="6778" spans="89:89" s="299" customFormat="1" ht="12.75" customHeight="1" x14ac:dyDescent="0.3">
      <c r="CK6778" s="663"/>
    </row>
    <row r="6779" spans="89:89" s="299" customFormat="1" ht="12.75" customHeight="1" x14ac:dyDescent="0.3">
      <c r="CK6779" s="663"/>
    </row>
    <row r="6780" spans="89:89" s="299" customFormat="1" ht="12.75" customHeight="1" x14ac:dyDescent="0.3">
      <c r="CK6780" s="663"/>
    </row>
    <row r="6781" spans="89:89" s="299" customFormat="1" ht="12.75" customHeight="1" x14ac:dyDescent="0.3">
      <c r="CK6781" s="663"/>
    </row>
    <row r="6782" spans="89:89" s="299" customFormat="1" ht="12.75" customHeight="1" x14ac:dyDescent="0.3">
      <c r="CK6782" s="663"/>
    </row>
    <row r="6783" spans="89:89" s="299" customFormat="1" ht="12.75" customHeight="1" x14ac:dyDescent="0.3">
      <c r="CK6783" s="663"/>
    </row>
    <row r="6784" spans="89:89" s="299" customFormat="1" ht="12.75" customHeight="1" x14ac:dyDescent="0.3">
      <c r="CK6784" s="663"/>
    </row>
    <row r="6785" spans="89:89" s="299" customFormat="1" ht="12.75" customHeight="1" x14ac:dyDescent="0.3">
      <c r="CK6785" s="663"/>
    </row>
    <row r="6786" spans="89:89" s="299" customFormat="1" ht="12.75" customHeight="1" x14ac:dyDescent="0.3">
      <c r="CK6786" s="663"/>
    </row>
    <row r="6787" spans="89:89" s="299" customFormat="1" ht="12.75" customHeight="1" x14ac:dyDescent="0.3">
      <c r="CK6787" s="663"/>
    </row>
    <row r="6788" spans="89:89" s="299" customFormat="1" ht="12.75" customHeight="1" x14ac:dyDescent="0.3">
      <c r="CK6788" s="663"/>
    </row>
    <row r="6789" spans="89:89" s="299" customFormat="1" ht="12.75" customHeight="1" x14ac:dyDescent="0.3">
      <c r="CK6789" s="663"/>
    </row>
    <row r="6790" spans="89:89" s="299" customFormat="1" ht="12.75" customHeight="1" x14ac:dyDescent="0.3">
      <c r="CK6790" s="663"/>
    </row>
    <row r="6791" spans="89:89" s="299" customFormat="1" ht="12.75" customHeight="1" x14ac:dyDescent="0.3">
      <c r="CK6791" s="663"/>
    </row>
    <row r="6792" spans="89:89" s="299" customFormat="1" ht="12.75" customHeight="1" x14ac:dyDescent="0.3">
      <c r="CK6792" s="663"/>
    </row>
    <row r="6793" spans="89:89" s="299" customFormat="1" ht="12.75" customHeight="1" x14ac:dyDescent="0.3">
      <c r="CK6793" s="663"/>
    </row>
    <row r="6794" spans="89:89" s="299" customFormat="1" ht="12.75" customHeight="1" x14ac:dyDescent="0.3">
      <c r="CK6794" s="663"/>
    </row>
    <row r="6795" spans="89:89" s="299" customFormat="1" ht="12.75" customHeight="1" x14ac:dyDescent="0.3">
      <c r="CK6795" s="663"/>
    </row>
    <row r="6796" spans="89:89" s="299" customFormat="1" ht="12.75" customHeight="1" x14ac:dyDescent="0.3">
      <c r="CK6796" s="663"/>
    </row>
    <row r="6797" spans="89:89" s="299" customFormat="1" ht="12.75" customHeight="1" x14ac:dyDescent="0.3">
      <c r="CK6797" s="663"/>
    </row>
    <row r="6798" spans="89:89" s="299" customFormat="1" ht="12.75" customHeight="1" x14ac:dyDescent="0.3">
      <c r="CK6798" s="663"/>
    </row>
    <row r="6799" spans="89:89" s="299" customFormat="1" ht="12.75" customHeight="1" x14ac:dyDescent="0.3">
      <c r="CK6799" s="663"/>
    </row>
    <row r="6800" spans="89:89" s="299" customFormat="1" ht="12.75" customHeight="1" x14ac:dyDescent="0.3">
      <c r="CK6800" s="663"/>
    </row>
    <row r="6801" spans="89:89" s="299" customFormat="1" ht="12.75" customHeight="1" x14ac:dyDescent="0.3">
      <c r="CK6801" s="663"/>
    </row>
    <row r="6802" spans="89:89" s="299" customFormat="1" ht="12.75" customHeight="1" x14ac:dyDescent="0.3">
      <c r="CK6802" s="663"/>
    </row>
    <row r="6803" spans="89:89" s="299" customFormat="1" ht="12.75" customHeight="1" x14ac:dyDescent="0.3">
      <c r="CK6803" s="663"/>
    </row>
    <row r="6804" spans="89:89" s="299" customFormat="1" ht="12.75" customHeight="1" x14ac:dyDescent="0.3">
      <c r="CK6804" s="663"/>
    </row>
    <row r="6805" spans="89:89" s="299" customFormat="1" ht="12.75" customHeight="1" x14ac:dyDescent="0.3">
      <c r="CK6805" s="663"/>
    </row>
    <row r="6806" spans="89:89" s="299" customFormat="1" ht="12.75" customHeight="1" x14ac:dyDescent="0.3">
      <c r="CK6806" s="663"/>
    </row>
    <row r="6807" spans="89:89" s="299" customFormat="1" ht="12.75" customHeight="1" x14ac:dyDescent="0.3">
      <c r="CK6807" s="663"/>
    </row>
    <row r="6808" spans="89:89" s="299" customFormat="1" ht="12.75" customHeight="1" x14ac:dyDescent="0.3">
      <c r="CK6808" s="663"/>
    </row>
    <row r="6809" spans="89:89" s="299" customFormat="1" ht="12.75" customHeight="1" x14ac:dyDescent="0.3">
      <c r="CK6809" s="663"/>
    </row>
    <row r="6810" spans="89:89" s="299" customFormat="1" ht="12.75" customHeight="1" x14ac:dyDescent="0.3">
      <c r="CK6810" s="663"/>
    </row>
    <row r="6811" spans="89:89" s="299" customFormat="1" ht="12.75" customHeight="1" x14ac:dyDescent="0.3">
      <c r="CK6811" s="663"/>
    </row>
    <row r="6812" spans="89:89" s="299" customFormat="1" ht="12.75" customHeight="1" x14ac:dyDescent="0.3">
      <c r="CK6812" s="663"/>
    </row>
    <row r="6813" spans="89:89" s="299" customFormat="1" ht="12.75" customHeight="1" x14ac:dyDescent="0.3">
      <c r="CK6813" s="663"/>
    </row>
    <row r="6814" spans="89:89" s="299" customFormat="1" ht="12.75" customHeight="1" x14ac:dyDescent="0.3">
      <c r="CK6814" s="663"/>
    </row>
    <row r="6815" spans="89:89" s="299" customFormat="1" ht="12.75" customHeight="1" x14ac:dyDescent="0.3">
      <c r="CK6815" s="663"/>
    </row>
    <row r="6816" spans="89:89" s="299" customFormat="1" ht="12.75" customHeight="1" x14ac:dyDescent="0.3">
      <c r="CK6816" s="663"/>
    </row>
    <row r="6817" spans="89:89" s="299" customFormat="1" ht="12.75" customHeight="1" x14ac:dyDescent="0.3">
      <c r="CK6817" s="663"/>
    </row>
    <row r="6818" spans="89:89" s="299" customFormat="1" ht="12.75" customHeight="1" x14ac:dyDescent="0.3">
      <c r="CK6818" s="663"/>
    </row>
    <row r="6819" spans="89:89" s="299" customFormat="1" ht="12.75" customHeight="1" x14ac:dyDescent="0.3">
      <c r="CK6819" s="663"/>
    </row>
    <row r="6820" spans="89:89" s="299" customFormat="1" ht="12.75" customHeight="1" x14ac:dyDescent="0.3">
      <c r="CK6820" s="663"/>
    </row>
    <row r="6821" spans="89:89" s="299" customFormat="1" ht="12.75" customHeight="1" x14ac:dyDescent="0.3">
      <c r="CK6821" s="663"/>
    </row>
    <row r="6822" spans="89:89" s="299" customFormat="1" ht="12.75" customHeight="1" x14ac:dyDescent="0.3">
      <c r="CK6822" s="663"/>
    </row>
    <row r="6823" spans="89:89" s="299" customFormat="1" ht="12.75" customHeight="1" x14ac:dyDescent="0.3">
      <c r="CK6823" s="663"/>
    </row>
    <row r="6824" spans="89:89" s="299" customFormat="1" ht="12.75" customHeight="1" x14ac:dyDescent="0.3">
      <c r="CK6824" s="663"/>
    </row>
    <row r="6825" spans="89:89" s="299" customFormat="1" ht="12.75" customHeight="1" x14ac:dyDescent="0.3">
      <c r="CK6825" s="663"/>
    </row>
    <row r="6826" spans="89:89" s="299" customFormat="1" ht="12.75" customHeight="1" x14ac:dyDescent="0.3">
      <c r="CK6826" s="663"/>
    </row>
    <row r="6827" spans="89:89" s="299" customFormat="1" ht="12.75" customHeight="1" x14ac:dyDescent="0.3">
      <c r="CK6827" s="663"/>
    </row>
    <row r="6828" spans="89:89" s="299" customFormat="1" ht="12.75" customHeight="1" x14ac:dyDescent="0.3">
      <c r="CK6828" s="663"/>
    </row>
    <row r="6829" spans="89:89" s="299" customFormat="1" ht="12.75" customHeight="1" x14ac:dyDescent="0.3">
      <c r="CK6829" s="663"/>
    </row>
    <row r="6830" spans="89:89" s="299" customFormat="1" ht="12.75" customHeight="1" x14ac:dyDescent="0.3">
      <c r="CK6830" s="663"/>
    </row>
    <row r="6831" spans="89:89" s="299" customFormat="1" ht="12.75" customHeight="1" x14ac:dyDescent="0.3">
      <c r="CK6831" s="663"/>
    </row>
    <row r="6832" spans="89:89" s="299" customFormat="1" ht="12.75" customHeight="1" x14ac:dyDescent="0.3">
      <c r="CK6832" s="663"/>
    </row>
    <row r="6833" spans="89:89" s="299" customFormat="1" ht="12.75" customHeight="1" x14ac:dyDescent="0.3">
      <c r="CK6833" s="663"/>
    </row>
    <row r="6834" spans="89:89" s="299" customFormat="1" ht="12.75" customHeight="1" x14ac:dyDescent="0.3">
      <c r="CK6834" s="663"/>
    </row>
    <row r="6835" spans="89:89" s="299" customFormat="1" ht="12.75" customHeight="1" x14ac:dyDescent="0.3">
      <c r="CK6835" s="663"/>
    </row>
    <row r="6836" spans="89:89" s="299" customFormat="1" ht="12.75" customHeight="1" x14ac:dyDescent="0.3">
      <c r="CK6836" s="663"/>
    </row>
    <row r="6837" spans="89:89" s="299" customFormat="1" ht="12.75" customHeight="1" x14ac:dyDescent="0.3">
      <c r="CK6837" s="663"/>
    </row>
    <row r="6838" spans="89:89" s="299" customFormat="1" ht="12.75" customHeight="1" x14ac:dyDescent="0.3">
      <c r="CK6838" s="663"/>
    </row>
    <row r="6839" spans="89:89" s="299" customFormat="1" ht="12.75" customHeight="1" x14ac:dyDescent="0.3">
      <c r="CK6839" s="663"/>
    </row>
    <row r="6840" spans="89:89" s="299" customFormat="1" ht="12.75" customHeight="1" x14ac:dyDescent="0.3">
      <c r="CK6840" s="663"/>
    </row>
    <row r="6841" spans="89:89" s="299" customFormat="1" ht="12.75" customHeight="1" x14ac:dyDescent="0.3">
      <c r="CK6841" s="663"/>
    </row>
    <row r="6842" spans="89:89" s="299" customFormat="1" ht="12.75" customHeight="1" x14ac:dyDescent="0.3">
      <c r="CK6842" s="663"/>
    </row>
    <row r="6843" spans="89:89" s="299" customFormat="1" ht="12.75" customHeight="1" x14ac:dyDescent="0.3">
      <c r="CK6843" s="663"/>
    </row>
    <row r="6844" spans="89:89" s="299" customFormat="1" ht="12.75" customHeight="1" x14ac:dyDescent="0.3">
      <c r="CK6844" s="663"/>
    </row>
    <row r="6845" spans="89:89" s="299" customFormat="1" ht="12.75" customHeight="1" x14ac:dyDescent="0.3">
      <c r="CK6845" s="663"/>
    </row>
    <row r="6846" spans="89:89" s="299" customFormat="1" ht="12.75" customHeight="1" x14ac:dyDescent="0.3">
      <c r="CK6846" s="663"/>
    </row>
    <row r="6847" spans="89:89" s="299" customFormat="1" ht="12.75" customHeight="1" x14ac:dyDescent="0.3">
      <c r="CK6847" s="663"/>
    </row>
    <row r="6848" spans="89:89" s="299" customFormat="1" ht="12.75" customHeight="1" x14ac:dyDescent="0.3">
      <c r="CK6848" s="663"/>
    </row>
    <row r="6849" spans="89:89" s="299" customFormat="1" ht="12.75" customHeight="1" x14ac:dyDescent="0.3">
      <c r="CK6849" s="663"/>
    </row>
    <row r="6850" spans="89:89" s="299" customFormat="1" ht="12.75" customHeight="1" x14ac:dyDescent="0.3">
      <c r="CK6850" s="663"/>
    </row>
    <row r="6851" spans="89:89" s="299" customFormat="1" ht="12.75" customHeight="1" x14ac:dyDescent="0.3">
      <c r="CK6851" s="663"/>
    </row>
    <row r="6852" spans="89:89" s="299" customFormat="1" ht="12.75" customHeight="1" x14ac:dyDescent="0.3">
      <c r="CK6852" s="663"/>
    </row>
    <row r="6853" spans="89:89" s="299" customFormat="1" ht="12.75" customHeight="1" x14ac:dyDescent="0.3">
      <c r="CK6853" s="663"/>
    </row>
    <row r="6854" spans="89:89" s="299" customFormat="1" ht="12.75" customHeight="1" x14ac:dyDescent="0.3">
      <c r="CK6854" s="663"/>
    </row>
    <row r="6855" spans="89:89" s="299" customFormat="1" ht="12.75" customHeight="1" x14ac:dyDescent="0.3">
      <c r="CK6855" s="663"/>
    </row>
    <row r="6856" spans="89:89" s="299" customFormat="1" ht="12.75" customHeight="1" x14ac:dyDescent="0.3">
      <c r="CK6856" s="663"/>
    </row>
    <row r="6857" spans="89:89" s="299" customFormat="1" ht="12.75" customHeight="1" x14ac:dyDescent="0.3">
      <c r="CK6857" s="663"/>
    </row>
    <row r="6858" spans="89:89" s="299" customFormat="1" ht="12.75" customHeight="1" x14ac:dyDescent="0.3">
      <c r="CK6858" s="663"/>
    </row>
    <row r="6859" spans="89:89" s="299" customFormat="1" ht="12.75" customHeight="1" x14ac:dyDescent="0.3">
      <c r="CK6859" s="663"/>
    </row>
    <row r="6860" spans="89:89" s="299" customFormat="1" ht="12.75" customHeight="1" x14ac:dyDescent="0.3">
      <c r="CK6860" s="663"/>
    </row>
    <row r="6861" spans="89:89" s="299" customFormat="1" ht="12.75" customHeight="1" x14ac:dyDescent="0.3">
      <c r="CK6861" s="663"/>
    </row>
    <row r="6862" spans="89:89" s="299" customFormat="1" ht="12.75" customHeight="1" x14ac:dyDescent="0.3">
      <c r="CK6862" s="663"/>
    </row>
    <row r="6863" spans="89:89" s="299" customFormat="1" ht="12.75" customHeight="1" x14ac:dyDescent="0.3">
      <c r="CK6863" s="663"/>
    </row>
    <row r="6864" spans="89:89" s="299" customFormat="1" ht="12.75" customHeight="1" x14ac:dyDescent="0.3">
      <c r="CK6864" s="663"/>
    </row>
    <row r="6865" spans="89:89" s="299" customFormat="1" ht="12.75" customHeight="1" x14ac:dyDescent="0.3">
      <c r="CK6865" s="663"/>
    </row>
    <row r="6866" spans="89:89" s="299" customFormat="1" ht="12.75" customHeight="1" x14ac:dyDescent="0.3">
      <c r="CK6866" s="663"/>
    </row>
    <row r="6867" spans="89:89" s="299" customFormat="1" ht="12.75" customHeight="1" x14ac:dyDescent="0.3">
      <c r="CK6867" s="663"/>
    </row>
    <row r="6868" spans="89:89" s="299" customFormat="1" ht="12.75" customHeight="1" x14ac:dyDescent="0.3">
      <c r="CK6868" s="663"/>
    </row>
    <row r="6869" spans="89:89" s="299" customFormat="1" ht="12.75" customHeight="1" x14ac:dyDescent="0.3">
      <c r="CK6869" s="663"/>
    </row>
    <row r="6870" spans="89:89" s="299" customFormat="1" ht="12.75" customHeight="1" x14ac:dyDescent="0.3">
      <c r="CK6870" s="663"/>
    </row>
    <row r="6871" spans="89:89" s="299" customFormat="1" ht="12.75" customHeight="1" x14ac:dyDescent="0.3">
      <c r="CK6871" s="663"/>
    </row>
    <row r="6872" spans="89:89" s="299" customFormat="1" ht="12.75" customHeight="1" x14ac:dyDescent="0.3">
      <c r="CK6872" s="663"/>
    </row>
    <row r="6873" spans="89:89" s="299" customFormat="1" ht="12.75" customHeight="1" x14ac:dyDescent="0.3">
      <c r="CK6873" s="663"/>
    </row>
    <row r="6874" spans="89:89" s="299" customFormat="1" ht="12.75" customHeight="1" x14ac:dyDescent="0.3">
      <c r="CK6874" s="663"/>
    </row>
    <row r="6875" spans="89:89" s="299" customFormat="1" ht="12.75" customHeight="1" x14ac:dyDescent="0.3">
      <c r="CK6875" s="663"/>
    </row>
    <row r="6876" spans="89:89" s="299" customFormat="1" ht="12.75" customHeight="1" x14ac:dyDescent="0.3">
      <c r="CK6876" s="663"/>
    </row>
    <row r="6877" spans="89:89" s="299" customFormat="1" ht="12.75" customHeight="1" x14ac:dyDescent="0.3">
      <c r="CK6877" s="663"/>
    </row>
    <row r="6878" spans="89:89" s="299" customFormat="1" ht="12.75" customHeight="1" x14ac:dyDescent="0.3">
      <c r="CK6878" s="663"/>
    </row>
    <row r="6879" spans="89:89" s="299" customFormat="1" ht="12.75" customHeight="1" x14ac:dyDescent="0.3">
      <c r="CK6879" s="663"/>
    </row>
    <row r="6880" spans="89:89" s="299" customFormat="1" ht="12.75" customHeight="1" x14ac:dyDescent="0.3">
      <c r="CK6880" s="663"/>
    </row>
    <row r="6881" spans="89:89" s="299" customFormat="1" ht="12.75" customHeight="1" x14ac:dyDescent="0.3">
      <c r="CK6881" s="663"/>
    </row>
    <row r="6882" spans="89:89" s="299" customFormat="1" ht="12.75" customHeight="1" x14ac:dyDescent="0.3">
      <c r="CK6882" s="663"/>
    </row>
    <row r="6883" spans="89:89" s="299" customFormat="1" ht="12.75" customHeight="1" x14ac:dyDescent="0.3">
      <c r="CK6883" s="663"/>
    </row>
    <row r="6884" spans="89:89" s="299" customFormat="1" ht="12.75" customHeight="1" x14ac:dyDescent="0.3">
      <c r="CK6884" s="663"/>
    </row>
    <row r="6885" spans="89:89" s="299" customFormat="1" ht="12.75" customHeight="1" x14ac:dyDescent="0.3">
      <c r="CK6885" s="663"/>
    </row>
    <row r="6886" spans="89:89" s="299" customFormat="1" ht="12.75" customHeight="1" x14ac:dyDescent="0.3">
      <c r="CK6886" s="663"/>
    </row>
    <row r="6887" spans="89:89" s="299" customFormat="1" ht="12.75" customHeight="1" x14ac:dyDescent="0.3">
      <c r="CK6887" s="663"/>
    </row>
    <row r="6888" spans="89:89" s="299" customFormat="1" ht="12.75" customHeight="1" x14ac:dyDescent="0.3">
      <c r="CK6888" s="663"/>
    </row>
    <row r="6889" spans="89:89" s="299" customFormat="1" ht="12.75" customHeight="1" x14ac:dyDescent="0.3">
      <c r="CK6889" s="663"/>
    </row>
    <row r="6890" spans="89:89" s="299" customFormat="1" ht="12.75" customHeight="1" x14ac:dyDescent="0.3">
      <c r="CK6890" s="663"/>
    </row>
    <row r="6891" spans="89:89" s="299" customFormat="1" ht="12.75" customHeight="1" x14ac:dyDescent="0.3">
      <c r="CK6891" s="663"/>
    </row>
    <row r="6892" spans="89:89" s="299" customFormat="1" ht="12.75" customHeight="1" x14ac:dyDescent="0.3">
      <c r="CK6892" s="663"/>
    </row>
    <row r="6893" spans="89:89" s="299" customFormat="1" ht="12.75" customHeight="1" x14ac:dyDescent="0.3">
      <c r="CK6893" s="663"/>
    </row>
    <row r="6894" spans="89:89" s="299" customFormat="1" ht="12.75" customHeight="1" x14ac:dyDescent="0.3">
      <c r="CK6894" s="663"/>
    </row>
    <row r="6895" spans="89:89" s="299" customFormat="1" ht="12.75" customHeight="1" x14ac:dyDescent="0.3">
      <c r="CK6895" s="663"/>
    </row>
    <row r="6896" spans="89:89" s="299" customFormat="1" ht="12.75" customHeight="1" x14ac:dyDescent="0.3">
      <c r="CK6896" s="663"/>
    </row>
    <row r="6897" spans="89:89" s="299" customFormat="1" ht="12.75" customHeight="1" x14ac:dyDescent="0.3">
      <c r="CK6897" s="663"/>
    </row>
    <row r="6898" spans="89:89" s="299" customFormat="1" ht="12.75" customHeight="1" x14ac:dyDescent="0.3">
      <c r="CK6898" s="663"/>
    </row>
    <row r="6899" spans="89:89" s="299" customFormat="1" ht="12.75" customHeight="1" x14ac:dyDescent="0.3">
      <c r="CK6899" s="663"/>
    </row>
    <row r="6900" spans="89:89" s="299" customFormat="1" ht="12.75" customHeight="1" x14ac:dyDescent="0.3">
      <c r="CK6900" s="663"/>
    </row>
    <row r="6901" spans="89:89" s="299" customFormat="1" ht="12.75" customHeight="1" x14ac:dyDescent="0.3">
      <c r="CK6901" s="663"/>
    </row>
    <row r="6902" spans="89:89" s="299" customFormat="1" ht="12.75" customHeight="1" x14ac:dyDescent="0.3">
      <c r="CK6902" s="663"/>
    </row>
    <row r="6903" spans="89:89" s="299" customFormat="1" ht="12.75" customHeight="1" x14ac:dyDescent="0.3">
      <c r="CK6903" s="663"/>
    </row>
    <row r="6904" spans="89:89" s="299" customFormat="1" ht="12.75" customHeight="1" x14ac:dyDescent="0.3">
      <c r="CK6904" s="663"/>
    </row>
    <row r="6905" spans="89:89" s="299" customFormat="1" ht="12.75" customHeight="1" x14ac:dyDescent="0.3">
      <c r="CK6905" s="663"/>
    </row>
    <row r="6906" spans="89:89" s="299" customFormat="1" ht="12.75" customHeight="1" x14ac:dyDescent="0.3">
      <c r="CK6906" s="663"/>
    </row>
    <row r="6907" spans="89:89" s="299" customFormat="1" ht="12.75" customHeight="1" x14ac:dyDescent="0.3">
      <c r="CK6907" s="663"/>
    </row>
    <row r="6908" spans="89:89" s="299" customFormat="1" ht="12.75" customHeight="1" x14ac:dyDescent="0.3">
      <c r="CK6908" s="663"/>
    </row>
    <row r="6909" spans="89:89" s="299" customFormat="1" ht="12.75" customHeight="1" x14ac:dyDescent="0.3">
      <c r="CK6909" s="663"/>
    </row>
    <row r="6910" spans="89:89" s="299" customFormat="1" ht="12.75" customHeight="1" x14ac:dyDescent="0.3">
      <c r="CK6910" s="663"/>
    </row>
    <row r="6911" spans="89:89" s="299" customFormat="1" ht="12.75" customHeight="1" x14ac:dyDescent="0.3">
      <c r="CK6911" s="663"/>
    </row>
    <row r="6912" spans="89:89" s="299" customFormat="1" ht="12.75" customHeight="1" x14ac:dyDescent="0.3">
      <c r="CK6912" s="663"/>
    </row>
    <row r="6913" spans="89:89" s="299" customFormat="1" ht="12.75" customHeight="1" x14ac:dyDescent="0.3">
      <c r="CK6913" s="663"/>
    </row>
    <row r="6914" spans="89:89" s="299" customFormat="1" ht="12.75" customHeight="1" x14ac:dyDescent="0.3">
      <c r="CK6914" s="663"/>
    </row>
    <row r="6915" spans="89:89" s="299" customFormat="1" ht="12.75" customHeight="1" x14ac:dyDescent="0.3">
      <c r="CK6915" s="663"/>
    </row>
    <row r="6916" spans="89:89" s="299" customFormat="1" ht="12.75" customHeight="1" x14ac:dyDescent="0.3">
      <c r="CK6916" s="663"/>
    </row>
    <row r="6917" spans="89:89" s="299" customFormat="1" ht="12.75" customHeight="1" x14ac:dyDescent="0.3">
      <c r="CK6917" s="663"/>
    </row>
    <row r="6918" spans="89:89" s="299" customFormat="1" ht="12.75" customHeight="1" x14ac:dyDescent="0.3">
      <c r="CK6918" s="663"/>
    </row>
    <row r="6919" spans="89:89" s="299" customFormat="1" ht="12.75" customHeight="1" x14ac:dyDescent="0.3">
      <c r="CK6919" s="663"/>
    </row>
    <row r="6920" spans="89:89" s="299" customFormat="1" ht="12.75" customHeight="1" x14ac:dyDescent="0.3">
      <c r="CK6920" s="663"/>
    </row>
    <row r="6921" spans="89:89" s="299" customFormat="1" ht="12.75" customHeight="1" x14ac:dyDescent="0.3">
      <c r="CK6921" s="663"/>
    </row>
    <row r="6922" spans="89:89" s="299" customFormat="1" ht="12.75" customHeight="1" x14ac:dyDescent="0.3">
      <c r="CK6922" s="663"/>
    </row>
    <row r="6923" spans="89:89" s="299" customFormat="1" ht="12.75" customHeight="1" x14ac:dyDescent="0.3">
      <c r="CK6923" s="663"/>
    </row>
    <row r="6924" spans="89:89" s="299" customFormat="1" ht="12.75" customHeight="1" x14ac:dyDescent="0.3">
      <c r="CK6924" s="663"/>
    </row>
    <row r="6925" spans="89:89" s="299" customFormat="1" ht="12.75" customHeight="1" x14ac:dyDescent="0.3">
      <c r="CK6925" s="663"/>
    </row>
    <row r="6926" spans="89:89" s="299" customFormat="1" ht="12.75" customHeight="1" x14ac:dyDescent="0.3">
      <c r="CK6926" s="663"/>
    </row>
    <row r="6927" spans="89:89" s="299" customFormat="1" ht="12.75" customHeight="1" x14ac:dyDescent="0.3">
      <c r="CK6927" s="663"/>
    </row>
    <row r="6928" spans="89:89" s="299" customFormat="1" ht="12.75" customHeight="1" x14ac:dyDescent="0.3">
      <c r="CK6928" s="663"/>
    </row>
    <row r="6929" spans="89:89" s="299" customFormat="1" ht="12.75" customHeight="1" x14ac:dyDescent="0.3">
      <c r="CK6929" s="663"/>
    </row>
    <row r="6930" spans="89:89" s="299" customFormat="1" ht="12.75" customHeight="1" x14ac:dyDescent="0.3">
      <c r="CK6930" s="663"/>
    </row>
    <row r="6931" spans="89:89" s="299" customFormat="1" ht="12.75" customHeight="1" x14ac:dyDescent="0.3">
      <c r="CK6931" s="663"/>
    </row>
    <row r="6932" spans="89:89" s="299" customFormat="1" ht="12.75" customHeight="1" x14ac:dyDescent="0.3">
      <c r="CK6932" s="663"/>
    </row>
    <row r="6933" spans="89:89" s="299" customFormat="1" ht="12.75" customHeight="1" x14ac:dyDescent="0.3">
      <c r="CK6933" s="663"/>
    </row>
    <row r="6934" spans="89:89" s="299" customFormat="1" ht="12.75" customHeight="1" x14ac:dyDescent="0.3">
      <c r="CK6934" s="663"/>
    </row>
    <row r="6935" spans="89:89" s="299" customFormat="1" ht="12.75" customHeight="1" x14ac:dyDescent="0.3">
      <c r="CK6935" s="663"/>
    </row>
    <row r="6936" spans="89:89" s="299" customFormat="1" ht="12.75" customHeight="1" x14ac:dyDescent="0.3">
      <c r="CK6936" s="663"/>
    </row>
    <row r="6937" spans="89:89" s="299" customFormat="1" ht="12.75" customHeight="1" x14ac:dyDescent="0.3">
      <c r="CK6937" s="663"/>
    </row>
    <row r="6938" spans="89:89" s="299" customFormat="1" ht="12.75" customHeight="1" x14ac:dyDescent="0.3">
      <c r="CK6938" s="663"/>
    </row>
    <row r="6939" spans="89:89" s="299" customFormat="1" ht="12.75" customHeight="1" x14ac:dyDescent="0.3">
      <c r="CK6939" s="663"/>
    </row>
    <row r="6940" spans="89:89" s="299" customFormat="1" ht="12.75" customHeight="1" x14ac:dyDescent="0.3">
      <c r="CK6940" s="663"/>
    </row>
    <row r="6941" spans="89:89" s="299" customFormat="1" ht="12.75" customHeight="1" x14ac:dyDescent="0.3">
      <c r="CK6941" s="663"/>
    </row>
    <row r="6942" spans="89:89" s="299" customFormat="1" ht="12.75" customHeight="1" x14ac:dyDescent="0.3">
      <c r="CK6942" s="663"/>
    </row>
    <row r="6943" spans="89:89" s="299" customFormat="1" ht="12.75" customHeight="1" x14ac:dyDescent="0.3">
      <c r="CK6943" s="663"/>
    </row>
    <row r="6944" spans="89:89" s="299" customFormat="1" ht="12.75" customHeight="1" x14ac:dyDescent="0.3">
      <c r="CK6944" s="663"/>
    </row>
    <row r="6945" spans="89:89" s="299" customFormat="1" ht="12.75" customHeight="1" x14ac:dyDescent="0.3">
      <c r="CK6945" s="663"/>
    </row>
    <row r="6946" spans="89:89" s="299" customFormat="1" ht="12.75" customHeight="1" x14ac:dyDescent="0.3">
      <c r="CK6946" s="663"/>
    </row>
    <row r="6947" spans="89:89" s="299" customFormat="1" ht="12.75" customHeight="1" x14ac:dyDescent="0.3">
      <c r="CK6947" s="663"/>
    </row>
    <row r="6948" spans="89:89" s="299" customFormat="1" ht="12.75" customHeight="1" x14ac:dyDescent="0.3">
      <c r="CK6948" s="663"/>
    </row>
    <row r="6949" spans="89:89" s="299" customFormat="1" ht="12.75" customHeight="1" x14ac:dyDescent="0.3">
      <c r="CK6949" s="663"/>
    </row>
    <row r="6950" spans="89:89" s="299" customFormat="1" ht="12.75" customHeight="1" x14ac:dyDescent="0.3">
      <c r="CK6950" s="663"/>
    </row>
    <row r="6951" spans="89:89" s="299" customFormat="1" ht="12.75" customHeight="1" x14ac:dyDescent="0.3">
      <c r="CK6951" s="663"/>
    </row>
    <row r="6952" spans="89:89" s="299" customFormat="1" ht="12.75" customHeight="1" x14ac:dyDescent="0.3">
      <c r="CK6952" s="663"/>
    </row>
    <row r="6953" spans="89:89" s="299" customFormat="1" ht="12.75" customHeight="1" x14ac:dyDescent="0.3">
      <c r="CK6953" s="663"/>
    </row>
    <row r="6954" spans="89:89" s="299" customFormat="1" ht="12.75" customHeight="1" x14ac:dyDescent="0.3">
      <c r="CK6954" s="663"/>
    </row>
    <row r="6955" spans="89:89" s="299" customFormat="1" ht="12.75" customHeight="1" x14ac:dyDescent="0.3">
      <c r="CK6955" s="663"/>
    </row>
    <row r="6956" spans="89:89" s="299" customFormat="1" ht="12.75" customHeight="1" x14ac:dyDescent="0.3">
      <c r="CK6956" s="663"/>
    </row>
    <row r="6957" spans="89:89" s="299" customFormat="1" ht="12.75" customHeight="1" x14ac:dyDescent="0.3">
      <c r="CK6957" s="663"/>
    </row>
    <row r="6958" spans="89:89" s="299" customFormat="1" ht="12.75" customHeight="1" x14ac:dyDescent="0.3">
      <c r="CK6958" s="663"/>
    </row>
    <row r="6959" spans="89:89" s="299" customFormat="1" ht="12.75" customHeight="1" x14ac:dyDescent="0.3">
      <c r="CK6959" s="663"/>
    </row>
    <row r="6960" spans="89:89" s="299" customFormat="1" ht="12.75" customHeight="1" x14ac:dyDescent="0.3">
      <c r="CK6960" s="663"/>
    </row>
    <row r="6961" spans="89:89" s="299" customFormat="1" ht="12.75" customHeight="1" x14ac:dyDescent="0.3">
      <c r="CK6961" s="663"/>
    </row>
    <row r="6962" spans="89:89" s="299" customFormat="1" ht="12.75" customHeight="1" x14ac:dyDescent="0.3">
      <c r="CK6962" s="663"/>
    </row>
    <row r="6963" spans="89:89" s="299" customFormat="1" ht="12.75" customHeight="1" x14ac:dyDescent="0.3">
      <c r="CK6963" s="663"/>
    </row>
    <row r="6964" spans="89:89" s="299" customFormat="1" ht="12.75" customHeight="1" x14ac:dyDescent="0.3">
      <c r="CK6964" s="663"/>
    </row>
    <row r="6965" spans="89:89" s="299" customFormat="1" ht="12.75" customHeight="1" x14ac:dyDescent="0.3">
      <c r="CK6965" s="663"/>
    </row>
    <row r="6966" spans="89:89" s="299" customFormat="1" ht="12.75" customHeight="1" x14ac:dyDescent="0.3">
      <c r="CK6966" s="663"/>
    </row>
    <row r="6967" spans="89:89" s="299" customFormat="1" ht="12.75" customHeight="1" x14ac:dyDescent="0.3">
      <c r="CK6967" s="663"/>
    </row>
    <row r="6968" spans="89:89" s="299" customFormat="1" ht="12.75" customHeight="1" x14ac:dyDescent="0.3">
      <c r="CK6968" s="663"/>
    </row>
    <row r="6969" spans="89:89" s="299" customFormat="1" ht="12.75" customHeight="1" x14ac:dyDescent="0.3">
      <c r="CK6969" s="663"/>
    </row>
    <row r="6970" spans="89:89" s="299" customFormat="1" ht="12.75" customHeight="1" x14ac:dyDescent="0.3">
      <c r="CK6970" s="663"/>
    </row>
    <row r="6971" spans="89:89" s="299" customFormat="1" ht="12.75" customHeight="1" x14ac:dyDescent="0.3">
      <c r="CK6971" s="663"/>
    </row>
    <row r="6972" spans="89:89" s="299" customFormat="1" ht="12.75" customHeight="1" x14ac:dyDescent="0.3">
      <c r="CK6972" s="663"/>
    </row>
    <row r="6973" spans="89:89" s="299" customFormat="1" ht="12.75" customHeight="1" x14ac:dyDescent="0.3">
      <c r="CK6973" s="663"/>
    </row>
    <row r="6974" spans="89:89" s="299" customFormat="1" ht="12.75" customHeight="1" x14ac:dyDescent="0.3">
      <c r="CK6974" s="663"/>
    </row>
    <row r="6975" spans="89:89" s="299" customFormat="1" ht="12.75" customHeight="1" x14ac:dyDescent="0.3">
      <c r="CK6975" s="663"/>
    </row>
    <row r="6976" spans="89:89" s="299" customFormat="1" ht="12.75" customHeight="1" x14ac:dyDescent="0.3">
      <c r="CK6976" s="663"/>
    </row>
    <row r="6977" spans="89:89" s="299" customFormat="1" ht="12.75" customHeight="1" x14ac:dyDescent="0.3">
      <c r="CK6977" s="663"/>
    </row>
    <row r="6978" spans="89:89" s="299" customFormat="1" ht="12.75" customHeight="1" x14ac:dyDescent="0.3">
      <c r="CK6978" s="663"/>
    </row>
    <row r="6979" spans="89:89" s="299" customFormat="1" ht="12.75" customHeight="1" x14ac:dyDescent="0.3">
      <c r="CK6979" s="663"/>
    </row>
    <row r="6980" spans="89:89" s="299" customFormat="1" ht="12.75" customHeight="1" x14ac:dyDescent="0.3">
      <c r="CK6980" s="663"/>
    </row>
    <row r="6981" spans="89:89" s="299" customFormat="1" ht="12.75" customHeight="1" x14ac:dyDescent="0.3">
      <c r="CK6981" s="663"/>
    </row>
    <row r="6982" spans="89:89" s="299" customFormat="1" ht="12.75" customHeight="1" x14ac:dyDescent="0.3">
      <c r="CK6982" s="663"/>
    </row>
    <row r="6983" spans="89:89" s="299" customFormat="1" ht="12.75" customHeight="1" x14ac:dyDescent="0.3">
      <c r="CK6983" s="663"/>
    </row>
    <row r="6984" spans="89:89" s="299" customFormat="1" ht="12.75" customHeight="1" x14ac:dyDescent="0.3">
      <c r="CK6984" s="663"/>
    </row>
    <row r="6985" spans="89:89" s="299" customFormat="1" ht="12.75" customHeight="1" x14ac:dyDescent="0.3">
      <c r="CK6985" s="663"/>
    </row>
    <row r="6986" spans="89:89" s="299" customFormat="1" ht="12.75" customHeight="1" x14ac:dyDescent="0.3">
      <c r="CK6986" s="663"/>
    </row>
    <row r="6987" spans="89:89" s="299" customFormat="1" ht="12.75" customHeight="1" x14ac:dyDescent="0.3">
      <c r="CK6987" s="663"/>
    </row>
    <row r="6988" spans="89:89" s="299" customFormat="1" ht="12.75" customHeight="1" x14ac:dyDescent="0.3">
      <c r="CK6988" s="663"/>
    </row>
    <row r="6989" spans="89:89" s="299" customFormat="1" ht="12.75" customHeight="1" x14ac:dyDescent="0.3">
      <c r="CK6989" s="663"/>
    </row>
    <row r="6990" spans="89:89" s="299" customFormat="1" ht="12.75" customHeight="1" x14ac:dyDescent="0.3">
      <c r="CK6990" s="663"/>
    </row>
    <row r="6991" spans="89:89" s="299" customFormat="1" ht="12.75" customHeight="1" x14ac:dyDescent="0.3">
      <c r="CK6991" s="663"/>
    </row>
    <row r="6992" spans="89:89" s="299" customFormat="1" ht="12.75" customHeight="1" x14ac:dyDescent="0.3">
      <c r="CK6992" s="663"/>
    </row>
    <row r="6993" spans="89:89" s="299" customFormat="1" ht="12.75" customHeight="1" x14ac:dyDescent="0.3">
      <c r="CK6993" s="663"/>
    </row>
    <row r="6994" spans="89:89" s="299" customFormat="1" ht="12.75" customHeight="1" x14ac:dyDescent="0.3">
      <c r="CK6994" s="663"/>
    </row>
    <row r="6995" spans="89:89" s="299" customFormat="1" ht="12.75" customHeight="1" x14ac:dyDescent="0.3">
      <c r="CK6995" s="663"/>
    </row>
    <row r="6996" spans="89:89" s="299" customFormat="1" ht="12.75" customHeight="1" x14ac:dyDescent="0.3">
      <c r="CK6996" s="663"/>
    </row>
    <row r="6997" spans="89:89" s="299" customFormat="1" ht="12.75" customHeight="1" x14ac:dyDescent="0.3">
      <c r="CK6997" s="663"/>
    </row>
    <row r="6998" spans="89:89" s="299" customFormat="1" ht="12.75" customHeight="1" x14ac:dyDescent="0.3">
      <c r="CK6998" s="663"/>
    </row>
    <row r="6999" spans="89:89" s="299" customFormat="1" ht="12.75" customHeight="1" x14ac:dyDescent="0.3">
      <c r="CK6999" s="663"/>
    </row>
    <row r="7000" spans="89:89" s="299" customFormat="1" ht="12.75" customHeight="1" x14ac:dyDescent="0.3">
      <c r="CK7000" s="663"/>
    </row>
    <row r="7001" spans="89:89" s="299" customFormat="1" ht="12.75" customHeight="1" x14ac:dyDescent="0.3">
      <c r="CK7001" s="663"/>
    </row>
    <row r="7002" spans="89:89" s="299" customFormat="1" ht="12.75" customHeight="1" x14ac:dyDescent="0.3">
      <c r="CK7002" s="663"/>
    </row>
    <row r="7003" spans="89:89" s="299" customFormat="1" ht="12.75" customHeight="1" x14ac:dyDescent="0.3">
      <c r="CK7003" s="663"/>
    </row>
    <row r="7004" spans="89:89" s="299" customFormat="1" ht="12.75" customHeight="1" x14ac:dyDescent="0.3">
      <c r="CK7004" s="663"/>
    </row>
    <row r="7005" spans="89:89" s="299" customFormat="1" ht="12.75" customHeight="1" x14ac:dyDescent="0.3">
      <c r="CK7005" s="663"/>
    </row>
    <row r="7006" spans="89:89" s="299" customFormat="1" ht="12.75" customHeight="1" x14ac:dyDescent="0.3">
      <c r="CK7006" s="663"/>
    </row>
    <row r="7007" spans="89:89" s="299" customFormat="1" ht="12.75" customHeight="1" x14ac:dyDescent="0.3">
      <c r="CK7007" s="663"/>
    </row>
    <row r="7008" spans="89:89" s="299" customFormat="1" ht="12.75" customHeight="1" x14ac:dyDescent="0.3">
      <c r="CK7008" s="663"/>
    </row>
    <row r="7009" spans="89:89" s="299" customFormat="1" ht="12.75" customHeight="1" x14ac:dyDescent="0.3">
      <c r="CK7009" s="663"/>
    </row>
    <row r="7010" spans="89:89" s="299" customFormat="1" ht="12.75" customHeight="1" x14ac:dyDescent="0.3">
      <c r="CK7010" s="663"/>
    </row>
    <row r="7011" spans="89:89" s="299" customFormat="1" ht="12.75" customHeight="1" x14ac:dyDescent="0.3">
      <c r="CK7011" s="663"/>
    </row>
    <row r="7012" spans="89:89" s="299" customFormat="1" ht="12.75" customHeight="1" x14ac:dyDescent="0.3">
      <c r="CK7012" s="663"/>
    </row>
    <row r="7013" spans="89:89" s="299" customFormat="1" ht="12.75" customHeight="1" x14ac:dyDescent="0.3">
      <c r="CK7013" s="663"/>
    </row>
    <row r="7014" spans="89:89" s="299" customFormat="1" ht="12.75" customHeight="1" x14ac:dyDescent="0.3">
      <c r="CK7014" s="663"/>
    </row>
    <row r="7015" spans="89:89" s="299" customFormat="1" ht="12.75" customHeight="1" x14ac:dyDescent="0.3">
      <c r="CK7015" s="663"/>
    </row>
    <row r="7016" spans="89:89" s="299" customFormat="1" ht="12.75" customHeight="1" x14ac:dyDescent="0.3">
      <c r="CK7016" s="663"/>
    </row>
    <row r="7017" spans="89:89" s="299" customFormat="1" ht="12.75" customHeight="1" x14ac:dyDescent="0.3">
      <c r="CK7017" s="663"/>
    </row>
    <row r="7018" spans="89:89" s="299" customFormat="1" ht="12.75" customHeight="1" x14ac:dyDescent="0.3">
      <c r="CK7018" s="663"/>
    </row>
    <row r="7019" spans="89:89" s="299" customFormat="1" ht="12.75" customHeight="1" x14ac:dyDescent="0.3">
      <c r="CK7019" s="663"/>
    </row>
    <row r="7020" spans="89:89" s="299" customFormat="1" ht="12.75" customHeight="1" x14ac:dyDescent="0.3">
      <c r="CK7020" s="663"/>
    </row>
    <row r="7021" spans="89:89" s="299" customFormat="1" ht="12.75" customHeight="1" x14ac:dyDescent="0.3">
      <c r="CK7021" s="663"/>
    </row>
    <row r="7022" spans="89:89" s="299" customFormat="1" ht="12.75" customHeight="1" x14ac:dyDescent="0.3">
      <c r="CK7022" s="663"/>
    </row>
    <row r="7023" spans="89:89" s="299" customFormat="1" ht="12.75" customHeight="1" x14ac:dyDescent="0.3">
      <c r="CK7023" s="663"/>
    </row>
    <row r="7024" spans="89:89" s="299" customFormat="1" ht="12.75" customHeight="1" x14ac:dyDescent="0.3">
      <c r="CK7024" s="663"/>
    </row>
    <row r="7025" spans="89:89" s="299" customFormat="1" ht="12.75" customHeight="1" x14ac:dyDescent="0.3">
      <c r="CK7025" s="663"/>
    </row>
    <row r="7026" spans="89:89" s="299" customFormat="1" ht="12.75" customHeight="1" x14ac:dyDescent="0.3">
      <c r="CK7026" s="663"/>
    </row>
    <row r="7027" spans="89:89" s="299" customFormat="1" ht="12.75" customHeight="1" x14ac:dyDescent="0.3">
      <c r="CK7027" s="663"/>
    </row>
    <row r="7028" spans="89:89" s="299" customFormat="1" ht="12.75" customHeight="1" x14ac:dyDescent="0.3">
      <c r="CK7028" s="663"/>
    </row>
    <row r="7029" spans="89:89" s="299" customFormat="1" ht="12.75" customHeight="1" x14ac:dyDescent="0.3">
      <c r="CK7029" s="663"/>
    </row>
    <row r="7030" spans="89:89" s="299" customFormat="1" ht="12.75" customHeight="1" x14ac:dyDescent="0.3">
      <c r="CK7030" s="663"/>
    </row>
    <row r="7031" spans="89:89" s="299" customFormat="1" ht="12.75" customHeight="1" x14ac:dyDescent="0.3">
      <c r="CK7031" s="663"/>
    </row>
    <row r="7032" spans="89:89" s="299" customFormat="1" ht="12.75" customHeight="1" x14ac:dyDescent="0.3">
      <c r="CK7032" s="663"/>
    </row>
    <row r="7033" spans="89:89" s="299" customFormat="1" ht="12.75" customHeight="1" x14ac:dyDescent="0.3">
      <c r="CK7033" s="663"/>
    </row>
    <row r="7034" spans="89:89" s="299" customFormat="1" ht="12.75" customHeight="1" x14ac:dyDescent="0.3">
      <c r="CK7034" s="663"/>
    </row>
    <row r="7035" spans="89:89" s="299" customFormat="1" ht="12.75" customHeight="1" x14ac:dyDescent="0.3">
      <c r="CK7035" s="663"/>
    </row>
    <row r="7036" spans="89:89" s="299" customFormat="1" ht="12.75" customHeight="1" x14ac:dyDescent="0.3">
      <c r="CK7036" s="663"/>
    </row>
    <row r="7037" spans="89:89" s="299" customFormat="1" ht="12.75" customHeight="1" x14ac:dyDescent="0.3">
      <c r="CK7037" s="663"/>
    </row>
    <row r="7038" spans="89:89" s="299" customFormat="1" ht="12.75" customHeight="1" x14ac:dyDescent="0.3">
      <c r="CK7038" s="663"/>
    </row>
    <row r="7039" spans="89:89" s="299" customFormat="1" ht="12.75" customHeight="1" x14ac:dyDescent="0.3">
      <c r="CK7039" s="663"/>
    </row>
    <row r="7040" spans="89:89" s="299" customFormat="1" ht="12.75" customHeight="1" x14ac:dyDescent="0.3">
      <c r="CK7040" s="663"/>
    </row>
    <row r="7041" spans="89:89" s="299" customFormat="1" ht="12.75" customHeight="1" x14ac:dyDescent="0.3">
      <c r="CK7041" s="663"/>
    </row>
    <row r="7042" spans="89:89" s="299" customFormat="1" ht="12.75" customHeight="1" x14ac:dyDescent="0.3">
      <c r="CK7042" s="663"/>
    </row>
    <row r="7043" spans="89:89" s="299" customFormat="1" ht="12.75" customHeight="1" x14ac:dyDescent="0.3">
      <c r="CK7043" s="663"/>
    </row>
    <row r="7044" spans="89:89" s="299" customFormat="1" ht="12.75" customHeight="1" x14ac:dyDescent="0.3">
      <c r="CK7044" s="663"/>
    </row>
    <row r="7045" spans="89:89" s="299" customFormat="1" ht="12.75" customHeight="1" x14ac:dyDescent="0.3">
      <c r="CK7045" s="663"/>
    </row>
    <row r="7046" spans="89:89" s="299" customFormat="1" ht="12.75" customHeight="1" x14ac:dyDescent="0.3">
      <c r="CK7046" s="663"/>
    </row>
    <row r="7047" spans="89:89" s="299" customFormat="1" ht="12.75" customHeight="1" x14ac:dyDescent="0.3">
      <c r="CK7047" s="663"/>
    </row>
    <row r="7048" spans="89:89" s="299" customFormat="1" ht="12.75" customHeight="1" x14ac:dyDescent="0.3">
      <c r="CK7048" s="663"/>
    </row>
    <row r="7049" spans="89:89" s="299" customFormat="1" ht="12.75" customHeight="1" x14ac:dyDescent="0.3">
      <c r="CK7049" s="663"/>
    </row>
    <row r="7050" spans="89:89" s="299" customFormat="1" ht="12.75" customHeight="1" x14ac:dyDescent="0.3">
      <c r="CK7050" s="663"/>
    </row>
    <row r="7051" spans="89:89" s="299" customFormat="1" ht="12.75" customHeight="1" x14ac:dyDescent="0.3">
      <c r="CK7051" s="663"/>
    </row>
    <row r="7052" spans="89:89" s="299" customFormat="1" ht="12.75" customHeight="1" x14ac:dyDescent="0.3">
      <c r="CK7052" s="663"/>
    </row>
    <row r="7053" spans="89:89" s="299" customFormat="1" ht="12.75" customHeight="1" x14ac:dyDescent="0.3">
      <c r="CK7053" s="663"/>
    </row>
    <row r="7054" spans="89:89" s="299" customFormat="1" ht="12.75" customHeight="1" x14ac:dyDescent="0.3">
      <c r="CK7054" s="663"/>
    </row>
    <row r="7055" spans="89:89" s="299" customFormat="1" ht="12.75" customHeight="1" x14ac:dyDescent="0.3">
      <c r="CK7055" s="663"/>
    </row>
    <row r="7056" spans="89:89" s="299" customFormat="1" ht="12.75" customHeight="1" x14ac:dyDescent="0.3">
      <c r="CK7056" s="663"/>
    </row>
    <row r="7057" spans="89:89" s="299" customFormat="1" ht="12.75" customHeight="1" x14ac:dyDescent="0.3">
      <c r="CK7057" s="663"/>
    </row>
    <row r="7058" spans="89:89" s="299" customFormat="1" ht="12.75" customHeight="1" x14ac:dyDescent="0.3">
      <c r="CK7058" s="663"/>
    </row>
    <row r="7059" spans="89:89" s="299" customFormat="1" ht="12.75" customHeight="1" x14ac:dyDescent="0.3">
      <c r="CK7059" s="663"/>
    </row>
    <row r="7060" spans="89:89" s="299" customFormat="1" ht="12.75" customHeight="1" x14ac:dyDescent="0.3">
      <c r="CK7060" s="663"/>
    </row>
    <row r="7061" spans="89:89" s="299" customFormat="1" ht="12.75" customHeight="1" x14ac:dyDescent="0.3">
      <c r="CK7061" s="663"/>
    </row>
    <row r="7062" spans="89:89" s="299" customFormat="1" ht="12.75" customHeight="1" x14ac:dyDescent="0.3">
      <c r="CK7062" s="663"/>
    </row>
    <row r="7063" spans="89:89" s="299" customFormat="1" ht="12.75" customHeight="1" x14ac:dyDescent="0.3">
      <c r="CK7063" s="663"/>
    </row>
    <row r="7064" spans="89:89" s="299" customFormat="1" ht="12.75" customHeight="1" x14ac:dyDescent="0.3">
      <c r="CK7064" s="663"/>
    </row>
    <row r="7065" spans="89:89" s="299" customFormat="1" ht="12.75" customHeight="1" x14ac:dyDescent="0.3">
      <c r="CK7065" s="663"/>
    </row>
    <row r="7066" spans="89:89" s="299" customFormat="1" ht="12.75" customHeight="1" x14ac:dyDescent="0.3">
      <c r="CK7066" s="663"/>
    </row>
    <row r="7067" spans="89:89" s="299" customFormat="1" ht="12.75" customHeight="1" x14ac:dyDescent="0.3">
      <c r="CK7067" s="663"/>
    </row>
    <row r="7068" spans="89:89" s="299" customFormat="1" ht="12.75" customHeight="1" x14ac:dyDescent="0.3">
      <c r="CK7068" s="663"/>
    </row>
    <row r="7069" spans="89:89" s="299" customFormat="1" ht="12.75" customHeight="1" x14ac:dyDescent="0.3">
      <c r="CK7069" s="663"/>
    </row>
    <row r="7070" spans="89:89" s="299" customFormat="1" ht="12.75" customHeight="1" x14ac:dyDescent="0.3">
      <c r="CK7070" s="663"/>
    </row>
    <row r="7071" spans="89:89" s="299" customFormat="1" ht="12.75" customHeight="1" x14ac:dyDescent="0.3">
      <c r="CK7071" s="663"/>
    </row>
    <row r="7072" spans="89:89" s="299" customFormat="1" ht="12.75" customHeight="1" x14ac:dyDescent="0.3">
      <c r="CK7072" s="663"/>
    </row>
    <row r="7073" spans="89:89" s="299" customFormat="1" ht="12.75" customHeight="1" x14ac:dyDescent="0.3">
      <c r="CK7073" s="663"/>
    </row>
    <row r="7074" spans="89:89" s="299" customFormat="1" ht="12.75" customHeight="1" x14ac:dyDescent="0.3">
      <c r="CK7074" s="663"/>
    </row>
    <row r="7075" spans="89:89" s="299" customFormat="1" ht="12.75" customHeight="1" x14ac:dyDescent="0.3">
      <c r="CK7075" s="663"/>
    </row>
    <row r="7076" spans="89:89" s="299" customFormat="1" ht="12.75" customHeight="1" x14ac:dyDescent="0.3">
      <c r="CK7076" s="663"/>
    </row>
    <row r="7077" spans="89:89" s="299" customFormat="1" ht="12.75" customHeight="1" x14ac:dyDescent="0.3">
      <c r="CK7077" s="663"/>
    </row>
    <row r="7078" spans="89:89" s="299" customFormat="1" ht="12.75" customHeight="1" x14ac:dyDescent="0.3">
      <c r="CK7078" s="663"/>
    </row>
    <row r="7079" spans="89:89" s="299" customFormat="1" ht="12.75" customHeight="1" x14ac:dyDescent="0.3">
      <c r="CK7079" s="663"/>
    </row>
    <row r="7080" spans="89:89" s="299" customFormat="1" ht="12.75" customHeight="1" x14ac:dyDescent="0.3">
      <c r="CK7080" s="663"/>
    </row>
    <row r="7081" spans="89:89" s="299" customFormat="1" ht="12.75" customHeight="1" x14ac:dyDescent="0.3">
      <c r="CK7081" s="663"/>
    </row>
    <row r="7082" spans="89:89" s="299" customFormat="1" ht="12.75" customHeight="1" x14ac:dyDescent="0.3">
      <c r="CK7082" s="663"/>
    </row>
    <row r="7083" spans="89:89" s="299" customFormat="1" ht="12.75" customHeight="1" x14ac:dyDescent="0.3">
      <c r="CK7083" s="663"/>
    </row>
    <row r="7084" spans="89:89" s="299" customFormat="1" ht="12.75" customHeight="1" x14ac:dyDescent="0.3">
      <c r="CK7084" s="663"/>
    </row>
    <row r="7085" spans="89:89" s="299" customFormat="1" ht="12.75" customHeight="1" x14ac:dyDescent="0.3">
      <c r="CK7085" s="663"/>
    </row>
    <row r="7086" spans="89:89" s="299" customFormat="1" ht="12.75" customHeight="1" x14ac:dyDescent="0.3">
      <c r="CK7086" s="663"/>
    </row>
    <row r="7087" spans="89:89" s="299" customFormat="1" ht="12.75" customHeight="1" x14ac:dyDescent="0.3">
      <c r="CK7087" s="663"/>
    </row>
    <row r="7088" spans="89:89" s="299" customFormat="1" ht="12.75" customHeight="1" x14ac:dyDescent="0.3">
      <c r="CK7088" s="663"/>
    </row>
    <row r="7089" spans="89:89" s="299" customFormat="1" ht="12.75" customHeight="1" x14ac:dyDescent="0.3">
      <c r="CK7089" s="663"/>
    </row>
    <row r="7090" spans="89:89" s="299" customFormat="1" ht="12.75" customHeight="1" x14ac:dyDescent="0.3">
      <c r="CK7090" s="663"/>
    </row>
    <row r="7091" spans="89:89" s="299" customFormat="1" ht="12.75" customHeight="1" x14ac:dyDescent="0.3">
      <c r="CK7091" s="663"/>
    </row>
    <row r="7092" spans="89:89" s="299" customFormat="1" ht="12.75" customHeight="1" x14ac:dyDescent="0.3">
      <c r="CK7092" s="663"/>
    </row>
    <row r="7093" spans="89:89" s="299" customFormat="1" ht="12.75" customHeight="1" x14ac:dyDescent="0.3">
      <c r="CK7093" s="663"/>
    </row>
    <row r="7094" spans="89:89" s="299" customFormat="1" ht="12.75" customHeight="1" x14ac:dyDescent="0.3">
      <c r="CK7094" s="663"/>
    </row>
    <row r="7095" spans="89:89" s="299" customFormat="1" ht="12.75" customHeight="1" x14ac:dyDescent="0.3">
      <c r="CK7095" s="663"/>
    </row>
    <row r="7096" spans="89:89" s="299" customFormat="1" ht="12.75" customHeight="1" x14ac:dyDescent="0.3">
      <c r="CK7096" s="663"/>
    </row>
    <row r="7097" spans="89:89" s="299" customFormat="1" ht="12.75" customHeight="1" x14ac:dyDescent="0.3">
      <c r="CK7097" s="663"/>
    </row>
    <row r="7098" spans="89:89" s="299" customFormat="1" ht="12.75" customHeight="1" x14ac:dyDescent="0.3">
      <c r="CK7098" s="663"/>
    </row>
    <row r="7099" spans="89:89" s="299" customFormat="1" ht="12.75" customHeight="1" x14ac:dyDescent="0.3">
      <c r="CK7099" s="663"/>
    </row>
    <row r="7100" spans="89:89" s="299" customFormat="1" ht="12.75" customHeight="1" x14ac:dyDescent="0.3">
      <c r="CK7100" s="663"/>
    </row>
    <row r="7101" spans="89:89" s="299" customFormat="1" ht="12.75" customHeight="1" x14ac:dyDescent="0.3">
      <c r="CK7101" s="663"/>
    </row>
    <row r="7102" spans="89:89" s="299" customFormat="1" ht="12.75" customHeight="1" x14ac:dyDescent="0.3">
      <c r="CK7102" s="663"/>
    </row>
    <row r="7103" spans="89:89" s="299" customFormat="1" ht="12.75" customHeight="1" x14ac:dyDescent="0.3">
      <c r="CK7103" s="663"/>
    </row>
    <row r="7104" spans="89:89" s="299" customFormat="1" ht="12.75" customHeight="1" x14ac:dyDescent="0.3">
      <c r="CK7104" s="663"/>
    </row>
    <row r="7105" spans="89:89" s="299" customFormat="1" ht="12.75" customHeight="1" x14ac:dyDescent="0.3">
      <c r="CK7105" s="663"/>
    </row>
    <row r="7106" spans="89:89" s="299" customFormat="1" ht="12.75" customHeight="1" x14ac:dyDescent="0.3">
      <c r="CK7106" s="663"/>
    </row>
    <row r="7107" spans="89:89" s="299" customFormat="1" ht="12.75" customHeight="1" x14ac:dyDescent="0.3">
      <c r="CK7107" s="663"/>
    </row>
    <row r="7108" spans="89:89" s="299" customFormat="1" ht="12.75" customHeight="1" x14ac:dyDescent="0.3">
      <c r="CK7108" s="663"/>
    </row>
    <row r="7109" spans="89:89" s="299" customFormat="1" ht="12.75" customHeight="1" x14ac:dyDescent="0.3">
      <c r="CK7109" s="663"/>
    </row>
    <row r="7110" spans="89:89" s="299" customFormat="1" ht="12.75" customHeight="1" x14ac:dyDescent="0.3">
      <c r="CK7110" s="663"/>
    </row>
    <row r="7111" spans="89:89" s="299" customFormat="1" ht="12.75" customHeight="1" x14ac:dyDescent="0.3">
      <c r="CK7111" s="663"/>
    </row>
    <row r="7112" spans="89:89" s="299" customFormat="1" ht="12.75" customHeight="1" x14ac:dyDescent="0.3">
      <c r="CK7112" s="663"/>
    </row>
    <row r="7113" spans="89:89" s="299" customFormat="1" ht="12.75" customHeight="1" x14ac:dyDescent="0.3">
      <c r="CK7113" s="663"/>
    </row>
    <row r="7114" spans="89:89" s="299" customFormat="1" ht="12.75" customHeight="1" x14ac:dyDescent="0.3">
      <c r="CK7114" s="663"/>
    </row>
    <row r="7115" spans="89:89" s="299" customFormat="1" ht="12.75" customHeight="1" x14ac:dyDescent="0.3">
      <c r="CK7115" s="663"/>
    </row>
    <row r="7116" spans="89:89" s="299" customFormat="1" ht="12.75" customHeight="1" x14ac:dyDescent="0.3">
      <c r="CK7116" s="663"/>
    </row>
    <row r="7117" spans="89:89" s="299" customFormat="1" ht="12.75" customHeight="1" x14ac:dyDescent="0.3">
      <c r="CK7117" s="663"/>
    </row>
    <row r="7118" spans="89:89" s="299" customFormat="1" ht="12.75" customHeight="1" x14ac:dyDescent="0.3">
      <c r="CK7118" s="663"/>
    </row>
    <row r="7119" spans="89:89" s="299" customFormat="1" ht="12.75" customHeight="1" x14ac:dyDescent="0.3">
      <c r="CK7119" s="663"/>
    </row>
    <row r="7120" spans="89:89" s="299" customFormat="1" ht="12.75" customHeight="1" x14ac:dyDescent="0.3">
      <c r="CK7120" s="663"/>
    </row>
    <row r="7121" spans="89:89" s="299" customFormat="1" ht="12.75" customHeight="1" x14ac:dyDescent="0.3">
      <c r="CK7121" s="663"/>
    </row>
    <row r="7122" spans="89:89" s="299" customFormat="1" ht="12.75" customHeight="1" x14ac:dyDescent="0.3">
      <c r="CK7122" s="663"/>
    </row>
    <row r="7123" spans="89:89" s="299" customFormat="1" ht="12.75" customHeight="1" x14ac:dyDescent="0.3">
      <c r="CK7123" s="663"/>
    </row>
    <row r="7124" spans="89:89" s="299" customFormat="1" ht="12.75" customHeight="1" x14ac:dyDescent="0.3">
      <c r="CK7124" s="663"/>
    </row>
    <row r="7125" spans="89:89" s="299" customFormat="1" ht="12.75" customHeight="1" x14ac:dyDescent="0.3">
      <c r="CK7125" s="663"/>
    </row>
    <row r="7126" spans="89:89" s="299" customFormat="1" ht="12.75" customHeight="1" x14ac:dyDescent="0.3">
      <c r="CK7126" s="663"/>
    </row>
    <row r="7127" spans="89:89" s="299" customFormat="1" ht="12.75" customHeight="1" x14ac:dyDescent="0.3">
      <c r="CK7127" s="663"/>
    </row>
    <row r="7128" spans="89:89" s="299" customFormat="1" ht="12.75" customHeight="1" x14ac:dyDescent="0.3">
      <c r="CK7128" s="663"/>
    </row>
    <row r="7129" spans="89:89" s="299" customFormat="1" ht="12.75" customHeight="1" x14ac:dyDescent="0.3">
      <c r="CK7129" s="663"/>
    </row>
    <row r="7130" spans="89:89" s="299" customFormat="1" ht="12.75" customHeight="1" x14ac:dyDescent="0.3">
      <c r="CK7130" s="663"/>
    </row>
    <row r="7131" spans="89:89" s="299" customFormat="1" ht="12.75" customHeight="1" x14ac:dyDescent="0.3">
      <c r="CK7131" s="663"/>
    </row>
    <row r="7132" spans="89:89" s="299" customFormat="1" ht="12.75" customHeight="1" x14ac:dyDescent="0.3">
      <c r="CK7132" s="663"/>
    </row>
    <row r="7133" spans="89:89" s="299" customFormat="1" ht="12.75" customHeight="1" x14ac:dyDescent="0.3">
      <c r="CK7133" s="663"/>
    </row>
    <row r="7134" spans="89:89" s="299" customFormat="1" ht="12.75" customHeight="1" x14ac:dyDescent="0.3">
      <c r="CK7134" s="663"/>
    </row>
    <row r="7135" spans="89:89" s="299" customFormat="1" ht="12.75" customHeight="1" x14ac:dyDescent="0.3">
      <c r="CK7135" s="663"/>
    </row>
    <row r="7136" spans="89:89" s="299" customFormat="1" ht="12.75" customHeight="1" x14ac:dyDescent="0.3">
      <c r="CK7136" s="663"/>
    </row>
    <row r="7137" spans="89:89" s="299" customFormat="1" ht="12.75" customHeight="1" x14ac:dyDescent="0.3">
      <c r="CK7137" s="663"/>
    </row>
    <row r="7138" spans="89:89" s="299" customFormat="1" ht="12.75" customHeight="1" x14ac:dyDescent="0.3">
      <c r="CK7138" s="663"/>
    </row>
    <row r="7139" spans="89:89" s="299" customFormat="1" ht="12.75" customHeight="1" x14ac:dyDescent="0.3">
      <c r="CK7139" s="663"/>
    </row>
    <row r="7140" spans="89:89" s="299" customFormat="1" ht="12.75" customHeight="1" x14ac:dyDescent="0.3">
      <c r="CK7140" s="663"/>
    </row>
    <row r="7141" spans="89:89" s="299" customFormat="1" ht="12.75" customHeight="1" x14ac:dyDescent="0.3">
      <c r="CK7141" s="663"/>
    </row>
    <row r="7142" spans="89:89" s="299" customFormat="1" ht="12.75" customHeight="1" x14ac:dyDescent="0.3">
      <c r="CK7142" s="663"/>
    </row>
    <row r="7143" spans="89:89" s="299" customFormat="1" ht="12.75" customHeight="1" x14ac:dyDescent="0.3">
      <c r="CK7143" s="663"/>
    </row>
    <row r="7144" spans="89:89" s="299" customFormat="1" ht="12.75" customHeight="1" x14ac:dyDescent="0.3">
      <c r="CK7144" s="663"/>
    </row>
    <row r="7145" spans="89:89" s="299" customFormat="1" ht="12.75" customHeight="1" x14ac:dyDescent="0.3">
      <c r="CK7145" s="663"/>
    </row>
    <row r="7146" spans="89:89" s="299" customFormat="1" ht="12.75" customHeight="1" x14ac:dyDescent="0.3">
      <c r="CK7146" s="663"/>
    </row>
    <row r="7147" spans="89:89" s="299" customFormat="1" ht="12.75" customHeight="1" x14ac:dyDescent="0.3">
      <c r="CK7147" s="663"/>
    </row>
    <row r="7148" spans="89:89" s="299" customFormat="1" ht="12.75" customHeight="1" x14ac:dyDescent="0.3">
      <c r="CK7148" s="663"/>
    </row>
    <row r="7149" spans="89:89" s="299" customFormat="1" ht="12.75" customHeight="1" x14ac:dyDescent="0.3">
      <c r="CK7149" s="663"/>
    </row>
    <row r="7150" spans="89:89" s="299" customFormat="1" ht="12.75" customHeight="1" x14ac:dyDescent="0.3">
      <c r="CK7150" s="663"/>
    </row>
    <row r="7151" spans="89:89" s="299" customFormat="1" ht="12.75" customHeight="1" x14ac:dyDescent="0.3">
      <c r="CK7151" s="663"/>
    </row>
    <row r="7152" spans="89:89" s="299" customFormat="1" ht="12.75" customHeight="1" x14ac:dyDescent="0.3">
      <c r="CK7152" s="663"/>
    </row>
    <row r="7153" spans="89:89" s="299" customFormat="1" ht="12.75" customHeight="1" x14ac:dyDescent="0.3">
      <c r="CK7153" s="663"/>
    </row>
    <row r="7154" spans="89:89" s="299" customFormat="1" ht="12.75" customHeight="1" x14ac:dyDescent="0.3">
      <c r="CK7154" s="663"/>
    </row>
    <row r="7155" spans="89:89" s="299" customFormat="1" ht="12.75" customHeight="1" x14ac:dyDescent="0.3">
      <c r="CK7155" s="663"/>
    </row>
    <row r="7156" spans="89:89" s="299" customFormat="1" ht="12.75" customHeight="1" x14ac:dyDescent="0.3">
      <c r="CK7156" s="663"/>
    </row>
    <row r="7157" spans="89:89" s="299" customFormat="1" ht="12.75" customHeight="1" x14ac:dyDescent="0.3">
      <c r="CK7157" s="663"/>
    </row>
    <row r="7158" spans="89:89" s="299" customFormat="1" ht="12.75" customHeight="1" x14ac:dyDescent="0.3">
      <c r="CK7158" s="663"/>
    </row>
    <row r="7159" spans="89:89" s="299" customFormat="1" ht="12.75" customHeight="1" x14ac:dyDescent="0.3">
      <c r="CK7159" s="663"/>
    </row>
    <row r="7160" spans="89:89" s="299" customFormat="1" ht="12.75" customHeight="1" x14ac:dyDescent="0.3">
      <c r="CK7160" s="663"/>
    </row>
    <row r="7161" spans="89:89" s="299" customFormat="1" ht="12.75" customHeight="1" x14ac:dyDescent="0.3">
      <c r="CK7161" s="663"/>
    </row>
    <row r="7162" spans="89:89" s="299" customFormat="1" ht="12.75" customHeight="1" x14ac:dyDescent="0.3">
      <c r="CK7162" s="663"/>
    </row>
    <row r="7163" spans="89:89" s="299" customFormat="1" ht="12.75" customHeight="1" x14ac:dyDescent="0.3"/>
    <row r="7164" spans="89:89" s="299" customFormat="1" ht="12.75" customHeight="1" x14ac:dyDescent="0.3">
      <c r="CK7164" s="663"/>
    </row>
    <row r="7165" spans="89:89" s="299" customFormat="1" ht="12.75" customHeight="1" x14ac:dyDescent="0.3">
      <c r="CK7165" s="663"/>
    </row>
    <row r="7166" spans="89:89" s="299" customFormat="1" ht="12.75" customHeight="1" x14ac:dyDescent="0.3">
      <c r="CK7166" s="663"/>
    </row>
    <row r="7167" spans="89:89" s="299" customFormat="1" ht="12.75" customHeight="1" x14ac:dyDescent="0.3">
      <c r="CK7167" s="663"/>
    </row>
    <row r="7168" spans="89:89" s="299" customFormat="1" ht="12.75" customHeight="1" x14ac:dyDescent="0.3">
      <c r="CK7168" s="663"/>
    </row>
    <row r="7169" spans="89:89" s="299" customFormat="1" ht="12.75" customHeight="1" x14ac:dyDescent="0.3">
      <c r="CK7169" s="663"/>
    </row>
    <row r="7170" spans="89:89" s="299" customFormat="1" ht="12.75" customHeight="1" x14ac:dyDescent="0.3">
      <c r="CK7170" s="663"/>
    </row>
    <row r="7171" spans="89:89" s="299" customFormat="1" ht="12.75" customHeight="1" x14ac:dyDescent="0.3">
      <c r="CK7171" s="663"/>
    </row>
    <row r="7172" spans="89:89" s="299" customFormat="1" ht="12.75" customHeight="1" x14ac:dyDescent="0.3">
      <c r="CK7172" s="663"/>
    </row>
    <row r="7173" spans="89:89" s="299" customFormat="1" ht="12.75" customHeight="1" x14ac:dyDescent="0.3">
      <c r="CK7173" s="663"/>
    </row>
    <row r="7174" spans="89:89" s="299" customFormat="1" ht="12.75" customHeight="1" x14ac:dyDescent="0.3">
      <c r="CK7174" s="663"/>
    </row>
    <row r="7175" spans="89:89" s="299" customFormat="1" ht="12.75" customHeight="1" x14ac:dyDescent="0.3">
      <c r="CK7175" s="663"/>
    </row>
    <row r="7176" spans="89:89" s="299" customFormat="1" ht="12.75" customHeight="1" x14ac:dyDescent="0.3">
      <c r="CK7176" s="663"/>
    </row>
    <row r="7177" spans="89:89" s="299" customFormat="1" ht="12.75" customHeight="1" x14ac:dyDescent="0.3">
      <c r="CK7177" s="663"/>
    </row>
    <row r="7178" spans="89:89" s="299" customFormat="1" ht="12.75" customHeight="1" x14ac:dyDescent="0.3">
      <c r="CK7178" s="663"/>
    </row>
    <row r="7179" spans="89:89" s="299" customFormat="1" ht="12.75" customHeight="1" x14ac:dyDescent="0.3">
      <c r="CK7179" s="663"/>
    </row>
    <row r="7180" spans="89:89" s="299" customFormat="1" ht="12.75" customHeight="1" x14ac:dyDescent="0.3">
      <c r="CK7180" s="663"/>
    </row>
    <row r="7181" spans="89:89" s="299" customFormat="1" ht="12.75" customHeight="1" x14ac:dyDescent="0.3">
      <c r="CK7181" s="663"/>
    </row>
    <row r="7182" spans="89:89" s="299" customFormat="1" ht="12.75" customHeight="1" x14ac:dyDescent="0.3">
      <c r="CK7182" s="663"/>
    </row>
    <row r="7183" spans="89:89" s="299" customFormat="1" ht="12.75" customHeight="1" x14ac:dyDescent="0.3">
      <c r="CK7183" s="663"/>
    </row>
    <row r="7184" spans="89:89" s="299" customFormat="1" ht="12.75" customHeight="1" x14ac:dyDescent="0.3">
      <c r="CK7184" s="663"/>
    </row>
    <row r="7185" spans="89:89" s="299" customFormat="1" ht="12.75" customHeight="1" x14ac:dyDescent="0.3">
      <c r="CK7185" s="663"/>
    </row>
    <row r="7186" spans="89:89" s="299" customFormat="1" ht="12.75" customHeight="1" x14ac:dyDescent="0.3">
      <c r="CK7186" s="663"/>
    </row>
    <row r="7187" spans="89:89" s="299" customFormat="1" ht="12.75" customHeight="1" x14ac:dyDescent="0.3">
      <c r="CK7187" s="663"/>
    </row>
    <row r="7188" spans="89:89" s="299" customFormat="1" ht="12.75" customHeight="1" x14ac:dyDescent="0.3">
      <c r="CK7188" s="663"/>
    </row>
    <row r="7189" spans="89:89" s="299" customFormat="1" ht="12.75" customHeight="1" x14ac:dyDescent="0.3">
      <c r="CK7189" s="663"/>
    </row>
    <row r="7190" spans="89:89" s="299" customFormat="1" ht="12.75" customHeight="1" x14ac:dyDescent="0.3">
      <c r="CK7190" s="663"/>
    </row>
    <row r="7191" spans="89:89" s="299" customFormat="1" ht="12.75" customHeight="1" x14ac:dyDescent="0.3">
      <c r="CK7191" s="663"/>
    </row>
    <row r="7192" spans="89:89" s="299" customFormat="1" ht="12.75" customHeight="1" x14ac:dyDescent="0.3">
      <c r="CK7192" s="663"/>
    </row>
    <row r="7193" spans="89:89" s="299" customFormat="1" ht="12.75" customHeight="1" x14ac:dyDescent="0.3">
      <c r="CK7193" s="663"/>
    </row>
    <row r="7194" spans="89:89" s="299" customFormat="1" ht="12.75" customHeight="1" x14ac:dyDescent="0.3">
      <c r="CK7194" s="663"/>
    </row>
    <row r="7195" spans="89:89" s="299" customFormat="1" ht="12.75" customHeight="1" x14ac:dyDescent="0.3">
      <c r="CK7195" s="663"/>
    </row>
    <row r="7196" spans="89:89" s="299" customFormat="1" ht="12.75" customHeight="1" x14ac:dyDescent="0.3">
      <c r="CK7196" s="663"/>
    </row>
    <row r="7197" spans="89:89" s="299" customFormat="1" ht="12.75" customHeight="1" x14ac:dyDescent="0.3">
      <c r="CK7197" s="663"/>
    </row>
    <row r="7198" spans="89:89" s="299" customFormat="1" ht="12.75" customHeight="1" x14ac:dyDescent="0.3">
      <c r="CK7198" s="663"/>
    </row>
    <row r="7199" spans="89:89" s="299" customFormat="1" ht="12.75" customHeight="1" x14ac:dyDescent="0.3">
      <c r="CK7199" s="663"/>
    </row>
    <row r="7200" spans="89:89" s="299" customFormat="1" ht="12.75" customHeight="1" x14ac:dyDescent="0.3">
      <c r="CK7200" s="663"/>
    </row>
    <row r="7201" spans="89:89" s="299" customFormat="1" ht="12.75" customHeight="1" x14ac:dyDescent="0.3">
      <c r="CK7201" s="663"/>
    </row>
    <row r="7202" spans="89:89" s="299" customFormat="1" ht="12.75" customHeight="1" x14ac:dyDescent="0.3">
      <c r="CK7202" s="663"/>
    </row>
    <row r="7203" spans="89:89" s="299" customFormat="1" ht="12.75" customHeight="1" x14ac:dyDescent="0.3">
      <c r="CK7203" s="663"/>
    </row>
    <row r="7204" spans="89:89" s="299" customFormat="1" ht="12.75" customHeight="1" x14ac:dyDescent="0.3">
      <c r="CK7204" s="663"/>
    </row>
    <row r="7205" spans="89:89" s="299" customFormat="1" ht="12.75" customHeight="1" x14ac:dyDescent="0.3">
      <c r="CK7205" s="663"/>
    </row>
    <row r="7206" spans="89:89" s="299" customFormat="1" ht="12.75" customHeight="1" x14ac:dyDescent="0.3">
      <c r="CK7206" s="663"/>
    </row>
    <row r="7207" spans="89:89" s="299" customFormat="1" ht="12.75" customHeight="1" x14ac:dyDescent="0.3">
      <c r="CK7207" s="663"/>
    </row>
    <row r="7208" spans="89:89" s="299" customFormat="1" ht="12.75" customHeight="1" x14ac:dyDescent="0.3">
      <c r="CK7208" s="663"/>
    </row>
    <row r="7209" spans="89:89" s="299" customFormat="1" ht="12.75" customHeight="1" x14ac:dyDescent="0.3">
      <c r="CK7209" s="663"/>
    </row>
    <row r="7210" spans="89:89" s="299" customFormat="1" ht="12.75" customHeight="1" x14ac:dyDescent="0.3">
      <c r="CK7210" s="663"/>
    </row>
    <row r="7211" spans="89:89" s="299" customFormat="1" ht="12.75" customHeight="1" x14ac:dyDescent="0.3">
      <c r="CK7211" s="663"/>
    </row>
    <row r="7212" spans="89:89" s="299" customFormat="1" ht="12.75" customHeight="1" x14ac:dyDescent="0.3">
      <c r="CK7212" s="663"/>
    </row>
    <row r="7213" spans="89:89" s="299" customFormat="1" ht="12.75" customHeight="1" x14ac:dyDescent="0.3">
      <c r="CK7213" s="663"/>
    </row>
    <row r="7214" spans="89:89" s="299" customFormat="1" ht="12.75" customHeight="1" x14ac:dyDescent="0.3">
      <c r="CK7214" s="663"/>
    </row>
    <row r="7215" spans="89:89" s="299" customFormat="1" ht="12.75" customHeight="1" x14ac:dyDescent="0.3">
      <c r="CK7215" s="663"/>
    </row>
    <row r="7216" spans="89:89" s="299" customFormat="1" ht="12.75" customHeight="1" x14ac:dyDescent="0.3">
      <c r="CK7216" s="663"/>
    </row>
    <row r="7217" spans="89:89" s="299" customFormat="1" ht="12.75" customHeight="1" x14ac:dyDescent="0.3">
      <c r="CK7217" s="663"/>
    </row>
    <row r="7218" spans="89:89" s="299" customFormat="1" ht="12.75" customHeight="1" x14ac:dyDescent="0.3">
      <c r="CK7218" s="663"/>
    </row>
    <row r="7219" spans="89:89" s="299" customFormat="1" ht="12.75" customHeight="1" x14ac:dyDescent="0.3">
      <c r="CK7219" s="663"/>
    </row>
    <row r="7220" spans="89:89" s="299" customFormat="1" ht="12.75" customHeight="1" x14ac:dyDescent="0.3">
      <c r="CK7220" s="663"/>
    </row>
    <row r="7221" spans="89:89" s="299" customFormat="1" ht="12.75" customHeight="1" x14ac:dyDescent="0.3">
      <c r="CK7221" s="663"/>
    </row>
    <row r="7222" spans="89:89" s="299" customFormat="1" ht="12.75" customHeight="1" x14ac:dyDescent="0.3">
      <c r="CK7222" s="663"/>
    </row>
    <row r="7223" spans="89:89" s="299" customFormat="1" ht="12.75" customHeight="1" x14ac:dyDescent="0.3">
      <c r="CK7223" s="663"/>
    </row>
    <row r="7224" spans="89:89" s="299" customFormat="1" ht="12.75" customHeight="1" x14ac:dyDescent="0.3">
      <c r="CK7224" s="663"/>
    </row>
    <row r="7225" spans="89:89" s="299" customFormat="1" ht="12.75" customHeight="1" x14ac:dyDescent="0.3">
      <c r="CK7225" s="663"/>
    </row>
    <row r="7226" spans="89:89" s="299" customFormat="1" ht="12.75" customHeight="1" x14ac:dyDescent="0.3">
      <c r="CK7226" s="663"/>
    </row>
    <row r="7227" spans="89:89" s="299" customFormat="1" ht="12.75" customHeight="1" x14ac:dyDescent="0.3">
      <c r="CK7227" s="663"/>
    </row>
    <row r="7228" spans="89:89" s="299" customFormat="1" ht="12.75" customHeight="1" x14ac:dyDescent="0.3">
      <c r="CK7228" s="663"/>
    </row>
    <row r="7229" spans="89:89" s="299" customFormat="1" ht="12.75" customHeight="1" x14ac:dyDescent="0.3">
      <c r="CK7229" s="663"/>
    </row>
    <row r="7230" spans="89:89" s="299" customFormat="1" ht="12.75" customHeight="1" x14ac:dyDescent="0.3">
      <c r="CK7230" s="663"/>
    </row>
    <row r="7231" spans="89:89" s="299" customFormat="1" ht="12.75" customHeight="1" x14ac:dyDescent="0.3">
      <c r="CK7231" s="663"/>
    </row>
    <row r="7232" spans="89:89" s="299" customFormat="1" ht="12.75" customHeight="1" x14ac:dyDescent="0.3">
      <c r="CK7232" s="663"/>
    </row>
    <row r="7233" spans="89:89" s="299" customFormat="1" ht="12.75" customHeight="1" x14ac:dyDescent="0.3">
      <c r="CK7233" s="663"/>
    </row>
    <row r="7234" spans="89:89" s="299" customFormat="1" ht="12.75" customHeight="1" x14ac:dyDescent="0.3">
      <c r="CK7234" s="663"/>
    </row>
    <row r="7235" spans="89:89" s="299" customFormat="1" ht="12.75" customHeight="1" x14ac:dyDescent="0.3">
      <c r="CK7235" s="663"/>
    </row>
    <row r="7236" spans="89:89" s="299" customFormat="1" ht="12.75" customHeight="1" x14ac:dyDescent="0.3">
      <c r="CK7236" s="663"/>
    </row>
    <row r="7237" spans="89:89" s="299" customFormat="1" ht="12.75" customHeight="1" x14ac:dyDescent="0.3">
      <c r="CK7237" s="663"/>
    </row>
    <row r="7238" spans="89:89" s="299" customFormat="1" ht="12.75" customHeight="1" x14ac:dyDescent="0.3">
      <c r="CK7238" s="663"/>
    </row>
    <row r="7239" spans="89:89" s="299" customFormat="1" ht="12.75" customHeight="1" x14ac:dyDescent="0.3">
      <c r="CK7239" s="663"/>
    </row>
    <row r="7240" spans="89:89" s="299" customFormat="1" ht="12.75" customHeight="1" x14ac:dyDescent="0.3">
      <c r="CK7240" s="663"/>
    </row>
    <row r="7241" spans="89:89" s="299" customFormat="1" ht="12.75" customHeight="1" x14ac:dyDescent="0.3">
      <c r="CK7241" s="663"/>
    </row>
    <row r="7242" spans="89:89" s="299" customFormat="1" ht="12.75" customHeight="1" x14ac:dyDescent="0.3">
      <c r="CK7242" s="663"/>
    </row>
    <row r="7243" spans="89:89" s="299" customFormat="1" ht="12.75" customHeight="1" x14ac:dyDescent="0.3">
      <c r="CK7243" s="663"/>
    </row>
    <row r="7244" spans="89:89" s="299" customFormat="1" ht="12.75" customHeight="1" x14ac:dyDescent="0.3">
      <c r="CK7244" s="663"/>
    </row>
    <row r="7245" spans="89:89" s="299" customFormat="1" ht="12.75" customHeight="1" x14ac:dyDescent="0.3">
      <c r="CK7245" s="663"/>
    </row>
    <row r="7246" spans="89:89" s="299" customFormat="1" ht="12.75" customHeight="1" x14ac:dyDescent="0.3">
      <c r="CK7246" s="663"/>
    </row>
    <row r="7247" spans="89:89" s="299" customFormat="1" ht="12.75" customHeight="1" x14ac:dyDescent="0.3">
      <c r="CK7247" s="663"/>
    </row>
    <row r="7248" spans="89:89" s="299" customFormat="1" ht="12.75" customHeight="1" x14ac:dyDescent="0.3">
      <c r="CK7248" s="663"/>
    </row>
    <row r="7249" spans="89:89" s="299" customFormat="1" ht="12.75" customHeight="1" x14ac:dyDescent="0.3">
      <c r="CK7249" s="663"/>
    </row>
    <row r="7250" spans="89:89" s="299" customFormat="1" ht="12.75" customHeight="1" x14ac:dyDescent="0.3">
      <c r="CK7250" s="663"/>
    </row>
    <row r="7251" spans="89:89" s="299" customFormat="1" ht="12.75" customHeight="1" x14ac:dyDescent="0.3">
      <c r="CK7251" s="663"/>
    </row>
    <row r="7252" spans="89:89" s="299" customFormat="1" ht="12.75" customHeight="1" x14ac:dyDescent="0.3">
      <c r="CK7252" s="663"/>
    </row>
    <row r="7253" spans="89:89" s="299" customFormat="1" ht="12.75" customHeight="1" x14ac:dyDescent="0.3">
      <c r="CK7253" s="663"/>
    </row>
    <row r="7254" spans="89:89" s="299" customFormat="1" ht="12.75" customHeight="1" x14ac:dyDescent="0.3">
      <c r="CK7254" s="663"/>
    </row>
    <row r="7255" spans="89:89" s="299" customFormat="1" ht="12.75" customHeight="1" x14ac:dyDescent="0.3">
      <c r="CK7255" s="663"/>
    </row>
    <row r="7256" spans="89:89" s="299" customFormat="1" ht="12.75" customHeight="1" x14ac:dyDescent="0.3">
      <c r="CK7256" s="663"/>
    </row>
    <row r="7257" spans="89:89" s="299" customFormat="1" ht="12.75" customHeight="1" x14ac:dyDescent="0.3">
      <c r="CK7257" s="663"/>
    </row>
    <row r="7258" spans="89:89" s="299" customFormat="1" ht="12.75" customHeight="1" x14ac:dyDescent="0.3">
      <c r="CK7258" s="663"/>
    </row>
    <row r="7259" spans="89:89" s="299" customFormat="1" ht="12.75" customHeight="1" x14ac:dyDescent="0.3">
      <c r="CK7259" s="663"/>
    </row>
    <row r="7260" spans="89:89" s="299" customFormat="1" ht="12.75" customHeight="1" x14ac:dyDescent="0.3">
      <c r="CK7260" s="663"/>
    </row>
    <row r="7261" spans="89:89" s="299" customFormat="1" ht="12.75" customHeight="1" x14ac:dyDescent="0.3">
      <c r="CK7261" s="663"/>
    </row>
    <row r="7262" spans="89:89" s="299" customFormat="1" ht="12.75" customHeight="1" x14ac:dyDescent="0.3">
      <c r="CK7262" s="663"/>
    </row>
    <row r="7263" spans="89:89" s="299" customFormat="1" ht="12.75" customHeight="1" x14ac:dyDescent="0.3">
      <c r="CK7263" s="663"/>
    </row>
    <row r="7264" spans="89:89" s="299" customFormat="1" ht="12.75" customHeight="1" x14ac:dyDescent="0.3">
      <c r="CK7264" s="663"/>
    </row>
    <row r="7265" spans="89:89" s="299" customFormat="1" ht="12.75" customHeight="1" x14ac:dyDescent="0.3">
      <c r="CK7265" s="663"/>
    </row>
    <row r="7266" spans="89:89" s="299" customFormat="1" ht="12.75" customHeight="1" x14ac:dyDescent="0.3">
      <c r="CK7266" s="663"/>
    </row>
    <row r="7267" spans="89:89" s="299" customFormat="1" ht="12.75" customHeight="1" x14ac:dyDescent="0.3">
      <c r="CK7267" s="663"/>
    </row>
    <row r="7268" spans="89:89" s="299" customFormat="1" ht="12.75" customHeight="1" x14ac:dyDescent="0.3">
      <c r="CK7268" s="663"/>
    </row>
    <row r="7269" spans="89:89" s="299" customFormat="1" ht="12.75" customHeight="1" x14ac:dyDescent="0.3">
      <c r="CK7269" s="663"/>
    </row>
    <row r="7270" spans="89:89" s="299" customFormat="1" ht="12.75" customHeight="1" x14ac:dyDescent="0.3">
      <c r="CK7270" s="663"/>
    </row>
    <row r="7271" spans="89:89" s="299" customFormat="1" ht="12.75" customHeight="1" x14ac:dyDescent="0.3">
      <c r="CK7271" s="663"/>
    </row>
    <row r="7272" spans="89:89" s="299" customFormat="1" ht="12.75" customHeight="1" x14ac:dyDescent="0.3">
      <c r="CK7272" s="663"/>
    </row>
    <row r="7273" spans="89:89" s="299" customFormat="1" ht="12.75" customHeight="1" x14ac:dyDescent="0.3">
      <c r="CK7273" s="663"/>
    </row>
    <row r="7274" spans="89:89" s="299" customFormat="1" ht="12.75" customHeight="1" x14ac:dyDescent="0.3">
      <c r="CK7274" s="663"/>
    </row>
    <row r="7275" spans="89:89" s="299" customFormat="1" ht="12.75" customHeight="1" x14ac:dyDescent="0.3">
      <c r="CK7275" s="663"/>
    </row>
    <row r="7276" spans="89:89" s="299" customFormat="1" ht="12.75" customHeight="1" x14ac:dyDescent="0.3">
      <c r="CK7276" s="663"/>
    </row>
    <row r="7277" spans="89:89" s="299" customFormat="1" ht="12.75" customHeight="1" x14ac:dyDescent="0.3">
      <c r="CK7277" s="663"/>
    </row>
    <row r="7278" spans="89:89" s="299" customFormat="1" ht="12.75" customHeight="1" x14ac:dyDescent="0.3">
      <c r="CK7278" s="663"/>
    </row>
    <row r="7279" spans="89:89" s="299" customFormat="1" ht="12.75" customHeight="1" x14ac:dyDescent="0.3">
      <c r="CK7279" s="663"/>
    </row>
    <row r="7280" spans="89:89" s="299" customFormat="1" ht="12.75" customHeight="1" x14ac:dyDescent="0.3">
      <c r="CK7280" s="663"/>
    </row>
    <row r="7281" spans="89:89" s="299" customFormat="1" ht="12.75" customHeight="1" x14ac:dyDescent="0.3">
      <c r="CK7281" s="663"/>
    </row>
    <row r="7282" spans="89:89" s="299" customFormat="1" ht="12.75" customHeight="1" x14ac:dyDescent="0.3">
      <c r="CK7282" s="663"/>
    </row>
    <row r="7283" spans="89:89" s="299" customFormat="1" ht="12.75" customHeight="1" x14ac:dyDescent="0.3">
      <c r="CK7283" s="663"/>
    </row>
    <row r="7284" spans="89:89" s="299" customFormat="1" ht="12.75" customHeight="1" x14ac:dyDescent="0.3">
      <c r="CK7284" s="663"/>
    </row>
    <row r="7285" spans="89:89" s="299" customFormat="1" ht="12.75" customHeight="1" x14ac:dyDescent="0.3">
      <c r="CK7285" s="663"/>
    </row>
    <row r="7286" spans="89:89" s="299" customFormat="1" ht="12.75" customHeight="1" x14ac:dyDescent="0.3">
      <c r="CK7286" s="663"/>
    </row>
    <row r="7287" spans="89:89" s="299" customFormat="1" ht="12.75" customHeight="1" x14ac:dyDescent="0.3">
      <c r="CK7287" s="663"/>
    </row>
    <row r="7288" spans="89:89" s="299" customFormat="1" ht="12.75" customHeight="1" x14ac:dyDescent="0.3">
      <c r="CK7288" s="663"/>
    </row>
    <row r="7289" spans="89:89" s="299" customFormat="1" ht="12.75" customHeight="1" x14ac:dyDescent="0.3">
      <c r="CK7289" s="663"/>
    </row>
    <row r="7290" spans="89:89" s="299" customFormat="1" ht="12.75" customHeight="1" x14ac:dyDescent="0.3">
      <c r="CK7290" s="663"/>
    </row>
    <row r="7291" spans="89:89" s="299" customFormat="1" ht="12.75" customHeight="1" x14ac:dyDescent="0.3">
      <c r="CK7291" s="663"/>
    </row>
    <row r="7292" spans="89:89" s="299" customFormat="1" ht="12.75" customHeight="1" x14ac:dyDescent="0.3">
      <c r="CK7292" s="663"/>
    </row>
    <row r="7293" spans="89:89" s="299" customFormat="1" ht="12.75" customHeight="1" x14ac:dyDescent="0.3">
      <c r="CK7293" s="663"/>
    </row>
    <row r="7294" spans="89:89" s="299" customFormat="1" ht="12.75" customHeight="1" x14ac:dyDescent="0.3">
      <c r="CK7294" s="663"/>
    </row>
    <row r="7295" spans="89:89" s="299" customFormat="1" ht="12.75" customHeight="1" x14ac:dyDescent="0.3">
      <c r="CK7295" s="663"/>
    </row>
    <row r="7296" spans="89:89" s="299" customFormat="1" ht="12.75" customHeight="1" x14ac:dyDescent="0.3">
      <c r="CK7296" s="663"/>
    </row>
    <row r="7297" spans="89:89" s="299" customFormat="1" ht="12.75" customHeight="1" x14ac:dyDescent="0.3">
      <c r="CK7297" s="663"/>
    </row>
    <row r="7298" spans="89:89" s="299" customFormat="1" ht="12.75" customHeight="1" x14ac:dyDescent="0.3">
      <c r="CK7298" s="663"/>
    </row>
    <row r="7299" spans="89:89" s="299" customFormat="1" ht="12.75" customHeight="1" x14ac:dyDescent="0.3">
      <c r="CK7299" s="663"/>
    </row>
    <row r="7300" spans="89:89" s="299" customFormat="1" ht="12.75" customHeight="1" x14ac:dyDescent="0.3">
      <c r="CK7300" s="663"/>
    </row>
    <row r="7301" spans="89:89" s="299" customFormat="1" ht="12.75" customHeight="1" x14ac:dyDescent="0.3">
      <c r="CK7301" s="663"/>
    </row>
    <row r="7302" spans="89:89" s="299" customFormat="1" ht="12.75" customHeight="1" x14ac:dyDescent="0.3">
      <c r="CK7302" s="663"/>
    </row>
    <row r="7303" spans="89:89" s="299" customFormat="1" ht="12.75" customHeight="1" x14ac:dyDescent="0.3">
      <c r="CK7303" s="663"/>
    </row>
    <row r="7304" spans="89:89" s="299" customFormat="1" ht="12.75" customHeight="1" x14ac:dyDescent="0.3">
      <c r="CK7304" s="663"/>
    </row>
    <row r="7305" spans="89:89" s="299" customFormat="1" ht="12.75" customHeight="1" x14ac:dyDescent="0.3">
      <c r="CK7305" s="663"/>
    </row>
    <row r="7306" spans="89:89" s="299" customFormat="1" ht="12.75" customHeight="1" x14ac:dyDescent="0.3">
      <c r="CK7306" s="663"/>
    </row>
    <row r="7307" spans="89:89" s="299" customFormat="1" ht="12.75" customHeight="1" x14ac:dyDescent="0.3">
      <c r="CK7307" s="663"/>
    </row>
    <row r="7308" spans="89:89" s="299" customFormat="1" ht="12.75" customHeight="1" x14ac:dyDescent="0.3">
      <c r="CK7308" s="663"/>
    </row>
    <row r="7309" spans="89:89" s="299" customFormat="1" ht="12.75" customHeight="1" x14ac:dyDescent="0.3">
      <c r="CK7309" s="663"/>
    </row>
    <row r="7310" spans="89:89" s="299" customFormat="1" ht="12.75" customHeight="1" x14ac:dyDescent="0.3">
      <c r="CK7310" s="663"/>
    </row>
    <row r="7311" spans="89:89" s="299" customFormat="1" ht="12.75" customHeight="1" x14ac:dyDescent="0.3">
      <c r="CK7311" s="663"/>
    </row>
    <row r="7312" spans="89:89" s="299" customFormat="1" ht="12.75" customHeight="1" x14ac:dyDescent="0.3">
      <c r="CK7312" s="663"/>
    </row>
    <row r="7313" spans="89:89" s="299" customFormat="1" ht="12.75" customHeight="1" x14ac:dyDescent="0.3">
      <c r="CK7313" s="663"/>
    </row>
    <row r="7314" spans="89:89" s="299" customFormat="1" ht="12.75" customHeight="1" x14ac:dyDescent="0.3">
      <c r="CK7314" s="663"/>
    </row>
    <row r="7315" spans="89:89" s="299" customFormat="1" ht="12.75" customHeight="1" x14ac:dyDescent="0.3">
      <c r="CK7315" s="663"/>
    </row>
    <row r="7316" spans="89:89" s="299" customFormat="1" ht="12.75" customHeight="1" x14ac:dyDescent="0.3">
      <c r="CK7316" s="663"/>
    </row>
    <row r="7317" spans="89:89" s="299" customFormat="1" ht="12.75" customHeight="1" x14ac:dyDescent="0.3">
      <c r="CK7317" s="663"/>
    </row>
    <row r="7318" spans="89:89" s="299" customFormat="1" ht="12.75" customHeight="1" x14ac:dyDescent="0.3">
      <c r="CK7318" s="663"/>
    </row>
    <row r="7319" spans="89:89" s="299" customFormat="1" ht="12.75" customHeight="1" x14ac:dyDescent="0.3">
      <c r="CK7319" s="663"/>
    </row>
    <row r="7320" spans="89:89" s="299" customFormat="1" ht="12.75" customHeight="1" x14ac:dyDescent="0.3">
      <c r="CK7320" s="663"/>
    </row>
    <row r="7321" spans="89:89" s="299" customFormat="1" ht="12.75" customHeight="1" x14ac:dyDescent="0.3">
      <c r="CK7321" s="663"/>
    </row>
    <row r="7322" spans="89:89" s="299" customFormat="1" ht="12.75" customHeight="1" x14ac:dyDescent="0.3">
      <c r="CK7322" s="663"/>
    </row>
    <row r="7323" spans="89:89" s="299" customFormat="1" ht="12.75" customHeight="1" x14ac:dyDescent="0.3">
      <c r="CK7323" s="663"/>
    </row>
    <row r="7324" spans="89:89" s="299" customFormat="1" ht="12.75" customHeight="1" x14ac:dyDescent="0.3">
      <c r="CK7324" s="663"/>
    </row>
    <row r="7325" spans="89:89" s="299" customFormat="1" ht="12.75" customHeight="1" x14ac:dyDescent="0.3">
      <c r="CK7325" s="663"/>
    </row>
    <row r="7326" spans="89:89" s="299" customFormat="1" ht="12.75" customHeight="1" x14ac:dyDescent="0.3">
      <c r="CK7326" s="663"/>
    </row>
    <row r="7327" spans="89:89" s="299" customFormat="1" ht="12.75" customHeight="1" x14ac:dyDescent="0.3">
      <c r="CK7327" s="663"/>
    </row>
    <row r="7328" spans="89:89" s="299" customFormat="1" ht="12.75" customHeight="1" x14ac:dyDescent="0.3">
      <c r="CK7328" s="663"/>
    </row>
    <row r="7329" spans="89:89" s="299" customFormat="1" ht="12.75" customHeight="1" x14ac:dyDescent="0.3">
      <c r="CK7329" s="663"/>
    </row>
    <row r="7330" spans="89:89" s="299" customFormat="1" ht="12.75" customHeight="1" x14ac:dyDescent="0.3">
      <c r="CK7330" s="663"/>
    </row>
    <row r="7331" spans="89:89" s="299" customFormat="1" ht="12.75" customHeight="1" x14ac:dyDescent="0.3">
      <c r="CK7331" s="663"/>
    </row>
    <row r="7332" spans="89:89" s="299" customFormat="1" ht="12.75" customHeight="1" x14ac:dyDescent="0.3">
      <c r="CK7332" s="663"/>
    </row>
    <row r="7333" spans="89:89" s="299" customFormat="1" ht="12.75" customHeight="1" x14ac:dyDescent="0.3">
      <c r="CK7333" s="663"/>
    </row>
    <row r="7334" spans="89:89" s="299" customFormat="1" ht="12.75" customHeight="1" x14ac:dyDescent="0.3">
      <c r="CK7334" s="663"/>
    </row>
    <row r="7335" spans="89:89" s="299" customFormat="1" ht="12.75" customHeight="1" x14ac:dyDescent="0.3">
      <c r="CK7335" s="663"/>
    </row>
    <row r="7336" spans="89:89" s="299" customFormat="1" ht="12.75" customHeight="1" x14ac:dyDescent="0.3">
      <c r="CK7336" s="663"/>
    </row>
    <row r="7337" spans="89:89" s="299" customFormat="1" ht="12.75" customHeight="1" x14ac:dyDescent="0.3">
      <c r="CK7337" s="663"/>
    </row>
    <row r="7338" spans="89:89" s="299" customFormat="1" ht="12.75" customHeight="1" x14ac:dyDescent="0.3">
      <c r="CK7338" s="663"/>
    </row>
    <row r="7339" spans="89:89" s="299" customFormat="1" ht="12.75" customHeight="1" x14ac:dyDescent="0.3">
      <c r="CK7339" s="663"/>
    </row>
    <row r="7340" spans="89:89" s="299" customFormat="1" ht="12.75" customHeight="1" x14ac:dyDescent="0.3">
      <c r="CK7340" s="663"/>
    </row>
    <row r="7341" spans="89:89" s="299" customFormat="1" ht="12.75" customHeight="1" x14ac:dyDescent="0.3">
      <c r="CK7341" s="663"/>
    </row>
    <row r="7342" spans="89:89" s="299" customFormat="1" ht="12.75" customHeight="1" x14ac:dyDescent="0.3">
      <c r="CK7342" s="663"/>
    </row>
    <row r="7343" spans="89:89" s="299" customFormat="1" ht="12.75" customHeight="1" x14ac:dyDescent="0.3">
      <c r="CK7343" s="663"/>
    </row>
    <row r="7344" spans="89:89" s="299" customFormat="1" ht="12.75" customHeight="1" x14ac:dyDescent="0.3">
      <c r="CK7344" s="663"/>
    </row>
    <row r="7345" spans="89:89" s="299" customFormat="1" ht="12.75" customHeight="1" x14ac:dyDescent="0.3">
      <c r="CK7345" s="663"/>
    </row>
    <row r="7346" spans="89:89" s="299" customFormat="1" ht="12.75" customHeight="1" x14ac:dyDescent="0.3">
      <c r="CK7346" s="663"/>
    </row>
    <row r="7347" spans="89:89" s="299" customFormat="1" ht="12.75" customHeight="1" x14ac:dyDescent="0.3">
      <c r="CK7347" s="663"/>
    </row>
    <row r="7348" spans="89:89" s="299" customFormat="1" ht="12.75" customHeight="1" x14ac:dyDescent="0.3">
      <c r="CK7348" s="663"/>
    </row>
    <row r="7349" spans="89:89" s="299" customFormat="1" ht="12.75" customHeight="1" x14ac:dyDescent="0.3">
      <c r="CK7349" s="663"/>
    </row>
    <row r="7350" spans="89:89" s="299" customFormat="1" ht="12.75" customHeight="1" x14ac:dyDescent="0.3">
      <c r="CK7350" s="663"/>
    </row>
    <row r="7351" spans="89:89" s="299" customFormat="1" ht="12.75" customHeight="1" x14ac:dyDescent="0.3">
      <c r="CK7351" s="663"/>
    </row>
    <row r="7352" spans="89:89" s="299" customFormat="1" ht="12.75" customHeight="1" x14ac:dyDescent="0.3">
      <c r="CK7352" s="663"/>
    </row>
    <row r="7353" spans="89:89" s="299" customFormat="1" ht="12.75" customHeight="1" x14ac:dyDescent="0.3">
      <c r="CK7353" s="663"/>
    </row>
    <row r="7354" spans="89:89" s="299" customFormat="1" ht="12.75" customHeight="1" x14ac:dyDescent="0.3">
      <c r="CK7354" s="663"/>
    </row>
    <row r="7355" spans="89:89" s="299" customFormat="1" ht="12.75" customHeight="1" x14ac:dyDescent="0.3">
      <c r="CK7355" s="663"/>
    </row>
    <row r="7356" spans="89:89" s="299" customFormat="1" ht="12.75" customHeight="1" x14ac:dyDescent="0.3">
      <c r="CK7356" s="663"/>
    </row>
    <row r="7357" spans="89:89" s="299" customFormat="1" ht="12.75" customHeight="1" x14ac:dyDescent="0.3">
      <c r="CK7357" s="663"/>
    </row>
    <row r="7358" spans="89:89" s="299" customFormat="1" ht="12.75" customHeight="1" x14ac:dyDescent="0.3">
      <c r="CK7358" s="663"/>
    </row>
    <row r="7359" spans="89:89" s="299" customFormat="1" ht="12.75" customHeight="1" x14ac:dyDescent="0.3">
      <c r="CK7359" s="663"/>
    </row>
    <row r="7360" spans="89:89" s="299" customFormat="1" ht="12.75" customHeight="1" x14ac:dyDescent="0.3">
      <c r="CK7360" s="663"/>
    </row>
    <row r="7361" spans="89:89" s="299" customFormat="1" ht="12.75" customHeight="1" x14ac:dyDescent="0.3">
      <c r="CK7361" s="663"/>
    </row>
    <row r="7362" spans="89:89" s="299" customFormat="1" ht="12.75" customHeight="1" x14ac:dyDescent="0.3">
      <c r="CK7362" s="663"/>
    </row>
    <row r="7363" spans="89:89" s="299" customFormat="1" ht="12.75" customHeight="1" x14ac:dyDescent="0.3">
      <c r="CK7363" s="663"/>
    </row>
    <row r="7364" spans="89:89" s="299" customFormat="1" ht="12.75" customHeight="1" x14ac:dyDescent="0.3">
      <c r="CK7364" s="663"/>
    </row>
    <row r="7365" spans="89:89" s="299" customFormat="1" ht="12.75" customHeight="1" x14ac:dyDescent="0.3">
      <c r="CK7365" s="663"/>
    </row>
    <row r="7366" spans="89:89" s="299" customFormat="1" ht="12.75" customHeight="1" x14ac:dyDescent="0.3">
      <c r="CK7366" s="663"/>
    </row>
    <row r="7367" spans="89:89" s="299" customFormat="1" ht="12.75" customHeight="1" x14ac:dyDescent="0.3">
      <c r="CK7367" s="663"/>
    </row>
    <row r="7368" spans="89:89" s="299" customFormat="1" ht="12.75" customHeight="1" x14ac:dyDescent="0.3">
      <c r="CK7368" s="663"/>
    </row>
    <row r="7369" spans="89:89" s="299" customFormat="1" ht="12.75" customHeight="1" x14ac:dyDescent="0.3">
      <c r="CK7369" s="663"/>
    </row>
    <row r="7370" spans="89:89" s="299" customFormat="1" ht="12.75" customHeight="1" x14ac:dyDescent="0.3">
      <c r="CK7370" s="663"/>
    </row>
    <row r="7371" spans="89:89" s="299" customFormat="1" ht="12.75" customHeight="1" x14ac:dyDescent="0.3">
      <c r="CK7371" s="663"/>
    </row>
    <row r="7372" spans="89:89" s="299" customFormat="1" ht="12.75" customHeight="1" x14ac:dyDescent="0.3">
      <c r="CK7372" s="663"/>
    </row>
    <row r="7373" spans="89:89" s="299" customFormat="1" ht="12.75" customHeight="1" x14ac:dyDescent="0.3">
      <c r="CK7373" s="663"/>
    </row>
    <row r="7374" spans="89:89" s="299" customFormat="1" ht="12.75" customHeight="1" x14ac:dyDescent="0.3">
      <c r="CK7374" s="663"/>
    </row>
    <row r="7375" spans="89:89" s="299" customFormat="1" ht="12.75" customHeight="1" x14ac:dyDescent="0.3">
      <c r="CK7375" s="663"/>
    </row>
    <row r="7376" spans="89:89" s="299" customFormat="1" ht="12.75" customHeight="1" x14ac:dyDescent="0.3">
      <c r="CK7376" s="663"/>
    </row>
    <row r="7377" spans="89:89" s="299" customFormat="1" ht="12.75" customHeight="1" x14ac:dyDescent="0.3">
      <c r="CK7377" s="663"/>
    </row>
    <row r="7378" spans="89:89" s="299" customFormat="1" ht="12.75" customHeight="1" x14ac:dyDescent="0.3">
      <c r="CK7378" s="663"/>
    </row>
    <row r="7379" spans="89:89" s="299" customFormat="1" ht="12.75" customHeight="1" x14ac:dyDescent="0.3">
      <c r="CK7379" s="663"/>
    </row>
    <row r="7380" spans="89:89" s="299" customFormat="1" ht="12.75" customHeight="1" x14ac:dyDescent="0.3">
      <c r="CK7380" s="663"/>
    </row>
    <row r="7381" spans="89:89" s="299" customFormat="1" ht="12.75" customHeight="1" x14ac:dyDescent="0.3">
      <c r="CK7381" s="663"/>
    </row>
    <row r="7382" spans="89:89" s="299" customFormat="1" ht="12.75" customHeight="1" x14ac:dyDescent="0.3">
      <c r="CK7382" s="663"/>
    </row>
    <row r="7383" spans="89:89" s="299" customFormat="1" ht="12.75" customHeight="1" x14ac:dyDescent="0.3">
      <c r="CK7383" s="663"/>
    </row>
    <row r="7384" spans="89:89" s="299" customFormat="1" ht="12.75" customHeight="1" x14ac:dyDescent="0.3">
      <c r="CK7384" s="663"/>
    </row>
    <row r="7385" spans="89:89" s="299" customFormat="1" ht="12.75" customHeight="1" x14ac:dyDescent="0.3">
      <c r="CK7385" s="663"/>
    </row>
    <row r="7386" spans="89:89" s="299" customFormat="1" ht="12.75" customHeight="1" x14ac:dyDescent="0.3">
      <c r="CK7386" s="663"/>
    </row>
    <row r="7387" spans="89:89" s="299" customFormat="1" ht="12.75" customHeight="1" x14ac:dyDescent="0.3">
      <c r="CK7387" s="663"/>
    </row>
    <row r="7388" spans="89:89" s="299" customFormat="1" ht="12.75" customHeight="1" x14ac:dyDescent="0.3">
      <c r="CK7388" s="663"/>
    </row>
    <row r="7389" spans="89:89" s="299" customFormat="1" ht="12.75" customHeight="1" x14ac:dyDescent="0.3">
      <c r="CK7389" s="663"/>
    </row>
    <row r="7390" spans="89:89" s="299" customFormat="1" ht="12.75" customHeight="1" x14ac:dyDescent="0.3">
      <c r="CK7390" s="663"/>
    </row>
    <row r="7391" spans="89:89" s="299" customFormat="1" ht="12.75" customHeight="1" x14ac:dyDescent="0.3">
      <c r="CK7391" s="663"/>
    </row>
    <row r="7392" spans="89:89" s="299" customFormat="1" ht="12.75" customHeight="1" x14ac:dyDescent="0.3">
      <c r="CK7392" s="663"/>
    </row>
    <row r="7393" spans="89:89" s="299" customFormat="1" ht="12.75" customHeight="1" x14ac:dyDescent="0.3">
      <c r="CK7393" s="663"/>
    </row>
    <row r="7394" spans="89:89" s="299" customFormat="1" ht="12.75" customHeight="1" x14ac:dyDescent="0.3">
      <c r="CK7394" s="663"/>
    </row>
    <row r="7395" spans="89:89" s="299" customFormat="1" ht="12.75" customHeight="1" x14ac:dyDescent="0.3">
      <c r="CK7395" s="663"/>
    </row>
    <row r="7396" spans="89:89" s="299" customFormat="1" ht="12.75" customHeight="1" x14ac:dyDescent="0.3">
      <c r="CK7396" s="663"/>
    </row>
    <row r="7397" spans="89:89" s="299" customFormat="1" ht="12.75" customHeight="1" x14ac:dyDescent="0.3">
      <c r="CK7397" s="663"/>
    </row>
    <row r="7398" spans="89:89" s="299" customFormat="1" ht="12.75" customHeight="1" x14ac:dyDescent="0.3">
      <c r="CK7398" s="663"/>
    </row>
    <row r="7399" spans="89:89" s="299" customFormat="1" ht="12.75" customHeight="1" x14ac:dyDescent="0.3">
      <c r="CK7399" s="663"/>
    </row>
    <row r="7400" spans="89:89" s="299" customFormat="1" ht="12.75" customHeight="1" x14ac:dyDescent="0.3">
      <c r="CK7400" s="663"/>
    </row>
    <row r="7401" spans="89:89" s="299" customFormat="1" ht="12.75" customHeight="1" x14ac:dyDescent="0.3">
      <c r="CK7401" s="663"/>
    </row>
    <row r="7402" spans="89:89" s="299" customFormat="1" ht="12.75" customHeight="1" x14ac:dyDescent="0.3">
      <c r="CK7402" s="663"/>
    </row>
    <row r="7403" spans="89:89" s="299" customFormat="1" ht="12.75" customHeight="1" x14ac:dyDescent="0.3">
      <c r="CK7403" s="663"/>
    </row>
    <row r="7404" spans="89:89" s="299" customFormat="1" ht="12.75" customHeight="1" x14ac:dyDescent="0.3">
      <c r="CK7404" s="663"/>
    </row>
    <row r="7405" spans="89:89" s="299" customFormat="1" ht="12.75" customHeight="1" x14ac:dyDescent="0.3">
      <c r="CK7405" s="663"/>
    </row>
    <row r="7406" spans="89:89" s="299" customFormat="1" ht="12.75" customHeight="1" x14ac:dyDescent="0.3">
      <c r="CK7406" s="663"/>
    </row>
    <row r="7407" spans="89:89" s="299" customFormat="1" ht="12.75" customHeight="1" x14ac:dyDescent="0.3">
      <c r="CK7407" s="663"/>
    </row>
    <row r="7408" spans="89:89" s="299" customFormat="1" ht="12.75" customHeight="1" x14ac:dyDescent="0.3">
      <c r="CK7408" s="663"/>
    </row>
    <row r="7409" spans="89:89" s="299" customFormat="1" ht="12.75" customHeight="1" x14ac:dyDescent="0.3">
      <c r="CK7409" s="663"/>
    </row>
    <row r="7410" spans="89:89" s="299" customFormat="1" ht="12.75" customHeight="1" x14ac:dyDescent="0.3">
      <c r="CK7410" s="663"/>
    </row>
    <row r="7411" spans="89:89" s="299" customFormat="1" ht="12.75" customHeight="1" x14ac:dyDescent="0.3">
      <c r="CK7411" s="663"/>
    </row>
    <row r="7412" spans="89:89" s="299" customFormat="1" ht="12.75" customHeight="1" x14ac:dyDescent="0.3">
      <c r="CK7412" s="663"/>
    </row>
    <row r="7413" spans="89:89" s="299" customFormat="1" ht="12.75" customHeight="1" x14ac:dyDescent="0.3">
      <c r="CK7413" s="663"/>
    </row>
    <row r="7414" spans="89:89" s="299" customFormat="1" ht="12.75" customHeight="1" x14ac:dyDescent="0.3">
      <c r="CK7414" s="663"/>
    </row>
    <row r="7415" spans="89:89" s="299" customFormat="1" ht="12.75" customHeight="1" x14ac:dyDescent="0.3">
      <c r="CK7415" s="663"/>
    </row>
    <row r="7416" spans="89:89" s="299" customFormat="1" ht="12.75" customHeight="1" x14ac:dyDescent="0.3">
      <c r="CK7416" s="663"/>
    </row>
    <row r="7417" spans="89:89" s="299" customFormat="1" ht="12.75" customHeight="1" x14ac:dyDescent="0.3">
      <c r="CK7417" s="663"/>
    </row>
    <row r="7418" spans="89:89" s="299" customFormat="1" ht="12.75" customHeight="1" x14ac:dyDescent="0.3">
      <c r="CK7418" s="663"/>
    </row>
    <row r="7419" spans="89:89" s="299" customFormat="1" ht="12.75" customHeight="1" x14ac:dyDescent="0.3">
      <c r="CK7419" s="663"/>
    </row>
    <row r="7420" spans="89:89" s="299" customFormat="1" ht="12.75" customHeight="1" x14ac:dyDescent="0.3">
      <c r="CK7420" s="663"/>
    </row>
    <row r="7421" spans="89:89" s="299" customFormat="1" ht="12.75" customHeight="1" x14ac:dyDescent="0.3">
      <c r="CK7421" s="663"/>
    </row>
    <row r="7422" spans="89:89" s="299" customFormat="1" ht="12.75" customHeight="1" x14ac:dyDescent="0.3">
      <c r="CK7422" s="663"/>
    </row>
    <row r="7423" spans="89:89" s="299" customFormat="1" ht="12.75" customHeight="1" x14ac:dyDescent="0.3">
      <c r="CK7423" s="663"/>
    </row>
    <row r="7424" spans="89:89" s="299" customFormat="1" ht="12.75" customHeight="1" x14ac:dyDescent="0.3">
      <c r="CK7424" s="663"/>
    </row>
    <row r="7425" spans="89:89" s="299" customFormat="1" ht="12.75" customHeight="1" x14ac:dyDescent="0.3">
      <c r="CK7425" s="663"/>
    </row>
    <row r="7426" spans="89:89" s="299" customFormat="1" ht="12.75" customHeight="1" x14ac:dyDescent="0.3">
      <c r="CK7426" s="663"/>
    </row>
    <row r="7427" spans="89:89" s="299" customFormat="1" ht="12.75" customHeight="1" x14ac:dyDescent="0.3">
      <c r="CK7427" s="663"/>
    </row>
    <row r="7428" spans="89:89" s="299" customFormat="1" ht="12.75" customHeight="1" x14ac:dyDescent="0.3">
      <c r="CK7428" s="663"/>
    </row>
    <row r="7429" spans="89:89" s="299" customFormat="1" ht="12.75" customHeight="1" x14ac:dyDescent="0.3">
      <c r="CK7429" s="663"/>
    </row>
    <row r="7430" spans="89:89" s="299" customFormat="1" ht="12.75" customHeight="1" x14ac:dyDescent="0.3">
      <c r="CK7430" s="663"/>
    </row>
    <row r="7431" spans="89:89" s="299" customFormat="1" ht="12.75" customHeight="1" x14ac:dyDescent="0.3">
      <c r="CK7431" s="663"/>
    </row>
    <row r="7432" spans="89:89" s="299" customFormat="1" ht="12.75" customHeight="1" x14ac:dyDescent="0.3">
      <c r="CK7432" s="663"/>
    </row>
    <row r="7433" spans="89:89" s="299" customFormat="1" ht="12.75" customHeight="1" x14ac:dyDescent="0.3">
      <c r="CK7433" s="663"/>
    </row>
    <row r="7434" spans="89:89" s="299" customFormat="1" ht="12.75" customHeight="1" x14ac:dyDescent="0.3">
      <c r="CK7434" s="663"/>
    </row>
    <row r="7435" spans="89:89" s="299" customFormat="1" ht="12.75" customHeight="1" x14ac:dyDescent="0.3">
      <c r="CK7435" s="663"/>
    </row>
    <row r="7436" spans="89:89" s="299" customFormat="1" ht="12.75" customHeight="1" x14ac:dyDescent="0.3">
      <c r="CK7436" s="663"/>
    </row>
    <row r="7437" spans="89:89" s="299" customFormat="1" ht="12.75" customHeight="1" x14ac:dyDescent="0.3">
      <c r="CK7437" s="663"/>
    </row>
    <row r="7438" spans="89:89" s="299" customFormat="1" ht="12.75" customHeight="1" x14ac:dyDescent="0.3">
      <c r="CK7438" s="663"/>
    </row>
    <row r="7439" spans="89:89" s="299" customFormat="1" ht="12.75" customHeight="1" x14ac:dyDescent="0.3">
      <c r="CK7439" s="663"/>
    </row>
    <row r="7440" spans="89:89" s="299" customFormat="1" ht="12.75" customHeight="1" x14ac:dyDescent="0.3">
      <c r="CK7440" s="663"/>
    </row>
    <row r="7441" spans="89:89" s="299" customFormat="1" ht="12.75" customHeight="1" x14ac:dyDescent="0.3">
      <c r="CK7441" s="663"/>
    </row>
    <row r="7442" spans="89:89" s="299" customFormat="1" ht="12.75" customHeight="1" x14ac:dyDescent="0.3">
      <c r="CK7442" s="663"/>
    </row>
    <row r="7443" spans="89:89" s="299" customFormat="1" ht="12.75" customHeight="1" x14ac:dyDescent="0.3">
      <c r="CK7443" s="663"/>
    </row>
    <row r="7444" spans="89:89" s="299" customFormat="1" ht="12.75" customHeight="1" x14ac:dyDescent="0.3">
      <c r="CK7444" s="663"/>
    </row>
    <row r="7445" spans="89:89" s="299" customFormat="1" ht="12.75" customHeight="1" x14ac:dyDescent="0.3">
      <c r="CK7445" s="663"/>
    </row>
    <row r="7446" spans="89:89" s="299" customFormat="1" ht="12.75" customHeight="1" x14ac:dyDescent="0.3">
      <c r="CK7446" s="663"/>
    </row>
    <row r="7447" spans="89:89" s="299" customFormat="1" ht="12.75" customHeight="1" x14ac:dyDescent="0.3">
      <c r="CK7447" s="663"/>
    </row>
    <row r="7448" spans="89:89" s="299" customFormat="1" ht="12.75" customHeight="1" x14ac:dyDescent="0.3">
      <c r="CK7448" s="663"/>
    </row>
    <row r="7449" spans="89:89" s="299" customFormat="1" ht="12.75" customHeight="1" x14ac:dyDescent="0.3">
      <c r="CK7449" s="663"/>
    </row>
    <row r="7450" spans="89:89" s="299" customFormat="1" ht="12.75" customHeight="1" x14ac:dyDescent="0.3">
      <c r="CK7450" s="663"/>
    </row>
    <row r="7451" spans="89:89" s="299" customFormat="1" ht="12.75" customHeight="1" x14ac:dyDescent="0.3">
      <c r="CK7451" s="663"/>
    </row>
    <row r="7452" spans="89:89" s="299" customFormat="1" ht="12.75" customHeight="1" x14ac:dyDescent="0.3">
      <c r="CK7452" s="663"/>
    </row>
    <row r="7453" spans="89:89" s="299" customFormat="1" ht="12.75" customHeight="1" x14ac:dyDescent="0.3">
      <c r="CK7453" s="663"/>
    </row>
    <row r="7454" spans="89:89" s="299" customFormat="1" ht="12.75" customHeight="1" x14ac:dyDescent="0.3">
      <c r="CK7454" s="663"/>
    </row>
    <row r="7455" spans="89:89" s="299" customFormat="1" ht="12.75" customHeight="1" x14ac:dyDescent="0.3">
      <c r="CK7455" s="663"/>
    </row>
    <row r="7456" spans="89:89" s="299" customFormat="1" ht="12.75" customHeight="1" x14ac:dyDescent="0.3">
      <c r="CK7456" s="663"/>
    </row>
    <row r="7457" spans="89:89" s="299" customFormat="1" ht="12.75" customHeight="1" x14ac:dyDescent="0.3">
      <c r="CK7457" s="663"/>
    </row>
    <row r="7458" spans="89:89" s="299" customFormat="1" ht="12.75" customHeight="1" x14ac:dyDescent="0.3">
      <c r="CK7458" s="663"/>
    </row>
    <row r="7459" spans="89:89" s="299" customFormat="1" ht="12.75" customHeight="1" x14ac:dyDescent="0.3">
      <c r="CK7459" s="663"/>
    </row>
    <row r="7460" spans="89:89" s="299" customFormat="1" ht="12.75" customHeight="1" x14ac:dyDescent="0.3">
      <c r="CK7460" s="663"/>
    </row>
    <row r="7461" spans="89:89" s="299" customFormat="1" ht="12.75" customHeight="1" x14ac:dyDescent="0.3">
      <c r="CK7461" s="663"/>
    </row>
    <row r="7462" spans="89:89" s="299" customFormat="1" ht="12.75" customHeight="1" x14ac:dyDescent="0.3">
      <c r="CK7462" s="663"/>
    </row>
    <row r="7463" spans="89:89" s="299" customFormat="1" ht="12.75" customHeight="1" x14ac:dyDescent="0.3">
      <c r="CK7463" s="663"/>
    </row>
    <row r="7464" spans="89:89" s="299" customFormat="1" ht="12.75" customHeight="1" x14ac:dyDescent="0.3">
      <c r="CK7464" s="663"/>
    </row>
    <row r="7465" spans="89:89" s="299" customFormat="1" ht="12.75" customHeight="1" x14ac:dyDescent="0.3">
      <c r="CK7465" s="663"/>
    </row>
    <row r="7466" spans="89:89" s="299" customFormat="1" ht="12.75" customHeight="1" x14ac:dyDescent="0.3">
      <c r="CK7466" s="663"/>
    </row>
    <row r="7467" spans="89:89" s="299" customFormat="1" ht="12.75" customHeight="1" x14ac:dyDescent="0.3">
      <c r="CK7467" s="663"/>
    </row>
    <row r="7468" spans="89:89" s="299" customFormat="1" ht="12.75" customHeight="1" x14ac:dyDescent="0.3">
      <c r="CK7468" s="663"/>
    </row>
    <row r="7469" spans="89:89" s="299" customFormat="1" ht="12.75" customHeight="1" x14ac:dyDescent="0.3">
      <c r="CK7469" s="663"/>
    </row>
    <row r="7470" spans="89:89" s="299" customFormat="1" ht="12.75" customHeight="1" x14ac:dyDescent="0.3">
      <c r="CK7470" s="663"/>
    </row>
    <row r="7471" spans="89:89" s="299" customFormat="1" ht="12.75" customHeight="1" x14ac:dyDescent="0.3">
      <c r="CK7471" s="663"/>
    </row>
    <row r="7472" spans="89:89" s="299" customFormat="1" ht="12.75" customHeight="1" x14ac:dyDescent="0.3">
      <c r="CK7472" s="663"/>
    </row>
    <row r="7473" spans="89:89" s="299" customFormat="1" ht="12.75" customHeight="1" x14ac:dyDescent="0.3">
      <c r="CK7473" s="663"/>
    </row>
    <row r="7474" spans="89:89" s="299" customFormat="1" ht="12.75" customHeight="1" x14ac:dyDescent="0.3">
      <c r="CK7474" s="663"/>
    </row>
    <row r="7475" spans="89:89" s="299" customFormat="1" ht="12.75" customHeight="1" x14ac:dyDescent="0.3">
      <c r="CK7475" s="663"/>
    </row>
    <row r="7476" spans="89:89" s="299" customFormat="1" ht="12.75" customHeight="1" x14ac:dyDescent="0.3">
      <c r="CK7476" s="663"/>
    </row>
    <row r="7477" spans="89:89" s="299" customFormat="1" ht="12.75" customHeight="1" x14ac:dyDescent="0.3">
      <c r="CK7477" s="663"/>
    </row>
    <row r="7478" spans="89:89" s="299" customFormat="1" ht="12.75" customHeight="1" x14ac:dyDescent="0.3">
      <c r="CK7478" s="663"/>
    </row>
    <row r="7479" spans="89:89" s="299" customFormat="1" ht="12.75" customHeight="1" x14ac:dyDescent="0.3">
      <c r="CK7479" s="663"/>
    </row>
    <row r="7480" spans="89:89" s="299" customFormat="1" ht="12.75" customHeight="1" x14ac:dyDescent="0.3">
      <c r="CK7480" s="663"/>
    </row>
    <row r="7481" spans="89:89" s="299" customFormat="1" ht="12.75" customHeight="1" x14ac:dyDescent="0.3">
      <c r="CK7481" s="663"/>
    </row>
    <row r="7482" spans="89:89" s="299" customFormat="1" ht="12.75" customHeight="1" x14ac:dyDescent="0.3">
      <c r="CK7482" s="663"/>
    </row>
    <row r="7483" spans="89:89" s="299" customFormat="1" ht="12.75" customHeight="1" x14ac:dyDescent="0.3">
      <c r="CK7483" s="663"/>
    </row>
    <row r="7484" spans="89:89" s="299" customFormat="1" ht="12.75" customHeight="1" x14ac:dyDescent="0.3">
      <c r="CK7484" s="663"/>
    </row>
    <row r="7485" spans="89:89" s="299" customFormat="1" ht="12.75" customHeight="1" x14ac:dyDescent="0.3">
      <c r="CK7485" s="663"/>
    </row>
    <row r="7486" spans="89:89" s="299" customFormat="1" ht="12.75" customHeight="1" x14ac:dyDescent="0.3">
      <c r="CK7486" s="663"/>
    </row>
    <row r="7487" spans="89:89" s="299" customFormat="1" ht="12.75" customHeight="1" x14ac:dyDescent="0.3">
      <c r="CK7487" s="663"/>
    </row>
    <row r="7488" spans="89:89" s="299" customFormat="1" ht="12.75" customHeight="1" x14ac:dyDescent="0.3">
      <c r="CK7488" s="663"/>
    </row>
    <row r="7489" spans="89:89" s="299" customFormat="1" ht="12.75" customHeight="1" x14ac:dyDescent="0.3">
      <c r="CK7489" s="663"/>
    </row>
    <row r="7490" spans="89:89" s="299" customFormat="1" ht="12.75" customHeight="1" x14ac:dyDescent="0.3">
      <c r="CK7490" s="663"/>
    </row>
    <row r="7491" spans="89:89" s="299" customFormat="1" ht="12.75" customHeight="1" x14ac:dyDescent="0.3">
      <c r="CK7491" s="663"/>
    </row>
    <row r="7492" spans="89:89" s="299" customFormat="1" ht="12.75" customHeight="1" x14ac:dyDescent="0.3">
      <c r="CK7492" s="663"/>
    </row>
    <row r="7493" spans="89:89" s="299" customFormat="1" ht="12.75" customHeight="1" x14ac:dyDescent="0.3">
      <c r="CK7493" s="663"/>
    </row>
    <row r="7494" spans="89:89" s="299" customFormat="1" ht="12.75" customHeight="1" x14ac:dyDescent="0.3">
      <c r="CK7494" s="663"/>
    </row>
    <row r="7495" spans="89:89" s="299" customFormat="1" ht="12.75" customHeight="1" x14ac:dyDescent="0.3">
      <c r="CK7495" s="663"/>
    </row>
    <row r="7496" spans="89:89" s="299" customFormat="1" ht="12.75" customHeight="1" x14ac:dyDescent="0.3">
      <c r="CK7496" s="663"/>
    </row>
    <row r="7497" spans="89:89" s="299" customFormat="1" ht="12.75" customHeight="1" x14ac:dyDescent="0.3">
      <c r="CK7497" s="663"/>
    </row>
    <row r="7498" spans="89:89" s="299" customFormat="1" ht="12.75" customHeight="1" x14ac:dyDescent="0.3">
      <c r="CK7498" s="663"/>
    </row>
    <row r="7499" spans="89:89" s="299" customFormat="1" ht="12.75" customHeight="1" x14ac:dyDescent="0.3">
      <c r="CK7499" s="663"/>
    </row>
    <row r="7500" spans="89:89" s="299" customFormat="1" ht="12.75" customHeight="1" x14ac:dyDescent="0.3">
      <c r="CK7500" s="663"/>
    </row>
    <row r="7501" spans="89:89" s="299" customFormat="1" ht="12.75" customHeight="1" x14ac:dyDescent="0.3">
      <c r="CK7501" s="663"/>
    </row>
    <row r="7502" spans="89:89" s="299" customFormat="1" ht="12.75" customHeight="1" x14ac:dyDescent="0.3">
      <c r="CK7502" s="663"/>
    </row>
    <row r="7503" spans="89:89" s="299" customFormat="1" ht="12.75" customHeight="1" x14ac:dyDescent="0.3">
      <c r="CK7503" s="663"/>
    </row>
    <row r="7504" spans="89:89" s="299" customFormat="1" ht="12.75" customHeight="1" x14ac:dyDescent="0.3">
      <c r="CK7504" s="663"/>
    </row>
    <row r="7505" spans="89:89" s="299" customFormat="1" ht="12.75" customHeight="1" x14ac:dyDescent="0.3">
      <c r="CK7505" s="663"/>
    </row>
    <row r="7506" spans="89:89" s="299" customFormat="1" ht="12.75" customHeight="1" x14ac:dyDescent="0.3">
      <c r="CK7506" s="663"/>
    </row>
    <row r="7507" spans="89:89" s="299" customFormat="1" ht="12.75" customHeight="1" x14ac:dyDescent="0.3">
      <c r="CK7507" s="663"/>
    </row>
    <row r="7508" spans="89:89" s="299" customFormat="1" ht="12.75" customHeight="1" x14ac:dyDescent="0.3">
      <c r="CK7508" s="663"/>
    </row>
    <row r="7509" spans="89:89" s="299" customFormat="1" ht="12.75" customHeight="1" x14ac:dyDescent="0.3">
      <c r="CK7509" s="663"/>
    </row>
    <row r="7510" spans="89:89" s="299" customFormat="1" ht="12.75" customHeight="1" x14ac:dyDescent="0.3">
      <c r="CK7510" s="663"/>
    </row>
    <row r="7511" spans="89:89" s="299" customFormat="1" ht="12.75" customHeight="1" x14ac:dyDescent="0.3">
      <c r="CK7511" s="663"/>
    </row>
    <row r="7512" spans="89:89" s="299" customFormat="1" ht="12.75" customHeight="1" x14ac:dyDescent="0.3">
      <c r="CK7512" s="663"/>
    </row>
    <row r="7513" spans="89:89" s="299" customFormat="1" ht="12.75" customHeight="1" x14ac:dyDescent="0.3">
      <c r="CK7513" s="663"/>
    </row>
    <row r="7514" spans="89:89" s="299" customFormat="1" ht="12.75" customHeight="1" x14ac:dyDescent="0.3">
      <c r="CK7514" s="663"/>
    </row>
    <row r="7515" spans="89:89" s="299" customFormat="1" ht="12.75" customHeight="1" x14ac:dyDescent="0.3">
      <c r="CK7515" s="663"/>
    </row>
    <row r="7516" spans="89:89" s="299" customFormat="1" ht="12.75" customHeight="1" x14ac:dyDescent="0.3">
      <c r="CK7516" s="663"/>
    </row>
    <row r="7517" spans="89:89" s="299" customFormat="1" ht="12.75" customHeight="1" x14ac:dyDescent="0.3">
      <c r="CK7517" s="663"/>
    </row>
    <row r="7518" spans="89:89" s="299" customFormat="1" ht="12.75" customHeight="1" x14ac:dyDescent="0.3">
      <c r="CK7518" s="663"/>
    </row>
    <row r="7519" spans="89:89" s="299" customFormat="1" ht="12.75" customHeight="1" x14ac:dyDescent="0.3">
      <c r="CK7519" s="663"/>
    </row>
    <row r="7520" spans="89:89" s="299" customFormat="1" ht="12.75" customHeight="1" x14ac:dyDescent="0.3">
      <c r="CK7520" s="663"/>
    </row>
    <row r="7521" spans="89:89" s="299" customFormat="1" ht="12.75" customHeight="1" x14ac:dyDescent="0.3">
      <c r="CK7521" s="663"/>
    </row>
    <row r="7522" spans="89:89" s="299" customFormat="1" ht="12.75" customHeight="1" x14ac:dyDescent="0.3">
      <c r="CK7522" s="663"/>
    </row>
    <row r="7523" spans="89:89" s="299" customFormat="1" ht="12.75" customHeight="1" x14ac:dyDescent="0.3">
      <c r="CK7523" s="663"/>
    </row>
    <row r="7524" spans="89:89" s="299" customFormat="1" ht="12.75" customHeight="1" x14ac:dyDescent="0.3">
      <c r="CK7524" s="663"/>
    </row>
    <row r="7525" spans="89:89" s="299" customFormat="1" ht="12.75" customHeight="1" x14ac:dyDescent="0.3">
      <c r="CK7525" s="663"/>
    </row>
    <row r="7526" spans="89:89" s="299" customFormat="1" ht="12.75" customHeight="1" x14ac:dyDescent="0.3">
      <c r="CK7526" s="663"/>
    </row>
    <row r="7527" spans="89:89" s="299" customFormat="1" ht="12.75" customHeight="1" x14ac:dyDescent="0.3">
      <c r="CK7527" s="663"/>
    </row>
    <row r="7528" spans="89:89" s="299" customFormat="1" ht="12.75" customHeight="1" x14ac:dyDescent="0.3">
      <c r="CK7528" s="663"/>
    </row>
    <row r="7529" spans="89:89" s="299" customFormat="1" ht="12.75" customHeight="1" x14ac:dyDescent="0.3">
      <c r="CK7529" s="663"/>
    </row>
    <row r="7530" spans="89:89" s="299" customFormat="1" ht="12.75" customHeight="1" x14ac:dyDescent="0.3">
      <c r="CK7530" s="663"/>
    </row>
    <row r="7531" spans="89:89" s="299" customFormat="1" ht="12.75" customHeight="1" x14ac:dyDescent="0.3">
      <c r="CK7531" s="663"/>
    </row>
    <row r="7532" spans="89:89" s="299" customFormat="1" ht="12.75" customHeight="1" x14ac:dyDescent="0.3">
      <c r="CK7532" s="663"/>
    </row>
    <row r="7533" spans="89:89" s="299" customFormat="1" ht="12.75" customHeight="1" x14ac:dyDescent="0.3">
      <c r="CK7533" s="663"/>
    </row>
    <row r="7534" spans="89:89" s="299" customFormat="1" ht="12.75" customHeight="1" x14ac:dyDescent="0.3">
      <c r="CK7534" s="663"/>
    </row>
    <row r="7535" spans="89:89" s="299" customFormat="1" ht="12.75" customHeight="1" x14ac:dyDescent="0.3">
      <c r="CK7535" s="663"/>
    </row>
    <row r="7536" spans="89:89" s="299" customFormat="1" ht="12.75" customHeight="1" x14ac:dyDescent="0.3">
      <c r="CK7536" s="663"/>
    </row>
    <row r="7537" spans="89:89" s="299" customFormat="1" ht="12.75" customHeight="1" x14ac:dyDescent="0.3">
      <c r="CK7537" s="663"/>
    </row>
    <row r="7538" spans="89:89" s="299" customFormat="1" ht="12.75" customHeight="1" x14ac:dyDescent="0.3">
      <c r="CK7538" s="663"/>
    </row>
    <row r="7539" spans="89:89" s="299" customFormat="1" ht="12.75" customHeight="1" x14ac:dyDescent="0.3">
      <c r="CK7539" s="663"/>
    </row>
    <row r="7540" spans="89:89" s="299" customFormat="1" ht="12.75" customHeight="1" x14ac:dyDescent="0.3">
      <c r="CK7540" s="663"/>
    </row>
    <row r="7541" spans="89:89" s="299" customFormat="1" ht="12.75" customHeight="1" x14ac:dyDescent="0.3">
      <c r="CK7541" s="663"/>
    </row>
    <row r="7542" spans="89:89" s="299" customFormat="1" ht="12.75" customHeight="1" x14ac:dyDescent="0.3">
      <c r="CK7542" s="663"/>
    </row>
    <row r="7543" spans="89:89" s="299" customFormat="1" ht="12.75" customHeight="1" x14ac:dyDescent="0.3">
      <c r="CK7543" s="663"/>
    </row>
    <row r="7544" spans="89:89" s="299" customFormat="1" ht="12.75" customHeight="1" x14ac:dyDescent="0.3">
      <c r="CK7544" s="663"/>
    </row>
    <row r="7545" spans="89:89" s="299" customFormat="1" ht="12.75" customHeight="1" x14ac:dyDescent="0.3">
      <c r="CK7545" s="663"/>
    </row>
    <row r="7546" spans="89:89" s="299" customFormat="1" ht="12.75" customHeight="1" x14ac:dyDescent="0.3">
      <c r="CK7546" s="663"/>
    </row>
    <row r="7547" spans="89:89" s="299" customFormat="1" ht="12.75" customHeight="1" x14ac:dyDescent="0.3">
      <c r="CK7547" s="663"/>
    </row>
    <row r="7548" spans="89:89" s="299" customFormat="1" ht="12.75" customHeight="1" x14ac:dyDescent="0.3">
      <c r="CK7548" s="663"/>
    </row>
    <row r="7549" spans="89:89" s="299" customFormat="1" ht="12.75" customHeight="1" x14ac:dyDescent="0.3">
      <c r="CK7549" s="663"/>
    </row>
    <row r="7550" spans="89:89" s="299" customFormat="1" ht="12.75" customHeight="1" x14ac:dyDescent="0.3">
      <c r="CK7550" s="663"/>
    </row>
    <row r="7551" spans="89:89" s="299" customFormat="1" ht="12.75" customHeight="1" x14ac:dyDescent="0.3">
      <c r="CK7551" s="663"/>
    </row>
    <row r="7552" spans="89:89" s="299" customFormat="1" ht="12.75" customHeight="1" x14ac:dyDescent="0.3">
      <c r="CK7552" s="663"/>
    </row>
    <row r="7553" spans="89:89" s="299" customFormat="1" ht="12.75" customHeight="1" x14ac:dyDescent="0.3">
      <c r="CK7553" s="663"/>
    </row>
    <row r="7554" spans="89:89" s="299" customFormat="1" ht="12.75" customHeight="1" x14ac:dyDescent="0.3">
      <c r="CK7554" s="663"/>
    </row>
    <row r="7555" spans="89:89" s="299" customFormat="1" ht="12.75" customHeight="1" x14ac:dyDescent="0.3">
      <c r="CK7555" s="663"/>
    </row>
    <row r="7556" spans="89:89" s="299" customFormat="1" ht="12.75" customHeight="1" x14ac:dyDescent="0.3">
      <c r="CK7556" s="663"/>
    </row>
    <row r="7557" spans="89:89" s="299" customFormat="1" ht="12.75" customHeight="1" x14ac:dyDescent="0.3">
      <c r="CK7557" s="663"/>
    </row>
    <row r="7558" spans="89:89" s="299" customFormat="1" ht="12.75" customHeight="1" x14ac:dyDescent="0.3">
      <c r="CK7558" s="663"/>
    </row>
    <row r="7559" spans="89:89" s="299" customFormat="1" ht="12.75" customHeight="1" x14ac:dyDescent="0.3">
      <c r="CK7559" s="663"/>
    </row>
    <row r="7560" spans="89:89" s="299" customFormat="1" ht="12.75" customHeight="1" x14ac:dyDescent="0.3">
      <c r="CK7560" s="663"/>
    </row>
    <row r="7561" spans="89:89" s="299" customFormat="1" ht="12.75" customHeight="1" x14ac:dyDescent="0.3">
      <c r="CK7561" s="663"/>
    </row>
    <row r="7562" spans="89:89" s="299" customFormat="1" ht="12.75" customHeight="1" x14ac:dyDescent="0.3">
      <c r="CK7562" s="663"/>
    </row>
    <row r="7563" spans="89:89" s="299" customFormat="1" ht="12.75" customHeight="1" x14ac:dyDescent="0.3">
      <c r="CK7563" s="663"/>
    </row>
    <row r="7564" spans="89:89" s="299" customFormat="1" ht="12.75" customHeight="1" x14ac:dyDescent="0.3">
      <c r="CK7564" s="663"/>
    </row>
    <row r="7565" spans="89:89" s="299" customFormat="1" ht="12.75" customHeight="1" x14ac:dyDescent="0.3">
      <c r="CK7565" s="663"/>
    </row>
    <row r="7566" spans="89:89" s="299" customFormat="1" ht="12.75" customHeight="1" x14ac:dyDescent="0.3">
      <c r="CK7566" s="663"/>
    </row>
    <row r="7567" spans="89:89" s="299" customFormat="1" ht="12.75" customHeight="1" x14ac:dyDescent="0.3">
      <c r="CK7567" s="663"/>
    </row>
    <row r="7568" spans="89:89" s="299" customFormat="1" ht="12.75" customHeight="1" x14ac:dyDescent="0.3">
      <c r="CK7568" s="663"/>
    </row>
    <row r="7569" spans="89:89" s="299" customFormat="1" ht="12.75" customHeight="1" x14ac:dyDescent="0.3">
      <c r="CK7569" s="663"/>
    </row>
    <row r="7570" spans="89:89" s="299" customFormat="1" ht="12.75" customHeight="1" x14ac:dyDescent="0.3">
      <c r="CK7570" s="663"/>
    </row>
    <row r="7571" spans="89:89" s="299" customFormat="1" ht="12.75" customHeight="1" x14ac:dyDescent="0.3">
      <c r="CK7571" s="663"/>
    </row>
    <row r="7572" spans="89:89" s="299" customFormat="1" ht="12.75" customHeight="1" x14ac:dyDescent="0.3">
      <c r="CK7572" s="663"/>
    </row>
    <row r="7573" spans="89:89" s="299" customFormat="1" ht="12.75" customHeight="1" x14ac:dyDescent="0.3">
      <c r="CK7573" s="663"/>
    </row>
    <row r="7574" spans="89:89" s="299" customFormat="1" ht="12.75" customHeight="1" x14ac:dyDescent="0.3">
      <c r="CK7574" s="663"/>
    </row>
    <row r="7575" spans="89:89" s="299" customFormat="1" ht="12.75" customHeight="1" x14ac:dyDescent="0.3">
      <c r="CK7575" s="663"/>
    </row>
    <row r="7576" spans="89:89" s="299" customFormat="1" ht="12.75" customHeight="1" x14ac:dyDescent="0.3">
      <c r="CK7576" s="663"/>
    </row>
    <row r="7577" spans="89:89" s="299" customFormat="1" ht="12.75" customHeight="1" x14ac:dyDescent="0.3">
      <c r="CK7577" s="663"/>
    </row>
    <row r="7578" spans="89:89" s="299" customFormat="1" ht="12.75" customHeight="1" x14ac:dyDescent="0.3">
      <c r="CK7578" s="663"/>
    </row>
    <row r="7579" spans="89:89" s="299" customFormat="1" ht="12.75" customHeight="1" x14ac:dyDescent="0.3">
      <c r="CK7579" s="663"/>
    </row>
    <row r="7580" spans="89:89" s="299" customFormat="1" ht="12.75" customHeight="1" x14ac:dyDescent="0.3">
      <c r="CK7580" s="663"/>
    </row>
    <row r="7581" spans="89:89" s="299" customFormat="1" ht="12.75" customHeight="1" x14ac:dyDescent="0.3">
      <c r="CK7581" s="663"/>
    </row>
    <row r="7582" spans="89:89" s="299" customFormat="1" ht="12.75" customHeight="1" x14ac:dyDescent="0.3">
      <c r="CK7582" s="663"/>
    </row>
    <row r="7583" spans="89:89" s="299" customFormat="1" ht="12.75" customHeight="1" x14ac:dyDescent="0.3">
      <c r="CK7583" s="663"/>
    </row>
    <row r="7584" spans="89:89" s="299" customFormat="1" ht="12.75" customHeight="1" x14ac:dyDescent="0.3">
      <c r="CK7584" s="663"/>
    </row>
    <row r="7585" spans="89:89" s="299" customFormat="1" ht="12.75" customHeight="1" x14ac:dyDescent="0.3">
      <c r="CK7585" s="663"/>
    </row>
    <row r="7586" spans="89:89" s="299" customFormat="1" ht="12.75" customHeight="1" x14ac:dyDescent="0.3">
      <c r="CK7586" s="663"/>
    </row>
    <row r="7587" spans="89:89" s="299" customFormat="1" ht="12.75" customHeight="1" x14ac:dyDescent="0.3">
      <c r="CK7587" s="663"/>
    </row>
    <row r="7588" spans="89:89" s="299" customFormat="1" ht="12.75" customHeight="1" x14ac:dyDescent="0.3">
      <c r="CK7588" s="663"/>
    </row>
    <row r="7589" spans="89:89" s="299" customFormat="1" ht="12.75" customHeight="1" x14ac:dyDescent="0.3">
      <c r="CK7589" s="663"/>
    </row>
    <row r="7590" spans="89:89" s="299" customFormat="1" ht="12.75" customHeight="1" x14ac:dyDescent="0.3">
      <c r="CK7590" s="663"/>
    </row>
    <row r="7591" spans="89:89" s="299" customFormat="1" ht="12.75" customHeight="1" x14ac:dyDescent="0.3">
      <c r="CK7591" s="663"/>
    </row>
    <row r="7592" spans="89:89" s="299" customFormat="1" ht="12.75" customHeight="1" x14ac:dyDescent="0.3">
      <c r="CK7592" s="663"/>
    </row>
    <row r="7593" spans="89:89" s="299" customFormat="1" ht="12.75" customHeight="1" x14ac:dyDescent="0.3">
      <c r="CK7593" s="663"/>
    </row>
    <row r="7594" spans="89:89" s="299" customFormat="1" ht="12.75" customHeight="1" x14ac:dyDescent="0.3">
      <c r="CK7594" s="663"/>
    </row>
    <row r="7595" spans="89:89" s="299" customFormat="1" ht="12.75" customHeight="1" x14ac:dyDescent="0.3">
      <c r="CK7595" s="663"/>
    </row>
    <row r="7596" spans="89:89" s="299" customFormat="1" ht="12.75" customHeight="1" x14ac:dyDescent="0.3">
      <c r="CK7596" s="663"/>
    </row>
    <row r="7597" spans="89:89" s="299" customFormat="1" ht="12.75" customHeight="1" x14ac:dyDescent="0.3">
      <c r="CK7597" s="663"/>
    </row>
    <row r="7598" spans="89:89" s="299" customFormat="1" ht="12.75" customHeight="1" x14ac:dyDescent="0.3">
      <c r="CK7598" s="663"/>
    </row>
    <row r="7599" spans="89:89" s="299" customFormat="1" ht="12.75" customHeight="1" x14ac:dyDescent="0.3">
      <c r="CK7599" s="663"/>
    </row>
    <row r="7600" spans="89:89" s="299" customFormat="1" ht="12.75" customHeight="1" x14ac:dyDescent="0.3">
      <c r="CK7600" s="663"/>
    </row>
    <row r="7601" spans="89:89" s="299" customFormat="1" ht="12.75" customHeight="1" x14ac:dyDescent="0.3">
      <c r="CK7601" s="663"/>
    </row>
    <row r="7602" spans="89:89" s="299" customFormat="1" ht="12.75" customHeight="1" x14ac:dyDescent="0.3">
      <c r="CK7602" s="663"/>
    </row>
    <row r="7603" spans="89:89" s="299" customFormat="1" ht="12.75" customHeight="1" x14ac:dyDescent="0.3">
      <c r="CK7603" s="663"/>
    </row>
    <row r="7604" spans="89:89" s="299" customFormat="1" ht="12.75" customHeight="1" x14ac:dyDescent="0.3">
      <c r="CK7604" s="663"/>
    </row>
    <row r="7605" spans="89:89" s="299" customFormat="1" ht="12.75" customHeight="1" x14ac:dyDescent="0.3">
      <c r="CK7605" s="663"/>
    </row>
    <row r="7606" spans="89:89" s="299" customFormat="1" ht="12.75" customHeight="1" x14ac:dyDescent="0.3">
      <c r="CK7606" s="663"/>
    </row>
    <row r="7607" spans="89:89" s="299" customFormat="1" ht="12.75" customHeight="1" x14ac:dyDescent="0.3">
      <c r="CK7607" s="663"/>
    </row>
    <row r="7608" spans="89:89" s="299" customFormat="1" ht="12.75" customHeight="1" x14ac:dyDescent="0.3">
      <c r="CK7608" s="663"/>
    </row>
    <row r="7609" spans="89:89" s="299" customFormat="1" ht="12.75" customHeight="1" x14ac:dyDescent="0.3">
      <c r="CK7609" s="663"/>
    </row>
    <row r="7610" spans="89:89" s="299" customFormat="1" ht="12.75" customHeight="1" x14ac:dyDescent="0.3">
      <c r="CK7610" s="663"/>
    </row>
    <row r="7611" spans="89:89" s="299" customFormat="1" ht="12.75" customHeight="1" x14ac:dyDescent="0.3">
      <c r="CK7611" s="663"/>
    </row>
    <row r="7612" spans="89:89" s="299" customFormat="1" ht="12.75" customHeight="1" x14ac:dyDescent="0.3">
      <c r="CK7612" s="663"/>
    </row>
    <row r="7613" spans="89:89" s="299" customFormat="1" ht="12.75" customHeight="1" x14ac:dyDescent="0.3">
      <c r="CK7613" s="663"/>
    </row>
    <row r="7614" spans="89:89" s="299" customFormat="1" ht="12.75" customHeight="1" x14ac:dyDescent="0.3">
      <c r="CK7614" s="663"/>
    </row>
    <row r="7615" spans="89:89" s="299" customFormat="1" ht="12.75" customHeight="1" x14ac:dyDescent="0.3">
      <c r="CK7615" s="663"/>
    </row>
    <row r="7616" spans="89:89" s="299" customFormat="1" ht="12.75" customHeight="1" x14ac:dyDescent="0.3">
      <c r="CK7616" s="663"/>
    </row>
    <row r="7617" spans="89:89" s="299" customFormat="1" ht="12.75" customHeight="1" x14ac:dyDescent="0.3">
      <c r="CK7617" s="663"/>
    </row>
    <row r="7618" spans="89:89" s="299" customFormat="1" ht="12.75" customHeight="1" x14ac:dyDescent="0.3">
      <c r="CK7618" s="663"/>
    </row>
    <row r="7619" spans="89:89" s="299" customFormat="1" ht="12.75" customHeight="1" x14ac:dyDescent="0.3">
      <c r="CK7619" s="663"/>
    </row>
    <row r="7620" spans="89:89" s="299" customFormat="1" ht="12.75" customHeight="1" x14ac:dyDescent="0.3">
      <c r="CK7620" s="663"/>
    </row>
    <row r="7621" spans="89:89" s="299" customFormat="1" ht="12.75" customHeight="1" x14ac:dyDescent="0.3">
      <c r="CK7621" s="663"/>
    </row>
    <row r="7622" spans="89:89" s="299" customFormat="1" ht="12.75" customHeight="1" x14ac:dyDescent="0.3">
      <c r="CK7622" s="663"/>
    </row>
    <row r="7623" spans="89:89" s="299" customFormat="1" ht="12.75" customHeight="1" x14ac:dyDescent="0.3">
      <c r="CK7623" s="663"/>
    </row>
    <row r="7624" spans="89:89" s="299" customFormat="1" ht="12.75" customHeight="1" x14ac:dyDescent="0.3">
      <c r="CK7624" s="663"/>
    </row>
    <row r="7625" spans="89:89" s="299" customFormat="1" ht="12.75" customHeight="1" x14ac:dyDescent="0.3">
      <c r="CK7625" s="663"/>
    </row>
    <row r="7626" spans="89:89" s="299" customFormat="1" ht="12.75" customHeight="1" x14ac:dyDescent="0.3">
      <c r="CK7626" s="663"/>
    </row>
    <row r="7627" spans="89:89" s="299" customFormat="1" ht="12.75" customHeight="1" x14ac:dyDescent="0.3">
      <c r="CK7627" s="663"/>
    </row>
    <row r="7628" spans="89:89" s="299" customFormat="1" ht="12.75" customHeight="1" x14ac:dyDescent="0.3">
      <c r="CK7628" s="663"/>
    </row>
    <row r="7629" spans="89:89" s="299" customFormat="1" ht="12.75" customHeight="1" x14ac:dyDescent="0.3">
      <c r="CK7629" s="663"/>
    </row>
    <row r="7630" spans="89:89" s="299" customFormat="1" ht="12.75" customHeight="1" x14ac:dyDescent="0.3">
      <c r="CK7630" s="663"/>
    </row>
    <row r="7631" spans="89:89" s="299" customFormat="1" ht="12.75" customHeight="1" x14ac:dyDescent="0.3">
      <c r="CK7631" s="663"/>
    </row>
    <row r="7632" spans="89:89" s="299" customFormat="1" ht="12.75" customHeight="1" x14ac:dyDescent="0.3">
      <c r="CK7632" s="663"/>
    </row>
    <row r="7633" spans="89:89" s="299" customFormat="1" ht="12.75" customHeight="1" x14ac:dyDescent="0.3">
      <c r="CK7633" s="663"/>
    </row>
    <row r="7634" spans="89:89" s="299" customFormat="1" ht="12.75" customHeight="1" x14ac:dyDescent="0.3">
      <c r="CK7634" s="663"/>
    </row>
    <row r="7635" spans="89:89" s="299" customFormat="1" ht="12.75" customHeight="1" x14ac:dyDescent="0.3">
      <c r="CK7635" s="663"/>
    </row>
    <row r="7636" spans="89:89" s="299" customFormat="1" ht="12.75" customHeight="1" x14ac:dyDescent="0.3">
      <c r="CK7636" s="663"/>
    </row>
    <row r="7637" spans="89:89" s="299" customFormat="1" ht="12.75" customHeight="1" x14ac:dyDescent="0.3">
      <c r="CK7637" s="663"/>
    </row>
    <row r="7638" spans="89:89" s="299" customFormat="1" ht="12.75" customHeight="1" x14ac:dyDescent="0.3">
      <c r="CK7638" s="663"/>
    </row>
    <row r="7639" spans="89:89" s="299" customFormat="1" ht="12.75" customHeight="1" x14ac:dyDescent="0.3">
      <c r="CK7639" s="663"/>
    </row>
    <row r="7640" spans="89:89" s="299" customFormat="1" ht="12.75" customHeight="1" x14ac:dyDescent="0.3">
      <c r="CK7640" s="663"/>
    </row>
    <row r="7641" spans="89:89" s="299" customFormat="1" ht="12.75" customHeight="1" x14ac:dyDescent="0.3">
      <c r="CK7641" s="663"/>
    </row>
    <row r="7642" spans="89:89" s="299" customFormat="1" ht="12.75" customHeight="1" x14ac:dyDescent="0.3">
      <c r="CK7642" s="663"/>
    </row>
    <row r="7643" spans="89:89" s="299" customFormat="1" ht="12.75" customHeight="1" x14ac:dyDescent="0.3">
      <c r="CK7643" s="663"/>
    </row>
    <row r="7644" spans="89:89" s="299" customFormat="1" ht="12.75" customHeight="1" x14ac:dyDescent="0.3">
      <c r="CK7644" s="663"/>
    </row>
    <row r="7645" spans="89:89" s="299" customFormat="1" ht="12.75" customHeight="1" x14ac:dyDescent="0.3">
      <c r="CK7645" s="663"/>
    </row>
    <row r="7646" spans="89:89" s="299" customFormat="1" ht="12.75" customHeight="1" x14ac:dyDescent="0.3">
      <c r="CK7646" s="663"/>
    </row>
    <row r="7647" spans="89:89" s="299" customFormat="1" ht="12.75" customHeight="1" x14ac:dyDescent="0.3">
      <c r="CK7647" s="663"/>
    </row>
    <row r="7648" spans="89:89" s="299" customFormat="1" ht="12.75" customHeight="1" x14ac:dyDescent="0.3">
      <c r="CK7648" s="663"/>
    </row>
    <row r="7649" spans="89:89" s="299" customFormat="1" ht="12.75" customHeight="1" x14ac:dyDescent="0.3">
      <c r="CK7649" s="663"/>
    </row>
    <row r="7650" spans="89:89" s="299" customFormat="1" ht="12.75" customHeight="1" x14ac:dyDescent="0.3">
      <c r="CK7650" s="663"/>
    </row>
    <row r="7651" spans="89:89" s="299" customFormat="1" ht="12.75" customHeight="1" x14ac:dyDescent="0.3">
      <c r="CK7651" s="663"/>
    </row>
    <row r="7652" spans="89:89" s="299" customFormat="1" ht="12.75" customHeight="1" x14ac:dyDescent="0.3">
      <c r="CK7652" s="663"/>
    </row>
    <row r="7653" spans="89:89" s="299" customFormat="1" ht="12.75" customHeight="1" x14ac:dyDescent="0.3">
      <c r="CK7653" s="663"/>
    </row>
    <row r="7654" spans="89:89" s="299" customFormat="1" ht="12.75" customHeight="1" x14ac:dyDescent="0.3">
      <c r="CK7654" s="663"/>
    </row>
    <row r="7655" spans="89:89" s="299" customFormat="1" ht="12.75" customHeight="1" x14ac:dyDescent="0.3">
      <c r="CK7655" s="663"/>
    </row>
    <row r="7656" spans="89:89" s="299" customFormat="1" ht="12.75" customHeight="1" x14ac:dyDescent="0.3">
      <c r="CK7656" s="663"/>
    </row>
    <row r="7657" spans="89:89" s="299" customFormat="1" ht="12.75" customHeight="1" x14ac:dyDescent="0.3">
      <c r="CK7657" s="663"/>
    </row>
    <row r="7658" spans="89:89" s="299" customFormat="1" ht="12.75" customHeight="1" x14ac:dyDescent="0.3">
      <c r="CK7658" s="663"/>
    </row>
    <row r="7659" spans="89:89" s="299" customFormat="1" ht="12.75" customHeight="1" x14ac:dyDescent="0.3">
      <c r="CK7659" s="663"/>
    </row>
    <row r="7660" spans="89:89" s="299" customFormat="1" ht="12.75" customHeight="1" x14ac:dyDescent="0.3">
      <c r="CK7660" s="663"/>
    </row>
    <row r="7661" spans="89:89" s="299" customFormat="1" ht="12.75" customHeight="1" x14ac:dyDescent="0.3">
      <c r="CK7661" s="663"/>
    </row>
    <row r="7662" spans="89:89" s="299" customFormat="1" ht="12.75" customHeight="1" x14ac:dyDescent="0.3">
      <c r="CK7662" s="663"/>
    </row>
    <row r="7663" spans="89:89" s="299" customFormat="1" ht="12.75" customHeight="1" x14ac:dyDescent="0.3">
      <c r="CK7663" s="663"/>
    </row>
    <row r="7664" spans="89:89" s="299" customFormat="1" ht="12.75" customHeight="1" x14ac:dyDescent="0.3">
      <c r="CK7664" s="663"/>
    </row>
    <row r="7665" spans="89:89" s="299" customFormat="1" ht="12.75" customHeight="1" x14ac:dyDescent="0.3">
      <c r="CK7665" s="663"/>
    </row>
    <row r="7666" spans="89:89" s="299" customFormat="1" ht="12.75" customHeight="1" x14ac:dyDescent="0.3">
      <c r="CK7666" s="663"/>
    </row>
    <row r="7667" spans="89:89" s="299" customFormat="1" ht="12.75" customHeight="1" x14ac:dyDescent="0.3">
      <c r="CK7667" s="663"/>
    </row>
    <row r="7668" spans="89:89" s="299" customFormat="1" ht="12.75" customHeight="1" x14ac:dyDescent="0.3">
      <c r="CK7668" s="663"/>
    </row>
    <row r="7669" spans="89:89" s="299" customFormat="1" ht="12.75" customHeight="1" x14ac:dyDescent="0.3">
      <c r="CK7669" s="663"/>
    </row>
    <row r="7670" spans="89:89" s="299" customFormat="1" ht="12.75" customHeight="1" x14ac:dyDescent="0.3">
      <c r="CK7670" s="663"/>
    </row>
    <row r="7671" spans="89:89" s="299" customFormat="1" ht="12.75" customHeight="1" x14ac:dyDescent="0.3">
      <c r="CK7671" s="663"/>
    </row>
    <row r="7672" spans="89:89" s="299" customFormat="1" ht="12.75" customHeight="1" x14ac:dyDescent="0.3">
      <c r="CK7672" s="663"/>
    </row>
    <row r="7673" spans="89:89" s="299" customFormat="1" ht="12.75" customHeight="1" x14ac:dyDescent="0.3">
      <c r="CK7673" s="663"/>
    </row>
    <row r="7674" spans="89:89" s="299" customFormat="1" ht="12.75" customHeight="1" x14ac:dyDescent="0.3">
      <c r="CK7674" s="663"/>
    </row>
    <row r="7675" spans="89:89" s="299" customFormat="1" ht="12.75" customHeight="1" x14ac:dyDescent="0.3">
      <c r="CK7675" s="663"/>
    </row>
    <row r="7676" spans="89:89" s="299" customFormat="1" ht="12.75" customHeight="1" x14ac:dyDescent="0.3">
      <c r="CK7676" s="663"/>
    </row>
    <row r="7677" spans="89:89" s="299" customFormat="1" ht="12.75" customHeight="1" x14ac:dyDescent="0.3">
      <c r="CK7677" s="663"/>
    </row>
    <row r="7678" spans="89:89" s="299" customFormat="1" ht="12.75" customHeight="1" x14ac:dyDescent="0.3">
      <c r="CK7678" s="663"/>
    </row>
    <row r="7679" spans="89:89" s="299" customFormat="1" ht="12.75" customHeight="1" x14ac:dyDescent="0.3">
      <c r="CK7679" s="663"/>
    </row>
    <row r="7680" spans="89:89" s="299" customFormat="1" ht="12.75" customHeight="1" x14ac:dyDescent="0.3">
      <c r="CK7680" s="663"/>
    </row>
    <row r="7681" spans="89:89" s="299" customFormat="1" ht="12.75" customHeight="1" x14ac:dyDescent="0.3">
      <c r="CK7681" s="663"/>
    </row>
    <row r="7682" spans="89:89" s="299" customFormat="1" ht="12.75" customHeight="1" x14ac:dyDescent="0.3">
      <c r="CK7682" s="663"/>
    </row>
    <row r="7683" spans="89:89" s="299" customFormat="1" ht="12.75" customHeight="1" x14ac:dyDescent="0.3">
      <c r="CK7683" s="663"/>
    </row>
    <row r="7684" spans="89:89" s="299" customFormat="1" ht="12.75" customHeight="1" x14ac:dyDescent="0.3">
      <c r="CK7684" s="663"/>
    </row>
    <row r="7685" spans="89:89" s="299" customFormat="1" ht="12.75" customHeight="1" x14ac:dyDescent="0.3">
      <c r="CK7685" s="663"/>
    </row>
    <row r="7686" spans="89:89" s="299" customFormat="1" ht="12.75" customHeight="1" x14ac:dyDescent="0.3">
      <c r="CK7686" s="663"/>
    </row>
    <row r="7687" spans="89:89" s="299" customFormat="1" ht="12.75" customHeight="1" x14ac:dyDescent="0.3">
      <c r="CK7687" s="663"/>
    </row>
    <row r="7688" spans="89:89" s="299" customFormat="1" ht="12.75" customHeight="1" x14ac:dyDescent="0.3">
      <c r="CK7688" s="663"/>
    </row>
    <row r="7689" spans="89:89" s="299" customFormat="1" ht="12.75" customHeight="1" x14ac:dyDescent="0.3">
      <c r="CK7689" s="663"/>
    </row>
    <row r="7690" spans="89:89" s="299" customFormat="1" ht="12.75" customHeight="1" x14ac:dyDescent="0.3">
      <c r="CK7690" s="663"/>
    </row>
    <row r="7691" spans="89:89" s="299" customFormat="1" ht="12.75" customHeight="1" x14ac:dyDescent="0.3">
      <c r="CK7691" s="663"/>
    </row>
    <row r="7692" spans="89:89" s="299" customFormat="1" ht="12.75" customHeight="1" x14ac:dyDescent="0.3">
      <c r="CK7692" s="663"/>
    </row>
    <row r="7693" spans="89:89" s="299" customFormat="1" ht="12.75" customHeight="1" x14ac:dyDescent="0.3">
      <c r="CK7693" s="663"/>
    </row>
    <row r="7694" spans="89:89" s="299" customFormat="1" ht="12.75" customHeight="1" x14ac:dyDescent="0.3">
      <c r="CK7694" s="663"/>
    </row>
    <row r="7695" spans="89:89" s="299" customFormat="1" ht="12.75" customHeight="1" x14ac:dyDescent="0.3">
      <c r="CK7695" s="663"/>
    </row>
    <row r="7696" spans="89:89" s="299" customFormat="1" ht="12.75" customHeight="1" x14ac:dyDescent="0.3">
      <c r="CK7696" s="663"/>
    </row>
    <row r="7697" spans="89:89" s="299" customFormat="1" ht="12.75" customHeight="1" x14ac:dyDescent="0.3">
      <c r="CK7697" s="663"/>
    </row>
    <row r="7698" spans="89:89" s="299" customFormat="1" ht="12.75" customHeight="1" x14ac:dyDescent="0.3">
      <c r="CK7698" s="663"/>
    </row>
    <row r="7699" spans="89:89" s="299" customFormat="1" ht="12.75" customHeight="1" x14ac:dyDescent="0.3">
      <c r="CK7699" s="663"/>
    </row>
    <row r="7700" spans="89:89" s="299" customFormat="1" ht="12.75" customHeight="1" x14ac:dyDescent="0.3">
      <c r="CK7700" s="663"/>
    </row>
    <row r="7701" spans="89:89" s="299" customFormat="1" ht="12.75" customHeight="1" x14ac:dyDescent="0.3">
      <c r="CK7701" s="663"/>
    </row>
    <row r="7702" spans="89:89" s="299" customFormat="1" ht="12.75" customHeight="1" x14ac:dyDescent="0.3">
      <c r="CK7702" s="663"/>
    </row>
    <row r="7703" spans="89:89" s="299" customFormat="1" ht="12.75" customHeight="1" x14ac:dyDescent="0.3">
      <c r="CK7703" s="663"/>
    </row>
    <row r="7704" spans="89:89" s="299" customFormat="1" ht="12.75" customHeight="1" x14ac:dyDescent="0.3">
      <c r="CK7704" s="663"/>
    </row>
    <row r="7705" spans="89:89" s="299" customFormat="1" ht="12.75" customHeight="1" x14ac:dyDescent="0.3">
      <c r="CK7705" s="663"/>
    </row>
    <row r="7706" spans="89:89" s="299" customFormat="1" ht="12.75" customHeight="1" x14ac:dyDescent="0.3">
      <c r="CK7706" s="663"/>
    </row>
    <row r="7707" spans="89:89" s="299" customFormat="1" ht="12.75" customHeight="1" x14ac:dyDescent="0.3">
      <c r="CK7707" s="663"/>
    </row>
    <row r="7708" spans="89:89" s="299" customFormat="1" ht="12.75" customHeight="1" x14ac:dyDescent="0.3">
      <c r="CK7708" s="663"/>
    </row>
  </sheetData>
  <phoneticPr fontId="9" type="noConversion"/>
  <conditionalFormatting sqref="Q10:AA50 P10:P48 E10:F50 G50:P50 G10:O49">
    <cfRule type="cellIs" dxfId="26" priority="3470" operator="equal">
      <formula>0</formula>
    </cfRule>
  </conditionalFormatting>
  <conditionalFormatting sqref="P49">
    <cfRule type="cellIs" dxfId="25" priority="3464" operator="equal">
      <formula>0</formula>
    </cfRule>
  </conditionalFormatting>
  <conditionalFormatting sqref="C10:D10">
    <cfRule type="cellIs" dxfId="24" priority="3450" operator="equal">
      <formula>0</formula>
    </cfRule>
  </conditionalFormatting>
  <conditionalFormatting sqref="C50">
    <cfRule type="cellIs" dxfId="23" priority="3449" operator="equal">
      <formula>0</formula>
    </cfRule>
  </conditionalFormatting>
  <conditionalFormatting sqref="C11:D49">
    <cfRule type="cellIs" dxfId="22" priority="3448" operator="equal">
      <formula>0</formula>
    </cfRule>
  </conditionalFormatting>
  <conditionalFormatting sqref="D50">
    <cfRule type="cellIs" dxfId="21" priority="3447" operator="equal">
      <formula>0</formula>
    </cfRule>
  </conditionalFormatting>
  <conditionalFormatting sqref="CK9:CK10">
    <cfRule type="cellIs" dxfId="20" priority="3364" operator="equal">
      <formula>0</formula>
    </cfRule>
  </conditionalFormatting>
  <conditionalFormatting sqref="CK5299">
    <cfRule type="cellIs" dxfId="19" priority="3176" operator="equal">
      <formula>0</formula>
    </cfRule>
  </conditionalFormatting>
  <printOptions verticalCentered="1"/>
  <pageMargins left="1" right="0.25" top="1" bottom="1" header="0.5" footer="0.5"/>
  <pageSetup paperSize="9" scale="19" fitToWidth="0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3">
    <pageSetUpPr fitToPage="1"/>
  </sheetPr>
  <dimension ref="A1:BY112"/>
  <sheetViews>
    <sheetView zoomScale="85" zoomScaleNormal="85" workbookViewId="0"/>
  </sheetViews>
  <sheetFormatPr defaultColWidth="9.09765625" defaultRowHeight="12.75" customHeight="1" x14ac:dyDescent="0.3"/>
  <cols>
    <col min="1" max="1" width="3.09765625" customWidth="1"/>
    <col min="2" max="2" width="6.3984375" customWidth="1"/>
    <col min="3" max="3" width="6.59765625" customWidth="1"/>
    <col min="4" max="4" width="51.59765625" customWidth="1"/>
    <col min="5" max="5" width="13.8984375" style="83" customWidth="1"/>
    <col min="6" max="6" width="4.09765625" customWidth="1"/>
    <col min="7" max="7" width="3.09765625" style="10" customWidth="1"/>
    <col min="8" max="10" width="9" style="8" customWidth="1"/>
    <col min="11" max="16" width="8.8984375" style="8" customWidth="1"/>
    <col min="17" max="18" width="9.09765625" style="8" customWidth="1"/>
    <col min="19" max="26" width="8.8984375" style="8" customWidth="1"/>
    <col min="27" max="28" width="9.09765625" style="8" customWidth="1"/>
    <col min="29" max="36" width="8.8984375" style="8" customWidth="1"/>
    <col min="37" max="38" width="9.09765625" style="8" customWidth="1"/>
    <col min="39" max="43" width="8.8984375" style="8" customWidth="1"/>
    <col min="44" max="44" width="3.8984375" style="8" customWidth="1"/>
    <col min="45" max="77" width="7.59765625" style="8" customWidth="1"/>
    <col min="78" max="16384" width="9.09765625" style="6"/>
  </cols>
  <sheetData>
    <row r="1" spans="1:77" ht="12.75" customHeight="1" thickBot="1" x14ac:dyDescent="0.35">
      <c r="A1" s="118"/>
      <c r="B1" s="118"/>
      <c r="C1" s="118"/>
      <c r="D1" s="118"/>
      <c r="E1" s="110"/>
      <c r="F1" s="118"/>
      <c r="H1" s="11" t="s">
        <v>0</v>
      </c>
      <c r="I1" s="11"/>
      <c r="J1" s="1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S1" s="13" t="s">
        <v>0</v>
      </c>
      <c r="AT1" s="13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</row>
    <row r="2" spans="1:77" ht="12.75" customHeight="1" thickTop="1" x14ac:dyDescent="0.3">
      <c r="A2" s="118"/>
      <c r="B2" s="118"/>
      <c r="C2" s="118"/>
      <c r="D2" s="118"/>
      <c r="E2" s="110"/>
      <c r="F2" s="118"/>
      <c r="H2" s="9" t="s">
        <v>848</v>
      </c>
      <c r="L2" s="349" t="s">
        <v>2022</v>
      </c>
      <c r="M2" s="350">
        <f ca="1">(M.tot/Emis.tot)/(3600*24*365)</f>
        <v>176739.11437005803</v>
      </c>
      <c r="N2" s="135" t="s">
        <v>2021</v>
      </c>
      <c r="AS2" s="9" t="s">
        <v>1018</v>
      </c>
      <c r="AT2" s="9"/>
    </row>
    <row r="3" spans="1:77" ht="12.75" customHeight="1" x14ac:dyDescent="0.3">
      <c r="A3" s="118"/>
      <c r="B3" s="118"/>
      <c r="C3" s="118"/>
      <c r="D3" s="118"/>
      <c r="E3" s="110"/>
      <c r="F3" s="118"/>
    </row>
    <row r="4" spans="1:77" ht="12.75" customHeight="1" x14ac:dyDescent="0.3">
      <c r="A4" s="118"/>
      <c r="B4" s="118"/>
      <c r="C4" s="118"/>
      <c r="D4" s="118"/>
      <c r="E4" s="110"/>
      <c r="F4" s="118"/>
      <c r="H4" s="14" t="s">
        <v>737</v>
      </c>
      <c r="I4" s="15" t="s">
        <v>976</v>
      </c>
      <c r="J4" s="16"/>
      <c r="K4" s="17" t="s">
        <v>1307</v>
      </c>
      <c r="L4" s="17" t="s">
        <v>270</v>
      </c>
      <c r="M4" s="17" t="s">
        <v>1308</v>
      </c>
      <c r="N4" s="17" t="s">
        <v>1309</v>
      </c>
      <c r="O4" s="17" t="s">
        <v>1310</v>
      </c>
      <c r="P4" s="17" t="s">
        <v>1311</v>
      </c>
      <c r="Q4" s="17" t="s">
        <v>1312</v>
      </c>
      <c r="R4" s="17" t="s">
        <v>1313</v>
      </c>
      <c r="S4" s="17" t="s">
        <v>1314</v>
      </c>
      <c r="T4" s="17" t="s">
        <v>511</v>
      </c>
      <c r="U4" s="17" t="s">
        <v>271</v>
      </c>
      <c r="V4" s="17" t="s">
        <v>1315</v>
      </c>
      <c r="W4" s="17" t="s">
        <v>1316</v>
      </c>
      <c r="X4" s="17" t="s">
        <v>1317</v>
      </c>
      <c r="Y4" s="17" t="s">
        <v>1318</v>
      </c>
      <c r="Z4" s="17" t="s">
        <v>1319</v>
      </c>
      <c r="AA4" s="17" t="s">
        <v>1320</v>
      </c>
      <c r="AB4" s="17" t="s">
        <v>510</v>
      </c>
      <c r="AC4" s="17" t="s">
        <v>512</v>
      </c>
      <c r="AD4" s="17" t="s">
        <v>1505</v>
      </c>
      <c r="AE4" s="17" t="s">
        <v>1506</v>
      </c>
      <c r="AF4" s="17" t="s">
        <v>513</v>
      </c>
      <c r="AG4" s="17" t="s">
        <v>518</v>
      </c>
      <c r="AH4" s="17" t="s">
        <v>514</v>
      </c>
      <c r="AI4" s="17" t="s">
        <v>1507</v>
      </c>
      <c r="AJ4" s="17" t="s">
        <v>1508</v>
      </c>
      <c r="AK4" s="17" t="s">
        <v>515</v>
      </c>
      <c r="AL4" s="17" t="s">
        <v>519</v>
      </c>
      <c r="AM4" s="17" t="s">
        <v>516</v>
      </c>
      <c r="AN4" s="17" t="s">
        <v>1509</v>
      </c>
      <c r="AO4" s="17" t="s">
        <v>1510</v>
      </c>
      <c r="AP4" s="17" t="s">
        <v>517</v>
      </c>
      <c r="AQ4" s="17" t="s">
        <v>520</v>
      </c>
    </row>
    <row r="5" spans="1:77" ht="12.75" customHeight="1" x14ac:dyDescent="0.3">
      <c r="A5" s="118"/>
      <c r="B5" s="118"/>
      <c r="C5" s="118"/>
      <c r="D5" s="118"/>
      <c r="E5" s="143" t="s">
        <v>1714</v>
      </c>
      <c r="F5" s="116">
        <v>3</v>
      </c>
      <c r="H5" s="18"/>
      <c r="I5" s="19"/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0</v>
      </c>
      <c r="S5" s="20">
        <v>0</v>
      </c>
      <c r="T5" s="20">
        <v>0</v>
      </c>
      <c r="U5" s="20">
        <v>0</v>
      </c>
      <c r="V5" s="20">
        <v>0</v>
      </c>
      <c r="W5" s="20">
        <v>0</v>
      </c>
      <c r="X5" s="20">
        <v>0</v>
      </c>
      <c r="Y5" s="20">
        <v>0</v>
      </c>
      <c r="Z5" s="20">
        <v>0</v>
      </c>
      <c r="AA5" s="20">
        <v>0</v>
      </c>
      <c r="AB5" s="20">
        <v>0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0</v>
      </c>
      <c r="AI5" s="20">
        <v>0</v>
      </c>
      <c r="AJ5" s="20">
        <v>0</v>
      </c>
      <c r="AK5" s="20">
        <v>0</v>
      </c>
      <c r="AL5" s="20">
        <v>0</v>
      </c>
      <c r="AM5" s="20">
        <v>0</v>
      </c>
      <c r="AN5" s="20">
        <v>0</v>
      </c>
      <c r="AO5" s="20">
        <v>0</v>
      </c>
      <c r="AP5" s="20">
        <v>0</v>
      </c>
      <c r="AQ5" s="20">
        <v>0</v>
      </c>
      <c r="BC5" s="44"/>
    </row>
    <row r="6" spans="1:77" ht="12.75" customHeight="1" x14ac:dyDescent="0.3">
      <c r="A6" s="118"/>
      <c r="B6" s="118"/>
      <c r="C6" s="118"/>
      <c r="D6" s="118"/>
      <c r="E6" s="115"/>
      <c r="F6" s="120"/>
      <c r="H6" s="45">
        <v>0</v>
      </c>
      <c r="I6" s="45">
        <f ca="1">Scale*(M.tot/Emis.tot)</f>
        <v>16720934132322.451</v>
      </c>
      <c r="J6" s="348"/>
      <c r="K6" s="22">
        <f t="array" ref="K6:AQ6">emis</f>
        <v>4.2323965296742981E-9</v>
      </c>
      <c r="L6" s="22">
        <v>4.2323965296742981E-9</v>
      </c>
      <c r="M6" s="22">
        <v>4.2323965296742981E-9</v>
      </c>
      <c r="N6" s="22">
        <v>0</v>
      </c>
      <c r="O6" s="22">
        <v>4.2323965296742974E-6</v>
      </c>
      <c r="P6" s="22">
        <v>0</v>
      </c>
      <c r="Q6" s="22">
        <v>4.2323965296742974E-6</v>
      </c>
      <c r="R6" s="22">
        <v>0</v>
      </c>
      <c r="S6" s="22">
        <v>0</v>
      </c>
      <c r="T6" s="22">
        <v>0</v>
      </c>
      <c r="U6" s="22">
        <v>4.2323965296742974E-6</v>
      </c>
      <c r="V6" s="22">
        <v>4.2323965296742974E-6</v>
      </c>
      <c r="W6" s="22">
        <v>4.2323965296742974E-6</v>
      </c>
      <c r="X6" s="22">
        <v>4.2323965296742974E-6</v>
      </c>
      <c r="Y6" s="22">
        <v>0</v>
      </c>
      <c r="Z6" s="22">
        <v>4.2323965296742974E-6</v>
      </c>
      <c r="AA6" s="22">
        <v>4.2323965296742974E-6</v>
      </c>
      <c r="AB6" s="22">
        <v>0</v>
      </c>
      <c r="AC6" s="22">
        <v>0</v>
      </c>
      <c r="AD6" s="22">
        <v>4.2323965296742974E-6</v>
      </c>
      <c r="AE6" s="22">
        <v>4.2323965296742974E-6</v>
      </c>
      <c r="AF6" s="22">
        <v>4.2323965296742974E-6</v>
      </c>
      <c r="AG6" s="22">
        <v>0</v>
      </c>
      <c r="AH6" s="22">
        <v>0</v>
      </c>
      <c r="AI6" s="22">
        <v>0</v>
      </c>
      <c r="AJ6" s="22">
        <v>0</v>
      </c>
      <c r="AK6" s="22">
        <v>0</v>
      </c>
      <c r="AL6" s="22">
        <v>0</v>
      </c>
      <c r="AM6" s="22">
        <v>0</v>
      </c>
      <c r="AN6" s="22">
        <v>0</v>
      </c>
      <c r="AO6" s="22">
        <v>0</v>
      </c>
      <c r="AP6" s="22">
        <v>0</v>
      </c>
      <c r="AQ6" s="22">
        <v>0</v>
      </c>
    </row>
    <row r="7" spans="1:77" ht="12.75" customHeight="1" x14ac:dyDescent="0.3">
      <c r="A7" s="118"/>
      <c r="B7" s="118"/>
      <c r="C7" s="118"/>
      <c r="D7" s="118"/>
      <c r="E7" s="115"/>
      <c r="F7" s="120"/>
      <c r="H7" s="45">
        <f ca="1">I6</f>
        <v>16720934132322.451</v>
      </c>
      <c r="I7" s="45">
        <f ca="1">2*Scale*(M.tot/Emis.tot)</f>
        <v>33441868264644.902</v>
      </c>
      <c r="J7" s="46"/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</row>
    <row r="8" spans="1:77" ht="12.75" customHeight="1" x14ac:dyDescent="0.3">
      <c r="A8" s="118"/>
      <c r="B8" s="118"/>
      <c r="C8" s="118"/>
      <c r="D8" s="118"/>
      <c r="E8" s="110"/>
      <c r="F8" s="118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1:77" ht="12.75" customHeight="1" x14ac:dyDescent="0.3">
      <c r="A9" s="118"/>
      <c r="B9" s="118"/>
      <c r="C9" s="118"/>
      <c r="D9" s="118"/>
      <c r="E9" s="110"/>
      <c r="F9" s="118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1:77" ht="12.75" customHeight="1" x14ac:dyDescent="0.3">
      <c r="A10" s="118"/>
      <c r="B10" s="118"/>
      <c r="C10" s="118"/>
      <c r="D10" s="118"/>
      <c r="E10" s="110"/>
      <c r="F10" s="118"/>
      <c r="H10" s="26" t="s">
        <v>435</v>
      </c>
      <c r="I10" s="26" t="s">
        <v>435</v>
      </c>
      <c r="J10" s="26" t="s">
        <v>435</v>
      </c>
      <c r="K10" s="26" t="s">
        <v>1307</v>
      </c>
      <c r="L10" s="40" t="s">
        <v>270</v>
      </c>
      <c r="M10" s="27" t="s">
        <v>1308</v>
      </c>
      <c r="N10" s="27" t="s">
        <v>1309</v>
      </c>
      <c r="O10" s="27" t="s">
        <v>1310</v>
      </c>
      <c r="P10" s="27" t="s">
        <v>1311</v>
      </c>
      <c r="Q10" s="27" t="s">
        <v>1312</v>
      </c>
      <c r="R10" s="27" t="s">
        <v>1313</v>
      </c>
      <c r="S10" s="27" t="s">
        <v>1314</v>
      </c>
      <c r="T10" s="27" t="s">
        <v>511</v>
      </c>
      <c r="U10" s="40" t="s">
        <v>271</v>
      </c>
      <c r="V10" s="27" t="s">
        <v>1315</v>
      </c>
      <c r="W10" s="27" t="s">
        <v>1316</v>
      </c>
      <c r="X10" s="27" t="s">
        <v>1317</v>
      </c>
      <c r="Y10" s="27" t="s">
        <v>1318</v>
      </c>
      <c r="Z10" s="27" t="s">
        <v>1319</v>
      </c>
      <c r="AA10" s="27" t="s">
        <v>1320</v>
      </c>
      <c r="AB10" s="27" t="s">
        <v>510</v>
      </c>
      <c r="AC10" s="27" t="s">
        <v>512</v>
      </c>
      <c r="AD10" s="27" t="s">
        <v>1505</v>
      </c>
      <c r="AE10" s="27" t="s">
        <v>1506</v>
      </c>
      <c r="AF10" s="27" t="s">
        <v>513</v>
      </c>
      <c r="AG10" s="27" t="s">
        <v>518</v>
      </c>
      <c r="AH10" s="27" t="s">
        <v>514</v>
      </c>
      <c r="AI10" s="27" t="s">
        <v>1507</v>
      </c>
      <c r="AJ10" s="27" t="s">
        <v>1508</v>
      </c>
      <c r="AK10" s="27" t="s">
        <v>515</v>
      </c>
      <c r="AL10" s="27" t="s">
        <v>519</v>
      </c>
      <c r="AM10" s="27" t="s">
        <v>516</v>
      </c>
      <c r="AN10" s="27" t="s">
        <v>1509</v>
      </c>
      <c r="AO10" s="27" t="s">
        <v>1510</v>
      </c>
      <c r="AP10" s="27" t="s">
        <v>517</v>
      </c>
      <c r="AQ10" s="27" t="s">
        <v>520</v>
      </c>
      <c r="AS10" s="26" t="s">
        <v>1307</v>
      </c>
      <c r="AT10" s="40" t="s">
        <v>270</v>
      </c>
      <c r="AU10" s="27" t="s">
        <v>1308</v>
      </c>
      <c r="AV10" s="27" t="s">
        <v>1309</v>
      </c>
      <c r="AW10" s="27" t="s">
        <v>1310</v>
      </c>
      <c r="AX10" s="27" t="s">
        <v>1311</v>
      </c>
      <c r="AY10" s="27" t="s">
        <v>1312</v>
      </c>
      <c r="AZ10" s="27" t="s">
        <v>1313</v>
      </c>
      <c r="BA10" s="27" t="s">
        <v>1314</v>
      </c>
      <c r="BB10" s="27" t="s">
        <v>511</v>
      </c>
      <c r="BC10" s="40" t="s">
        <v>271</v>
      </c>
      <c r="BD10" s="27" t="s">
        <v>1315</v>
      </c>
      <c r="BE10" s="27" t="s">
        <v>1316</v>
      </c>
      <c r="BF10" s="27" t="s">
        <v>1317</v>
      </c>
      <c r="BG10" s="27" t="s">
        <v>1318</v>
      </c>
      <c r="BH10" s="27" t="s">
        <v>1319</v>
      </c>
      <c r="BI10" s="27" t="s">
        <v>1320</v>
      </c>
      <c r="BJ10" s="27" t="s">
        <v>510</v>
      </c>
      <c r="BK10" s="27" t="s">
        <v>512</v>
      </c>
      <c r="BL10" s="27" t="s">
        <v>1505</v>
      </c>
      <c r="BM10" s="27" t="s">
        <v>1506</v>
      </c>
      <c r="BN10" s="27" t="s">
        <v>513</v>
      </c>
      <c r="BO10" s="27" t="s">
        <v>518</v>
      </c>
      <c r="BP10" s="27" t="s">
        <v>514</v>
      </c>
      <c r="BQ10" s="27" t="s">
        <v>1507</v>
      </c>
      <c r="BR10" s="27" t="s">
        <v>1508</v>
      </c>
      <c r="BS10" s="27" t="s">
        <v>515</v>
      </c>
      <c r="BT10" s="27" t="s">
        <v>519</v>
      </c>
      <c r="BU10" s="27" t="s">
        <v>516</v>
      </c>
      <c r="BV10" s="27" t="s">
        <v>1509</v>
      </c>
      <c r="BW10" s="27" t="s">
        <v>1510</v>
      </c>
      <c r="BX10" s="27" t="s">
        <v>517</v>
      </c>
      <c r="BY10" s="27" t="s">
        <v>520</v>
      </c>
    </row>
    <row r="11" spans="1:77" ht="12.75" customHeight="1" x14ac:dyDescent="0.3">
      <c r="A11" s="118"/>
      <c r="B11" s="118"/>
      <c r="C11" s="118"/>
      <c r="D11" s="118"/>
      <c r="E11" s="110"/>
      <c r="F11" s="118"/>
      <c r="G11" s="21"/>
      <c r="H11" s="24" t="s">
        <v>495</v>
      </c>
      <c r="I11" s="24" t="s">
        <v>717</v>
      </c>
      <c r="J11" s="24" t="s">
        <v>738</v>
      </c>
      <c r="K11" s="41" t="s">
        <v>1616</v>
      </c>
      <c r="L11" s="41" t="s">
        <v>1616</v>
      </c>
      <c r="M11" s="41" t="s">
        <v>1616</v>
      </c>
      <c r="N11" s="41" t="s">
        <v>1616</v>
      </c>
      <c r="O11" s="41" t="s">
        <v>1616</v>
      </c>
      <c r="P11" s="41" t="s">
        <v>1616</v>
      </c>
      <c r="Q11" s="41" t="s">
        <v>1616</v>
      </c>
      <c r="R11" s="41" t="s">
        <v>1616</v>
      </c>
      <c r="S11" s="41" t="s">
        <v>1616</v>
      </c>
      <c r="T11" s="41" t="s">
        <v>1616</v>
      </c>
      <c r="U11" s="41" t="s">
        <v>1616</v>
      </c>
      <c r="V11" s="41" t="s">
        <v>1616</v>
      </c>
      <c r="W11" s="41" t="s">
        <v>1616</v>
      </c>
      <c r="X11" s="41" t="s">
        <v>1616</v>
      </c>
      <c r="Y11" s="41" t="s">
        <v>1616</v>
      </c>
      <c r="Z11" s="41" t="s">
        <v>1616</v>
      </c>
      <c r="AA11" s="41" t="s">
        <v>1616</v>
      </c>
      <c r="AB11" s="41" t="s">
        <v>1616</v>
      </c>
      <c r="AC11" s="41" t="s">
        <v>1616</v>
      </c>
      <c r="AD11" s="41" t="s">
        <v>1616</v>
      </c>
      <c r="AE11" s="41" t="s">
        <v>1616</v>
      </c>
      <c r="AF11" s="41" t="s">
        <v>1616</v>
      </c>
      <c r="AG11" s="41" t="s">
        <v>1616</v>
      </c>
      <c r="AH11" s="41" t="s">
        <v>1616</v>
      </c>
      <c r="AI11" s="41" t="s">
        <v>1616</v>
      </c>
      <c r="AJ11" s="41" t="s">
        <v>1616</v>
      </c>
      <c r="AK11" s="41" t="s">
        <v>1616</v>
      </c>
      <c r="AL11" s="41" t="s">
        <v>1616</v>
      </c>
      <c r="AM11" s="41" t="s">
        <v>1616</v>
      </c>
      <c r="AN11" s="41" t="s">
        <v>1616</v>
      </c>
      <c r="AO11" s="41" t="s">
        <v>1616</v>
      </c>
      <c r="AP11" s="41" t="s">
        <v>1616</v>
      </c>
      <c r="AQ11" s="41" t="s">
        <v>1616</v>
      </c>
      <c r="AS11" s="28" t="s">
        <v>28</v>
      </c>
      <c r="AT11" s="28"/>
      <c r="AU11" s="28" t="s">
        <v>28</v>
      </c>
      <c r="AV11" s="28" t="s">
        <v>28</v>
      </c>
      <c r="AW11" s="28" t="s">
        <v>28</v>
      </c>
      <c r="AX11" s="28" t="s">
        <v>28</v>
      </c>
      <c r="AY11" s="28" t="s">
        <v>28</v>
      </c>
      <c r="AZ11" s="28" t="s">
        <v>28</v>
      </c>
      <c r="BA11" s="28" t="s">
        <v>28</v>
      </c>
      <c r="BB11" s="28" t="s">
        <v>28</v>
      </c>
      <c r="BC11" s="28" t="s">
        <v>28</v>
      </c>
      <c r="BD11" s="28" t="s">
        <v>28</v>
      </c>
      <c r="BE11" s="28" t="s">
        <v>28</v>
      </c>
      <c r="BF11" s="28" t="s">
        <v>28</v>
      </c>
      <c r="BG11" s="28" t="s">
        <v>28</v>
      </c>
      <c r="BH11" s="28" t="s">
        <v>28</v>
      </c>
      <c r="BI11" s="28" t="s">
        <v>28</v>
      </c>
      <c r="BJ11" s="28" t="s">
        <v>28</v>
      </c>
      <c r="BK11" s="28" t="s">
        <v>28</v>
      </c>
      <c r="BL11" s="28" t="s">
        <v>28</v>
      </c>
      <c r="BM11" s="28" t="s">
        <v>28</v>
      </c>
      <c r="BN11" s="28" t="s">
        <v>28</v>
      </c>
      <c r="BO11" s="28" t="s">
        <v>28</v>
      </c>
      <c r="BP11" s="28" t="s">
        <v>28</v>
      </c>
      <c r="BQ11" s="28" t="s">
        <v>28</v>
      </c>
      <c r="BR11" s="28" t="s">
        <v>28</v>
      </c>
      <c r="BS11" s="28" t="s">
        <v>28</v>
      </c>
      <c r="BT11" s="28" t="s">
        <v>28</v>
      </c>
      <c r="BU11" s="28" t="s">
        <v>28</v>
      </c>
      <c r="BV11" s="28" t="s">
        <v>28</v>
      </c>
      <c r="BW11" s="28" t="s">
        <v>28</v>
      </c>
      <c r="BX11" s="28" t="s">
        <v>28</v>
      </c>
      <c r="BY11" s="28" t="s">
        <v>28</v>
      </c>
    </row>
    <row r="12" spans="1:77" ht="12.75" customHeight="1" x14ac:dyDescent="0.3">
      <c r="A12" s="118"/>
      <c r="B12" s="118"/>
      <c r="C12" s="118"/>
      <c r="D12" s="118"/>
      <c r="E12" s="110"/>
      <c r="F12" s="118"/>
      <c r="G12" s="23"/>
      <c r="H12" s="25">
        <f>I12/365</f>
        <v>0</v>
      </c>
      <c r="I12" s="25">
        <f>Rout.I/(3600*24)</f>
        <v>0</v>
      </c>
      <c r="J12" s="117">
        <v>0</v>
      </c>
      <c r="K12" s="117">
        <v>0</v>
      </c>
      <c r="L12" s="117">
        <v>0</v>
      </c>
      <c r="M12" s="117">
        <v>0</v>
      </c>
      <c r="N12" s="117">
        <v>0</v>
      </c>
      <c r="O12" s="117">
        <v>0</v>
      </c>
      <c r="P12" s="117">
        <v>0</v>
      </c>
      <c r="Q12" s="117">
        <v>0</v>
      </c>
      <c r="R12" s="117">
        <v>0</v>
      </c>
      <c r="S12" s="117">
        <v>0</v>
      </c>
      <c r="T12" s="117">
        <v>0</v>
      </c>
      <c r="U12" s="117">
        <v>0</v>
      </c>
      <c r="V12" s="117">
        <v>0</v>
      </c>
      <c r="W12" s="117">
        <v>0</v>
      </c>
      <c r="X12" s="117">
        <v>0</v>
      </c>
      <c r="Y12" s="117"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17">
        <v>0</v>
      </c>
      <c r="AG12" s="117">
        <v>0</v>
      </c>
      <c r="AH12" s="117">
        <v>0</v>
      </c>
      <c r="AI12" s="117">
        <v>0</v>
      </c>
      <c r="AJ12" s="117">
        <v>0</v>
      </c>
      <c r="AK12" s="117">
        <v>0</v>
      </c>
      <c r="AL12" s="117">
        <v>0</v>
      </c>
      <c r="AM12" s="117">
        <v>0</v>
      </c>
      <c r="AN12" s="117">
        <v>0</v>
      </c>
      <c r="AO12" s="117">
        <v>0</v>
      </c>
      <c r="AP12" s="117">
        <v>0</v>
      </c>
      <c r="AQ12" s="117">
        <v>0</v>
      </c>
      <c r="AS12" s="34">
        <f ca="1">K12/M.aR</f>
        <v>0</v>
      </c>
      <c r="AT12" s="34">
        <f ca="1">L12/M.w0R</f>
        <v>0</v>
      </c>
      <c r="AU12" s="34">
        <f ca="1">M12/M.w1R</f>
        <v>0</v>
      </c>
      <c r="AV12" s="34">
        <f ca="1">N12/M.w2R</f>
        <v>0</v>
      </c>
      <c r="AW12" s="34">
        <f ca="1">O12/M.sd1R</f>
        <v>0</v>
      </c>
      <c r="AX12" s="34">
        <f ca="1">P12/M.sd2R</f>
        <v>0</v>
      </c>
      <c r="AY12" s="34">
        <f ca="1">Q12/M.s1R</f>
        <v>0</v>
      </c>
      <c r="AZ12" s="34">
        <f ca="1">R12/M.s2R</f>
        <v>0</v>
      </c>
      <c r="BA12" s="34">
        <f ca="1">S12/M.s3R</f>
        <v>0</v>
      </c>
      <c r="BB12" s="34">
        <f ca="1">T12/M.aC</f>
        <v>0</v>
      </c>
      <c r="BC12" s="34">
        <f ca="1">U12/M.w0C</f>
        <v>0</v>
      </c>
      <c r="BD12" s="34">
        <f ca="1">V12/M.w1C</f>
        <v>0</v>
      </c>
      <c r="BE12" s="34">
        <f ca="1">W12/M.w2C</f>
        <v>0</v>
      </c>
      <c r="BF12" s="34">
        <f ca="1">X12/M.sd1C</f>
        <v>0</v>
      </c>
      <c r="BG12" s="34">
        <f ca="1">Y12/M.sd2C</f>
        <v>0</v>
      </c>
      <c r="BH12" s="34">
        <f ca="1">Z12/M.s1C</f>
        <v>0</v>
      </c>
      <c r="BI12" s="34">
        <f ca="1">AA12/M.s2C</f>
        <v>0</v>
      </c>
      <c r="BJ12" s="34">
        <f ca="1">AB12/M.s3C</f>
        <v>0</v>
      </c>
      <c r="BK12" s="34">
        <f ca="1">AC12/M.aM</f>
        <v>0</v>
      </c>
      <c r="BL12" s="34">
        <f ca="1">AD12/M.w2M</f>
        <v>0</v>
      </c>
      <c r="BM12" s="34">
        <f ca="1">AE12/M.w3M</f>
        <v>0</v>
      </c>
      <c r="BN12" s="34">
        <f ca="1">AF12/M.sdM</f>
        <v>0</v>
      </c>
      <c r="BO12" s="34">
        <f ca="1">AG12/M.sM</f>
        <v>0</v>
      </c>
      <c r="BP12" s="34">
        <f ca="1">AH12/M.aA</f>
        <v>0</v>
      </c>
      <c r="BQ12" s="34">
        <f ca="1">AI12/M.w2A</f>
        <v>0</v>
      </c>
      <c r="BR12" s="34">
        <f ca="1">AJ12/M.w3A</f>
        <v>0</v>
      </c>
      <c r="BS12" s="34">
        <f ca="1">AK12/M.sdA</f>
        <v>0</v>
      </c>
      <c r="BT12" s="34">
        <f ca="1">AL12/M.sA</f>
        <v>0</v>
      </c>
      <c r="BU12" s="34">
        <f ca="1">AM12/M.aT</f>
        <v>0</v>
      </c>
      <c r="BV12" s="34">
        <f ca="1">AN12/M.w2T</f>
        <v>0</v>
      </c>
      <c r="BW12" s="34">
        <f ca="1">AO12/M.w3T</f>
        <v>0</v>
      </c>
      <c r="BX12" s="34">
        <f ca="1">AP12/M.sdT</f>
        <v>0</v>
      </c>
      <c r="BY12" s="34">
        <f ca="1">AQ12/M.sT</f>
        <v>0</v>
      </c>
    </row>
    <row r="13" spans="1:77" ht="12.75" customHeight="1" x14ac:dyDescent="0.3">
      <c r="A13" s="118"/>
      <c r="B13" s="118"/>
      <c r="C13" s="118"/>
      <c r="D13" s="118"/>
      <c r="E13" s="110"/>
      <c r="F13" s="118"/>
      <c r="H13" s="25">
        <f t="shared" ref="H13:H76" si="0">I13/365</f>
        <v>3.3544832497995312E-4</v>
      </c>
      <c r="I13" s="25">
        <f>J13/(3600*24)</f>
        <v>0.12243863861768289</v>
      </c>
      <c r="J13" s="117">
        <v>10578.698376567801</v>
      </c>
      <c r="K13" s="117">
        <v>0.38180991525087976</v>
      </c>
      <c r="L13" s="117">
        <v>0.14235117587935114</v>
      </c>
      <c r="M13" s="117">
        <v>0.2275664884899829</v>
      </c>
      <c r="N13" s="117">
        <v>6296.5896320139846</v>
      </c>
      <c r="O13" s="117">
        <v>7.0668216204795393E-3</v>
      </c>
      <c r="P13" s="117">
        <v>13.320592474039952</v>
      </c>
      <c r="Q13" s="117">
        <v>1.7527565971377237E-2</v>
      </c>
      <c r="R13" s="117">
        <v>1.0340003405486255E-3</v>
      </c>
      <c r="S13" s="117">
        <v>1.7186420743359791E-7</v>
      </c>
      <c r="T13" s="117">
        <v>0.11244035261108784</v>
      </c>
      <c r="U13" s="117">
        <v>0.25052244046692962</v>
      </c>
      <c r="V13" s="117">
        <v>20.944523747592196</v>
      </c>
      <c r="W13" s="117">
        <v>5626333.7789868265</v>
      </c>
      <c r="X13" s="117">
        <v>4.848926157355276</v>
      </c>
      <c r="Y13" s="117">
        <v>1407534.2624341582</v>
      </c>
      <c r="Z13" s="117">
        <v>2360.8681340283274</v>
      </c>
      <c r="AA13" s="117">
        <v>109.56690617663861</v>
      </c>
      <c r="AB13" s="117">
        <v>1.3988059854793361E-3</v>
      </c>
      <c r="AC13" s="117">
        <v>77.080012474435947</v>
      </c>
      <c r="AD13" s="117">
        <v>171.88023800403724</v>
      </c>
      <c r="AE13" s="117">
        <v>2221663.0252912473</v>
      </c>
      <c r="AF13" s="117">
        <v>29336.699929469789</v>
      </c>
      <c r="AG13" s="117">
        <v>6.8150211332755877</v>
      </c>
      <c r="AH13" s="117">
        <v>4.6041292735396963E-3</v>
      </c>
      <c r="AI13" s="117">
        <v>1.09128193202026E-10</v>
      </c>
      <c r="AJ13" s="117">
        <v>0.96529398913491471</v>
      </c>
      <c r="AK13" s="117">
        <v>29.034900886023202</v>
      </c>
      <c r="AL13" s="117">
        <v>1.8532636180357592E-2</v>
      </c>
      <c r="AM13" s="117">
        <v>1.0835654352351582E-5</v>
      </c>
      <c r="AN13" s="117">
        <v>2.1401051155659635E-13</v>
      </c>
      <c r="AO13" s="117">
        <v>4.123585656864844E-4</v>
      </c>
      <c r="AP13" s="117">
        <v>49.407333194824538</v>
      </c>
      <c r="AQ13" s="117">
        <v>6.3412761884491025E-3</v>
      </c>
      <c r="AS13" s="34">
        <f ca="1">K13/M.aR</f>
        <v>26.918225592052568</v>
      </c>
      <c r="AT13" s="34">
        <f ca="1">L13/M.w0R</f>
        <v>1690436.1812843543</v>
      </c>
      <c r="AU13" s="34">
        <f ca="1">M13/M.w1R</f>
        <v>1.4362228422435948E-3</v>
      </c>
      <c r="AV13" s="34">
        <f ca="1">N13/M.w2R</f>
        <v>7.3616741130037751</v>
      </c>
      <c r="AW13" s="34">
        <f ca="1">O13/M.sd1R</f>
        <v>6.9594358959860233E-7</v>
      </c>
      <c r="AX13" s="34">
        <f ca="1">P13/M.sd2R</f>
        <v>1.6847134325601806E-3</v>
      </c>
      <c r="AY13" s="34">
        <f ca="1">Q13/M.s1R</f>
        <v>8.5950740326334143E-7</v>
      </c>
      <c r="AZ13" s="34">
        <f ca="1">R13/M.s2R</f>
        <v>2.6588014016129152E-8</v>
      </c>
      <c r="BA13" s="34">
        <f ca="1">S13/M.s3R</f>
        <v>4.0593735305418608E-12</v>
      </c>
      <c r="BB13" s="34">
        <f ca="1">T13/M.aC</f>
        <v>0.39888021008403751</v>
      </c>
      <c r="BC13" s="34">
        <f ca="1">U13/M.w0C</f>
        <v>6.1204811125353253E-2</v>
      </c>
      <c r="BD13" s="34">
        <f ca="1">V13/M.w1C</f>
        <v>9.0024372309102846E-2</v>
      </c>
      <c r="BE13" s="34">
        <f ca="1">W13/M.w2C</f>
        <v>13.091755515823722</v>
      </c>
      <c r="BF13" s="34">
        <f ca="1">X13/M.sd1C</f>
        <v>1.2244476278771323E-3</v>
      </c>
      <c r="BG13" s="34">
        <f ca="1">Y13/M.sd2C</f>
        <v>17.520450349327962</v>
      </c>
      <c r="BH13" s="34">
        <f ca="1">Z13/M.s1C</f>
        <v>2.1926593628143542E-2</v>
      </c>
      <c r="BI13" s="34">
        <f ca="1">AA13/M.s2C</f>
        <v>3.9349814047185501E-4</v>
      </c>
      <c r="BJ13" s="34">
        <f ca="1">AB13/M.s3C</f>
        <v>1.7731223169286701E-8</v>
      </c>
      <c r="BK13" s="34">
        <f ca="1">AC13/M.aM</f>
        <v>940.09895413391519</v>
      </c>
      <c r="BL13" s="34">
        <f ca="1">AD13/M.w2M</f>
        <v>8.8593848497164264E-5</v>
      </c>
      <c r="BM13" s="34">
        <f ca="1">AE13/M.w3M</f>
        <v>3.8171637666317017E-2</v>
      </c>
      <c r="BN13" s="34">
        <f ca="1">AF13/M.sdM</f>
        <v>1.596419638253296E-2</v>
      </c>
      <c r="BO13" s="34">
        <f ca="1">AG13/M.sM</f>
        <v>1.9743385137557588E-3</v>
      </c>
      <c r="BP13" s="34">
        <f ca="1">AH13/M.aA</f>
        <v>1.6704822984029235</v>
      </c>
      <c r="BQ13" s="34">
        <f ca="1">AI13/M.w2A</f>
        <v>6.9278058146930893E-17</v>
      </c>
      <c r="BR13" s="34">
        <f ca="1">AJ13/M.w3A</f>
        <v>2.488925901065607E-8</v>
      </c>
      <c r="BS13" s="34">
        <f ca="1">AK13/M.sdA</f>
        <v>2.3710783801574363E-5</v>
      </c>
      <c r="BT13" s="34">
        <f ca="1">AL13/M.sA</f>
        <v>1.0301327987215443E-4</v>
      </c>
      <c r="BU13" s="34">
        <f ca="1">AM13/M.aT</f>
        <v>2.2259758632094525E-3</v>
      </c>
      <c r="BV13" s="34">
        <f ca="1">AN13/M.w2T</f>
        <v>4.7302882274484332E-20</v>
      </c>
      <c r="BW13" s="34">
        <f ca="1">AO13/M.w3T</f>
        <v>2.8289069609291075E-12</v>
      </c>
      <c r="BX13" s="34">
        <f ca="1">AP13/M.sdT</f>
        <v>1.0735153393689428E-5</v>
      </c>
      <c r="BY13" s="34">
        <f ca="1">AQ13/M.sT</f>
        <v>8.3098141025808866E-5</v>
      </c>
    </row>
    <row r="14" spans="1:77" ht="12.75" customHeight="1" x14ac:dyDescent="0.3">
      <c r="A14" s="118"/>
      <c r="B14" s="118"/>
      <c r="C14" s="118"/>
      <c r="D14" s="118"/>
      <c r="E14" s="110"/>
      <c r="F14" s="118"/>
      <c r="H14" s="25">
        <f t="shared" si="0"/>
        <v>6.7089664995990624E-4</v>
      </c>
      <c r="I14" s="25">
        <f t="shared" ref="I14:I77" si="1">J14/(3600*24)</f>
        <v>0.24487727723536579</v>
      </c>
      <c r="J14" s="117">
        <v>21157.396753135603</v>
      </c>
      <c r="K14" s="117">
        <v>0.49830676328028756</v>
      </c>
      <c r="L14" s="117">
        <v>0.27885792682487454</v>
      </c>
      <c r="M14" s="117">
        <v>0.45344265820611079</v>
      </c>
      <c r="N14" s="117">
        <v>20529.383152012666</v>
      </c>
      <c r="O14" s="117">
        <v>4.819197776058929E-2</v>
      </c>
      <c r="P14" s="117">
        <v>26.557373982890386</v>
      </c>
      <c r="Q14" s="117">
        <v>0.10456821476669324</v>
      </c>
      <c r="R14" s="117">
        <v>4.1157736766966827E-3</v>
      </c>
      <c r="S14" s="117">
        <v>2.0427217281539673E-6</v>
      </c>
      <c r="T14" s="117">
        <v>0.76462943827724728</v>
      </c>
      <c r="U14" s="117">
        <v>1.7083196654040746</v>
      </c>
      <c r="V14" s="117">
        <v>41.552256707862099</v>
      </c>
      <c r="W14" s="117">
        <v>9895113.6189670842</v>
      </c>
      <c r="X14" s="117">
        <v>17.698234014091966</v>
      </c>
      <c r="Y14" s="117">
        <v>2766800.9510630965</v>
      </c>
      <c r="Z14" s="117">
        <v>8770.5782208958062</v>
      </c>
      <c r="AA14" s="117">
        <v>432.82288963947167</v>
      </c>
      <c r="AB14" s="117">
        <v>1.0572453827799354E-2</v>
      </c>
      <c r="AC14" s="117">
        <v>280.28844464274368</v>
      </c>
      <c r="AD14" s="117">
        <v>627.24737292842178</v>
      </c>
      <c r="AE14" s="117">
        <v>4386330.5668969871</v>
      </c>
      <c r="AF14" s="117">
        <v>97932.01258984147</v>
      </c>
      <c r="AG14" s="117">
        <v>47.555193701750035</v>
      </c>
      <c r="AH14" s="117">
        <v>6.5823376865490266E-2</v>
      </c>
      <c r="AI14" s="117">
        <v>3.1773218717214272E-9</v>
      </c>
      <c r="AJ14" s="117">
        <v>6.7005282748702886</v>
      </c>
      <c r="AK14" s="117">
        <v>190.87911180038989</v>
      </c>
      <c r="AL14" s="117">
        <v>0.25377025041231199</v>
      </c>
      <c r="AM14" s="117">
        <v>3.0441864616764216E-4</v>
      </c>
      <c r="AN14" s="117">
        <v>1.224811429978439E-11</v>
      </c>
      <c r="AO14" s="117">
        <v>5.6371969826692443E-3</v>
      </c>
      <c r="AP14" s="117">
        <v>319.27125910515207</v>
      </c>
      <c r="AQ14" s="117">
        <v>8.4896707068796498E-2</v>
      </c>
      <c r="AS14" s="34">
        <f t="shared" ref="AS14:AS77" ca="1" si="2">K14/M.aR</f>
        <v>35.131444554577769</v>
      </c>
      <c r="AT14" s="34">
        <f t="shared" ref="AT14:AT77" ca="1" si="3">L14/M.w0R</f>
        <v>3311469.1609027367</v>
      </c>
      <c r="AU14" s="34">
        <f t="shared" ref="AU14:AU77" ca="1" si="4">M14/M.w1R</f>
        <v>2.8617777058678744E-3</v>
      </c>
      <c r="AV14" s="34">
        <f t="shared" ref="AV14:AV77" ca="1" si="5">N14/M.w2R</f>
        <v>24.001981602502475</v>
      </c>
      <c r="AW14" s="34">
        <f t="shared" ref="AW14:AW77" ca="1" si="6">O14/M.sd1R</f>
        <v>4.745966403816578E-6</v>
      </c>
      <c r="AX14" s="34">
        <f t="shared" ref="AX14:AX77" ca="1" si="7">P14/M.sd2R</f>
        <v>3.3588269267823489E-3</v>
      </c>
      <c r="AY14" s="34">
        <f t="shared" ref="AY14:AY77" ca="1" si="8">Q14/M.s1R</f>
        <v>5.1277601741607804E-6</v>
      </c>
      <c r="AZ14" s="34">
        <f t="shared" ref="AZ14:AZ77" ca="1" si="9">R14/M.s2R</f>
        <v>1.0583192665600546E-7</v>
      </c>
      <c r="BA14" s="34">
        <f t="shared" ref="BA14:BA77" ca="1" si="10">S14/M.s3R</f>
        <v>4.824838538143397E-11</v>
      </c>
      <c r="BB14" s="34">
        <f t="shared" ref="BB14:BB77" ca="1" si="11">T14/M.aC</f>
        <v>2.7125097342178925</v>
      </c>
      <c r="BC14" s="34">
        <f t="shared" ref="BC14:BC77" ca="1" si="12">U14/M.w0C</f>
        <v>0.41735735237093552</v>
      </c>
      <c r="BD14" s="34">
        <f t="shared" ref="BD14:BD77" ca="1" si="13">V14/M.w1C</f>
        <v>0.17860114048103051</v>
      </c>
      <c r="BE14" s="34">
        <f t="shared" ref="BE14:BE77" ca="1" si="14">W14/M.w2C</f>
        <v>23.024657510479717</v>
      </c>
      <c r="BF14" s="34">
        <f t="shared" ref="BF14:BF77" ca="1" si="15">X14/M.sd1C</f>
        <v>4.4691463538370198E-3</v>
      </c>
      <c r="BG14" s="34">
        <f t="shared" ref="BG14:BG77" ca="1" si="16">Y14/M.sd2C</f>
        <v>34.440084325721315</v>
      </c>
      <c r="BH14" s="34">
        <f t="shared" ref="BH14:BH77" ca="1" si="17">Z14/M.s1C</f>
        <v>8.1456859771872822E-2</v>
      </c>
      <c r="BI14" s="34">
        <f t="shared" ref="BI14:BI77" ca="1" si="18">AA14/M.s2C</f>
        <v>1.5544383625491185E-3</v>
      </c>
      <c r="BJ14" s="34">
        <f t="shared" ref="BJ14:BJ77" ca="1" si="19">AB14/M.s3C</f>
        <v>1.3401611103590684E-7</v>
      </c>
      <c r="BK14" s="34">
        <f t="shared" ref="BK14:BK77" ca="1" si="20">AC14/M.aM</f>
        <v>3418.5110407429697</v>
      </c>
      <c r="BL14" s="34">
        <f t="shared" ref="BL14:BL77" ca="1" si="21">AD14/M.w2M</f>
        <v>3.2330801593467433E-4</v>
      </c>
      <c r="BM14" s="34">
        <f t="shared" ref="BM14:BM77" ca="1" si="22">AE14/M.w3M</f>
        <v>7.5364003981806899E-2</v>
      </c>
      <c r="BN14" s="34">
        <f t="shared" ref="BN14:BN77" ca="1" si="23">AF14/M.sdM</f>
        <v>5.3291811447081713E-2</v>
      </c>
      <c r="BO14" s="34">
        <f t="shared" ref="BO14:BO77" ca="1" si="24">AG14/M.sM</f>
        <v>1.3776927263812144E-2</v>
      </c>
      <c r="BP14" s="34">
        <f t="shared" ref="BP14:BP77" ca="1" si="25">AH14/M.aA</f>
        <v>23.88221080299299</v>
      </c>
      <c r="BQ14" s="34">
        <f t="shared" ref="BQ14:BQ77" ca="1" si="26">AI14/M.w2A</f>
        <v>2.0170652782011403E-15</v>
      </c>
      <c r="BR14" s="34">
        <f t="shared" ref="BR14:BR77" ca="1" si="27">AJ14/M.w3A</f>
        <v>1.7276724564599176E-7</v>
      </c>
      <c r="BS14" s="34">
        <f t="shared" ref="BS14:BS77" ca="1" si="28">AK14/M.sdA</f>
        <v>1.558776925019316E-4</v>
      </c>
      <c r="BT14" s="34">
        <f t="shared" ref="BT14:BT77" ca="1" si="29">AL14/M.sA</f>
        <v>1.4105767562985635E-3</v>
      </c>
      <c r="BU14" s="34">
        <f t="shared" ref="BU14:BU77" ca="1" si="30">AM14/M.aT</f>
        <v>6.2536930087014955E-2</v>
      </c>
      <c r="BV14" s="34">
        <f t="shared" ref="BV14:BV77" ca="1" si="31">AN14/M.w2T</f>
        <v>2.7072086534119186E-18</v>
      </c>
      <c r="BW14" s="34">
        <f t="shared" ref="BW14:BW77" ca="1" si="32">AO14/M.w3T</f>
        <v>3.8672910208263134E-11</v>
      </c>
      <c r="BX14" s="34">
        <f t="shared" ref="BX14:BX77" ca="1" si="33">AP14/M.sdT</f>
        <v>6.9370794152662259E-5</v>
      </c>
      <c r="BY14" s="34">
        <f t="shared" ref="BY14:BY77" ca="1" si="34">AQ14/M.sT</f>
        <v>1.1125139998601813E-3</v>
      </c>
    </row>
    <row r="15" spans="1:77" ht="12.75" customHeight="1" x14ac:dyDescent="0.3">
      <c r="A15" s="118"/>
      <c r="B15" s="118"/>
      <c r="C15" s="118"/>
      <c r="D15" s="118"/>
      <c r="E15" s="110"/>
      <c r="F15" s="118"/>
      <c r="H15" s="25">
        <f t="shared" si="0"/>
        <v>1.0063449749398595E-3</v>
      </c>
      <c r="I15" s="25">
        <f t="shared" si="1"/>
        <v>0.36731591585304868</v>
      </c>
      <c r="J15" s="117">
        <v>31736.095129703404</v>
      </c>
      <c r="K15" s="117">
        <v>0.53488146895905619</v>
      </c>
      <c r="L15" s="117">
        <v>0.40975888186059556</v>
      </c>
      <c r="M15" s="117">
        <v>0.67764059219405515</v>
      </c>
      <c r="N15" s="117">
        <v>37999.143293711466</v>
      </c>
      <c r="O15" s="117">
        <v>0.1398950806908765</v>
      </c>
      <c r="P15" s="117">
        <v>39.898798992065466</v>
      </c>
      <c r="Q15" s="117">
        <v>0.28890782866927989</v>
      </c>
      <c r="R15" s="117">
        <v>9.2432280878584367E-3</v>
      </c>
      <c r="S15" s="117">
        <v>8.5933643135316015E-6</v>
      </c>
      <c r="T15" s="117">
        <v>2.2130768007117885</v>
      </c>
      <c r="U15" s="117">
        <v>4.9586937393358781</v>
      </c>
      <c r="V15" s="117">
        <v>61.931982548205262</v>
      </c>
      <c r="W15" s="117">
        <v>13146866.645990757</v>
      </c>
      <c r="X15" s="117">
        <v>36.488685747101151</v>
      </c>
      <c r="Y15" s="117">
        <v>4079439.8879703223</v>
      </c>
      <c r="Z15" s="117">
        <v>18404.114647494982</v>
      </c>
      <c r="AA15" s="117">
        <v>961.81063307289116</v>
      </c>
      <c r="AB15" s="117">
        <v>3.3802421720771851E-2</v>
      </c>
      <c r="AC15" s="117">
        <v>575.65574561882192</v>
      </c>
      <c r="AD15" s="117">
        <v>1292.9846587594773</v>
      </c>
      <c r="AE15" s="117">
        <v>6495454.646422388</v>
      </c>
      <c r="AF15" s="117">
        <v>184857.52609740983</v>
      </c>
      <c r="AG15" s="117">
        <v>140.58278308171006</v>
      </c>
      <c r="AH15" s="117">
        <v>0.2986891141559111</v>
      </c>
      <c r="AI15" s="117">
        <v>2.2006993746872401E-8</v>
      </c>
      <c r="AJ15" s="117">
        <v>19.698816192970543</v>
      </c>
      <c r="AK15" s="117">
        <v>531.14450869371217</v>
      </c>
      <c r="AL15" s="117">
        <v>1.1029992556234258</v>
      </c>
      <c r="AM15" s="117">
        <v>2.0350197880408161E-3</v>
      </c>
      <c r="AN15" s="117">
        <v>1.2503483233176519E-10</v>
      </c>
      <c r="AO15" s="117">
        <v>2.4459542341060781E-2</v>
      </c>
      <c r="AP15" s="117">
        <v>873.7410565680633</v>
      </c>
      <c r="AQ15" s="117">
        <v>0.36080916647383565</v>
      </c>
      <c r="AS15" s="34">
        <f t="shared" ca="1" si="2"/>
        <v>37.710021325631779</v>
      </c>
      <c r="AT15" s="34">
        <f t="shared" ca="1" si="3"/>
        <v>4865932.6852827771</v>
      </c>
      <c r="AU15" s="34">
        <f t="shared" ca="1" si="4"/>
        <v>4.2767408496678502E-3</v>
      </c>
      <c r="AV15" s="34">
        <f t="shared" ca="1" si="5"/>
        <v>44.426797020304122</v>
      </c>
      <c r="AW15" s="34">
        <f t="shared" ca="1" si="6"/>
        <v>1.377692686356333E-5</v>
      </c>
      <c r="AX15" s="34">
        <f t="shared" ca="1" si="7"/>
        <v>5.0461751409293714E-3</v>
      </c>
      <c r="AY15" s="34">
        <f t="shared" ca="1" si="8"/>
        <v>1.4167307543300114E-5</v>
      </c>
      <c r="AZ15" s="34">
        <f t="shared" ca="1" si="9"/>
        <v>2.3767794682143197E-7</v>
      </c>
      <c r="BA15" s="34">
        <f t="shared" ca="1" si="10"/>
        <v>2.0297231258073904E-10</v>
      </c>
      <c r="BB15" s="34">
        <f t="shared" ca="1" si="11"/>
        <v>7.8508517511797518</v>
      </c>
      <c r="BC15" s="34">
        <f t="shared" ca="1" si="12"/>
        <v>1.2114520087656071</v>
      </c>
      <c r="BD15" s="34">
        <f t="shared" ca="1" si="13"/>
        <v>0.26619788169694919</v>
      </c>
      <c r="BE15" s="34">
        <f t="shared" ca="1" si="14"/>
        <v>30.591068836204467</v>
      </c>
      <c r="BF15" s="34">
        <f t="shared" ca="1" si="15"/>
        <v>9.2140988040454869E-3</v>
      </c>
      <c r="BG15" s="34">
        <f t="shared" ca="1" si="16"/>
        <v>50.779313809844439</v>
      </c>
      <c r="BH15" s="34">
        <f t="shared" ca="1" si="17"/>
        <v>0.1709284551496025</v>
      </c>
      <c r="BI15" s="34">
        <f t="shared" ca="1" si="18"/>
        <v>3.4542427892422889E-3</v>
      </c>
      <c r="BJ15" s="34">
        <f t="shared" ca="1" si="19"/>
        <v>4.2847849481282047E-7</v>
      </c>
      <c r="BK15" s="34">
        <f t="shared" ca="1" si="20"/>
        <v>7020.9299015995493</v>
      </c>
      <c r="BL15" s="34">
        <f t="shared" ca="1" si="21"/>
        <v>6.6645524987348523E-4</v>
      </c>
      <c r="BM15" s="34">
        <f t="shared" ca="1" si="22"/>
        <v>0.11160204694351741</v>
      </c>
      <c r="BN15" s="34">
        <f t="shared" ca="1" si="23"/>
        <v>0.10059419963742317</v>
      </c>
      <c r="BO15" s="34">
        <f t="shared" ca="1" si="24"/>
        <v>4.0727386985487675E-2</v>
      </c>
      <c r="BP15" s="34">
        <f t="shared" ca="1" si="25"/>
        <v>108.3711703732199</v>
      </c>
      <c r="BQ15" s="34">
        <f t="shared" ca="1" si="26"/>
        <v>1.3970741636054743E-14</v>
      </c>
      <c r="BR15" s="34">
        <f t="shared" ca="1" si="27"/>
        <v>5.0791670097266546E-7</v>
      </c>
      <c r="BS15" s="34">
        <f t="shared" ca="1" si="28"/>
        <v>4.3374877229536066E-4</v>
      </c>
      <c r="BT15" s="34">
        <f t="shared" ca="1" si="29"/>
        <v>6.1309988450936933E-3</v>
      </c>
      <c r="BU15" s="34">
        <f t="shared" ca="1" si="30"/>
        <v>0.41805550288242455</v>
      </c>
      <c r="BV15" s="34">
        <f t="shared" ca="1" si="31"/>
        <v>2.7636530145087051E-17</v>
      </c>
      <c r="BW15" s="34">
        <f t="shared" ca="1" si="32"/>
        <v>1.6780000549903698E-10</v>
      </c>
      <c r="BX15" s="34">
        <f t="shared" ca="1" si="33"/>
        <v>1.8984518414778492E-4</v>
      </c>
      <c r="BY15" s="34">
        <f t="shared" ca="1" si="34"/>
        <v>4.7281604062068515E-3</v>
      </c>
    </row>
    <row r="16" spans="1:77" ht="12.75" customHeight="1" x14ac:dyDescent="0.3">
      <c r="A16" s="118"/>
      <c r="B16" s="118"/>
      <c r="C16" s="118"/>
      <c r="D16" s="118"/>
      <c r="E16" s="110"/>
      <c r="F16" s="118"/>
      <c r="G16" s="21"/>
      <c r="H16" s="25">
        <f t="shared" si="0"/>
        <v>1.3417932999198125E-3</v>
      </c>
      <c r="I16" s="25">
        <f t="shared" si="1"/>
        <v>0.48975455447073157</v>
      </c>
      <c r="J16" s="117">
        <v>42314.793506271206</v>
      </c>
      <c r="K16" s="117">
        <v>0.54733803256011115</v>
      </c>
      <c r="L16" s="117">
        <v>0.53528415431622811</v>
      </c>
      <c r="M16" s="117">
        <v>0.90017261724438591</v>
      </c>
      <c r="N16" s="117">
        <v>55986.604671523055</v>
      </c>
      <c r="O16" s="117">
        <v>0.28692256570159136</v>
      </c>
      <c r="P16" s="117">
        <v>53.401513576633008</v>
      </c>
      <c r="Q16" s="117">
        <v>0.57738510763558915</v>
      </c>
      <c r="R16" s="117">
        <v>1.6432279525608467E-2</v>
      </c>
      <c r="S16" s="117">
        <v>2.336566538689765E-5</v>
      </c>
      <c r="T16" s="117">
        <v>4.525000925292507</v>
      </c>
      <c r="U16" s="117">
        <v>10.169477114694581</v>
      </c>
      <c r="V16" s="117">
        <v>82.122023320979949</v>
      </c>
      <c r="W16" s="117">
        <v>15636170.290752366</v>
      </c>
      <c r="X16" s="117">
        <v>59.677911488235083</v>
      </c>
      <c r="Y16" s="117">
        <v>5347039.684993526</v>
      </c>
      <c r="Z16" s="117">
        <v>30632.473361154163</v>
      </c>
      <c r="AA16" s="117">
        <v>1688.845540471802</v>
      </c>
      <c r="AB16" s="117">
        <v>7.6094954974944118E-2</v>
      </c>
      <c r="AC16" s="117">
        <v>937.7856406335253</v>
      </c>
      <c r="AD16" s="117">
        <v>2114.3308010975552</v>
      </c>
      <c r="AE16" s="117">
        <v>8550452.8559377547</v>
      </c>
      <c r="AF16" s="117">
        <v>277188.44796450197</v>
      </c>
      <c r="AG16" s="117">
        <v>293.09629973296614</v>
      </c>
      <c r="AH16" s="117">
        <v>0.84875057035480961</v>
      </c>
      <c r="AI16" s="117">
        <v>8.4788340456377097E-8</v>
      </c>
      <c r="AJ16" s="117">
        <v>40.831531116219857</v>
      </c>
      <c r="AK16" s="117">
        <v>1041.5826490209754</v>
      </c>
      <c r="AL16" s="117">
        <v>3.0025832523061315</v>
      </c>
      <c r="AM16" s="117">
        <v>7.5695177397311951E-3</v>
      </c>
      <c r="AN16" s="117">
        <v>6.3102300134220744E-10</v>
      </c>
      <c r="AO16" s="117">
        <v>6.6463724816106157E-2</v>
      </c>
      <c r="AP16" s="117">
        <v>1686.1202666759232</v>
      </c>
      <c r="AQ16" s="117">
        <v>0.96049725298163535</v>
      </c>
      <c r="AS16" s="34">
        <f t="shared" ca="1" si="2"/>
        <v>38.588229501274952</v>
      </c>
      <c r="AT16" s="34">
        <f t="shared" ca="1" si="3"/>
        <v>6356559.3760269415</v>
      </c>
      <c r="AU16" s="34">
        <f t="shared" ca="1" si="4"/>
        <v>5.6811900707669288E-3</v>
      </c>
      <c r="AV16" s="34">
        <f t="shared" ca="1" si="5"/>
        <v>65.456884182159783</v>
      </c>
      <c r="AW16" s="34">
        <f t="shared" ca="1" si="6"/>
        <v>2.8256255928765937E-5</v>
      </c>
      <c r="AX16" s="34">
        <f t="shared" ca="1" si="7"/>
        <v>6.7539223511965127E-3</v>
      </c>
      <c r="AY16" s="34">
        <f t="shared" ca="1" si="8"/>
        <v>2.8313502020600053E-5</v>
      </c>
      <c r="AZ16" s="34">
        <f t="shared" ca="1" si="9"/>
        <v>4.2253533312379406E-7</v>
      </c>
      <c r="BA16" s="34">
        <f t="shared" ca="1" si="10"/>
        <v>5.5188898847200074E-10</v>
      </c>
      <c r="BB16" s="34">
        <f t="shared" ca="1" si="11"/>
        <v>16.052362677606485</v>
      </c>
      <c r="BC16" s="34">
        <f t="shared" ca="1" si="12"/>
        <v>2.4844917081615581</v>
      </c>
      <c r="BD16" s="34">
        <f t="shared" ca="1" si="13"/>
        <v>0.35297931293733192</v>
      </c>
      <c r="BE16" s="34">
        <f t="shared" ca="1" si="14"/>
        <v>36.383358451794336</v>
      </c>
      <c r="BF16" s="34">
        <f t="shared" ca="1" si="15"/>
        <v>1.5069826758980063E-2</v>
      </c>
      <c r="BG16" s="34">
        <f t="shared" ca="1" si="16"/>
        <v>66.557913236728467</v>
      </c>
      <c r="BH16" s="34">
        <f t="shared" ca="1" si="17"/>
        <v>0.28449949640724004</v>
      </c>
      <c r="BI16" s="34">
        <f t="shared" ca="1" si="18"/>
        <v>6.0653129937653857E-3</v>
      </c>
      <c r="BJ16" s="34">
        <f t="shared" ca="1" si="19"/>
        <v>9.6457739152095542E-7</v>
      </c>
      <c r="BK16" s="34">
        <f t="shared" ca="1" si="20"/>
        <v>11437.612315563292</v>
      </c>
      <c r="BL16" s="34">
        <f t="shared" ca="1" si="21"/>
        <v>1.0898094210279423E-3</v>
      </c>
      <c r="BM16" s="34">
        <f t="shared" ca="1" si="22"/>
        <v>0.14691012299536035</v>
      </c>
      <c r="BN16" s="34">
        <f t="shared" ca="1" si="23"/>
        <v>0.15083805707231787</v>
      </c>
      <c r="BO16" s="34">
        <f t="shared" ca="1" si="24"/>
        <v>8.4911154563648839E-2</v>
      </c>
      <c r="BP16" s="34">
        <f t="shared" ca="1" si="25"/>
        <v>307.94591535155996</v>
      </c>
      <c r="BQ16" s="34">
        <f t="shared" ca="1" si="26"/>
        <v>5.3826343202112265E-14</v>
      </c>
      <c r="BR16" s="34">
        <f t="shared" ca="1" si="27"/>
        <v>1.0528052232709179E-6</v>
      </c>
      <c r="BS16" s="34">
        <f t="shared" ca="1" si="28"/>
        <v>8.5058809394097002E-4</v>
      </c>
      <c r="BT16" s="34">
        <f t="shared" ca="1" si="29"/>
        <v>1.6689797711406166E-2</v>
      </c>
      <c r="BU16" s="34">
        <f t="shared" ca="1" si="30"/>
        <v>1.5550111914672393</v>
      </c>
      <c r="BV16" s="34">
        <f t="shared" ca="1" si="31"/>
        <v>1.3947542355688639E-16</v>
      </c>
      <c r="BW16" s="34">
        <f t="shared" ca="1" si="32"/>
        <v>4.5596165431545921E-10</v>
      </c>
      <c r="BX16" s="34">
        <f t="shared" ca="1" si="33"/>
        <v>3.6635775567159392E-4</v>
      </c>
      <c r="BY16" s="34">
        <f t="shared" ca="1" si="34"/>
        <v>1.25866677008261E-2</v>
      </c>
    </row>
    <row r="17" spans="1:77" ht="12.75" customHeight="1" x14ac:dyDescent="0.3">
      <c r="A17" s="118"/>
      <c r="B17" s="118"/>
      <c r="C17" s="118"/>
      <c r="D17" s="118"/>
      <c r="E17" s="110"/>
      <c r="F17" s="118"/>
      <c r="G17" s="23"/>
      <c r="H17" s="25">
        <f t="shared" si="0"/>
        <v>1.6772416248997657E-3</v>
      </c>
      <c r="I17" s="25">
        <f t="shared" si="1"/>
        <v>0.61219319308841447</v>
      </c>
      <c r="J17" s="117">
        <v>52893.491882839007</v>
      </c>
      <c r="K17" s="117">
        <v>0.55247561720330518</v>
      </c>
      <c r="L17" s="117">
        <v>0.65565477866754285</v>
      </c>
      <c r="M17" s="117">
        <v>1.1210510689481228</v>
      </c>
      <c r="N17" s="117">
        <v>73017.755039556432</v>
      </c>
      <c r="O17" s="117">
        <v>0.48745926294922665</v>
      </c>
      <c r="P17" s="117">
        <v>67.049606573236559</v>
      </c>
      <c r="Q17" s="117">
        <v>0.96528028437311264</v>
      </c>
      <c r="R17" s="117">
        <v>2.5701351661457161E-2</v>
      </c>
      <c r="S17" s="117">
        <v>4.9907569966848493E-5</v>
      </c>
      <c r="T17" s="117">
        <v>7.6629748064956775</v>
      </c>
      <c r="U17" s="117">
        <v>17.275873241446352</v>
      </c>
      <c r="V17" s="117">
        <v>102.12159875815426</v>
      </c>
      <c r="W17" s="117">
        <v>17553402.479182679</v>
      </c>
      <c r="X17" s="117">
        <v>86.110046766114024</v>
      </c>
      <c r="Y17" s="117">
        <v>6571138.1777314031</v>
      </c>
      <c r="Z17" s="117">
        <v>44973.665893146339</v>
      </c>
      <c r="AA17" s="117">
        <v>2606.5070551483932</v>
      </c>
      <c r="AB17" s="117">
        <v>0.14148121940255193</v>
      </c>
      <c r="AC17" s="117">
        <v>1347.6920610801012</v>
      </c>
      <c r="AD17" s="117">
        <v>3050.2504052976974</v>
      </c>
      <c r="AE17" s="117">
        <v>10552708.522374062</v>
      </c>
      <c r="AF17" s="117">
        <v>367306.57201878243</v>
      </c>
      <c r="AG17" s="117">
        <v>505.56838554424274</v>
      </c>
      <c r="AH17" s="117">
        <v>1.8686388353080738</v>
      </c>
      <c r="AI17" s="117">
        <v>2.3712471660171408E-7</v>
      </c>
      <c r="AJ17" s="117">
        <v>70.004518457347899</v>
      </c>
      <c r="AK17" s="117">
        <v>1688.9733611069782</v>
      </c>
      <c r="AL17" s="117">
        <v>6.3343420550977703</v>
      </c>
      <c r="AM17" s="117">
        <v>2.0444621183423189E-2</v>
      </c>
      <c r="AN17" s="117">
        <v>2.1669040792263115E-9</v>
      </c>
      <c r="AO17" s="117">
        <v>0.13995025912866743</v>
      </c>
      <c r="AP17" s="117">
        <v>2692.2510414757871</v>
      </c>
      <c r="AQ17" s="117">
        <v>1.9817669469433996</v>
      </c>
      <c r="AS17" s="34">
        <f t="shared" ca="1" si="2"/>
        <v>38.950437649622515</v>
      </c>
      <c r="AT17" s="34">
        <f t="shared" ca="1" si="3"/>
        <v>7785974.0423287302</v>
      </c>
      <c r="AU17" s="34">
        <f t="shared" ca="1" si="4"/>
        <v>7.0752032218301154E-3</v>
      </c>
      <c r="AV17" s="34">
        <f t="shared" ca="1" si="5"/>
        <v>85.368897844533961</v>
      </c>
      <c r="AW17" s="34">
        <f t="shared" ca="1" si="6"/>
        <v>4.8005194903582889E-5</v>
      </c>
      <c r="AX17" s="34">
        <f t="shared" ca="1" si="7"/>
        <v>8.4800562033520415E-3</v>
      </c>
      <c r="AY17" s="34">
        <f t="shared" ca="1" si="8"/>
        <v>4.733489818253655E-5</v>
      </c>
      <c r="AZ17" s="34">
        <f t="shared" ca="1" si="9"/>
        <v>6.6087782702828977E-7</v>
      </c>
      <c r="BA17" s="34">
        <f t="shared" ca="1" si="10"/>
        <v>1.1787996553928511E-9</v>
      </c>
      <c r="BB17" s="34">
        <f t="shared" ca="1" si="11"/>
        <v>27.184270857420522</v>
      </c>
      <c r="BC17" s="34">
        <f t="shared" ca="1" si="12"/>
        <v>4.2206460898174374</v>
      </c>
      <c r="BD17" s="34">
        <f t="shared" ca="1" si="13"/>
        <v>0.4389420804310139</v>
      </c>
      <c r="BE17" s="34">
        <f t="shared" ca="1" si="14"/>
        <v>40.844511320424402</v>
      </c>
      <c r="BF17" s="34">
        <f t="shared" ca="1" si="15"/>
        <v>2.1744452086411091E-2</v>
      </c>
      <c r="BG17" s="34">
        <f t="shared" ca="1" si="16"/>
        <v>81.795024998122912</v>
      </c>
      <c r="BH17" s="34">
        <f t="shared" ca="1" si="17"/>
        <v>0.41769350934662869</v>
      </c>
      <c r="BI17" s="34">
        <f t="shared" ca="1" si="18"/>
        <v>9.3609988190608371E-3</v>
      </c>
      <c r="BJ17" s="34">
        <f t="shared" ca="1" si="19"/>
        <v>1.7934117393913046E-6</v>
      </c>
      <c r="BK17" s="34">
        <f t="shared" ca="1" si="20"/>
        <v>16436.996524049344</v>
      </c>
      <c r="BL17" s="34">
        <f t="shared" ca="1" si="21"/>
        <v>1.5722192697860393E-3</v>
      </c>
      <c r="BM17" s="34">
        <f t="shared" ca="1" si="22"/>
        <v>0.1813119998526832</v>
      </c>
      <c r="BN17" s="34">
        <f t="shared" ca="1" si="23"/>
        <v>0.19987777297379219</v>
      </c>
      <c r="BO17" s="34">
        <f t="shared" ca="1" si="24"/>
        <v>0.14646515621846048</v>
      </c>
      <c r="BP17" s="34">
        <f t="shared" ca="1" si="25"/>
        <v>677.98445939171779</v>
      </c>
      <c r="BQ17" s="34">
        <f t="shared" ca="1" si="26"/>
        <v>1.5053433418801509E-13</v>
      </c>
      <c r="BR17" s="34">
        <f t="shared" ca="1" si="27"/>
        <v>1.805005119075349E-6</v>
      </c>
      <c r="BS17" s="34">
        <f t="shared" ca="1" si="28"/>
        <v>1.3792670541232562E-3</v>
      </c>
      <c r="BT17" s="34">
        <f t="shared" ca="1" si="29"/>
        <v>3.5209311000198674E-2</v>
      </c>
      <c r="BU17" s="34">
        <f t="shared" ca="1" si="30"/>
        <v>4.1999524723566104</v>
      </c>
      <c r="BV17" s="34">
        <f t="shared" ca="1" si="31"/>
        <v>4.7895221507675865E-16</v>
      </c>
      <c r="BW17" s="34">
        <f t="shared" ca="1" si="32"/>
        <v>9.601019481038903E-10</v>
      </c>
      <c r="BX17" s="34">
        <f t="shared" ca="1" si="33"/>
        <v>5.8496838496820906E-4</v>
      </c>
      <c r="BY17" s="34">
        <f t="shared" ca="1" si="34"/>
        <v>2.5969717189950319E-2</v>
      </c>
    </row>
    <row r="18" spans="1:77" ht="12.75" customHeight="1" x14ac:dyDescent="0.3">
      <c r="A18" s="118"/>
      <c r="B18" s="118"/>
      <c r="C18" s="118"/>
      <c r="D18" s="118"/>
      <c r="E18" s="110"/>
      <c r="F18" s="118"/>
      <c r="G18" s="23"/>
      <c r="H18" s="25">
        <f t="shared" si="0"/>
        <v>2.0126899498797189E-3</v>
      </c>
      <c r="I18" s="25">
        <f t="shared" si="1"/>
        <v>0.73463183170609736</v>
      </c>
      <c r="J18" s="117">
        <v>63472.190259406809</v>
      </c>
      <c r="K18" s="117">
        <v>0.55535342303380575</v>
      </c>
      <c r="L18" s="117">
        <v>0.77108280926212913</v>
      </c>
      <c r="M18" s="117">
        <v>1.3402882214587921</v>
      </c>
      <c r="N18" s="117">
        <v>88384.2093973562</v>
      </c>
      <c r="O18" s="117">
        <v>0.7363620261400543</v>
      </c>
      <c r="P18" s="117">
        <v>80.791182590603654</v>
      </c>
      <c r="Q18" s="117">
        <v>1.4421216370875136</v>
      </c>
      <c r="R18" s="117">
        <v>3.7063206446758805E-2</v>
      </c>
      <c r="S18" s="117">
        <v>9.1479819369533576E-5</v>
      </c>
      <c r="T18" s="117">
        <v>11.537299251317513</v>
      </c>
      <c r="U18" s="117">
        <v>26.095137772621133</v>
      </c>
      <c r="V18" s="117">
        <v>121.91023264255958</v>
      </c>
      <c r="W18" s="117">
        <v>19040974.716999486</v>
      </c>
      <c r="X18" s="117">
        <v>114.91833727338128</v>
      </c>
      <c r="Y18" s="117">
        <v>7753223.1813796265</v>
      </c>
      <c r="Z18" s="117">
        <v>61056.097928420771</v>
      </c>
      <c r="AA18" s="117">
        <v>3707.6300960859285</v>
      </c>
      <c r="AB18" s="117">
        <v>0.23324260276431666</v>
      </c>
      <c r="AC18" s="117">
        <v>1791.1830453149803</v>
      </c>
      <c r="AD18" s="117">
        <v>4069.975183614205</v>
      </c>
      <c r="AE18" s="117">
        <v>12503571.049734075</v>
      </c>
      <c r="AF18" s="117">
        <v>451052.82124914881</v>
      </c>
      <c r="AG18" s="117">
        <v>774.6600660550265</v>
      </c>
      <c r="AH18" s="117">
        <v>3.5044617687948851</v>
      </c>
      <c r="AI18" s="117">
        <v>5.419418980350948E-7</v>
      </c>
      <c r="AJ18" s="117">
        <v>106.58730565541178</v>
      </c>
      <c r="AK18" s="117">
        <v>2431.9076382858602</v>
      </c>
      <c r="AL18" s="117">
        <v>11.38668057026341</v>
      </c>
      <c r="AM18" s="117">
        <v>4.5142874641804748E-2</v>
      </c>
      <c r="AN18" s="117">
        <v>5.8371303051296842E-9</v>
      </c>
      <c r="AO18" s="117">
        <v>0.25108357971878575</v>
      </c>
      <c r="AP18" s="117">
        <v>3819.678293950944</v>
      </c>
      <c r="AQ18" s="117">
        <v>3.4846090549434248</v>
      </c>
      <c r="AS18" s="34">
        <f t="shared" ca="1" si="2"/>
        <v>39.153327683278754</v>
      </c>
      <c r="AT18" s="34">
        <f t="shared" ca="1" si="3"/>
        <v>9156694.8533521798</v>
      </c>
      <c r="AU18" s="34">
        <f t="shared" ca="1" si="4"/>
        <v>8.4588577677767E-3</v>
      </c>
      <c r="AV18" s="34">
        <f t="shared" ca="1" si="5"/>
        <v>103.33462784531312</v>
      </c>
      <c r="AW18" s="34">
        <f t="shared" ca="1" si="6"/>
        <v>7.2517244560254559E-5</v>
      </c>
      <c r="AX18" s="34">
        <f t="shared" ca="1" si="7"/>
        <v>1.0218013260902043E-2</v>
      </c>
      <c r="AY18" s="34">
        <f t="shared" ca="1" si="8"/>
        <v>7.071798933788708E-5</v>
      </c>
      <c r="AZ18" s="34">
        <f t="shared" ca="1" si="9"/>
        <v>9.5303358601047736E-7</v>
      </c>
      <c r="BA18" s="34">
        <f t="shared" ca="1" si="10"/>
        <v>2.1607219029064655E-9</v>
      </c>
      <c r="BB18" s="34">
        <f t="shared" ca="1" si="11"/>
        <v>40.92836995171546</v>
      </c>
      <c r="BC18" s="34">
        <f t="shared" ca="1" si="12"/>
        <v>6.3752691203492429</v>
      </c>
      <c r="BD18" s="34">
        <f t="shared" ca="1" si="13"/>
        <v>0.52399817269489413</v>
      </c>
      <c r="BE18" s="34">
        <f t="shared" ca="1" si="14"/>
        <v>44.305900710858225</v>
      </c>
      <c r="BF18" s="34">
        <f t="shared" ca="1" si="15"/>
        <v>2.9019102561612005E-2</v>
      </c>
      <c r="BG18" s="34">
        <f t="shared" ca="1" si="16"/>
        <v>96.509168850853939</v>
      </c>
      <c r="BH18" s="34">
        <f t="shared" ca="1" si="17"/>
        <v>0.56705930691364725</v>
      </c>
      <c r="BI18" s="34">
        <f t="shared" ca="1" si="18"/>
        <v>1.3315567622355372E-2</v>
      </c>
      <c r="BJ18" s="34">
        <f t="shared" ca="1" si="19"/>
        <v>2.9565763123198191E-6</v>
      </c>
      <c r="BK18" s="34">
        <f t="shared" ca="1" si="20"/>
        <v>21845.991632675024</v>
      </c>
      <c r="BL18" s="34">
        <f t="shared" ca="1" si="21"/>
        <v>2.0978256080601059E-3</v>
      </c>
      <c r="BM18" s="34">
        <f t="shared" ca="1" si="22"/>
        <v>0.21483086238199031</v>
      </c>
      <c r="BN18" s="34">
        <f t="shared" ca="1" si="23"/>
        <v>0.24545009611267093</v>
      </c>
      <c r="BO18" s="34">
        <f t="shared" ca="1" si="24"/>
        <v>0.22442207787342613</v>
      </c>
      <c r="BP18" s="34">
        <f t="shared" ca="1" si="25"/>
        <v>1271.4980406492664</v>
      </c>
      <c r="BQ18" s="34">
        <f t="shared" ca="1" si="26"/>
        <v>3.4404200438678538E-13</v>
      </c>
      <c r="BR18" s="34">
        <f t="shared" ca="1" si="27"/>
        <v>2.7482602062849163E-6</v>
      </c>
      <c r="BS18" s="34">
        <f t="shared" ca="1" si="28"/>
        <v>1.9859697976289921E-3</v>
      </c>
      <c r="BT18" s="34">
        <f t="shared" ca="1" si="29"/>
        <v>6.329263149527467E-2</v>
      </c>
      <c r="BU18" s="34">
        <f t="shared" ca="1" si="30"/>
        <v>9.2737315238132787</v>
      </c>
      <c r="BV18" s="34">
        <f t="shared" ca="1" si="31"/>
        <v>1.2901846999760781E-15</v>
      </c>
      <c r="BW18" s="34">
        <f t="shared" ca="1" si="32"/>
        <v>1.7225108086671965E-9</v>
      </c>
      <c r="BX18" s="34">
        <f t="shared" ca="1" si="33"/>
        <v>8.2993413626308843E-4</v>
      </c>
      <c r="BY18" s="34">
        <f t="shared" ca="1" si="34"/>
        <v>4.5663447871100944E-2</v>
      </c>
    </row>
    <row r="19" spans="1:77" ht="12.75" customHeight="1" x14ac:dyDescent="0.3">
      <c r="A19" s="118"/>
      <c r="B19" s="118"/>
      <c r="C19" s="118"/>
      <c r="D19" s="118"/>
      <c r="E19" s="110"/>
      <c r="F19" s="118"/>
      <c r="G19" s="23"/>
      <c r="H19" s="25">
        <f t="shared" si="0"/>
        <v>2.348138274859672E-3</v>
      </c>
      <c r="I19" s="25">
        <f t="shared" si="1"/>
        <v>0.85707047032378025</v>
      </c>
      <c r="J19" s="117">
        <v>74050.88863597461</v>
      </c>
      <c r="K19" s="117">
        <v>0.55749631753043805</v>
      </c>
      <c r="L19" s="117">
        <v>0.88177160728394532</v>
      </c>
      <c r="M19" s="117">
        <v>1.5578962668296661</v>
      </c>
      <c r="N19" s="117">
        <v>101833.62636129266</v>
      </c>
      <c r="O19" s="117">
        <v>1.027110857293356</v>
      </c>
      <c r="P19" s="117">
        <v>94.560269013063618</v>
      </c>
      <c r="Q19" s="117">
        <v>1.9951729569713847</v>
      </c>
      <c r="R19" s="117">
        <v>5.0521238707208274E-2</v>
      </c>
      <c r="S19" s="117">
        <v>1.509224283806102E-4</v>
      </c>
      <c r="T19" s="117">
        <v>16.037479521262121</v>
      </c>
      <c r="U19" s="117">
        <v>36.395769585164999</v>
      </c>
      <c r="V19" s="117">
        <v>141.45941944881403</v>
      </c>
      <c r="W19" s="117">
        <v>20205451.503845319</v>
      </c>
      <c r="X19" s="117">
        <v>145.4523529111074</v>
      </c>
      <c r="Y19" s="117">
        <v>8894733.4720986318</v>
      </c>
      <c r="Z19" s="117">
        <v>78591.185689092395</v>
      </c>
      <c r="AA19" s="117">
        <v>4985.2966533181889</v>
      </c>
      <c r="AB19" s="117">
        <v>0.35408005796656011</v>
      </c>
      <c r="AC19" s="117">
        <v>2257.6529553316827</v>
      </c>
      <c r="AD19" s="117">
        <v>5150.4191059157456</v>
      </c>
      <c r="AE19" s="117">
        <v>14404356.388501316</v>
      </c>
      <c r="AF19" s="117">
        <v>526472.71937942924</v>
      </c>
      <c r="AG19" s="117">
        <v>1095.0965039717612</v>
      </c>
      <c r="AH19" s="117">
        <v>5.8885743783031792</v>
      </c>
      <c r="AI19" s="117">
        <v>1.0782146604995734E-6</v>
      </c>
      <c r="AJ19" s="117">
        <v>149.68789227537033</v>
      </c>
      <c r="AK19" s="117">
        <v>3229.9323066965962</v>
      </c>
      <c r="AL19" s="117">
        <v>18.346733503269302</v>
      </c>
      <c r="AM19" s="117">
        <v>8.6807358092229975E-2</v>
      </c>
      <c r="AN19" s="117">
        <v>1.3306810559398588E-8</v>
      </c>
      <c r="AO19" s="117">
        <v>0.40373446620507253</v>
      </c>
      <c r="AP19" s="117">
        <v>5002.2257887615324</v>
      </c>
      <c r="AQ19" s="117">
        <v>5.4926480429725757</v>
      </c>
      <c r="AS19" s="34">
        <f t="shared" ca="1" si="2"/>
        <v>39.304405261875459</v>
      </c>
      <c r="AT19" s="34">
        <f t="shared" ca="1" si="3"/>
        <v>10471136.745968087</v>
      </c>
      <c r="AU19" s="34">
        <f t="shared" ca="1" si="4"/>
        <v>9.8322306553729633E-3</v>
      </c>
      <c r="AV19" s="34">
        <f t="shared" ca="1" si="5"/>
        <v>119.05904860079693</v>
      </c>
      <c r="AW19" s="34">
        <f t="shared" ca="1" si="6"/>
        <v>1.0115031273308557E-4</v>
      </c>
      <c r="AX19" s="34">
        <f t="shared" ca="1" si="7"/>
        <v>1.1959449679380282E-2</v>
      </c>
      <c r="AY19" s="34">
        <f t="shared" ca="1" si="8"/>
        <v>9.7838224092730138E-5</v>
      </c>
      <c r="AZ19" s="34">
        <f t="shared" ca="1" si="9"/>
        <v>1.2990899037293802E-6</v>
      </c>
      <c r="BA19" s="34">
        <f t="shared" ca="1" si="10"/>
        <v>3.5647359044788581E-9</v>
      </c>
      <c r="BB19" s="34">
        <f t="shared" ca="1" si="11"/>
        <v>56.892681782898173</v>
      </c>
      <c r="BC19" s="34">
        <f t="shared" ca="1" si="12"/>
        <v>8.8918030619135529</v>
      </c>
      <c r="BD19" s="34">
        <f t="shared" ca="1" si="13"/>
        <v>0.60802506643549648</v>
      </c>
      <c r="BE19" s="34">
        <f t="shared" ca="1" si="14"/>
        <v>47.015488516362161</v>
      </c>
      <c r="BF19" s="34">
        <f t="shared" ca="1" si="15"/>
        <v>3.6729532005967361E-2</v>
      </c>
      <c r="BG19" s="34">
        <f t="shared" ca="1" si="16"/>
        <v>110.71825413251671</v>
      </c>
      <c r="BH19" s="34">
        <f t="shared" ca="1" si="17"/>
        <v>0.72991666350223294</v>
      </c>
      <c r="BI19" s="34">
        <f t="shared" ca="1" si="18"/>
        <v>1.7904174090839994E-2</v>
      </c>
      <c r="BJ19" s="34">
        <f t="shared" ca="1" si="19"/>
        <v>4.4883083092096155E-6</v>
      </c>
      <c r="BK19" s="34">
        <f t="shared" ca="1" si="20"/>
        <v>27535.246998157534</v>
      </c>
      <c r="BL19" s="34">
        <f t="shared" ca="1" si="21"/>
        <v>2.6547289860960163E-3</v>
      </c>
      <c r="BM19" s="34">
        <f t="shared" ca="1" si="22"/>
        <v>0.24748932066612145</v>
      </c>
      <c r="BN19" s="34">
        <f t="shared" ca="1" si="23"/>
        <v>0.28649145617692778</v>
      </c>
      <c r="BO19" s="34">
        <f t="shared" ca="1" si="24"/>
        <v>0.31725377835058033</v>
      </c>
      <c r="BP19" s="34">
        <f t="shared" ca="1" si="25"/>
        <v>2136.5080512220006</v>
      </c>
      <c r="BQ19" s="34">
        <f t="shared" ca="1" si="26"/>
        <v>6.8448506067244261E-13</v>
      </c>
      <c r="BR19" s="34">
        <f t="shared" ca="1" si="27"/>
        <v>3.8595710359076563E-6</v>
      </c>
      <c r="BS19" s="34">
        <f t="shared" ca="1" si="28"/>
        <v>2.6376610314061523E-3</v>
      </c>
      <c r="BT19" s="34">
        <f t="shared" ca="1" si="29"/>
        <v>0.10197994363668807</v>
      </c>
      <c r="BU19" s="34">
        <f t="shared" ca="1" si="30"/>
        <v>17.832894773018314</v>
      </c>
      <c r="BV19" s="34">
        <f t="shared" ca="1" si="31"/>
        <v>2.9412129748292035E-15</v>
      </c>
      <c r="BW19" s="34">
        <f t="shared" ca="1" si="32"/>
        <v>2.7697429782091271E-9</v>
      </c>
      <c r="BX19" s="34">
        <f t="shared" ca="1" si="33"/>
        <v>1.086876333528749E-3</v>
      </c>
      <c r="BY19" s="34">
        <f t="shared" ca="1" si="34"/>
        <v>7.1977442413164755E-2</v>
      </c>
    </row>
    <row r="20" spans="1:77" ht="12.75" customHeight="1" x14ac:dyDescent="0.3">
      <c r="A20" s="118"/>
      <c r="B20" s="118"/>
      <c r="C20" s="118"/>
      <c r="D20" s="118"/>
      <c r="E20" s="110"/>
      <c r="F20" s="118"/>
      <c r="G20" s="23"/>
      <c r="H20" s="25">
        <f t="shared" si="0"/>
        <v>2.683586599839625E-3</v>
      </c>
      <c r="I20" s="25">
        <f t="shared" si="1"/>
        <v>0.97950910894146315</v>
      </c>
      <c r="J20" s="117">
        <v>84629.587012542412</v>
      </c>
      <c r="K20" s="117">
        <v>0.55936553807979272</v>
      </c>
      <c r="L20" s="117">
        <v>0.98791617352718197</v>
      </c>
      <c r="M20" s="117">
        <v>1.7738873092641922</v>
      </c>
      <c r="N20" s="117">
        <v>113372.79437742436</v>
      </c>
      <c r="O20" s="117">
        <v>1.3529390197309239</v>
      </c>
      <c r="P20" s="117">
        <v>108.28936596546902</v>
      </c>
      <c r="Q20" s="117">
        <v>2.611439459036732</v>
      </c>
      <c r="R20" s="117">
        <v>6.6068391296518383E-2</v>
      </c>
      <c r="S20" s="117">
        <v>2.3061525419846999E-4</v>
      </c>
      <c r="T20" s="117">
        <v>21.050348314081727</v>
      </c>
      <c r="U20" s="117">
        <v>47.937581785262111</v>
      </c>
      <c r="V20" s="117">
        <v>160.73934495736381</v>
      </c>
      <c r="W20" s="117">
        <v>21126596.322681066</v>
      </c>
      <c r="X20" s="117">
        <v>177.22360820403981</v>
      </c>
      <c r="Y20" s="117">
        <v>9997059.9214494042</v>
      </c>
      <c r="Z20" s="117">
        <v>97352.882258892118</v>
      </c>
      <c r="AA20" s="117">
        <v>6432.8275773409787</v>
      </c>
      <c r="AB20" s="117">
        <v>0.5062415222633162</v>
      </c>
      <c r="AC20" s="117">
        <v>2739.1801025265654</v>
      </c>
      <c r="AD20" s="117">
        <v>6274.2472126873099</v>
      </c>
      <c r="AE20" s="117">
        <v>16256347.594059411</v>
      </c>
      <c r="AF20" s="117">
        <v>592973.86484089424</v>
      </c>
      <c r="AG20" s="117">
        <v>1460.8414354591564</v>
      </c>
      <c r="AH20" s="117">
        <v>9.1363831191405112</v>
      </c>
      <c r="AI20" s="117">
        <v>1.939111329403569E-6</v>
      </c>
      <c r="AJ20" s="117">
        <v>198.32351117419648</v>
      </c>
      <c r="AK20" s="117">
        <v>4047.9995916214712</v>
      </c>
      <c r="AL20" s="117">
        <v>27.308689122016499</v>
      </c>
      <c r="AM20" s="117">
        <v>0.15096093173865169</v>
      </c>
      <c r="AN20" s="117">
        <v>2.6861100627885903E-8</v>
      </c>
      <c r="AO20" s="117">
        <v>0.59968256703218636</v>
      </c>
      <c r="AP20" s="117">
        <v>6186.0858339576243</v>
      </c>
      <c r="AQ20" s="117">
        <v>7.9993405685788783</v>
      </c>
      <c r="AS20" s="34">
        <f t="shared" ca="1" si="2"/>
        <v>39.436188378078107</v>
      </c>
      <c r="AT20" s="34">
        <f t="shared" ca="1" si="3"/>
        <v>11731615.376480957</v>
      </c>
      <c r="AU20" s="34">
        <f t="shared" ca="1" si="4"/>
        <v>1.119539827694536E-2</v>
      </c>
      <c r="AV20" s="34">
        <f t="shared" ca="1" si="5"/>
        <v>132.55009684031626</v>
      </c>
      <c r="AW20" s="34">
        <f t="shared" ca="1" si="6"/>
        <v>1.332380083248317E-4</v>
      </c>
      <c r="AX20" s="34">
        <f t="shared" ca="1" si="7"/>
        <v>1.3695828455152822E-2</v>
      </c>
      <c r="AY20" s="34">
        <f t="shared" ca="1" si="8"/>
        <v>1.2805837113273293E-4</v>
      </c>
      <c r="AZ20" s="34">
        <f t="shared" ca="1" si="9"/>
        <v>1.6988653145731994E-6</v>
      </c>
      <c r="BA20" s="34">
        <f t="shared" ca="1" si="10"/>
        <v>5.4470530694655983E-9</v>
      </c>
      <c r="BB20" s="34">
        <f t="shared" ca="1" si="11"/>
        <v>74.675747299596168</v>
      </c>
      <c r="BC20" s="34">
        <f t="shared" ca="1" si="12"/>
        <v>11.711568167325305</v>
      </c>
      <c r="BD20" s="34">
        <f t="shared" ca="1" si="13"/>
        <v>0.69089461329129398</v>
      </c>
      <c r="BE20" s="34">
        <f t="shared" ca="1" si="14"/>
        <v>49.158874109286756</v>
      </c>
      <c r="BF20" s="34">
        <f t="shared" ca="1" si="15"/>
        <v>4.4752388390179268E-2</v>
      </c>
      <c r="BG20" s="34">
        <f t="shared" ca="1" si="16"/>
        <v>124.43959388249998</v>
      </c>
      <c r="BH20" s="34">
        <f t="shared" ca="1" si="17"/>
        <v>0.90416616542532391</v>
      </c>
      <c r="BI20" s="34">
        <f t="shared" ca="1" si="18"/>
        <v>2.3102830754195898E-2</v>
      </c>
      <c r="BJ20" s="34">
        <f t="shared" ca="1" si="19"/>
        <v>6.4171025159964079E-6</v>
      </c>
      <c r="BK20" s="34">
        <f t="shared" ca="1" si="20"/>
        <v>33408.146507808393</v>
      </c>
      <c r="BL20" s="34">
        <f t="shared" ca="1" si="21"/>
        <v>3.2339942825859846E-3</v>
      </c>
      <c r="BM20" s="34">
        <f t="shared" ca="1" si="22"/>
        <v>0.27930941959876754</v>
      </c>
      <c r="BN20" s="34">
        <f t="shared" ca="1" si="23"/>
        <v>0.32267948510869471</v>
      </c>
      <c r="BO20" s="34">
        <f t="shared" ca="1" si="24"/>
        <v>0.42321152819829827</v>
      </c>
      <c r="BP20" s="34">
        <f t="shared" ca="1" si="25"/>
        <v>3314.8865649069448</v>
      </c>
      <c r="BQ20" s="34">
        <f t="shared" ca="1" si="26"/>
        <v>1.2310097280094883E-12</v>
      </c>
      <c r="BR20" s="34">
        <f t="shared" ca="1" si="27"/>
        <v>5.1135978189826065E-6</v>
      </c>
      <c r="BS20" s="34">
        <f t="shared" ca="1" si="28"/>
        <v>3.3057196758677896E-3</v>
      </c>
      <c r="BT20" s="34">
        <f t="shared" ca="1" si="29"/>
        <v>0.15179479098875098</v>
      </c>
      <c r="BU20" s="34">
        <f t="shared" ca="1" si="30"/>
        <v>31.01200715810219</v>
      </c>
      <c r="BV20" s="34">
        <f t="shared" ca="1" si="31"/>
        <v>5.9371265061807222E-15</v>
      </c>
      <c r="BW20" s="34">
        <f t="shared" ca="1" si="32"/>
        <v>4.1140073940285107E-9</v>
      </c>
      <c r="BX20" s="34">
        <f t="shared" ca="1" si="33"/>
        <v>1.3441037198304126E-3</v>
      </c>
      <c r="BY20" s="34">
        <f t="shared" ca="1" si="34"/>
        <v>0.10482595473322477</v>
      </c>
    </row>
    <row r="21" spans="1:77" ht="12.75" customHeight="1" x14ac:dyDescent="0.3">
      <c r="A21" s="118"/>
      <c r="B21" s="118"/>
      <c r="C21" s="118"/>
      <c r="D21" s="118"/>
      <c r="E21" s="110"/>
      <c r="F21" s="118"/>
      <c r="G21" s="23"/>
      <c r="H21" s="25">
        <f t="shared" si="0"/>
        <v>3.019034924819578E-3</v>
      </c>
      <c r="I21" s="25">
        <f t="shared" si="1"/>
        <v>1.1019477475591459</v>
      </c>
      <c r="J21" s="117">
        <v>95208.285389110213</v>
      </c>
      <c r="K21" s="117">
        <v>0.56110219724104737</v>
      </c>
      <c r="L21" s="117">
        <v>1.0897034851164895</v>
      </c>
      <c r="M21" s="117">
        <v>1.9882733638548886</v>
      </c>
      <c r="N21" s="117">
        <v>123144.51395589786</v>
      </c>
      <c r="O21" s="117">
        <v>1.7074477283356955</v>
      </c>
      <c r="P21" s="117">
        <v>121.91614736696708</v>
      </c>
      <c r="Q21" s="117">
        <v>3.2787460036916789</v>
      </c>
      <c r="R21" s="117">
        <v>8.3687525181977196E-2</v>
      </c>
      <c r="S21" s="117">
        <v>3.3249107382380414E-4</v>
      </c>
      <c r="T21" s="117">
        <v>26.469824403726545</v>
      </c>
      <c r="U21" s="117">
        <v>60.493492370970095</v>
      </c>
      <c r="V21" s="117">
        <v>179.72250875363804</v>
      </c>
      <c r="W21" s="117">
        <v>21864135.195746016</v>
      </c>
      <c r="X21" s="117">
        <v>209.86486584351752</v>
      </c>
      <c r="Y21" s="117">
        <v>11061546.732481007</v>
      </c>
      <c r="Z21" s="117">
        <v>117162.34114149716</v>
      </c>
      <c r="AA21" s="117">
        <v>8043.774571120005</v>
      </c>
      <c r="AB21" s="117">
        <v>0.69161811874360002</v>
      </c>
      <c r="AC21" s="117">
        <v>3229.8514198825774</v>
      </c>
      <c r="AD21" s="117">
        <v>7428.4303553626014</v>
      </c>
      <c r="AE21" s="117">
        <v>18060795.446827918</v>
      </c>
      <c r="AF21" s="117">
        <v>650766.71805503836</v>
      </c>
      <c r="AG21" s="117">
        <v>1865.8052892711687</v>
      </c>
      <c r="AH21" s="117">
        <v>13.345613062360034</v>
      </c>
      <c r="AI21" s="117">
        <v>3.2299262536199866E-6</v>
      </c>
      <c r="AJ21" s="117">
        <v>251.52242423164384</v>
      </c>
      <c r="AK21" s="117">
        <v>4858.1374500188722</v>
      </c>
      <c r="AL21" s="117">
        <v>38.289340797223211</v>
      </c>
      <c r="AM21" s="117">
        <v>0.24326173759493852</v>
      </c>
      <c r="AN21" s="117">
        <v>4.9433857795602359E-8</v>
      </c>
      <c r="AO21" s="117">
        <v>0.83897766235897231</v>
      </c>
      <c r="AP21" s="117">
        <v>7331.2196069142792</v>
      </c>
      <c r="AQ21" s="117">
        <v>10.97563161439224</v>
      </c>
      <c r="AS21" s="34">
        <f t="shared" ca="1" si="2"/>
        <v>39.55862569888064</v>
      </c>
      <c r="AT21" s="34">
        <f t="shared" ca="1" si="3"/>
        <v>12940351.11921948</v>
      </c>
      <c r="AU21" s="34">
        <f t="shared" ca="1" si="4"/>
        <v>1.2548436462421399E-2</v>
      </c>
      <c r="AV21" s="34">
        <f t="shared" ca="1" si="5"/>
        <v>143.97472815099155</v>
      </c>
      <c r="AW21" s="34">
        <f t="shared" ca="1" si="6"/>
        <v>1.6815017626400599E-4</v>
      </c>
      <c r="AX21" s="34">
        <f t="shared" ca="1" si="7"/>
        <v>1.5419266936917472E-2</v>
      </c>
      <c r="AY21" s="34">
        <f t="shared" ca="1" si="8"/>
        <v>1.6078139247600613E-4</v>
      </c>
      <c r="AZ21" s="34">
        <f t="shared" ca="1" si="9"/>
        <v>2.1519191099424333E-6</v>
      </c>
      <c r="BA21" s="34">
        <f t="shared" ca="1" si="10"/>
        <v>7.8533249265602172E-9</v>
      </c>
      <c r="BB21" s="34">
        <f t="shared" ca="1" si="11"/>
        <v>93.901245183438391</v>
      </c>
      <c r="BC21" s="34">
        <f t="shared" ca="1" si="12"/>
        <v>14.779086328463947</v>
      </c>
      <c r="BD21" s="34">
        <f t="shared" ca="1" si="13"/>
        <v>0.77248861016586767</v>
      </c>
      <c r="BE21" s="34">
        <f t="shared" ca="1" si="14"/>
        <v>50.875032266423538</v>
      </c>
      <c r="BF21" s="34">
        <f t="shared" ca="1" si="15"/>
        <v>5.2994937191826533E-2</v>
      </c>
      <c r="BG21" s="34">
        <f t="shared" ca="1" si="16"/>
        <v>137.68992022833277</v>
      </c>
      <c r="BH21" s="34">
        <f t="shared" ca="1" si="17"/>
        <v>1.0881467735125554</v>
      </c>
      <c r="BI21" s="34">
        <f t="shared" ca="1" si="18"/>
        <v>2.8888379224724224E-2</v>
      </c>
      <c r="BJ21" s="34">
        <f t="shared" ca="1" si="19"/>
        <v>8.7669307528468267E-6</v>
      </c>
      <c r="BK21" s="34">
        <f t="shared" ca="1" si="20"/>
        <v>39392.572008814685</v>
      </c>
      <c r="BL21" s="34">
        <f t="shared" ca="1" si="21"/>
        <v>3.8289057608779445E-3</v>
      </c>
      <c r="BM21" s="34">
        <f t="shared" ca="1" si="22"/>
        <v>0.31031264953937188</v>
      </c>
      <c r="BN21" s="34">
        <f t="shared" ca="1" si="23"/>
        <v>0.35412870947393066</v>
      </c>
      <c r="BO21" s="34">
        <f t="shared" ca="1" si="24"/>
        <v>0.54053115459771373</v>
      </c>
      <c r="BP21" s="34">
        <f t="shared" ca="1" si="25"/>
        <v>4842.0904491388746</v>
      </c>
      <c r="BQ21" s="34">
        <f t="shared" ca="1" si="26"/>
        <v>2.0504602178681528E-12</v>
      </c>
      <c r="BR21" s="34">
        <f t="shared" ca="1" si="27"/>
        <v>6.485285140229481E-6</v>
      </c>
      <c r="BS21" s="34">
        <f t="shared" ca="1" si="28"/>
        <v>3.9673029092783798E-3</v>
      </c>
      <c r="BT21" s="34">
        <f t="shared" ca="1" si="29"/>
        <v>0.21283051915977066</v>
      </c>
      <c r="BU21" s="34">
        <f t="shared" ca="1" si="30"/>
        <v>49.973424651664715</v>
      </c>
      <c r="BV21" s="34">
        <f t="shared" ca="1" si="31"/>
        <v>1.0926397673978662E-14</v>
      </c>
      <c r="BW21" s="34">
        <f t="shared" ca="1" si="32"/>
        <v>5.7556455633707194E-9</v>
      </c>
      <c r="BX21" s="34">
        <f t="shared" ca="1" si="33"/>
        <v>1.5929167181055702E-3</v>
      </c>
      <c r="BY21" s="34">
        <f t="shared" ca="1" si="34"/>
        <v>0.14382823845481418</v>
      </c>
    </row>
    <row r="22" spans="1:77" ht="12.75" customHeight="1" x14ac:dyDescent="0.3">
      <c r="A22" s="118"/>
      <c r="B22" s="118"/>
      <c r="C22" s="118"/>
      <c r="D22" s="118"/>
      <c r="E22" s="110"/>
      <c r="F22" s="118"/>
      <c r="G22" s="23"/>
      <c r="H22" s="25">
        <f t="shared" si="0"/>
        <v>3.3544832497995314E-3</v>
      </c>
      <c r="I22" s="25">
        <f t="shared" si="1"/>
        <v>1.2243863861768289</v>
      </c>
      <c r="J22" s="117">
        <v>105786.98376567801</v>
      </c>
      <c r="K22" s="117">
        <v>0.56275074319643936</v>
      </c>
      <c r="L22" s="117">
        <v>1.1873128236247632</v>
      </c>
      <c r="M22" s="117">
        <v>2.2010663566701534</v>
      </c>
      <c r="N22" s="117">
        <v>131352.69162328879</v>
      </c>
      <c r="O22" s="117">
        <v>2.0849024303109469</v>
      </c>
      <c r="P22" s="117">
        <v>135.38657038154656</v>
      </c>
      <c r="Q22" s="117">
        <v>3.9862442968226923</v>
      </c>
      <c r="R22" s="117">
        <v>0.10335252571277244</v>
      </c>
      <c r="S22" s="117">
        <v>4.5807547877637429E-4</v>
      </c>
      <c r="T22" s="117">
        <v>32.201520317455135</v>
      </c>
      <c r="U22" s="117">
        <v>73.860022734383577</v>
      </c>
      <c r="V22" s="117">
        <v>198.3854387534941</v>
      </c>
      <c r="W22" s="117">
        <v>22462808.059649188</v>
      </c>
      <c r="X22" s="117">
        <v>243.09971484870778</v>
      </c>
      <c r="Y22" s="117">
        <v>12089492.738221692</v>
      </c>
      <c r="Z22" s="117">
        <v>137876.4378699887</v>
      </c>
      <c r="AA22" s="117">
        <v>9811.9124012035627</v>
      </c>
      <c r="AB22" s="117">
        <v>0.91181686810425511</v>
      </c>
      <c r="AC22" s="117">
        <v>3725.2576285395908</v>
      </c>
      <c r="AD22" s="117">
        <v>8603.164818569001</v>
      </c>
      <c r="AE22" s="117">
        <v>19818919.113257017</v>
      </c>
      <c r="AF22" s="117">
        <v>700500.3400549842</v>
      </c>
      <c r="AG22" s="117">
        <v>2304.2457797413686</v>
      </c>
      <c r="AH22" s="117">
        <v>18.597009446950423</v>
      </c>
      <c r="AI22" s="117">
        <v>5.066023698285764E-6</v>
      </c>
      <c r="AJ22" s="117">
        <v>308.380414848496</v>
      </c>
      <c r="AK22" s="117">
        <v>5639.552790094971</v>
      </c>
      <c r="AL22" s="117">
        <v>51.245663328822296</v>
      </c>
      <c r="AM22" s="117">
        <v>0.369307577534843</v>
      </c>
      <c r="AN22" s="117">
        <v>8.461057849014306E-8</v>
      </c>
      <c r="AO22" s="117">
        <v>1.120342992770953</v>
      </c>
      <c r="AP22" s="117">
        <v>8410.3599556791723</v>
      </c>
      <c r="AQ22" s="117">
        <v>14.37733802388437</v>
      </c>
      <c r="AS22" s="34">
        <f t="shared" ca="1" si="2"/>
        <v>39.6748508940722</v>
      </c>
      <c r="AT22" s="34">
        <f t="shared" ca="1" si="3"/>
        <v>14099472.962972037</v>
      </c>
      <c r="AU22" s="34">
        <f t="shared" ca="1" si="4"/>
        <v>1.3891420479877525E-2</v>
      </c>
      <c r="AV22" s="34">
        <f t="shared" ca="1" si="5"/>
        <v>153.57134037767085</v>
      </c>
      <c r="AW22" s="34">
        <f t="shared" ca="1" si="6"/>
        <v>2.053220753596707E-4</v>
      </c>
      <c r="AX22" s="34">
        <f t="shared" ca="1" si="7"/>
        <v>1.7122930091477379E-2</v>
      </c>
      <c r="AY22" s="34">
        <f t="shared" ca="1" si="8"/>
        <v>1.9547531527939593E-4</v>
      </c>
      <c r="AZ22" s="34">
        <f t="shared" ca="1" si="9"/>
        <v>2.6575797845439062E-6</v>
      </c>
      <c r="BA22" s="34">
        <f t="shared" ca="1" si="10"/>
        <v>1.0819585423297326E-8</v>
      </c>
      <c r="BB22" s="34">
        <f t="shared" ca="1" si="11"/>
        <v>114.2343375040723</v>
      </c>
      <c r="BC22" s="34">
        <f t="shared" ca="1" si="12"/>
        <v>18.044645951662712</v>
      </c>
      <c r="BD22" s="34">
        <f t="shared" ca="1" si="13"/>
        <v>0.85270616865195714</v>
      </c>
      <c r="BE22" s="34">
        <f t="shared" ca="1" si="14"/>
        <v>52.268067069557759</v>
      </c>
      <c r="BF22" s="34">
        <f t="shared" ca="1" si="15"/>
        <v>6.1387379292750496E-2</v>
      </c>
      <c r="BG22" s="34">
        <f t="shared" ca="1" si="16"/>
        <v>150.48540054880712</v>
      </c>
      <c r="BH22" s="34">
        <f t="shared" ca="1" si="17"/>
        <v>1.2805292174081879</v>
      </c>
      <c r="BI22" s="34">
        <f t="shared" ca="1" si="18"/>
        <v>3.5238462224367849E-2</v>
      </c>
      <c r="BJ22" s="34">
        <f t="shared" ca="1" si="19"/>
        <v>1.1558163566433669E-5</v>
      </c>
      <c r="BK22" s="34">
        <f t="shared" ca="1" si="20"/>
        <v>45434.74615589813</v>
      </c>
      <c r="BL22" s="34">
        <f t="shared" ca="1" si="21"/>
        <v>4.4344101997027307E-3</v>
      </c>
      <c r="BM22" s="34">
        <f t="shared" ca="1" si="22"/>
        <v>0.3405199576700505</v>
      </c>
      <c r="BN22" s="34">
        <f t="shared" ca="1" si="23"/>
        <v>0.38119232979695949</v>
      </c>
      <c r="BO22" s="34">
        <f t="shared" ca="1" si="24"/>
        <v>0.6675490947327315</v>
      </c>
      <c r="BP22" s="34">
        <f t="shared" ca="1" si="25"/>
        <v>6747.4159040019358</v>
      </c>
      <c r="BQ22" s="34">
        <f t="shared" ca="1" si="26"/>
        <v>3.2160734457853674E-12</v>
      </c>
      <c r="BR22" s="34">
        <f t="shared" ca="1" si="27"/>
        <v>7.9513185675758279E-6</v>
      </c>
      <c r="BS22" s="34">
        <f t="shared" ca="1" si="28"/>
        <v>4.6054304599977645E-3</v>
      </c>
      <c r="BT22" s="34">
        <f t="shared" ca="1" si="29"/>
        <v>0.2848479734535162</v>
      </c>
      <c r="BU22" s="34">
        <f t="shared" ca="1" si="30"/>
        <v>75.86710751017138</v>
      </c>
      <c r="BV22" s="34">
        <f t="shared" ca="1" si="31"/>
        <v>1.8701531080807753E-14</v>
      </c>
      <c r="BW22" s="34">
        <f t="shared" ca="1" si="32"/>
        <v>7.6858985228102342E-9</v>
      </c>
      <c r="BX22" s="34">
        <f t="shared" ca="1" si="33"/>
        <v>1.8273907612932352E-3</v>
      </c>
      <c r="BY22" s="34">
        <f t="shared" ca="1" si="34"/>
        <v>0.1884053031565977</v>
      </c>
    </row>
    <row r="23" spans="1:77" ht="12.75" customHeight="1" x14ac:dyDescent="0.3">
      <c r="A23" s="118"/>
      <c r="B23" s="118"/>
      <c r="C23" s="118"/>
      <c r="D23" s="118"/>
      <c r="E23" s="110"/>
      <c r="F23" s="118"/>
      <c r="G23" s="23"/>
      <c r="H23" s="25">
        <f t="shared" si="0"/>
        <v>3.689931574779484E-3</v>
      </c>
      <c r="I23" s="25">
        <f t="shared" si="1"/>
        <v>1.3468250247945117</v>
      </c>
      <c r="J23" s="117">
        <v>116365.68214224582</v>
      </c>
      <c r="K23" s="117">
        <v>0.56432681688051378</v>
      </c>
      <c r="L23" s="117">
        <v>1.2809160909596575</v>
      </c>
      <c r="M23" s="117">
        <v>2.4122781252402277</v>
      </c>
      <c r="N23" s="117">
        <v>138218.28793135728</v>
      </c>
      <c r="O23" s="117">
        <v>2.4803402645722468</v>
      </c>
      <c r="P23" s="117">
        <v>148.65587362256525</v>
      </c>
      <c r="Q23" s="117">
        <v>4.7245832553297724</v>
      </c>
      <c r="R23" s="117">
        <v>0.12502970535385574</v>
      </c>
      <c r="S23" s="117">
        <v>6.0853782039712234E-4</v>
      </c>
      <c r="T23" s="117">
        <v>38.164309420232485</v>
      </c>
      <c r="U23" s="117">
        <v>87.861100419301124</v>
      </c>
      <c r="V23" s="117">
        <v>216.70927937081828</v>
      </c>
      <c r="W23" s="117">
        <v>22956144.054844566</v>
      </c>
      <c r="X23" s="117">
        <v>276.71981365209177</v>
      </c>
      <c r="Y23" s="117">
        <v>13082152.732145041</v>
      </c>
      <c r="Z23" s="117">
        <v>159379.17029010793</v>
      </c>
      <c r="AA23" s="117">
        <v>11731.231342411158</v>
      </c>
      <c r="AB23" s="117">
        <v>1.1682158325727086</v>
      </c>
      <c r="AC23" s="117">
        <v>4222.1155984410689</v>
      </c>
      <c r="AD23" s="117">
        <v>9791.0641468088816</v>
      </c>
      <c r="AE23" s="117">
        <v>21531906.831357017</v>
      </c>
      <c r="AF23" s="117">
        <v>743030.05598898558</v>
      </c>
      <c r="AG23" s="117">
        <v>2770.9714627766057</v>
      </c>
      <c r="AH23" s="117">
        <v>24.95579421319124</v>
      </c>
      <c r="AI23" s="117">
        <v>7.5709197131064818E-6</v>
      </c>
      <c r="AJ23" s="117">
        <v>368.08840821077951</v>
      </c>
      <c r="AK23" s="117">
        <v>6377.9364673449782</v>
      </c>
      <c r="AL23" s="117">
        <v>66.091559241485129</v>
      </c>
      <c r="AM23" s="117">
        <v>0.53449024610301699</v>
      </c>
      <c r="AN23" s="117">
        <v>1.3661160084033732E-7</v>
      </c>
      <c r="AO23" s="117">
        <v>1.4415570047303765</v>
      </c>
      <c r="AP23" s="117">
        <v>9406.9846688573325</v>
      </c>
      <c r="AQ23" s="117">
        <v>18.151463034045399</v>
      </c>
      <c r="AS23" s="34">
        <f t="shared" ca="1" si="2"/>
        <v>39.785966675205685</v>
      </c>
      <c r="AT23" s="34">
        <f t="shared" ca="1" si="3"/>
        <v>15211022.262174487</v>
      </c>
      <c r="AU23" s="34">
        <f t="shared" ca="1" si="4"/>
        <v>1.5224425038606132E-2</v>
      </c>
      <c r="AV23" s="34">
        <f t="shared" ca="1" si="5"/>
        <v>161.59827012301557</v>
      </c>
      <c r="AW23" s="34">
        <f t="shared" ca="1" si="6"/>
        <v>2.4426496094792069E-4</v>
      </c>
      <c r="AX23" s="34">
        <f t="shared" ca="1" si="7"/>
        <v>1.880115675102164E-2</v>
      </c>
      <c r="AY23" s="34">
        <f t="shared" ca="1" si="8"/>
        <v>2.3168158613245699E-4</v>
      </c>
      <c r="AZ23" s="34">
        <f t="shared" ca="1" si="9"/>
        <v>3.2149811059220675E-6</v>
      </c>
      <c r="BA23" s="34">
        <f t="shared" ca="1" si="10"/>
        <v>1.4373454236584675E-8</v>
      </c>
      <c r="BB23" s="34">
        <f t="shared" ca="1" si="11"/>
        <v>135.38722892401702</v>
      </c>
      <c r="BC23" s="34">
        <f t="shared" ca="1" si="12"/>
        <v>21.465231004481151</v>
      </c>
      <c r="BD23" s="34">
        <f t="shared" ca="1" si="13"/>
        <v>0.93146624311086157</v>
      </c>
      <c r="BE23" s="34">
        <f t="shared" ca="1" si="14"/>
        <v>53.41599651881566</v>
      </c>
      <c r="BF23" s="34">
        <f t="shared" ca="1" si="15"/>
        <v>6.9877104418045316E-2</v>
      </c>
      <c r="BG23" s="34">
        <f t="shared" ca="1" si="16"/>
        <v>162.84165403511386</v>
      </c>
      <c r="BH23" s="34">
        <f t="shared" ca="1" si="17"/>
        <v>1.4802361255895344</v>
      </c>
      <c r="BI23" s="34">
        <f t="shared" ca="1" si="18"/>
        <v>4.2131496450596904E-2</v>
      </c>
      <c r="BJ23" s="34">
        <f t="shared" ca="1" si="19"/>
        <v>1.480826923266462E-5</v>
      </c>
      <c r="BK23" s="34">
        <f t="shared" ca="1" si="20"/>
        <v>51494.626569285385</v>
      </c>
      <c r="BL23" s="34">
        <f t="shared" ca="1" si="21"/>
        <v>5.0467003287953801E-3</v>
      </c>
      <c r="BM23" s="34">
        <f t="shared" ca="1" si="22"/>
        <v>0.36995175977405881</v>
      </c>
      <c r="BN23" s="34">
        <f t="shared" ca="1" si="23"/>
        <v>0.4043357896576818</v>
      </c>
      <c r="BO23" s="34">
        <f t="shared" ca="1" si="24"/>
        <v>0.80276136676460585</v>
      </c>
      <c r="BP23" s="34">
        <f t="shared" ca="1" si="25"/>
        <v>9054.5269254943851</v>
      </c>
      <c r="BQ23" s="34">
        <f t="shared" ca="1" si="26"/>
        <v>4.8062613401776609E-12</v>
      </c>
      <c r="BR23" s="34">
        <f t="shared" ca="1" si="27"/>
        <v>9.4908368164486111E-6</v>
      </c>
      <c r="BS23" s="34">
        <f t="shared" ca="1" si="28"/>
        <v>5.2084170450945365E-3</v>
      </c>
      <c r="BT23" s="34">
        <f t="shared" ca="1" si="29"/>
        <v>0.36736858281101892</v>
      </c>
      <c r="BU23" s="34">
        <f t="shared" ca="1" si="30"/>
        <v>109.80069576397946</v>
      </c>
      <c r="BV23" s="34">
        <f t="shared" ca="1" si="31"/>
        <v>3.0195350802525299E-14</v>
      </c>
      <c r="BW23" s="34">
        <f t="shared" ca="1" si="32"/>
        <v>9.8895257297950661E-9</v>
      </c>
      <c r="BX23" s="34">
        <f t="shared" ca="1" si="33"/>
        <v>2.0439359273664772E-3</v>
      </c>
      <c r="BY23" s="34">
        <f t="shared" ca="1" si="34"/>
        <v>0.23786266205773979</v>
      </c>
    </row>
    <row r="24" spans="1:77" ht="12.75" customHeight="1" x14ac:dyDescent="0.3">
      <c r="A24" s="118"/>
      <c r="B24" s="118"/>
      <c r="C24" s="118"/>
      <c r="D24" s="118"/>
      <c r="E24" s="110"/>
      <c r="F24" s="118"/>
      <c r="G24" s="23"/>
      <c r="H24" s="25">
        <f t="shared" si="0"/>
        <v>4.0253798997594379E-3</v>
      </c>
      <c r="I24" s="25">
        <f t="shared" si="1"/>
        <v>1.4692636634121947</v>
      </c>
      <c r="J24" s="117">
        <v>126944.38051881362</v>
      </c>
      <c r="K24" s="117">
        <v>0.56583637423876865</v>
      </c>
      <c r="L24" s="117">
        <v>1.3706781138617044</v>
      </c>
      <c r="M24" s="117">
        <v>2.6219204191675574</v>
      </c>
      <c r="N24" s="117">
        <v>143954.93865533452</v>
      </c>
      <c r="O24" s="117">
        <v>2.8895683514810306</v>
      </c>
      <c r="P24" s="117">
        <v>161.68836984953913</v>
      </c>
      <c r="Q24" s="117">
        <v>5.4858860764487636</v>
      </c>
      <c r="R24" s="117">
        <v>0.14867926408570403</v>
      </c>
      <c r="S24" s="117">
        <v>7.8474461266597848E-4</v>
      </c>
      <c r="T24" s="117">
        <v>44.290146388809887</v>
      </c>
      <c r="U24" s="117">
        <v>102.34799118343273</v>
      </c>
      <c r="V24" s="117">
        <v>234.67973262153288</v>
      </c>
      <c r="W24" s="117">
        <v>23369287.742298502</v>
      </c>
      <c r="X24" s="117">
        <v>310.56783853884355</v>
      </c>
      <c r="Y24" s="117">
        <v>14040738.816729343</v>
      </c>
      <c r="Z24" s="117">
        <v>181575.20178976632</v>
      </c>
      <c r="AA24" s="117">
        <v>13795.929823808096</v>
      </c>
      <c r="AB24" s="117">
        <v>1.4620061614309532</v>
      </c>
      <c r="AC24" s="117">
        <v>4717.985388399662</v>
      </c>
      <c r="AD24" s="117">
        <v>10986.553585642587</v>
      </c>
      <c r="AE24" s="117">
        <v>23200916.61313216</v>
      </c>
      <c r="AF24" s="117">
        <v>779274.17210476438</v>
      </c>
      <c r="AG24" s="117">
        <v>3261.4205477361606</v>
      </c>
      <c r="AH24" s="117">
        <v>32.473471219272064</v>
      </c>
      <c r="AI24" s="117">
        <v>1.0874554298934117E-5</v>
      </c>
      <c r="AJ24" s="117">
        <v>429.94193391311529</v>
      </c>
      <c r="AK24" s="117">
        <v>7064.4148343141351</v>
      </c>
      <c r="AL24" s="117">
        <v>82.712507936032154</v>
      </c>
      <c r="AM24" s="117">
        <v>0.74389491146787079</v>
      </c>
      <c r="AN24" s="117">
        <v>2.1026085674487695E-7</v>
      </c>
      <c r="AO24" s="117">
        <v>1.7997855988498943</v>
      </c>
      <c r="AP24" s="117">
        <v>10312.993423056914</v>
      </c>
      <c r="AQ24" s="117">
        <v>22.241209233378502</v>
      </c>
      <c r="AS24" s="34">
        <f t="shared" ca="1" si="2"/>
        <v>39.892392946212681</v>
      </c>
      <c r="AT24" s="34">
        <f t="shared" ca="1" si="3"/>
        <v>16276956.352859473</v>
      </c>
      <c r="AU24" s="34">
        <f t="shared" ca="1" si="4"/>
        <v>1.65475242929677E-2</v>
      </c>
      <c r="AV24" s="34">
        <f t="shared" ca="1" si="5"/>
        <v>168.30529020819458</v>
      </c>
      <c r="AW24" s="34">
        <f t="shared" ca="1" si="6"/>
        <v>2.8456591646412093E-4</v>
      </c>
      <c r="AX24" s="34">
        <f t="shared" ca="1" si="7"/>
        <v>2.0449433394584014E-2</v>
      </c>
      <c r="AY24" s="34">
        <f t="shared" ca="1" si="8"/>
        <v>2.6901394659514734E-4</v>
      </c>
      <c r="AZ24" s="34">
        <f t="shared" ca="1" si="9"/>
        <v>3.8230996667960637E-6</v>
      </c>
      <c r="BA24" s="34">
        <f t="shared" ca="1" si="10"/>
        <v>1.8535398128911673E-8</v>
      </c>
      <c r="BB24" s="34">
        <f t="shared" ca="1" si="11"/>
        <v>157.11852983356047</v>
      </c>
      <c r="BC24" s="34">
        <f t="shared" ca="1" si="12"/>
        <v>25.00450441791153</v>
      </c>
      <c r="BD24" s="34">
        <f t="shared" ca="1" si="13"/>
        <v>1.0087073775239388</v>
      </c>
      <c r="BE24" s="34">
        <f t="shared" ca="1" si="14"/>
        <v>54.377328775578221</v>
      </c>
      <c r="BF24" s="34">
        <f t="shared" ca="1" si="15"/>
        <v>7.8424385287241841E-2</v>
      </c>
      <c r="BG24" s="34">
        <f t="shared" ca="1" si="16"/>
        <v>174.77376847719592</v>
      </c>
      <c r="BH24" s="34">
        <f t="shared" ca="1" si="17"/>
        <v>1.6863820580267093</v>
      </c>
      <c r="BI24" s="34">
        <f t="shared" ca="1" si="18"/>
        <v>4.9546646165191895E-2</v>
      </c>
      <c r="BJ24" s="34">
        <f t="shared" ca="1" si="19"/>
        <v>1.8532346724496758E-5</v>
      </c>
      <c r="BK24" s="34">
        <f t="shared" ca="1" si="20"/>
        <v>57542.454741099507</v>
      </c>
      <c r="BL24" s="34">
        <f t="shared" ca="1" si="21"/>
        <v>5.6629027000156557E-3</v>
      </c>
      <c r="BM24" s="34">
        <f t="shared" ca="1" si="22"/>
        <v>0.39862795230470044</v>
      </c>
      <c r="BN24" s="34">
        <f t="shared" ca="1" si="23"/>
        <v>0.4240588051561765</v>
      </c>
      <c r="BO24" s="34">
        <f t="shared" ca="1" si="24"/>
        <v>0.94484640194431446</v>
      </c>
      <c r="BP24" s="34">
        <f t="shared" ca="1" si="25"/>
        <v>11782.110278972617</v>
      </c>
      <c r="BQ24" s="34">
        <f t="shared" ca="1" si="26"/>
        <v>6.9035139585682116E-12</v>
      </c>
      <c r="BR24" s="34">
        <f t="shared" ca="1" si="27"/>
        <v>1.1085675735219233E-5</v>
      </c>
      <c r="BS24" s="34">
        <f t="shared" ca="1" si="28"/>
        <v>5.7690161739690866E-3</v>
      </c>
      <c r="BT24" s="34">
        <f t="shared" ca="1" si="29"/>
        <v>0.45975578681963153</v>
      </c>
      <c r="BU24" s="34">
        <f t="shared" ca="1" si="30"/>
        <v>152.81883897786449</v>
      </c>
      <c r="BV24" s="34">
        <f t="shared" ca="1" si="31"/>
        <v>4.6474093637708376E-14</v>
      </c>
      <c r="BW24" s="34">
        <f t="shared" ca="1" si="32"/>
        <v>1.2347084388292863E-8</v>
      </c>
      <c r="BX24" s="34">
        <f t="shared" ca="1" si="33"/>
        <v>2.2407921898570174E-3</v>
      </c>
      <c r="BY24" s="34">
        <f t="shared" ca="1" si="34"/>
        <v>0.29145602344625643</v>
      </c>
    </row>
    <row r="25" spans="1:77" ht="12.75" customHeight="1" x14ac:dyDescent="0.3">
      <c r="A25" s="118"/>
      <c r="B25" s="118"/>
      <c r="C25" s="118"/>
      <c r="D25" s="118"/>
      <c r="E25" s="110"/>
      <c r="F25" s="118"/>
      <c r="G25" s="23"/>
      <c r="H25" s="25">
        <f t="shared" si="0"/>
        <v>4.36082822473939E-3</v>
      </c>
      <c r="I25" s="25">
        <f t="shared" si="1"/>
        <v>1.5917023020298775</v>
      </c>
      <c r="J25" s="117">
        <v>137523.07889538142</v>
      </c>
      <c r="K25" s="117">
        <v>0.56728378581941286</v>
      </c>
      <c r="L25" s="117">
        <v>1.4567569337596444</v>
      </c>
      <c r="M25" s="117">
        <v>2.8300049007560655</v>
      </c>
      <c r="N25" s="117">
        <v>148756.60792711517</v>
      </c>
      <c r="O25" s="117">
        <v>3.3091073975370091</v>
      </c>
      <c r="P25" s="117">
        <v>174.45665252705157</v>
      </c>
      <c r="Q25" s="117">
        <v>6.2636322084956371</v>
      </c>
      <c r="R25" s="117">
        <v>0.17425664483024147</v>
      </c>
      <c r="S25" s="117">
        <v>9.8730949185187196E-4</v>
      </c>
      <c r="T25" s="117">
        <v>50.523026241232081</v>
      </c>
      <c r="U25" s="117">
        <v>117.19729280213211</v>
      </c>
      <c r="V25" s="117">
        <v>252.28667992338805</v>
      </c>
      <c r="W25" s="117">
        <v>23721099.185621396</v>
      </c>
      <c r="X25" s="117">
        <v>344.52480176549767</v>
      </c>
      <c r="Y25" s="117">
        <v>14966421.738933753</v>
      </c>
      <c r="Z25" s="117">
        <v>204385.04680084501</v>
      </c>
      <c r="AA25" s="117">
        <v>16000.407358489481</v>
      </c>
      <c r="AB25" s="117">
        <v>1.79422404077679</v>
      </c>
      <c r="AC25" s="117">
        <v>5211.0598026219268</v>
      </c>
      <c r="AD25" s="117">
        <v>12185.419703817139</v>
      </c>
      <c r="AE25" s="117">
        <v>24827076.947230324</v>
      </c>
      <c r="AF25" s="117">
        <v>810129.62706892472</v>
      </c>
      <c r="AG25" s="117">
        <v>3771.6663852033171</v>
      </c>
      <c r="AH25" s="117">
        <v>41.189682605700284</v>
      </c>
      <c r="AI25" s="117">
        <v>1.5111797769747725E-5</v>
      </c>
      <c r="AJ25" s="117">
        <v>493.34006180302333</v>
      </c>
      <c r="AK25" s="117">
        <v>7694.445203181469</v>
      </c>
      <c r="AL25" s="117">
        <v>100.97740835872544</v>
      </c>
      <c r="AM25" s="117">
        <v>1.0022383376413417</v>
      </c>
      <c r="AN25" s="117">
        <v>3.1094562301414743E-7</v>
      </c>
      <c r="AO25" s="117">
        <v>2.1918494759678313</v>
      </c>
      <c r="AP25" s="117">
        <v>11126.543666058658</v>
      </c>
      <c r="AQ25" s="117">
        <v>26.589647419365217</v>
      </c>
      <c r="AS25" s="34">
        <f t="shared" ca="1" si="2"/>
        <v>39.99443783791417</v>
      </c>
      <c r="AT25" s="34">
        <f t="shared" ca="1" si="3"/>
        <v>17299151.994721007</v>
      </c>
      <c r="AU25" s="34">
        <f t="shared" ca="1" si="4"/>
        <v>1.7860791846362262E-2</v>
      </c>
      <c r="AV25" s="34">
        <f t="shared" ca="1" si="5"/>
        <v>173.91917430150605</v>
      </c>
      <c r="AW25" s="34">
        <f t="shared" ca="1" si="6"/>
        <v>3.2588229960910233E-4</v>
      </c>
      <c r="AX25" s="34">
        <f t="shared" ca="1" si="7"/>
        <v>2.2064293798087276E-2</v>
      </c>
      <c r="AY25" s="34">
        <f t="shared" ca="1" si="8"/>
        <v>3.0715264534232937E-4</v>
      </c>
      <c r="AZ25" s="34">
        <f t="shared" ca="1" si="9"/>
        <v>4.480789738126995E-6</v>
      </c>
      <c r="BA25" s="34">
        <f t="shared" ca="1" si="10"/>
        <v>2.3319910978117504E-8</v>
      </c>
      <c r="BB25" s="34">
        <f t="shared" ca="1" si="11"/>
        <v>179.22956352590381</v>
      </c>
      <c r="BC25" s="34">
        <f t="shared" ca="1" si="12"/>
        <v>28.632317955181744</v>
      </c>
      <c r="BD25" s="34">
        <f t="shared" ca="1" si="13"/>
        <v>1.0843860799012695</v>
      </c>
      <c r="BE25" s="34">
        <f t="shared" ca="1" si="14"/>
        <v>55.195948783664875</v>
      </c>
      <c r="BF25" s="34">
        <f t="shared" ca="1" si="15"/>
        <v>8.6999175194016912E-2</v>
      </c>
      <c r="BG25" s="34">
        <f t="shared" ca="1" si="16"/>
        <v>186.29631688724706</v>
      </c>
      <c r="BH25" s="34">
        <f t="shared" ca="1" si="17"/>
        <v>1.8982287914677134</v>
      </c>
      <c r="BI25" s="34">
        <f t="shared" ca="1" si="18"/>
        <v>5.7463797802298724E-2</v>
      </c>
      <c r="BJ25" s="34">
        <f t="shared" ca="1" si="19"/>
        <v>2.2743530706162107E-5</v>
      </c>
      <c r="BK25" s="34">
        <f t="shared" ca="1" si="20"/>
        <v>63556.1893817663</v>
      </c>
      <c r="BL25" s="34">
        <f t="shared" ca="1" si="21"/>
        <v>6.2808455448437215E-3</v>
      </c>
      <c r="BM25" s="34">
        <f t="shared" ca="1" si="22"/>
        <v>0.42656792445794572</v>
      </c>
      <c r="BN25" s="34">
        <f t="shared" ca="1" si="23"/>
        <v>0.44084946476357972</v>
      </c>
      <c r="BO25" s="34">
        <f t="shared" ca="1" si="24"/>
        <v>1.0926666344416376</v>
      </c>
      <c r="BP25" s="34">
        <f t="shared" ca="1" si="25"/>
        <v>14944.549030170469</v>
      </c>
      <c r="BQ25" s="34">
        <f t="shared" ca="1" si="26"/>
        <v>9.5934512785263198E-12</v>
      </c>
      <c r="BR25" s="34">
        <f t="shared" ca="1" si="27"/>
        <v>1.2720340866882121E-5</v>
      </c>
      <c r="BS25" s="34">
        <f t="shared" ca="1" si="28"/>
        <v>6.283518149480586E-3</v>
      </c>
      <c r="BT25" s="34">
        <f t="shared" ca="1" si="29"/>
        <v>0.56128086294852753</v>
      </c>
      <c r="BU25" s="34">
        <f t="shared" ca="1" si="30"/>
        <v>205.89050519949669</v>
      </c>
      <c r="BV25" s="34">
        <f t="shared" ca="1" si="31"/>
        <v>6.8728512876408957E-14</v>
      </c>
      <c r="BW25" s="34">
        <f t="shared" ca="1" si="32"/>
        <v>1.5036763525335556E-8</v>
      </c>
      <c r="BX25" s="34">
        <f t="shared" ca="1" si="33"/>
        <v>2.4175592017023741E-3</v>
      </c>
      <c r="BY25" s="34">
        <f t="shared" ca="1" si="34"/>
        <v>0.34843936857784763</v>
      </c>
    </row>
    <row r="26" spans="1:77" ht="12.75" customHeight="1" x14ac:dyDescent="0.3">
      <c r="A26" s="118"/>
      <c r="B26" s="118"/>
      <c r="C26" s="118"/>
      <c r="D26" s="118"/>
      <c r="E26" s="110"/>
      <c r="F26" s="118"/>
      <c r="G26" s="23"/>
      <c r="H26" s="25">
        <f t="shared" si="0"/>
        <v>4.6962765497193439E-3</v>
      </c>
      <c r="I26" s="25">
        <f t="shared" si="1"/>
        <v>1.7141409406475605</v>
      </c>
      <c r="J26" s="117">
        <v>148101.77727194922</v>
      </c>
      <c r="K26" s="117">
        <v>0.5686713972835814</v>
      </c>
      <c r="L26" s="117">
        <v>1.5393040868882168</v>
      </c>
      <c r="M26" s="117">
        <v>3.036543145662407</v>
      </c>
      <c r="N26" s="117">
        <v>152792.5253413613</v>
      </c>
      <c r="O26" s="117">
        <v>3.7361083642146995</v>
      </c>
      <c r="P26" s="117">
        <v>186.94052491348899</v>
      </c>
      <c r="Q26" s="117">
        <v>7.0524935519507324</v>
      </c>
      <c r="R26" s="117">
        <v>0.20171375282458187</v>
      </c>
      <c r="S26" s="117">
        <v>1.2166385706352263E-3</v>
      </c>
      <c r="T26" s="117">
        <v>56.817527454853469</v>
      </c>
      <c r="U26" s="117">
        <v>132.30797455707014</v>
      </c>
      <c r="V26" s="117">
        <v>269.52364971853444</v>
      </c>
      <c r="W26" s="117">
        <v>24025740.020073812</v>
      </c>
      <c r="X26" s="117">
        <v>378.50046456556566</v>
      </c>
      <c r="Y26" s="117">
        <v>15860332.221793665</v>
      </c>
      <c r="Z26" s="117">
        <v>227741.41927120314</v>
      </c>
      <c r="AA26" s="117">
        <v>18339.257648407685</v>
      </c>
      <c r="AB26" s="117">
        <v>2.1657754985546371</v>
      </c>
      <c r="AC26" s="117">
        <v>5700.0053097166274</v>
      </c>
      <c r="AD26" s="117">
        <v>13384.469924595285</v>
      </c>
      <c r="AE26" s="117">
        <v>26411487.506169081</v>
      </c>
      <c r="AF26" s="117">
        <v>836425.4805468726</v>
      </c>
      <c r="AG26" s="117">
        <v>4298.3803849334518</v>
      </c>
      <c r="AH26" s="117">
        <v>51.134010290155992</v>
      </c>
      <c r="AI26" s="117">
        <v>2.0421160356379833E-5</v>
      </c>
      <c r="AJ26" s="117">
        <v>557.77830547188501</v>
      </c>
      <c r="AK26" s="117">
        <v>8266.762406016569</v>
      </c>
      <c r="AL26" s="117">
        <v>120.7479239240771</v>
      </c>
      <c r="AM26" s="117">
        <v>1.3138365058608745</v>
      </c>
      <c r="AN26" s="117">
        <v>4.4457070097741325E-7</v>
      </c>
      <c r="AO26" s="117">
        <v>2.6144340439567499</v>
      </c>
      <c r="AP26" s="117">
        <v>11850.153349097114</v>
      </c>
      <c r="AQ26" s="117">
        <v>31.142302381790955</v>
      </c>
      <c r="AS26" s="34">
        <f t="shared" ca="1" si="2"/>
        <v>40.092266723269503</v>
      </c>
      <c r="AT26" s="34">
        <f t="shared" ca="1" si="3"/>
        <v>18279408.697544634</v>
      </c>
      <c r="AU26" s="34">
        <f t="shared" ca="1" si="4"/>
        <v>1.9164300755339637E-2</v>
      </c>
      <c r="AV26" s="34">
        <f t="shared" ca="1" si="5"/>
        <v>178.63777762283661</v>
      </c>
      <c r="AW26" s="34">
        <f t="shared" ca="1" si="6"/>
        <v>3.6793353586085019E-4</v>
      </c>
      <c r="AX26" s="34">
        <f t="shared" ca="1" si="7"/>
        <v>2.3643183591524487E-2</v>
      </c>
      <c r="AY26" s="34">
        <f t="shared" ca="1" si="8"/>
        <v>3.4583640588016766E-4</v>
      </c>
      <c r="AZ26" s="34">
        <f t="shared" ca="1" si="9"/>
        <v>5.1868146237750515E-6</v>
      </c>
      <c r="BA26" s="34">
        <f t="shared" ca="1" si="10"/>
        <v>2.8736585026181737E-8</v>
      </c>
      <c r="BB26" s="34">
        <f t="shared" ca="1" si="11"/>
        <v>201.55919793347095</v>
      </c>
      <c r="BC26" s="34">
        <f t="shared" ca="1" si="12"/>
        <v>32.323988933089161</v>
      </c>
      <c r="BD26" s="34">
        <f t="shared" ca="1" si="13"/>
        <v>1.1584745340012301</v>
      </c>
      <c r="BE26" s="34">
        <f t="shared" ca="1" si="14"/>
        <v>55.90480884804338</v>
      </c>
      <c r="BF26" s="34">
        <f t="shared" ca="1" si="15"/>
        <v>9.5578687104709112E-2</v>
      </c>
      <c r="BG26" s="34">
        <f t="shared" ca="1" si="16"/>
        <v>197.42337407490359</v>
      </c>
      <c r="BH26" s="34">
        <f t="shared" ca="1" si="17"/>
        <v>2.1151514058245207</v>
      </c>
      <c r="BI26" s="34">
        <f t="shared" ca="1" si="18"/>
        <v>6.586353520513416E-2</v>
      </c>
      <c r="BJ26" s="34">
        <f t="shared" ca="1" si="19"/>
        <v>2.745330596100222E-5</v>
      </c>
      <c r="BK26" s="34">
        <f t="shared" ca="1" si="20"/>
        <v>69519.566204008675</v>
      </c>
      <c r="BL26" s="34">
        <f t="shared" ca="1" si="21"/>
        <v>6.8988832834091943E-3</v>
      </c>
      <c r="BM26" s="34">
        <f t="shared" ca="1" si="22"/>
        <v>0.45379057032367892</v>
      </c>
      <c r="BN26" s="34">
        <f t="shared" ca="1" si="23"/>
        <v>0.45515891913225515</v>
      </c>
      <c r="BO26" s="34">
        <f t="shared" ca="1" si="24"/>
        <v>1.2452577585283975</v>
      </c>
      <c r="BP26" s="34">
        <f t="shared" ca="1" si="25"/>
        <v>18552.576168302945</v>
      </c>
      <c r="BQ26" s="34">
        <f t="shared" ca="1" si="26"/>
        <v>1.2964004012950313E-11</v>
      </c>
      <c r="BR26" s="34">
        <f t="shared" ca="1" si="27"/>
        <v>1.4381824471792363E-5</v>
      </c>
      <c r="BS26" s="34">
        <f t="shared" ca="1" si="28"/>
        <v>6.7508897969890229E-3</v>
      </c>
      <c r="BT26" s="34">
        <f t="shared" ca="1" si="29"/>
        <v>0.67117487011135835</v>
      </c>
      <c r="BU26" s="34">
        <f t="shared" ca="1" si="30"/>
        <v>269.90232939785989</v>
      </c>
      <c r="BV26" s="34">
        <f t="shared" ca="1" si="31"/>
        <v>9.8263750588990041E-14</v>
      </c>
      <c r="BW26" s="34">
        <f t="shared" ca="1" si="32"/>
        <v>1.7935824016476104E-8</v>
      </c>
      <c r="BX26" s="34">
        <f t="shared" ca="1" si="33"/>
        <v>2.574784059679338E-3</v>
      </c>
      <c r="BY26" s="34">
        <f t="shared" ca="1" si="34"/>
        <v>0.40809883661972585</v>
      </c>
    </row>
    <row r="27" spans="1:77" ht="12.75" customHeight="1" x14ac:dyDescent="0.3">
      <c r="A27" s="118"/>
      <c r="B27" s="118"/>
      <c r="C27" s="118"/>
      <c r="D27" s="118"/>
      <c r="E27" s="110"/>
      <c r="F27" s="118"/>
      <c r="G27" s="23"/>
      <c r="H27" s="25">
        <f t="shared" si="0"/>
        <v>5.0317248746992969E-3</v>
      </c>
      <c r="I27" s="25">
        <f t="shared" si="1"/>
        <v>1.8365795792652433</v>
      </c>
      <c r="J27" s="117">
        <v>158680.47564851702</v>
      </c>
      <c r="K27" s="117">
        <v>0.57000230509203553</v>
      </c>
      <c r="L27" s="117">
        <v>1.6184648719243375</v>
      </c>
      <c r="M27" s="117">
        <v>3.241546643532049</v>
      </c>
      <c r="N27" s="117">
        <v>156206.36732540521</v>
      </c>
      <c r="O27" s="117">
        <v>4.1682623207113698</v>
      </c>
      <c r="P27" s="117">
        <v>199.12587848533522</v>
      </c>
      <c r="Q27" s="117">
        <v>7.8481609839812272</v>
      </c>
      <c r="R27" s="117">
        <v>0.23099999292151313</v>
      </c>
      <c r="S27" s="117">
        <v>1.4729694707695871E-3</v>
      </c>
      <c r="T27" s="117">
        <v>63.137264691245754</v>
      </c>
      <c r="U27" s="117">
        <v>147.59817594506569</v>
      </c>
      <c r="V27" s="117">
        <v>286.38725140920047</v>
      </c>
      <c r="W27" s="117">
        <v>24293852.957616728</v>
      </c>
      <c r="X27" s="117">
        <v>412.42620045208628</v>
      </c>
      <c r="Y27" s="117">
        <v>16723562.270509521</v>
      </c>
      <c r="Z27" s="117">
        <v>251586.50273045964</v>
      </c>
      <c r="AA27" s="117">
        <v>20807.261935749721</v>
      </c>
      <c r="AB27" s="117">
        <v>2.5774555023628571</v>
      </c>
      <c r="AC27" s="117">
        <v>6183.8436277800392</v>
      </c>
      <c r="AD27" s="117">
        <v>14581.279075054406</v>
      </c>
      <c r="AE27" s="117">
        <v>27955219.846519843</v>
      </c>
      <c r="AF27" s="117">
        <v>858901.1872991632</v>
      </c>
      <c r="AG27" s="117">
        <v>4838.7736202539063</v>
      </c>
      <c r="AH27" s="117">
        <v>62.327613752107304</v>
      </c>
      <c r="AI27" s="117">
        <v>2.6943711860381141E-5</v>
      </c>
      <c r="AJ27" s="117">
        <v>622.83863544361736</v>
      </c>
      <c r="AK27" s="117">
        <v>8782.4679622731801</v>
      </c>
      <c r="AL27" s="117">
        <v>141.88535908215832</v>
      </c>
      <c r="AM27" s="117">
        <v>1.6825957662659488</v>
      </c>
      <c r="AN27" s="117">
        <v>6.1751041326250016E-7</v>
      </c>
      <c r="AO27" s="117">
        <v>3.0642429100930748</v>
      </c>
      <c r="AP27" s="117">
        <v>12489.177607015754</v>
      </c>
      <c r="AQ27" s="117">
        <v>35.848783608476175</v>
      </c>
      <c r="AS27" s="34">
        <f t="shared" ca="1" si="2"/>
        <v>40.186097907843774</v>
      </c>
      <c r="AT27" s="34">
        <f t="shared" ca="1" si="3"/>
        <v>19219451.899417069</v>
      </c>
      <c r="AU27" s="34">
        <f t="shared" ca="1" si="4"/>
        <v>2.0458123533613846E-2</v>
      </c>
      <c r="AV27" s="34">
        <f t="shared" ca="1" si="5"/>
        <v>182.6290798401582</v>
      </c>
      <c r="AW27" s="34">
        <f t="shared" ca="1" si="6"/>
        <v>4.1049224073489831E-4</v>
      </c>
      <c r="AX27" s="34">
        <f t="shared" ca="1" si="7"/>
        <v>2.5184318408387363E-2</v>
      </c>
      <c r="AY27" s="34">
        <f t="shared" ca="1" si="8"/>
        <v>3.8485391974846695E-4</v>
      </c>
      <c r="AZ27" s="34">
        <f t="shared" ca="1" si="9"/>
        <v>5.9398733333725592E-6</v>
      </c>
      <c r="BA27" s="34">
        <f t="shared" ca="1" si="10"/>
        <v>3.4791032817281121E-8</v>
      </c>
      <c r="BB27" s="34">
        <f t="shared" ca="1" si="11"/>
        <v>223.97835669622538</v>
      </c>
      <c r="BC27" s="34">
        <f t="shared" ca="1" si="12"/>
        <v>36.059518118724803</v>
      </c>
      <c r="BD27" s="34">
        <f t="shared" ca="1" si="13"/>
        <v>1.2309581662560558</v>
      </c>
      <c r="BE27" s="34">
        <f t="shared" ca="1" si="14"/>
        <v>56.528673191472585</v>
      </c>
      <c r="BF27" s="34">
        <f t="shared" ca="1" si="15"/>
        <v>0.10414559150419647</v>
      </c>
      <c r="BG27" s="34">
        <f t="shared" ca="1" si="16"/>
        <v>208.16853290494066</v>
      </c>
      <c r="BH27" s="34">
        <f t="shared" ca="1" si="17"/>
        <v>2.3366129298733735</v>
      </c>
      <c r="BI27" s="34">
        <f t="shared" ca="1" si="18"/>
        <v>7.4727115748149636E-2</v>
      </c>
      <c r="BJ27" s="34">
        <f t="shared" ca="1" si="19"/>
        <v>3.2671749474707203E-5</v>
      </c>
      <c r="BK27" s="34">
        <f t="shared" ca="1" si="20"/>
        <v>75420.653686735561</v>
      </c>
      <c r="BL27" s="34">
        <f t="shared" ca="1" si="21"/>
        <v>7.5157658860112737E-3</v>
      </c>
      <c r="BM27" s="34">
        <f t="shared" ca="1" si="22"/>
        <v>0.48031430091595445</v>
      </c>
      <c r="BN27" s="34">
        <f t="shared" ca="1" si="23"/>
        <v>0.46738955847793545</v>
      </c>
      <c r="BO27" s="34">
        <f t="shared" ca="1" si="24"/>
        <v>1.4018118111426767</v>
      </c>
      <c r="BP27" s="34">
        <f t="shared" ca="1" si="25"/>
        <v>22613.868831390053</v>
      </c>
      <c r="BQ27" s="34">
        <f t="shared" ca="1" si="26"/>
        <v>1.710472777187868E-11</v>
      </c>
      <c r="BR27" s="34">
        <f t="shared" ca="1" si="27"/>
        <v>1.6059348026493454E-5</v>
      </c>
      <c r="BS27" s="34">
        <f t="shared" ca="1" si="28"/>
        <v>7.1720306508073787E-3</v>
      </c>
      <c r="BT27" s="34">
        <f t="shared" ca="1" si="29"/>
        <v>0.78866687192525919</v>
      </c>
      <c r="BU27" s="34">
        <f t="shared" ca="1" si="30"/>
        <v>345.65679574612631</v>
      </c>
      <c r="BV27" s="34">
        <f t="shared" ca="1" si="31"/>
        <v>1.3648872744318192E-13</v>
      </c>
      <c r="BW27" s="34">
        <f t="shared" ca="1" si="32"/>
        <v>2.1021651590791934E-8</v>
      </c>
      <c r="BX27" s="34">
        <f t="shared" ca="1" si="33"/>
        <v>2.7136303196868251E-3</v>
      </c>
      <c r="BY27" s="34">
        <f t="shared" ca="1" si="34"/>
        <v>0.46977409394770897</v>
      </c>
    </row>
    <row r="28" spans="1:77" ht="12.75" customHeight="1" x14ac:dyDescent="0.3">
      <c r="A28" s="118"/>
      <c r="B28" s="118"/>
      <c r="C28" s="118"/>
      <c r="D28" s="118"/>
      <c r="E28" s="110"/>
      <c r="F28" s="118"/>
      <c r="G28" s="23"/>
      <c r="H28" s="25">
        <f t="shared" si="0"/>
        <v>5.36717319967925E-3</v>
      </c>
      <c r="I28" s="25">
        <f t="shared" si="1"/>
        <v>1.9590182178829263</v>
      </c>
      <c r="J28" s="117">
        <v>169259.17402508482</v>
      </c>
      <c r="K28" s="117">
        <v>0.57127854125796607</v>
      </c>
      <c r="L28" s="117">
        <v>1.6943786069229239</v>
      </c>
      <c r="M28" s="117">
        <v>3.4450267986457859</v>
      </c>
      <c r="N28" s="117">
        <v>159117.74466553787</v>
      </c>
      <c r="O28" s="117">
        <v>4.6037128816559543</v>
      </c>
      <c r="P28" s="117">
        <v>211.00362252130731</v>
      </c>
      <c r="Q28" s="117">
        <v>8.6471776594271432</v>
      </c>
      <c r="R28" s="117">
        <v>0.26206313485005034</v>
      </c>
      <c r="S28" s="117">
        <v>1.7564043448459895E-3</v>
      </c>
      <c r="T28" s="117">
        <v>69.453400031720989</v>
      </c>
      <c r="U28" s="117">
        <v>163.00209785682276</v>
      </c>
      <c r="V28" s="117">
        <v>302.87663079500118</v>
      </c>
      <c r="W28" s="117">
        <v>24533444.55439404</v>
      </c>
      <c r="X28" s="117">
        <v>446.24964810377878</v>
      </c>
      <c r="Y28" s="117">
        <v>17557166.453392699</v>
      </c>
      <c r="Z28" s="117">
        <v>275869.89369984547</v>
      </c>
      <c r="AA28" s="117">
        <v>23399.382565704283</v>
      </c>
      <c r="AB28" s="117">
        <v>3.0299628714763363</v>
      </c>
      <c r="AC28" s="117">
        <v>6661.8630111955308</v>
      </c>
      <c r="AD28" s="117">
        <v>15773.999489400667</v>
      </c>
      <c r="AE28" s="117">
        <v>29459318.102134332</v>
      </c>
      <c r="AF28" s="117">
        <v>878200.01759443339</v>
      </c>
      <c r="AG28" s="117">
        <v>5390.5299516326213</v>
      </c>
      <c r="AH28" s="117">
        <v>74.784679484029056</v>
      </c>
      <c r="AI28" s="117">
        <v>3.482218286335367E-5</v>
      </c>
      <c r="AJ28" s="117">
        <v>688.17845949428261</v>
      </c>
      <c r="AK28" s="117">
        <v>9244.2754241465573</v>
      </c>
      <c r="AL28" s="117">
        <v>164.25551735347801</v>
      </c>
      <c r="AM28" s="117">
        <v>2.1120205383498116</v>
      </c>
      <c r="AN28" s="117">
        <v>8.3656064988432785E-7</v>
      </c>
      <c r="AO28" s="117">
        <v>3.5381054121202347</v>
      </c>
      <c r="AP28" s="117">
        <v>13050.629251371338</v>
      </c>
      <c r="AQ28" s="117">
        <v>40.663703478582654</v>
      </c>
      <c r="AS28" s="34">
        <f t="shared" ca="1" si="2"/>
        <v>40.27607465190156</v>
      </c>
      <c r="AT28" s="34">
        <f t="shared" ca="1" si="3"/>
        <v>20120936.017867949</v>
      </c>
      <c r="AU28" s="34">
        <f t="shared" ca="1" si="4"/>
        <v>2.1742332156143445E-2</v>
      </c>
      <c r="AV28" s="34">
        <f t="shared" ca="1" si="5"/>
        <v>186.03292421474944</v>
      </c>
      <c r="AW28" s="34">
        <f t="shared" ca="1" si="6"/>
        <v>4.5337559661277524E-4</v>
      </c>
      <c r="AX28" s="34">
        <f t="shared" ca="1" si="7"/>
        <v>2.6686548505502915E-2</v>
      </c>
      <c r="AY28" s="34">
        <f t="shared" ca="1" si="8"/>
        <v>4.2403567202360415E-4</v>
      </c>
      <c r="AZ28" s="34">
        <f t="shared" ca="1" si="9"/>
        <v>6.7386228314072912E-6</v>
      </c>
      <c r="BA28" s="34">
        <f t="shared" ca="1" si="10"/>
        <v>4.1485667160518357E-8</v>
      </c>
      <c r="BB28" s="34">
        <f t="shared" ca="1" si="11"/>
        <v>246.38473779538549</v>
      </c>
      <c r="BC28" s="34">
        <f t="shared" ca="1" si="12"/>
        <v>39.82283021739979</v>
      </c>
      <c r="BD28" s="34">
        <f t="shared" ca="1" si="13"/>
        <v>1.301833305116352</v>
      </c>
      <c r="BE28" s="34">
        <f t="shared" ca="1" si="14"/>
        <v>57.086172040966581</v>
      </c>
      <c r="BF28" s="34">
        <f t="shared" ca="1" si="15"/>
        <v>0.11268666614624259</v>
      </c>
      <c r="BG28" s="34">
        <f t="shared" ca="1" si="16"/>
        <v>218.54492024199851</v>
      </c>
      <c r="BH28" s="34">
        <f t="shared" ca="1" si="17"/>
        <v>2.5621452406469261</v>
      </c>
      <c r="BI28" s="34">
        <f t="shared" ca="1" si="18"/>
        <v>8.4036447218379037E-2</v>
      </c>
      <c r="BJ28" s="34">
        <f t="shared" ca="1" si="19"/>
        <v>3.8407719459671513E-5</v>
      </c>
      <c r="BK28" s="34">
        <f t="shared" ca="1" si="20"/>
        <v>81250.771093030533</v>
      </c>
      <c r="BL28" s="34">
        <f t="shared" ca="1" si="21"/>
        <v>8.1305409928829862E-3</v>
      </c>
      <c r="BM28" s="34">
        <f t="shared" ca="1" si="22"/>
        <v>0.50615705608370953</v>
      </c>
      <c r="BN28" s="34">
        <f t="shared" ca="1" si="23"/>
        <v>0.4778914321558736</v>
      </c>
      <c r="BO28" s="34">
        <f t="shared" ca="1" si="24"/>
        <v>1.5616577975227648</v>
      </c>
      <c r="BP28" s="34">
        <f t="shared" ca="1" si="25"/>
        <v>27133.57419996207</v>
      </c>
      <c r="BQ28" s="34">
        <f t="shared" ca="1" si="26"/>
        <v>2.2106232481504046E-11</v>
      </c>
      <c r="BR28" s="34">
        <f t="shared" ca="1" si="27"/>
        <v>1.7744078090921948E-5</v>
      </c>
      <c r="BS28" s="34">
        <f t="shared" ca="1" si="28"/>
        <v>7.5491566802509454E-3</v>
      </c>
      <c r="BT28" s="34">
        <f t="shared" ca="1" si="29"/>
        <v>0.91301093999854621</v>
      </c>
      <c r="BU28" s="34">
        <f t="shared" ca="1" si="30"/>
        <v>433.87381953070741</v>
      </c>
      <c r="BV28" s="34">
        <f t="shared" ca="1" si="31"/>
        <v>1.8490554341990573E-13</v>
      </c>
      <c r="BW28" s="34">
        <f t="shared" ca="1" si="32"/>
        <v>2.4272494527148218E-8</v>
      </c>
      <c r="BX28" s="34">
        <f t="shared" ca="1" si="33"/>
        <v>2.8356217152055718E-3</v>
      </c>
      <c r="BY28" s="34">
        <f t="shared" ca="1" si="34"/>
        <v>0.53287036644927521</v>
      </c>
    </row>
    <row r="29" spans="1:77" ht="12.75" customHeight="1" x14ac:dyDescent="0.3">
      <c r="A29" s="118"/>
      <c r="B29" s="118"/>
      <c r="C29" s="118"/>
      <c r="D29" s="118"/>
      <c r="E29" s="110"/>
      <c r="F29" s="118"/>
      <c r="G29" s="23"/>
      <c r="H29" s="25">
        <f t="shared" si="0"/>
        <v>5.7026215246592038E-3</v>
      </c>
      <c r="I29" s="25">
        <f t="shared" si="1"/>
        <v>2.0814568565006093</v>
      </c>
      <c r="J29" s="117">
        <v>179837.87240165262</v>
      </c>
      <c r="K29" s="117">
        <v>0.57250244439913789</v>
      </c>
      <c r="L29" s="117">
        <v>1.7671788593677169</v>
      </c>
      <c r="M29" s="117">
        <v>3.6469949302976281</v>
      </c>
      <c r="N29" s="117">
        <v>161624.70664534191</v>
      </c>
      <c r="O29" s="117">
        <v>5.0409775950936799</v>
      </c>
      <c r="P29" s="117">
        <v>222.56873263932604</v>
      </c>
      <c r="Q29" s="117">
        <v>9.4467902618759787</v>
      </c>
      <c r="R29" s="117">
        <v>0.29485001822334495</v>
      </c>
      <c r="S29" s="117">
        <v>2.0669370442928125E-3</v>
      </c>
      <c r="T29" s="117">
        <v>75.743313536912964</v>
      </c>
      <c r="U29" s="117">
        <v>178.46721186795779</v>
      </c>
      <c r="V29" s="117">
        <v>318.99298360694684</v>
      </c>
      <c r="W29" s="117">
        <v>24750543.130944338</v>
      </c>
      <c r="X29" s="117">
        <v>479.93072226167391</v>
      </c>
      <c r="Y29" s="117">
        <v>18362163.048111465</v>
      </c>
      <c r="Z29" s="117">
        <v>300547.06009387953</v>
      </c>
      <c r="AA29" s="117">
        <v>26110.757266385659</v>
      </c>
      <c r="AB29" s="117">
        <v>3.5239118281023232</v>
      </c>
      <c r="AC29" s="117">
        <v>7133.5520668141717</v>
      </c>
      <c r="AD29" s="117">
        <v>16961.219339414791</v>
      </c>
      <c r="AE29" s="117">
        <v>30924799.588762078</v>
      </c>
      <c r="AF29" s="117">
        <v>894871.04051539465</v>
      </c>
      <c r="AG29" s="117">
        <v>5951.7397089646338</v>
      </c>
      <c r="AH29" s="117">
        <v>88.513659871611296</v>
      </c>
      <c r="AI29" s="117">
        <v>4.4200224735393744E-5</v>
      </c>
      <c r="AJ29" s="117">
        <v>753.51988670841695</v>
      </c>
      <c r="AK29" s="117">
        <v>9655.9131823449443</v>
      </c>
      <c r="AL29" s="117">
        <v>187.73194225062451</v>
      </c>
      <c r="AM29" s="117">
        <v>2.6052313251433619</v>
      </c>
      <c r="AN29" s="117">
        <v>1.1088935007566495E-6</v>
      </c>
      <c r="AO29" s="117">
        <v>4.033047516728101</v>
      </c>
      <c r="AP29" s="117">
        <v>13542.307884805123</v>
      </c>
      <c r="AQ29" s="117">
        <v>45.547080112333703</v>
      </c>
      <c r="AS29" s="34">
        <f t="shared" ca="1" si="2"/>
        <v>40.362361831833063</v>
      </c>
      <c r="AT29" s="34">
        <f t="shared" ca="1" si="3"/>
        <v>20985447.181749132</v>
      </c>
      <c r="AU29" s="34">
        <f t="shared" ca="1" si="4"/>
        <v>2.3016998061516442E-2</v>
      </c>
      <c r="AV29" s="34">
        <f t="shared" ca="1" si="5"/>
        <v>188.96394532102806</v>
      </c>
      <c r="AW29" s="34">
        <f t="shared" ca="1" si="6"/>
        <v>4.9643761099739826E-4</v>
      </c>
      <c r="AX29" s="34">
        <f t="shared" ca="1" si="7"/>
        <v>2.8149238427354013E-2</v>
      </c>
      <c r="AY29" s="34">
        <f t="shared" ca="1" si="8"/>
        <v>4.6324664704830339E-4</v>
      </c>
      <c r="AZ29" s="34">
        <f t="shared" ca="1" si="9"/>
        <v>7.5816961656112403E-6</v>
      </c>
      <c r="BA29" s="34">
        <f t="shared" ca="1" si="10"/>
        <v>4.8820342828744288E-8</v>
      </c>
      <c r="BB29" s="34">
        <f t="shared" ca="1" si="11"/>
        <v>268.69809738648655</v>
      </c>
      <c r="BC29" s="34">
        <f t="shared" ca="1" si="12"/>
        <v>43.601092078171192</v>
      </c>
      <c r="BD29" s="34">
        <f t="shared" ca="1" si="13"/>
        <v>1.3711050901085624</v>
      </c>
      <c r="BE29" s="34">
        <f t="shared" ca="1" si="14"/>
        <v>57.591332523560929</v>
      </c>
      <c r="BF29" s="34">
        <f t="shared" ca="1" si="15"/>
        <v>0.12119178872775085</v>
      </c>
      <c r="BG29" s="34">
        <f t="shared" ca="1" si="16"/>
        <v>228.56521121861547</v>
      </c>
      <c r="BH29" s="34">
        <f t="shared" ca="1" si="17"/>
        <v>2.7913347458196753</v>
      </c>
      <c r="BI29" s="34">
        <f t="shared" ca="1" si="18"/>
        <v>9.377406727238069E-2</v>
      </c>
      <c r="BJ29" s="34">
        <f t="shared" ca="1" si="19"/>
        <v>4.4669001778370218E-5</v>
      </c>
      <c r="BK29" s="34">
        <f t="shared" ca="1" si="20"/>
        <v>87003.681265568011</v>
      </c>
      <c r="BL29" s="34">
        <f t="shared" ca="1" si="21"/>
        <v>8.7424808921197257E-3</v>
      </c>
      <c r="BM29" s="34">
        <f t="shared" ca="1" si="22"/>
        <v>0.53133631489903621</v>
      </c>
      <c r="BN29" s="34">
        <f t="shared" ca="1" si="23"/>
        <v>0.48696332791946584</v>
      </c>
      <c r="BO29" s="34">
        <f t="shared" ca="1" si="24"/>
        <v>1.7242424787038715</v>
      </c>
      <c r="BP29" s="34">
        <f t="shared" ca="1" si="25"/>
        <v>32114.758990836799</v>
      </c>
      <c r="BQ29" s="34">
        <f t="shared" ca="1" si="26"/>
        <v>2.8059712613927634E-11</v>
      </c>
      <c r="BR29" s="34">
        <f t="shared" ca="1" si="27"/>
        <v>1.9428849491514622E-5</v>
      </c>
      <c r="BS29" s="34">
        <f t="shared" ca="1" si="28"/>
        <v>7.8853126026534603E-3</v>
      </c>
      <c r="BT29" s="34">
        <f t="shared" ca="1" si="29"/>
        <v>1.0435041685275004</v>
      </c>
      <c r="BU29" s="34">
        <f t="shared" ca="1" si="30"/>
        <v>535.19444781733432</v>
      </c>
      <c r="BV29" s="34">
        <f t="shared" ca="1" si="31"/>
        <v>2.4509945020789716E-13</v>
      </c>
      <c r="BW29" s="34">
        <f t="shared" ca="1" si="32"/>
        <v>2.7667950039636888E-8</v>
      </c>
      <c r="BX29" s="34">
        <f t="shared" ca="1" si="33"/>
        <v>2.9424529325371759E-3</v>
      </c>
      <c r="BY29" s="34">
        <f t="shared" ca="1" si="34"/>
        <v>0.59686371859702814</v>
      </c>
    </row>
    <row r="30" spans="1:77" ht="12.75" customHeight="1" x14ac:dyDescent="0.3">
      <c r="A30" s="118"/>
      <c r="B30" s="118"/>
      <c r="C30" s="118"/>
      <c r="D30" s="118"/>
      <c r="E30" s="110"/>
      <c r="F30" s="118"/>
      <c r="G30" s="23"/>
      <c r="H30" s="25">
        <f t="shared" si="0"/>
        <v>6.038069849639156E-3</v>
      </c>
      <c r="I30" s="25">
        <f t="shared" si="1"/>
        <v>2.2038954951182919</v>
      </c>
      <c r="J30" s="117">
        <v>190416.57077822043</v>
      </c>
      <c r="K30" s="117">
        <v>0.57367616732711846</v>
      </c>
      <c r="L30" s="117">
        <v>1.8369937253556292</v>
      </c>
      <c r="M30" s="117">
        <v>3.8474622740827775</v>
      </c>
      <c r="N30" s="117">
        <v>163806.84015531489</v>
      </c>
      <c r="O30" s="117">
        <v>5.4788761865120401</v>
      </c>
      <c r="P30" s="117">
        <v>233.81939441319619</v>
      </c>
      <c r="Q30" s="117">
        <v>10.244813799928254</v>
      </c>
      <c r="R30" s="117">
        <v>0.32930711995196077</v>
      </c>
      <c r="S30" s="117">
        <v>2.4044762083801022E-3</v>
      </c>
      <c r="T30" s="117">
        <v>81.989395338307176</v>
      </c>
      <c r="U30" s="117">
        <v>193.95171316722471</v>
      </c>
      <c r="V30" s="117">
        <v>334.73911653677237</v>
      </c>
      <c r="W30" s="117">
        <v>24949705.029665969</v>
      </c>
      <c r="X30" s="117">
        <v>513.43853726523355</v>
      </c>
      <c r="Y30" s="117">
        <v>19139535.532370143</v>
      </c>
      <c r="Z30" s="117">
        <v>325578.13071452733</v>
      </c>
      <c r="AA30" s="117">
        <v>28936.691816045397</v>
      </c>
      <c r="AB30" s="117">
        <v>4.0598419473053671</v>
      </c>
      <c r="AC30" s="117">
        <v>7598.5487544472599</v>
      </c>
      <c r="AD30" s="117">
        <v>18141.853377283947</v>
      </c>
      <c r="AE30" s="117">
        <v>32352655.678245928</v>
      </c>
      <c r="AF30" s="117">
        <v>909376.96123760683</v>
      </c>
      <c r="AG30" s="117">
        <v>6520.8336324906568</v>
      </c>
      <c r="AH30" s="117">
        <v>103.51837106408881</v>
      </c>
      <c r="AI30" s="117">
        <v>5.5221803440215202E-5</v>
      </c>
      <c r="AJ30" s="117">
        <v>818.63915209424022</v>
      </c>
      <c r="AK30" s="117">
        <v>10021.662433443194</v>
      </c>
      <c r="AL30" s="117">
        <v>212.19776242648632</v>
      </c>
      <c r="AM30" s="117">
        <v>3.1649937353206568</v>
      </c>
      <c r="AN30" s="117">
        <v>1.4420110812114107E-6</v>
      </c>
      <c r="AO30" s="117">
        <v>4.546330968712275</v>
      </c>
      <c r="AP30" s="117">
        <v>13972.183113092662</v>
      </c>
      <c r="AQ30" s="117">
        <v>50.464307642965977</v>
      </c>
      <c r="AS30" s="34">
        <f t="shared" ca="1" si="2"/>
        <v>40.44511122438665</v>
      </c>
      <c r="AT30" s="34">
        <f t="shared" ca="1" si="3"/>
        <v>21814506.546580162</v>
      </c>
      <c r="AU30" s="34">
        <f t="shared" ca="1" si="4"/>
        <v>2.4282192160079E-2</v>
      </c>
      <c r="AV30" s="34">
        <f t="shared" ca="1" si="5"/>
        <v>191.51519237861152</v>
      </c>
      <c r="AW30" s="34">
        <f t="shared" ca="1" si="6"/>
        <v>5.3956204995432577E-4</v>
      </c>
      <c r="AX30" s="34">
        <f t="shared" ca="1" si="7"/>
        <v>2.9572158695545497E-2</v>
      </c>
      <c r="AY30" s="34">
        <f t="shared" ca="1" si="8"/>
        <v>5.0237969838323672E-4</v>
      </c>
      <c r="AZ30" s="34">
        <f t="shared" ca="1" si="9"/>
        <v>8.4677170572770321E-6</v>
      </c>
      <c r="BA30" s="34">
        <f t="shared" ca="1" si="10"/>
        <v>5.6792901912907086E-8</v>
      </c>
      <c r="BB30" s="34">
        <f t="shared" ca="1" si="11"/>
        <v>290.85596476493271</v>
      </c>
      <c r="BC30" s="34">
        <f t="shared" ca="1" si="12"/>
        <v>47.384090422054179</v>
      </c>
      <c r="BD30" s="34">
        <f t="shared" ca="1" si="13"/>
        <v>1.438785585038231</v>
      </c>
      <c r="BE30" s="34">
        <f t="shared" ca="1" si="14"/>
        <v>58.054756662361378</v>
      </c>
      <c r="BF30" s="34">
        <f t="shared" ca="1" si="15"/>
        <v>0.12965316002213914</v>
      </c>
      <c r="BG30" s="34">
        <f t="shared" ca="1" si="16"/>
        <v>238.24164779063463</v>
      </c>
      <c r="BH30" s="34">
        <f t="shared" ca="1" si="17"/>
        <v>3.0238111411191522</v>
      </c>
      <c r="BI30" s="34">
        <f t="shared" ca="1" si="18"/>
        <v>0.10392311710129128</v>
      </c>
      <c r="BJ30" s="34">
        <f t="shared" ca="1" si="19"/>
        <v>5.1462436068312335E-5</v>
      </c>
      <c r="BK30" s="34">
        <f t="shared" ca="1" si="20"/>
        <v>92674.968616028447</v>
      </c>
      <c r="BL30" s="34">
        <f t="shared" ca="1" si="21"/>
        <v>9.3510262042289551E-3</v>
      </c>
      <c r="BM30" s="34">
        <f t="shared" ca="1" si="22"/>
        <v>0.55586911067722433</v>
      </c>
      <c r="BN30" s="34">
        <f t="shared" ca="1" si="23"/>
        <v>0.49485703674409831</v>
      </c>
      <c r="BO30" s="34">
        <f t="shared" ca="1" si="24"/>
        <v>1.8891112339415768</v>
      </c>
      <c r="BP30" s="34">
        <f t="shared" ca="1" si="25"/>
        <v>37558.807789321472</v>
      </c>
      <c r="BQ30" s="34">
        <f t="shared" ca="1" si="26"/>
        <v>3.5056562355314365E-11</v>
      </c>
      <c r="BR30" s="34">
        <f t="shared" ca="1" si="27"/>
        <v>2.1107892644185571E-5</v>
      </c>
      <c r="BS30" s="34">
        <f t="shared" ca="1" si="28"/>
        <v>8.1839945734451334E-3</v>
      </c>
      <c r="BT30" s="34">
        <f t="shared" ca="1" si="29"/>
        <v>1.1794969305150842</v>
      </c>
      <c r="BU30" s="34">
        <f t="shared" ca="1" si="30"/>
        <v>650.18682148198468</v>
      </c>
      <c r="BV30" s="34">
        <f t="shared" ca="1" si="31"/>
        <v>3.1872864522828052E-13</v>
      </c>
      <c r="BW30" s="34">
        <f t="shared" ca="1" si="32"/>
        <v>3.1189232852885703E-8</v>
      </c>
      <c r="BX30" s="34">
        <f t="shared" ca="1" si="33"/>
        <v>3.0358555960166411E-3</v>
      </c>
      <c r="BY30" s="34">
        <f t="shared" ca="1" si="34"/>
        <v>0.6613006638827067</v>
      </c>
    </row>
    <row r="31" spans="1:77" ht="12.75" customHeight="1" x14ac:dyDescent="0.3">
      <c r="A31" s="118"/>
      <c r="B31" s="118"/>
      <c r="C31" s="118"/>
      <c r="D31" s="118"/>
      <c r="E31" s="110"/>
      <c r="F31" s="118"/>
      <c r="G31" s="23"/>
      <c r="H31" s="25">
        <f t="shared" si="0"/>
        <v>6.373518174619109E-3</v>
      </c>
      <c r="I31" s="25">
        <f t="shared" si="1"/>
        <v>2.3263341337359749</v>
      </c>
      <c r="J31" s="117">
        <v>200995.26915478823</v>
      </c>
      <c r="K31" s="117">
        <v>0.57480178443012275</v>
      </c>
      <c r="L31" s="117">
        <v>1.9039460507331547</v>
      </c>
      <c r="M31" s="117">
        <v>4.0464399824791366</v>
      </c>
      <c r="N31" s="117">
        <v>165728.1540803274</v>
      </c>
      <c r="O31" s="117">
        <v>5.916472631332474</v>
      </c>
      <c r="P31" s="117">
        <v>244.75631445091653</v>
      </c>
      <c r="Q31" s="117">
        <v>11.039522744818495</v>
      </c>
      <c r="R31" s="117">
        <v>0.36538099236546934</v>
      </c>
      <c r="S31" s="117">
        <v>2.7688631297394677E-3</v>
      </c>
      <c r="T31" s="117">
        <v>88.178072668704004</v>
      </c>
      <c r="U31" s="117">
        <v>209.42246444875866</v>
      </c>
      <c r="V31" s="117">
        <v>350.1190930063172</v>
      </c>
      <c r="W31" s="117">
        <v>25134379.279120106</v>
      </c>
      <c r="X31" s="117">
        <v>546.74918908355608</v>
      </c>
      <c r="Y31" s="117">
        <v>19890233.736492753</v>
      </c>
      <c r="Z31" s="117">
        <v>350927.01915834157</v>
      </c>
      <c r="AA31" s="117">
        <v>31872.654381652352</v>
      </c>
      <c r="AB31" s="117">
        <v>4.638225575151556</v>
      </c>
      <c r="AC31" s="117">
        <v>8056.6036089635791</v>
      </c>
      <c r="AD31" s="117">
        <v>19315.064165595897</v>
      </c>
      <c r="AE31" s="117">
        <v>33743852.43625658</v>
      </c>
      <c r="AF31" s="117">
        <v>922103.38690413465</v>
      </c>
      <c r="AG31" s="117">
        <v>7096.5266458470451</v>
      </c>
      <c r="AH31" s="117">
        <v>119.7988664205989</v>
      </c>
      <c r="AI31" s="117">
        <v>6.8030717395059669E-5</v>
      </c>
      <c r="AJ31" s="117">
        <v>883.35767118207923</v>
      </c>
      <c r="AK31" s="117">
        <v>10346.024585496769</v>
      </c>
      <c r="AL31" s="117">
        <v>237.54663306617502</v>
      </c>
      <c r="AM31" s="117">
        <v>3.7937480872614109</v>
      </c>
      <c r="AN31" s="117">
        <v>1.8437060058675687E-6</v>
      </c>
      <c r="AO31" s="117">
        <v>5.0754723017885093</v>
      </c>
      <c r="AP31" s="117">
        <v>14347.987709530247</v>
      </c>
      <c r="AQ31" s="117">
        <v>55.385926028438419</v>
      </c>
      <c r="AS31" s="34">
        <f t="shared" ca="1" si="2"/>
        <v>40.524469077335631</v>
      </c>
      <c r="AT31" s="34">
        <f t="shared" ca="1" si="3"/>
        <v>22609572.920567937</v>
      </c>
      <c r="AU31" s="34">
        <f t="shared" ca="1" si="4"/>
        <v>2.5537984837605488E-2</v>
      </c>
      <c r="AV31" s="34">
        <f t="shared" ca="1" si="5"/>
        <v>193.761501541401</v>
      </c>
      <c r="AW31" s="34">
        <f t="shared" ca="1" si="6"/>
        <v>5.8265673338617587E-4</v>
      </c>
      <c r="AX31" s="34">
        <f t="shared" ca="1" si="7"/>
        <v>3.0955398677873086E-2</v>
      </c>
      <c r="AY31" s="34">
        <f t="shared" ca="1" si="8"/>
        <v>5.4135021047192061E-4</v>
      </c>
      <c r="AZ31" s="34">
        <f t="shared" ca="1" si="9"/>
        <v>9.3953111670019084E-6</v>
      </c>
      <c r="BA31" s="34">
        <f t="shared" ca="1" si="10"/>
        <v>6.5399595799493967E-8</v>
      </c>
      <c r="BB31" s="34">
        <f t="shared" ca="1" si="11"/>
        <v>312.81019077335935</v>
      </c>
      <c r="BC31" s="34">
        <f t="shared" ca="1" si="12"/>
        <v>51.163729517014204</v>
      </c>
      <c r="BD31" s="34">
        <f t="shared" ca="1" si="13"/>
        <v>1.5048922554254589</v>
      </c>
      <c r="BE31" s="34">
        <f t="shared" ca="1" si="14"/>
        <v>58.484469903504561</v>
      </c>
      <c r="BF31" s="34">
        <f t="shared" ca="1" si="15"/>
        <v>0.13806474379932587</v>
      </c>
      <c r="BG31" s="34">
        <f t="shared" ca="1" si="16"/>
        <v>247.58605308412575</v>
      </c>
      <c r="BH31" s="34">
        <f t="shared" ca="1" si="17"/>
        <v>3.2592392736020441</v>
      </c>
      <c r="BI31" s="34">
        <f t="shared" ca="1" si="18"/>
        <v>0.11446732109842522</v>
      </c>
      <c r="BJ31" s="34">
        <f t="shared" ca="1" si="19"/>
        <v>5.879400977421706E-5</v>
      </c>
      <c r="BK31" s="34">
        <f t="shared" ca="1" si="20"/>
        <v>98261.590566946936</v>
      </c>
      <c r="BL31" s="34">
        <f t="shared" ca="1" si="21"/>
        <v>9.9557452809648523E-3</v>
      </c>
      <c r="BM31" s="34">
        <f t="shared" ca="1" si="22"/>
        <v>0.57977204193403631</v>
      </c>
      <c r="BN31" s="34">
        <f t="shared" ca="1" si="23"/>
        <v>0.5017823950521767</v>
      </c>
      <c r="BO31" s="34">
        <f t="shared" ca="1" si="24"/>
        <v>2.0558917715425395</v>
      </c>
      <c r="BP31" s="34">
        <f t="shared" ca="1" si="25"/>
        <v>43465.739955318706</v>
      </c>
      <c r="BQ31" s="34">
        <f t="shared" ca="1" si="26"/>
        <v>4.3188069527983974E-11</v>
      </c>
      <c r="BR31" s="34">
        <f t="shared" ca="1" si="27"/>
        <v>2.2776602904991082E-5</v>
      </c>
      <c r="BS31" s="34">
        <f t="shared" ca="1" si="28"/>
        <v>8.4488785794538442E-3</v>
      </c>
      <c r="BT31" s="34">
        <f t="shared" ca="1" si="29"/>
        <v>1.3203981104787275</v>
      </c>
      <c r="BU31" s="34">
        <f t="shared" ca="1" si="30"/>
        <v>779.35225679363032</v>
      </c>
      <c r="BV31" s="34">
        <f t="shared" ca="1" si="31"/>
        <v>4.0751553514813888E-13</v>
      </c>
      <c r="BW31" s="34">
        <f t="shared" ca="1" si="32"/>
        <v>3.4819305622109446E-8</v>
      </c>
      <c r="BX31" s="34">
        <f t="shared" ca="1" si="33"/>
        <v>3.1175098713628283E-3</v>
      </c>
      <c r="BY31" s="34">
        <f t="shared" ca="1" si="34"/>
        <v>0.72579514835511805</v>
      </c>
    </row>
    <row r="32" spans="1:77" ht="12.75" customHeight="1" x14ac:dyDescent="0.3">
      <c r="A32" s="118"/>
      <c r="B32" s="118"/>
      <c r="C32" s="118"/>
      <c r="D32" s="118"/>
      <c r="E32" s="110"/>
      <c r="F32" s="118"/>
      <c r="G32" s="23"/>
      <c r="H32" s="25">
        <f t="shared" si="0"/>
        <v>6.7089664995990629E-3</v>
      </c>
      <c r="I32" s="25">
        <f t="shared" si="1"/>
        <v>2.4487727723536579</v>
      </c>
      <c r="J32" s="117">
        <v>211573.96753135603</v>
      </c>
      <c r="K32" s="117">
        <v>0.57588126354851243</v>
      </c>
      <c r="L32" s="117">
        <v>1.9681535656852434</v>
      </c>
      <c r="M32" s="117">
        <v>4.2439391241739663</v>
      </c>
      <c r="N32" s="117">
        <v>167439.52772224959</v>
      </c>
      <c r="O32" s="117">
        <v>6.3530301705064502</v>
      </c>
      <c r="P32" s="117">
        <v>255.38218360852179</v>
      </c>
      <c r="Q32" s="117">
        <v>11.829566661968128</v>
      </c>
      <c r="R32" s="117">
        <v>0.4030186077048456</v>
      </c>
      <c r="S32" s="117">
        <v>3.1598852374210558E-3</v>
      </c>
      <c r="T32" s="117">
        <v>94.29905500973409</v>
      </c>
      <c r="U32" s="117">
        <v>224.85339925794048</v>
      </c>
      <c r="V32" s="117">
        <v>365.13795601261228</v>
      </c>
      <c r="W32" s="117">
        <v>25307167.072946258</v>
      </c>
      <c r="X32" s="117">
        <v>579.84417772578956</v>
      </c>
      <c r="Y32" s="117">
        <v>20615174.463350937</v>
      </c>
      <c r="Z32" s="117">
        <v>376560.80681210035</v>
      </c>
      <c r="AA32" s="117">
        <v>34914.272454801147</v>
      </c>
      <c r="AB32" s="117">
        <v>5.2594729399806868</v>
      </c>
      <c r="AC32" s="117">
        <v>8507.5535424286791</v>
      </c>
      <c r="AD32" s="117">
        <v>20480.206047521817</v>
      </c>
      <c r="AE32" s="117">
        <v>35099330.869804777</v>
      </c>
      <c r="AF32" s="117">
        <v>933367.68444230955</v>
      </c>
      <c r="AG32" s="117">
        <v>7677.7724227552226</v>
      </c>
      <c r="AH32" s="117">
        <v>137.35210937633809</v>
      </c>
      <c r="AI32" s="117">
        <v>8.277020253354802E-5</v>
      </c>
      <c r="AJ32" s="117">
        <v>947.53484403260461</v>
      </c>
      <c r="AK32" s="117">
        <v>10633.485865792076</v>
      </c>
      <c r="AL32" s="117">
        <v>263.68315282687558</v>
      </c>
      <c r="AM32" s="117">
        <v>4.4936358671677956</v>
      </c>
      <c r="AN32" s="117">
        <v>2.3220295331434224E-6</v>
      </c>
      <c r="AO32" s="117">
        <v>5.618250385891586</v>
      </c>
      <c r="AP32" s="117">
        <v>14676.955818315069</v>
      </c>
      <c r="AQ32" s="117">
        <v>60.287317588605809</v>
      </c>
      <c r="AS32" s="34">
        <f t="shared" ca="1" si="2"/>
        <v>40.60057412665482</v>
      </c>
      <c r="AT32" s="34">
        <f t="shared" ca="1" si="3"/>
        <v>23372044.362864684</v>
      </c>
      <c r="AU32" s="34">
        <f t="shared" ca="1" si="4"/>
        <v>2.6784445951048844E-2</v>
      </c>
      <c r="AV32" s="34">
        <f t="shared" ca="1" si="5"/>
        <v>195.76235847725087</v>
      </c>
      <c r="AW32" s="34">
        <f t="shared" ca="1" si="6"/>
        <v>6.2564910494945477E-4</v>
      </c>
      <c r="AX32" s="34">
        <f t="shared" ca="1" si="7"/>
        <v>3.229929869863659E-2</v>
      </c>
      <c r="AY32" s="34">
        <f t="shared" ca="1" si="8"/>
        <v>5.8009196142594214E-4</v>
      </c>
      <c r="AZ32" s="34">
        <f t="shared" ca="1" si="9"/>
        <v>1.0363114952874988E-5</v>
      </c>
      <c r="BA32" s="34">
        <f t="shared" ca="1" si="10"/>
        <v>7.4635403635704446E-8</v>
      </c>
      <c r="BB32" s="34">
        <f t="shared" ca="1" si="11"/>
        <v>334.52426997547315</v>
      </c>
      <c r="BC32" s="34">
        <f t="shared" ca="1" si="12"/>
        <v>54.933641101474777</v>
      </c>
      <c r="BD32" s="34">
        <f t="shared" ca="1" si="13"/>
        <v>1.5694467772294487</v>
      </c>
      <c r="BE32" s="34">
        <f t="shared" ca="1" si="14"/>
        <v>58.886524890241922</v>
      </c>
      <c r="BF32" s="34">
        <f t="shared" ca="1" si="15"/>
        <v>0.14642186845385055</v>
      </c>
      <c r="BG32" s="34">
        <f t="shared" ca="1" si="16"/>
        <v>256.60983911201197</v>
      </c>
      <c r="BH32" s="34">
        <f t="shared" ca="1" si="17"/>
        <v>3.4973134112181299</v>
      </c>
      <c r="BI32" s="34">
        <f t="shared" ca="1" si="18"/>
        <v>0.12539097585490888</v>
      </c>
      <c r="BJ32" s="34">
        <f t="shared" ca="1" si="19"/>
        <v>6.6668922938348149E-5</v>
      </c>
      <c r="BK32" s="34">
        <f t="shared" ca="1" si="20"/>
        <v>103761.55803202617</v>
      </c>
      <c r="BL32" s="34">
        <f t="shared" ca="1" si="21"/>
        <v>1.0556305325352393E-2</v>
      </c>
      <c r="BM32" s="34">
        <f t="shared" ca="1" si="22"/>
        <v>0.60306127663835229</v>
      </c>
      <c r="BN32" s="34">
        <f t="shared" ca="1" si="23"/>
        <v>0.50791210488467453</v>
      </c>
      <c r="BO32" s="34">
        <f t="shared" ca="1" si="24"/>
        <v>2.2242809666551495</v>
      </c>
      <c r="BP32" s="34">
        <f t="shared" ca="1" si="25"/>
        <v>49834.453754396032</v>
      </c>
      <c r="BQ32" s="34">
        <f t="shared" ca="1" si="26"/>
        <v>5.2545164871710991E-11</v>
      </c>
      <c r="BR32" s="34">
        <f t="shared" ca="1" si="27"/>
        <v>2.443135502779242E-5</v>
      </c>
      <c r="BS32" s="34">
        <f t="shared" ca="1" si="28"/>
        <v>8.6836282104294001E-3</v>
      </c>
      <c r="BT32" s="34">
        <f t="shared" ca="1" si="29"/>
        <v>1.465677422001973</v>
      </c>
      <c r="BU32" s="34">
        <f t="shared" ca="1" si="30"/>
        <v>923.13068072321562</v>
      </c>
      <c r="BV32" s="34">
        <f t="shared" ca="1" si="31"/>
        <v>5.1323969484139865E-13</v>
      </c>
      <c r="BW32" s="34">
        <f t="shared" ca="1" si="32"/>
        <v>3.8542930709908333E-8</v>
      </c>
      <c r="BX32" s="34">
        <f t="shared" ca="1" si="33"/>
        <v>3.1889875828902117E-3</v>
      </c>
      <c r="BY32" s="34">
        <f t="shared" ca="1" si="34"/>
        <v>0.79002457394478198</v>
      </c>
    </row>
    <row r="33" spans="1:77" ht="12.75" customHeight="1" x14ac:dyDescent="0.3">
      <c r="A33" s="118"/>
      <c r="B33" s="118"/>
      <c r="C33" s="118"/>
      <c r="D33" s="118"/>
      <c r="E33" s="110"/>
      <c r="F33" s="118"/>
      <c r="G33" s="23"/>
      <c r="H33" s="25">
        <f t="shared" si="0"/>
        <v>7.044414824579015E-3</v>
      </c>
      <c r="I33" s="25">
        <f t="shared" si="1"/>
        <v>2.5712114109713404</v>
      </c>
      <c r="J33" s="117">
        <v>222152.66590792383</v>
      </c>
      <c r="K33" s="117">
        <v>0.57691650074042522</v>
      </c>
      <c r="L33" s="117">
        <v>2.0297291681533305</v>
      </c>
      <c r="M33" s="117">
        <v>4.4399706858097954</v>
      </c>
      <c r="N33" s="117">
        <v>168981.37587970833</v>
      </c>
      <c r="O33" s="117">
        <v>6.7879663017117862</v>
      </c>
      <c r="P33" s="117">
        <v>265.70115355722703</v>
      </c>
      <c r="Q33" s="117">
        <v>12.613885841065638</v>
      </c>
      <c r="R33" s="117">
        <v>0.44216763258000086</v>
      </c>
      <c r="S33" s="117">
        <v>3.5772891442430654E-3</v>
      </c>
      <c r="T33" s="117">
        <v>100.34458153212123</v>
      </c>
      <c r="U33" s="117">
        <v>240.22392456305118</v>
      </c>
      <c r="V33" s="117">
        <v>379.80145872896037</v>
      </c>
      <c r="W33" s="117">
        <v>25470055.313905053</v>
      </c>
      <c r="X33" s="117">
        <v>612.70897826678515</v>
      </c>
      <c r="Y33" s="117">
        <v>21315243.076978307</v>
      </c>
      <c r="Z33" s="117">
        <v>402449.14829327544</v>
      </c>
      <c r="AA33" s="117">
        <v>38057.3251300997</v>
      </c>
      <c r="AB33" s="117">
        <v>5.9239383812944899</v>
      </c>
      <c r="AC33" s="117">
        <v>8951.2982103806316</v>
      </c>
      <c r="AD33" s="117">
        <v>21636.774398734986</v>
      </c>
      <c r="AE33" s="117">
        <v>36420007.909786053</v>
      </c>
      <c r="AF33" s="117">
        <v>943430.07730612124</v>
      </c>
      <c r="AG33" s="117">
        <v>8263.7151664742123</v>
      </c>
      <c r="AH33" s="117">
        <v>156.17264959557312</v>
      </c>
      <c r="AI33" s="117">
        <v>9.9582605779834467E-5</v>
      </c>
      <c r="AJ33" s="117">
        <v>1011.0604294370565</v>
      </c>
      <c r="AK33" s="117">
        <v>10888.341793794825</v>
      </c>
      <c r="AL33" s="117">
        <v>290.52253210784289</v>
      </c>
      <c r="AM33" s="117">
        <v>5.2665361792914132</v>
      </c>
      <c r="AN33" s="117">
        <v>2.8852539321791181E-6</v>
      </c>
      <c r="AO33" s="117">
        <v>6.1726966908044432</v>
      </c>
      <c r="AP33" s="117">
        <v>14965.667112975516</v>
      </c>
      <c r="AQ33" s="117">
        <v>65.14817153738673</v>
      </c>
      <c r="AS33" s="34">
        <f t="shared" ca="1" si="2"/>
        <v>40.673560047554439</v>
      </c>
      <c r="AT33" s="34">
        <f t="shared" ca="1" si="3"/>
        <v>24103261.54918886</v>
      </c>
      <c r="AU33" s="34">
        <f t="shared" ca="1" si="4"/>
        <v>2.8021644839559417E-2</v>
      </c>
      <c r="AV33" s="34">
        <f t="shared" ca="1" si="5"/>
        <v>197.56501425288477</v>
      </c>
      <c r="AW33" s="34">
        <f t="shared" ca="1" si="6"/>
        <v>6.6848179956848636E-4</v>
      </c>
      <c r="AX33" s="34">
        <f t="shared" ca="1" si="7"/>
        <v>3.3604383837803536E-2</v>
      </c>
      <c r="AY33" s="34">
        <f t="shared" ca="1" si="8"/>
        <v>6.1855298573796572E-4</v>
      </c>
      <c r="AZ33" s="34">
        <f t="shared" ca="1" si="9"/>
        <v>1.1369782727806409E-5</v>
      </c>
      <c r="BA33" s="34">
        <f t="shared" ca="1" si="10"/>
        <v>8.4494340503363071E-8</v>
      </c>
      <c r="BB33" s="34">
        <f t="shared" ca="1" si="11"/>
        <v>355.9706709633744</v>
      </c>
      <c r="BC33" s="34">
        <f t="shared" ca="1" si="12"/>
        <v>58.688794118679027</v>
      </c>
      <c r="BD33" s="34">
        <f t="shared" ca="1" si="13"/>
        <v>1.6324738789100881</v>
      </c>
      <c r="BE33" s="34">
        <f t="shared" ca="1" si="14"/>
        <v>59.265544889908412</v>
      </c>
      <c r="BF33" s="34">
        <f t="shared" ca="1" si="15"/>
        <v>0.1547208661612163</v>
      </c>
      <c r="BG33" s="34">
        <f t="shared" ca="1" si="16"/>
        <v>265.32402654853627</v>
      </c>
      <c r="BH33" s="34">
        <f t="shared" ca="1" si="17"/>
        <v>3.7377517208308628</v>
      </c>
      <c r="BI33" s="34">
        <f t="shared" ca="1" si="18"/>
        <v>0.13667892242831292</v>
      </c>
      <c r="BJ33" s="34">
        <f t="shared" ca="1" si="19"/>
        <v>7.5091667157716282E-5</v>
      </c>
      <c r="BK33" s="34">
        <f t="shared" ca="1" si="20"/>
        <v>109173.64716969317</v>
      </c>
      <c r="BL33" s="34">
        <f t="shared" ca="1" si="21"/>
        <v>1.1152446234126255E-2</v>
      </c>
      <c r="BM33" s="34">
        <f t="shared" ca="1" si="22"/>
        <v>0.62575256909382293</v>
      </c>
      <c r="BN33" s="34">
        <f t="shared" ca="1" si="23"/>
        <v>0.51338777243222711</v>
      </c>
      <c r="BO33" s="34">
        <f t="shared" ca="1" si="24"/>
        <v>2.3940308915866502</v>
      </c>
      <c r="BP33" s="34">
        <f t="shared" ca="1" si="25"/>
        <v>56662.97168140061</v>
      </c>
      <c r="BQ33" s="34">
        <f t="shared" ca="1" si="26"/>
        <v>6.3218214754701799E-11</v>
      </c>
      <c r="BR33" s="34">
        <f t="shared" ca="1" si="27"/>
        <v>2.6069306539695985E-5</v>
      </c>
      <c r="BS33" s="34">
        <f t="shared" ca="1" si="28"/>
        <v>8.8917513183106364E-3</v>
      </c>
      <c r="BT33" s="34">
        <f t="shared" ca="1" si="29"/>
        <v>1.6148635638200248</v>
      </c>
      <c r="BU33" s="34">
        <f t="shared" ca="1" si="30"/>
        <v>1081.9081189386425</v>
      </c>
      <c r="BV33" s="34">
        <f t="shared" ca="1" si="31"/>
        <v>6.3772954932528466E-13</v>
      </c>
      <c r="BW33" s="34">
        <f t="shared" ca="1" si="32"/>
        <v>4.2346603391760458E-8</v>
      </c>
      <c r="BX33" s="34">
        <f t="shared" ca="1" si="33"/>
        <v>3.2517183524795978E-3</v>
      </c>
      <c r="BY33" s="34">
        <f t="shared" ca="1" si="34"/>
        <v>0.85372278151969072</v>
      </c>
    </row>
    <row r="34" spans="1:77" ht="12.75" customHeight="1" x14ac:dyDescent="0.3">
      <c r="A34" s="118"/>
      <c r="B34" s="118"/>
      <c r="C34" s="118"/>
      <c r="D34" s="118"/>
      <c r="E34" s="110"/>
      <c r="F34" s="118"/>
      <c r="G34" s="23"/>
      <c r="H34" s="25">
        <f t="shared" si="0"/>
        <v>7.379863149558968E-3</v>
      </c>
      <c r="I34" s="25">
        <f t="shared" si="1"/>
        <v>2.6936500495890234</v>
      </c>
      <c r="J34" s="117">
        <v>232731.36428449163</v>
      </c>
      <c r="K34" s="117">
        <v>0.57790933150151236</v>
      </c>
      <c r="L34" s="117">
        <v>2.0887811311651392</v>
      </c>
      <c r="M34" s="117">
        <v>4.6345455727528124</v>
      </c>
      <c r="N34" s="117">
        <v>170385.68068817747</v>
      </c>
      <c r="O34" s="117">
        <v>7.220820955272309</v>
      </c>
      <c r="P34" s="117">
        <v>275.71846783848713</v>
      </c>
      <c r="Q34" s="117">
        <v>13.391651723904438</v>
      </c>
      <c r="R34" s="117">
        <v>0.48277661356204643</v>
      </c>
      <c r="S34" s="117">
        <v>4.0207896231091635E-3</v>
      </c>
      <c r="T34" s="117">
        <v>106.30888971591229</v>
      </c>
      <c r="U34" s="117">
        <v>255.51779130615765</v>
      </c>
      <c r="V34" s="117">
        <v>394.11587393976242</v>
      </c>
      <c r="W34" s="117">
        <v>25624564.691511206</v>
      </c>
      <c r="X34" s="117">
        <v>645.33213287571698</v>
      </c>
      <c r="Y34" s="117">
        <v>21991294.633331746</v>
      </c>
      <c r="Z34" s="117">
        <v>428563.88866785477</v>
      </c>
      <c r="AA34" s="117">
        <v>41297.737614569734</v>
      </c>
      <c r="AB34" s="117">
        <v>6.6319246385371722</v>
      </c>
      <c r="AC34" s="117">
        <v>9387.7849875273823</v>
      </c>
      <c r="AD34" s="117">
        <v>22784.37338066713</v>
      </c>
      <c r="AE34" s="117">
        <v>37706777.068854585</v>
      </c>
      <c r="AF34" s="117">
        <v>952502.92353620415</v>
      </c>
      <c r="AG34" s="117">
        <v>8853.6537204539472</v>
      </c>
      <c r="AH34" s="117">
        <v>176.25310192778639</v>
      </c>
      <c r="AI34" s="117">
        <v>1.1860914473939594E-4</v>
      </c>
      <c r="AJ34" s="117">
        <v>1073.8488852039993</v>
      </c>
      <c r="AK34" s="117">
        <v>11114.60467639142</v>
      </c>
      <c r="AL34" s="117">
        <v>317.98995231453335</v>
      </c>
      <c r="AM34" s="117">
        <v>6.1140965729509826</v>
      </c>
      <c r="AN34" s="117">
        <v>3.5418433294803647E-6</v>
      </c>
      <c r="AO34" s="117">
        <v>6.7370790408711621</v>
      </c>
      <c r="AP34" s="117">
        <v>15219.998813494369</v>
      </c>
      <c r="AQ34" s="117">
        <v>69.951964858507708</v>
      </c>
      <c r="AS34" s="34">
        <f t="shared" ca="1" si="2"/>
        <v>40.743556245490034</v>
      </c>
      <c r="AT34" s="34">
        <f t="shared" ca="1" si="3"/>
        <v>24804510.233889796</v>
      </c>
      <c r="AU34" s="34">
        <f t="shared" ca="1" si="4"/>
        <v>2.9249650329334451E-2</v>
      </c>
      <c r="AV34" s="34">
        <f t="shared" ca="1" si="5"/>
        <v>199.20686086501144</v>
      </c>
      <c r="AW34" s="34">
        <f t="shared" ca="1" si="6"/>
        <v>7.1110950938648625E-4</v>
      </c>
      <c r="AX34" s="34">
        <f t="shared" ca="1" si="7"/>
        <v>3.4871317268933229E-2</v>
      </c>
      <c r="AY34" s="34">
        <f t="shared" ca="1" si="8"/>
        <v>6.5669265301391601E-4</v>
      </c>
      <c r="AZ34" s="34">
        <f t="shared" ca="1" si="9"/>
        <v>1.24139914317982E-5</v>
      </c>
      <c r="BA34" s="34">
        <f t="shared" ca="1" si="10"/>
        <v>9.4969669436452652E-8</v>
      </c>
      <c r="BB34" s="34">
        <f t="shared" ca="1" si="11"/>
        <v>377.12895129699479</v>
      </c>
      <c r="BC34" s="34">
        <f t="shared" ca="1" si="12"/>
        <v>62.425218782447693</v>
      </c>
      <c r="BD34" s="34">
        <f t="shared" ca="1" si="13"/>
        <v>1.6940005223350776</v>
      </c>
      <c r="BE34" s="34">
        <f t="shared" ca="1" si="14"/>
        <v>59.625068351541024</v>
      </c>
      <c r="BF34" s="34">
        <f t="shared" ca="1" si="15"/>
        <v>0.16295884359755711</v>
      </c>
      <c r="BG34" s="34">
        <f t="shared" ca="1" si="16"/>
        <v>273.73925880454709</v>
      </c>
      <c r="BH34" s="34">
        <f t="shared" ca="1" si="17"/>
        <v>3.9802927131228971</v>
      </c>
      <c r="BI34" s="34">
        <f t="shared" ca="1" si="18"/>
        <v>0.14831652662373571</v>
      </c>
      <c r="BJ34" s="34">
        <f t="shared" ca="1" si="19"/>
        <v>8.4066079948533922E-5</v>
      </c>
      <c r="BK34" s="34">
        <f t="shared" ca="1" si="20"/>
        <v>114497.21614063795</v>
      </c>
      <c r="BL34" s="34">
        <f t="shared" ca="1" si="21"/>
        <v>1.1743963976488284E-2</v>
      </c>
      <c r="BM34" s="34">
        <f t="shared" ca="1" si="22"/>
        <v>0.64786127124216808</v>
      </c>
      <c r="BN34" s="34">
        <f t="shared" ca="1" si="23"/>
        <v>0.51832495689107183</v>
      </c>
      <c r="BO34" s="34">
        <f t="shared" ca="1" si="24"/>
        <v>2.5649384185177881</v>
      </c>
      <c r="BP34" s="34">
        <f t="shared" ca="1" si="25"/>
        <v>63948.614236588255</v>
      </c>
      <c r="BQ34" s="34">
        <f t="shared" ca="1" si="26"/>
        <v>7.5296868617642092E-11</v>
      </c>
      <c r="BR34" s="34">
        <f t="shared" ca="1" si="27"/>
        <v>2.7688251810310471E-5</v>
      </c>
      <c r="BS34" s="34">
        <f t="shared" ca="1" si="28"/>
        <v>9.0765244750239567E-3</v>
      </c>
      <c r="BT34" s="34">
        <f t="shared" ca="1" si="29"/>
        <v>1.7675406583025044</v>
      </c>
      <c r="BU34" s="34">
        <f t="shared" ca="1" si="30"/>
        <v>1256.0230286200369</v>
      </c>
      <c r="BV34" s="34">
        <f t="shared" ca="1" si="31"/>
        <v>7.8285592997505884E-13</v>
      </c>
      <c r="BW34" s="34">
        <f t="shared" ca="1" si="32"/>
        <v>4.6218440408341679E-8</v>
      </c>
      <c r="BX34" s="34">
        <f t="shared" ca="1" si="33"/>
        <v>3.3069791739285433E-3</v>
      </c>
      <c r="BY34" s="34">
        <f t="shared" ca="1" si="34"/>
        <v>0.91667324811259576</v>
      </c>
    </row>
    <row r="35" spans="1:77" ht="12.75" customHeight="1" x14ac:dyDescent="0.3">
      <c r="A35" s="118"/>
      <c r="B35" s="118"/>
      <c r="C35" s="118"/>
      <c r="D35" s="118"/>
      <c r="E35" s="110"/>
      <c r="F35" s="118"/>
      <c r="G35" s="23"/>
      <c r="H35" s="25">
        <f t="shared" si="0"/>
        <v>7.7153114745389219E-3</v>
      </c>
      <c r="I35" s="25">
        <f t="shared" si="1"/>
        <v>2.8160886882067064</v>
      </c>
      <c r="J35" s="117">
        <v>243310.06266105943</v>
      </c>
      <c r="K35" s="117">
        <v>0.57886147724129788</v>
      </c>
      <c r="L35" s="117">
        <v>2.1454132644778339</v>
      </c>
      <c r="M35" s="117">
        <v>4.8276746091920133</v>
      </c>
      <c r="N35" s="117">
        <v>171677.61668555392</v>
      </c>
      <c r="O35" s="117">
        <v>7.6512315656817025</v>
      </c>
      <c r="P35" s="117">
        <v>285.44017256516361</v>
      </c>
      <c r="Q35" s="117">
        <v>14.162220244471522</v>
      </c>
      <c r="R35" s="117">
        <v>0.52479512355198421</v>
      </c>
      <c r="S35" s="117">
        <v>4.4900766214411199E-3</v>
      </c>
      <c r="T35" s="117">
        <v>112.18779910404999</v>
      </c>
      <c r="U35" s="117">
        <v>270.72220968248723</v>
      </c>
      <c r="V35" s="117">
        <v>408.08784416953949</v>
      </c>
      <c r="W35" s="117">
        <v>25771861.815673053</v>
      </c>
      <c r="X35" s="117">
        <v>677.70456284748013</v>
      </c>
      <c r="Y35" s="117">
        <v>22644154.729477875</v>
      </c>
      <c r="Z35" s="117">
        <v>454878.77309969784</v>
      </c>
      <c r="AA35" s="117">
        <v>44631.577104026059</v>
      </c>
      <c r="AB35" s="117">
        <v>7.3836861940001102</v>
      </c>
      <c r="AC35" s="117">
        <v>9816.9975697132068</v>
      </c>
      <c r="AD35" s="117">
        <v>23922.691505866842</v>
      </c>
      <c r="AE35" s="117">
        <v>38960508.893622577</v>
      </c>
      <c r="AF35" s="117">
        <v>960758.44452537177</v>
      </c>
      <c r="AG35" s="117">
        <v>9447.0127387835782</v>
      </c>
      <c r="AH35" s="117">
        <v>197.58452430785422</v>
      </c>
      <c r="AI35" s="117">
        <v>1.3998970401645717E-4</v>
      </c>
      <c r="AJ35" s="117">
        <v>1135.8348224251131</v>
      </c>
      <c r="AK35" s="117">
        <v>11315.946545416633</v>
      </c>
      <c r="AL35" s="117">
        <v>346.01987362090784</v>
      </c>
      <c r="AM35" s="117">
        <v>7.0377596309028938</v>
      </c>
      <c r="AN35" s="117">
        <v>4.3004294704072169E-6</v>
      </c>
      <c r="AO35" s="117">
        <v>7.3098844988307041</v>
      </c>
      <c r="AP35" s="117">
        <v>15445.11507190743</v>
      </c>
      <c r="AQ35" s="117">
        <v>74.685494666520668</v>
      </c>
      <c r="AS35" s="34">
        <f t="shared" ca="1" si="2"/>
        <v>40.81068408265795</v>
      </c>
      <c r="AT35" s="34">
        <f t="shared" ca="1" si="3"/>
        <v>25477023.169478301</v>
      </c>
      <c r="AU35" s="34">
        <f t="shared" ca="1" si="4"/>
        <v>3.046853073424383E-2</v>
      </c>
      <c r="AV35" s="34">
        <f t="shared" ca="1" si="5"/>
        <v>200.71733118996127</v>
      </c>
      <c r="AW35" s="34">
        <f t="shared" ca="1" si="6"/>
        <v>7.5349652879866055E-4</v>
      </c>
      <c r="AX35" s="34">
        <f t="shared" ca="1" si="7"/>
        <v>3.6100863670291486E-2</v>
      </c>
      <c r="AY35" s="34">
        <f t="shared" ca="1" si="8"/>
        <v>6.9447937988920778E-4</v>
      </c>
      <c r="AZ35" s="34">
        <f t="shared" ca="1" si="9"/>
        <v>1.3494444395630459E-5</v>
      </c>
      <c r="BA35" s="34">
        <f t="shared" ca="1" si="10"/>
        <v>1.0605406709960316E-7</v>
      </c>
      <c r="BB35" s="34">
        <f t="shared" ca="1" si="11"/>
        <v>397.9842808770814</v>
      </c>
      <c r="BC35" s="34">
        <f t="shared" ca="1" si="12"/>
        <v>66.139790432235472</v>
      </c>
      <c r="BD35" s="34">
        <f t="shared" ca="1" si="13"/>
        <v>1.7540552586000524</v>
      </c>
      <c r="BE35" s="34">
        <f t="shared" ca="1" si="14"/>
        <v>59.967809826444793</v>
      </c>
      <c r="BF35" s="34">
        <f t="shared" ca="1" si="15"/>
        <v>0.17113350821426138</v>
      </c>
      <c r="BG35" s="34">
        <f t="shared" ca="1" si="16"/>
        <v>281.86581259784828</v>
      </c>
      <c r="BH35" s="34">
        <f t="shared" ca="1" si="17"/>
        <v>4.2246925459606848</v>
      </c>
      <c r="BI35" s="34">
        <f t="shared" ca="1" si="18"/>
        <v>0.16028966418424859</v>
      </c>
      <c r="BJ35" s="34">
        <f t="shared" ca="1" si="19"/>
        <v>9.3595387120776056E-5</v>
      </c>
      <c r="BK35" s="34">
        <f t="shared" ca="1" si="20"/>
        <v>119732.06609279428</v>
      </c>
      <c r="BL35" s="34">
        <f t="shared" ca="1" si="21"/>
        <v>1.233069799953025E-2</v>
      </c>
      <c r="BM35" s="34">
        <f t="shared" ca="1" si="22"/>
        <v>0.669402340432668</v>
      </c>
      <c r="BN35" s="34">
        <f t="shared" ca="1" si="23"/>
        <v>0.52281737623708024</v>
      </c>
      <c r="BO35" s="34">
        <f t="shared" ca="1" si="24"/>
        <v>2.736836867467928</v>
      </c>
      <c r="BP35" s="34">
        <f t="shared" ca="1" si="25"/>
        <v>71688.137036360495</v>
      </c>
      <c r="BQ35" s="34">
        <f t="shared" ca="1" si="26"/>
        <v>8.8869929669500979E-11</v>
      </c>
      <c r="BR35" s="34">
        <f t="shared" ca="1" si="27"/>
        <v>2.9286504843976611E-5</v>
      </c>
      <c r="BS35" s="34">
        <f t="shared" ca="1" si="28"/>
        <v>9.240946373531617E-3</v>
      </c>
      <c r="BT35" s="34">
        <f t="shared" ca="1" si="29"/>
        <v>1.9233444036643426</v>
      </c>
      <c r="BU35" s="34">
        <f t="shared" ca="1" si="30"/>
        <v>1445.771760526844</v>
      </c>
      <c r="BV35" s="34">
        <f t="shared" ca="1" si="31"/>
        <v>9.50526717070153E-13</v>
      </c>
      <c r="BW35" s="34">
        <f t="shared" ca="1" si="32"/>
        <v>5.0148062543345252E-8</v>
      </c>
      <c r="BX35" s="34">
        <f t="shared" ca="1" si="33"/>
        <v>3.3558921066696853E-3</v>
      </c>
      <c r="BY35" s="34">
        <f t="shared" ca="1" si="34"/>
        <v>0.97870295882802394</v>
      </c>
    </row>
    <row r="36" spans="1:77" ht="12.75" customHeight="1" x14ac:dyDescent="0.3">
      <c r="A36" s="118"/>
      <c r="B36" s="118"/>
      <c r="C36" s="118"/>
      <c r="D36" s="118"/>
      <c r="E36" s="110"/>
      <c r="F36" s="118"/>
      <c r="G36" s="23"/>
      <c r="H36" s="25">
        <f t="shared" si="0"/>
        <v>8.0507597995188758E-3</v>
      </c>
      <c r="I36" s="25">
        <f t="shared" si="1"/>
        <v>2.9385273268243894</v>
      </c>
      <c r="J36" s="117">
        <v>253888.76103762724</v>
      </c>
      <c r="K36" s="117">
        <v>0.5797746173954661</v>
      </c>
      <c r="L36" s="117">
        <v>2.199725097890715</v>
      </c>
      <c r="M36" s="117">
        <v>5.0193685388655869</v>
      </c>
      <c r="N36" s="117">
        <v>172876.90054363562</v>
      </c>
      <c r="O36" s="117">
        <v>8.0789128583365475</v>
      </c>
      <c r="P36" s="117">
        <v>294.8728860774238</v>
      </c>
      <c r="Q36" s="117">
        <v>14.925093967110508</v>
      </c>
      <c r="R36" s="117">
        <v>0.56817385958691624</v>
      </c>
      <c r="S36" s="117">
        <v>4.9848209083319635E-3</v>
      </c>
      <c r="T36" s="117">
        <v>117.97837438852315</v>
      </c>
      <c r="U36" s="117">
        <v>285.8271317801063</v>
      </c>
      <c r="V36" s="117">
        <v>421.72426258887481</v>
      </c>
      <c r="W36" s="117">
        <v>25912845.996536657</v>
      </c>
      <c r="X36" s="117">
        <v>709.81903300675742</v>
      </c>
      <c r="Y36" s="117">
        <v>23274620.519807637</v>
      </c>
      <c r="Z36" s="117">
        <v>481369.20827409666</v>
      </c>
      <c r="AA36" s="117">
        <v>48055.047862626758</v>
      </c>
      <c r="AB36" s="117">
        <v>8.179432463791084</v>
      </c>
      <c r="AC36" s="117">
        <v>10238.947129539802</v>
      </c>
      <c r="AD36" s="117">
        <v>25051.482615980367</v>
      </c>
      <c r="AE36" s="117">
        <v>40182051.566016227</v>
      </c>
      <c r="AF36" s="117">
        <v>968335.49288761755</v>
      </c>
      <c r="AG36" s="117">
        <v>10043.318560747743</v>
      </c>
      <c r="AH36" s="117">
        <v>220.15672746142897</v>
      </c>
      <c r="AI36" s="117">
        <v>1.6386268486961393E-4</v>
      </c>
      <c r="AJ36" s="117">
        <v>1196.9691966292569</v>
      </c>
      <c r="AK36" s="117">
        <v>11495.673357291196</v>
      </c>
      <c r="AL36" s="117">
        <v>374.55522695594863</v>
      </c>
      <c r="AM36" s="117">
        <v>8.038787917618027</v>
      </c>
      <c r="AN36" s="117">
        <v>5.16978988291226E-6</v>
      </c>
      <c r="AO36" s="117">
        <v>7.8897997867429801</v>
      </c>
      <c r="AP36" s="117">
        <v>15645.490506019949</v>
      </c>
      <c r="AQ36" s="117">
        <v>79.338429324946944</v>
      </c>
      <c r="AS36" s="34">
        <f t="shared" ca="1" si="2"/>
        <v>40.875061962029967</v>
      </c>
      <c r="AT36" s="34">
        <f t="shared" ca="1" si="3"/>
        <v>26121982.283485457</v>
      </c>
      <c r="AU36" s="34">
        <f t="shared" ca="1" si="4"/>
        <v>3.1678353860414461E-2</v>
      </c>
      <c r="AV36" s="34">
        <f t="shared" ca="1" si="5"/>
        <v>202.11947702574753</v>
      </c>
      <c r="AW36" s="34">
        <f t="shared" ca="1" si="6"/>
        <v>7.9561476384110467E-4</v>
      </c>
      <c r="AX36" s="34">
        <f t="shared" ca="1" si="7"/>
        <v>3.7293860092227439E-2</v>
      </c>
      <c r="AY36" s="34">
        <f t="shared" ca="1" si="8"/>
        <v>7.3188877338023972E-4</v>
      </c>
      <c r="AZ36" s="34">
        <f t="shared" ca="1" si="9"/>
        <v>1.4609873855824627E-5</v>
      </c>
      <c r="BA36" s="34">
        <f t="shared" ca="1" si="10"/>
        <v>1.1773975717190895E-7</v>
      </c>
      <c r="BB36" s="34">
        <f t="shared" ca="1" si="11"/>
        <v>418.52624674913011</v>
      </c>
      <c r="BC36" s="34">
        <f t="shared" ca="1" si="12"/>
        <v>69.830054275765235</v>
      </c>
      <c r="BD36" s="34">
        <f t="shared" ca="1" si="13"/>
        <v>1.8126677161349762</v>
      </c>
      <c r="BE36" s="34">
        <f t="shared" ca="1" si="14"/>
        <v>60.295861893735641</v>
      </c>
      <c r="BF36" s="34">
        <f t="shared" ca="1" si="15"/>
        <v>0.17924303298964081</v>
      </c>
      <c r="BG36" s="34">
        <f t="shared" ca="1" si="16"/>
        <v>289.7136106026511</v>
      </c>
      <c r="BH36" s="34">
        <f t="shared" ca="1" si="17"/>
        <v>4.4707228086126838</v>
      </c>
      <c r="BI36" s="34">
        <f t="shared" ca="1" si="18"/>
        <v>0.17258470311961258</v>
      </c>
      <c r="BJ36" s="34">
        <f t="shared" ca="1" si="19"/>
        <v>1.0368224322681151E-4</v>
      </c>
      <c r="BK36" s="34">
        <f t="shared" ca="1" si="20"/>
        <v>124878.33329172354</v>
      </c>
      <c r="BL36" s="34">
        <f t="shared" ca="1" si="21"/>
        <v>1.2912521423535484E-2</v>
      </c>
      <c r="BM36" s="34">
        <f t="shared" ca="1" si="22"/>
        <v>0.69039034975439773</v>
      </c>
      <c r="BN36" s="34">
        <f t="shared" ca="1" si="23"/>
        <v>0.5269405901072719</v>
      </c>
      <c r="BO36" s="34">
        <f t="shared" ca="1" si="24"/>
        <v>2.9095890170588081</v>
      </c>
      <c r="BP36" s="34">
        <f t="shared" ca="1" si="25"/>
        <v>79877.843181386299</v>
      </c>
      <c r="BQ36" s="34">
        <f t="shared" ca="1" si="26"/>
        <v>1.0402525944412476E-10</v>
      </c>
      <c r="BR36" s="34">
        <f t="shared" ca="1" si="27"/>
        <v>3.0862801072014804E-5</v>
      </c>
      <c r="BS36" s="34">
        <f t="shared" ca="1" si="28"/>
        <v>9.3877167584705025E-3</v>
      </c>
      <c r="BT36" s="34">
        <f t="shared" ca="1" si="29"/>
        <v>2.0819575826393293</v>
      </c>
      <c r="BU36" s="34">
        <f t="shared" ca="1" si="30"/>
        <v>1651.4136841393497</v>
      </c>
      <c r="BV36" s="34">
        <f t="shared" ca="1" si="31"/>
        <v>1.1426820133110476E-12</v>
      </c>
      <c r="BW36" s="34">
        <f t="shared" ca="1" si="32"/>
        <v>5.4126460304995083E-8</v>
      </c>
      <c r="BX36" s="34">
        <f t="shared" ca="1" si="33"/>
        <v>3.3994293891423675E-3</v>
      </c>
      <c r="BY36" s="34">
        <f t="shared" ca="1" si="34"/>
        <v>1.0396765245487665</v>
      </c>
    </row>
    <row r="37" spans="1:77" ht="12.75" customHeight="1" x14ac:dyDescent="0.3">
      <c r="A37" s="118"/>
      <c r="B37" s="118"/>
      <c r="C37" s="118"/>
      <c r="D37" s="118"/>
      <c r="E37" s="110"/>
      <c r="F37" s="118"/>
      <c r="G37" s="23"/>
      <c r="H37" s="25">
        <f t="shared" si="0"/>
        <v>8.3862081244988271E-3</v>
      </c>
      <c r="I37" s="25">
        <f t="shared" si="1"/>
        <v>3.060965965442072</v>
      </c>
      <c r="J37" s="117">
        <v>264467.45941419504</v>
      </c>
      <c r="K37" s="117">
        <v>0.58065039166921828</v>
      </c>
      <c r="L37" s="117">
        <v>2.2518120688324244</v>
      </c>
      <c r="M37" s="117">
        <v>5.2096380256955586</v>
      </c>
      <c r="N37" s="117">
        <v>173999.04100206727</v>
      </c>
      <c r="O37" s="117">
        <v>8.5036388368327742</v>
      </c>
      <c r="P37" s="117">
        <v>304.02359559658106</v>
      </c>
      <c r="Q37" s="117">
        <v>15.679888345090644</v>
      </c>
      <c r="R37" s="117">
        <v>0.61286472000092884</v>
      </c>
      <c r="S37" s="117">
        <v>5.5046790533422978E-3</v>
      </c>
      <c r="T37" s="117">
        <v>123.67862552679296</v>
      </c>
      <c r="U37" s="117">
        <v>300.82461232791815</v>
      </c>
      <c r="V37" s="117">
        <v>435.0321676945581</v>
      </c>
      <c r="W37" s="117">
        <v>26048220.929548096</v>
      </c>
      <c r="X37" s="117">
        <v>741.66970716178355</v>
      </c>
      <c r="Y37" s="117">
        <v>23883461.754522003</v>
      </c>
      <c r="Z37" s="117">
        <v>508012.05709343951</v>
      </c>
      <c r="AA37" s="117">
        <v>51564.48619969553</v>
      </c>
      <c r="AB37" s="117">
        <v>9.0193308424049121</v>
      </c>
      <c r="AC37" s="117">
        <v>10653.664982371793</v>
      </c>
      <c r="AD37" s="117">
        <v>26170.550092952042</v>
      </c>
      <c r="AE37" s="117">
        <v>41372231.51149229</v>
      </c>
      <c r="AF37" s="117">
        <v>975346.13419124333</v>
      </c>
      <c r="AG37" s="117">
        <v>10642.17696844079</v>
      </c>
      <c r="AH37" s="117">
        <v>243.95855249644688</v>
      </c>
      <c r="AI37" s="117">
        <v>1.9036486942589155E-4</v>
      </c>
      <c r="AJ37" s="117">
        <v>1257.2157952541559</v>
      </c>
      <c r="AK37" s="117">
        <v>11656.719982280634</v>
      </c>
      <c r="AL37" s="117">
        <v>403.54647414012254</v>
      </c>
      <c r="AM37" s="117">
        <v>9.1182890706231401</v>
      </c>
      <c r="AN37" s="117">
        <v>6.1588266848648935E-6</v>
      </c>
      <c r="AO37" s="117">
        <v>8.4756887679734305</v>
      </c>
      <c r="AP37" s="117">
        <v>15824.960792828724</v>
      </c>
      <c r="AQ37" s="117">
        <v>83.902842981043662</v>
      </c>
      <c r="AS37" s="34">
        <f t="shared" ca="1" si="2"/>
        <v>40.936805485513602</v>
      </c>
      <c r="AT37" s="34">
        <f t="shared" ca="1" si="3"/>
        <v>26740520.906081717</v>
      </c>
      <c r="AU37" s="34">
        <f t="shared" ca="1" si="4"/>
        <v>3.2879187010235643E-2</v>
      </c>
      <c r="AV37" s="34">
        <f t="shared" ca="1" si="5"/>
        <v>203.43143045558352</v>
      </c>
      <c r="AW37" s="34">
        <f t="shared" ca="1" si="6"/>
        <v>8.3744195829212086E-4</v>
      </c>
      <c r="AX37" s="34">
        <f t="shared" ca="1" si="7"/>
        <v>3.8451190239097773E-2</v>
      </c>
      <c r="AY37" s="34">
        <f t="shared" ca="1" si="8"/>
        <v>7.68901976290153E-4</v>
      </c>
      <c r="AZ37" s="34">
        <f t="shared" ca="1" si="9"/>
        <v>1.5759042938738251E-5</v>
      </c>
      <c r="BA37" s="34">
        <f t="shared" ca="1" si="10"/>
        <v>1.300186279443872E-7</v>
      </c>
      <c r="BB37" s="34">
        <f t="shared" ca="1" si="11"/>
        <v>438.74778927158411</v>
      </c>
      <c r="BC37" s="34">
        <f t="shared" ca="1" si="12"/>
        <v>73.494069214204075</v>
      </c>
      <c r="BD37" s="34">
        <f t="shared" ca="1" si="13"/>
        <v>1.8698681480152175</v>
      </c>
      <c r="BE37" s="34">
        <f t="shared" ca="1" si="14"/>
        <v>60.61086196226622</v>
      </c>
      <c r="BF37" s="34">
        <f t="shared" ca="1" si="15"/>
        <v>0.18728594417240885</v>
      </c>
      <c r="BG37" s="34">
        <f t="shared" ca="1" si="16"/>
        <v>297.29223437624864</v>
      </c>
      <c r="BH37" s="34">
        <f t="shared" ca="1" si="17"/>
        <v>4.7181686149826483</v>
      </c>
      <c r="BI37" s="34">
        <f t="shared" ca="1" si="18"/>
        <v>0.18518848566605853</v>
      </c>
      <c r="BJ37" s="34">
        <f t="shared" ca="1" si="19"/>
        <v>1.1432877015429E-4</v>
      </c>
      <c r="BK37" s="34">
        <f t="shared" ca="1" si="20"/>
        <v>129936.39967225665</v>
      </c>
      <c r="BL37" s="34">
        <f t="shared" ca="1" si="21"/>
        <v>1.3489332903809347E-2</v>
      </c>
      <c r="BM37" s="34">
        <f t="shared" ca="1" si="22"/>
        <v>0.71083949848633632</v>
      </c>
      <c r="BN37" s="34">
        <f t="shared" ca="1" si="23"/>
        <v>0.5307555813914876</v>
      </c>
      <c r="BO37" s="34">
        <f t="shared" ca="1" si="24"/>
        <v>3.0830806608076142</v>
      </c>
      <c r="BP37" s="34">
        <f t="shared" ca="1" si="25"/>
        <v>88513.683973083433</v>
      </c>
      <c r="BQ37" s="34">
        <f t="shared" ca="1" si="26"/>
        <v>1.2084969159898985E-10</v>
      </c>
      <c r="BR37" s="34">
        <f t="shared" ca="1" si="27"/>
        <v>3.2416206785262818E-5</v>
      </c>
      <c r="BS37" s="34">
        <f t="shared" ca="1" si="28"/>
        <v>9.5192323342283645E-3</v>
      </c>
      <c r="BT37" s="34">
        <f t="shared" ca="1" si="29"/>
        <v>2.2431048382678314</v>
      </c>
      <c r="BU37" s="34">
        <f t="shared" ca="1" si="30"/>
        <v>1873.1763421900528</v>
      </c>
      <c r="BV37" s="34">
        <f t="shared" ca="1" si="31"/>
        <v>1.3612894595884026E-12</v>
      </c>
      <c r="BW37" s="34">
        <f t="shared" ca="1" si="32"/>
        <v>5.8145839445513828E-8</v>
      </c>
      <c r="BX37" s="34">
        <f t="shared" ca="1" si="33"/>
        <v>3.4384244316577051E-3</v>
      </c>
      <c r="BY37" s="34">
        <f t="shared" ca="1" si="34"/>
        <v>1.0994900823284059</v>
      </c>
    </row>
    <row r="38" spans="1:77" ht="12.75" customHeight="1" x14ac:dyDescent="0.3">
      <c r="A38" s="118"/>
      <c r="B38" s="118"/>
      <c r="C38" s="118"/>
      <c r="D38" s="118"/>
      <c r="E38" s="110"/>
      <c r="F38" s="118"/>
      <c r="G38" s="23"/>
      <c r="H38" s="25">
        <f t="shared" si="0"/>
        <v>8.7216564494787801E-3</v>
      </c>
      <c r="I38" s="25">
        <f t="shared" si="1"/>
        <v>3.183404604059755</v>
      </c>
      <c r="J38" s="117">
        <v>275046.15779076284</v>
      </c>
      <c r="K38" s="117">
        <v>0.58149031326052447</v>
      </c>
      <c r="L38" s="117">
        <v>2.3017656860129048</v>
      </c>
      <c r="M38" s="117">
        <v>5.3984936543657174</v>
      </c>
      <c r="N38" s="117">
        <v>175056.1990141602</v>
      </c>
      <c r="O38" s="117">
        <v>8.925230770393588</v>
      </c>
      <c r="P38" s="117">
        <v>312.89952445369477</v>
      </c>
      <c r="Q38" s="117">
        <v>16.426309186372766</v>
      </c>
      <c r="R38" s="117">
        <v>0.6588208419908983</v>
      </c>
      <c r="S38" s="117">
        <v>6.0492967454680796E-3</v>
      </c>
      <c r="T38" s="117">
        <v>129.28730808492622</v>
      </c>
      <c r="U38" s="117">
        <v>315.70838238889547</v>
      </c>
      <c r="V38" s="117">
        <v>448.01867447755251</v>
      </c>
      <c r="W38" s="117">
        <v>26178539.098620616</v>
      </c>
      <c r="X38" s="117">
        <v>773.25187009396393</v>
      </c>
      <c r="Y38" s="117">
        <v>24471421.694781099</v>
      </c>
      <c r="Z38" s="117">
        <v>534785.50053558103</v>
      </c>
      <c r="AA38" s="117">
        <v>55156.356048732618</v>
      </c>
      <c r="AB38" s="117">
        <v>9.9035091141881164</v>
      </c>
      <c r="AC38" s="117">
        <v>11061.198013559995</v>
      </c>
      <c r="AD38" s="117">
        <v>27279.736984798263</v>
      </c>
      <c r="AE38" s="117">
        <v>42531853.940980479</v>
      </c>
      <c r="AF38" s="117">
        <v>981880.49474804278</v>
      </c>
      <c r="AG38" s="117">
        <v>11243.257638446683</v>
      </c>
      <c r="AH38" s="117">
        <v>268.97805941678064</v>
      </c>
      <c r="AI38" s="117">
        <v>2.1963133037852477E-4</v>
      </c>
      <c r="AJ38" s="117">
        <v>1316.5487757164483</v>
      </c>
      <c r="AK38" s="117">
        <v>11801.667127482802</v>
      </c>
      <c r="AL38" s="117">
        <v>432.95073845513213</v>
      </c>
      <c r="AM38" s="117">
        <v>10.277235805315646</v>
      </c>
      <c r="AN38" s="117">
        <v>7.2765502949058325E-6</v>
      </c>
      <c r="AO38" s="117">
        <v>9.0665718272721367</v>
      </c>
      <c r="AP38" s="117">
        <v>15986.787437221092</v>
      </c>
      <c r="AQ38" s="117">
        <v>88.372837294671612</v>
      </c>
      <c r="AS38" s="34">
        <f t="shared" ca="1" si="2"/>
        <v>40.996021336048969</v>
      </c>
      <c r="AT38" s="34">
        <f t="shared" ca="1" si="3"/>
        <v>27333725.713462315</v>
      </c>
      <c r="AU38" s="34">
        <f t="shared" ca="1" si="4"/>
        <v>3.4071096986006508E-2</v>
      </c>
      <c r="AV38" s="34">
        <f t="shared" ca="1" si="5"/>
        <v>204.66740948960066</v>
      </c>
      <c r="AW38" s="34">
        <f t="shared" ca="1" si="6"/>
        <v>8.789605106690263E-4</v>
      </c>
      <c r="AX38" s="34">
        <f t="shared" ca="1" si="7"/>
        <v>3.9573767677088624E-2</v>
      </c>
      <c r="AY38" s="34">
        <f t="shared" ca="1" si="8"/>
        <v>8.0550456218711681E-4</v>
      </c>
      <c r="AZ38" s="34">
        <f t="shared" ca="1" si="9"/>
        <v>1.6940746626522276E-5</v>
      </c>
      <c r="BA38" s="34">
        <f t="shared" ca="1" si="10"/>
        <v>1.4288231071285642E-7</v>
      </c>
      <c r="BB38" s="34">
        <f t="shared" ca="1" si="11"/>
        <v>458.64449383654528</v>
      </c>
      <c r="BC38" s="34">
        <f t="shared" ca="1" si="12"/>
        <v>77.130303691712115</v>
      </c>
      <c r="BD38" s="34">
        <f t="shared" ca="1" si="13"/>
        <v>1.9256871361056667</v>
      </c>
      <c r="BE38" s="34">
        <f t="shared" ca="1" si="14"/>
        <v>60.91409559108844</v>
      </c>
      <c r="BF38" s="34">
        <f t="shared" ca="1" si="15"/>
        <v>0.195261051078683</v>
      </c>
      <c r="BG38" s="34">
        <f t="shared" ca="1" si="16"/>
        <v>304.61093575044362</v>
      </c>
      <c r="BH38" s="34">
        <f t="shared" ca="1" si="17"/>
        <v>4.9668273206174458</v>
      </c>
      <c r="BI38" s="34">
        <f t="shared" ca="1" si="18"/>
        <v>0.19808831240876504</v>
      </c>
      <c r="BJ38" s="34">
        <f t="shared" ca="1" si="19"/>
        <v>1.2553658769379669E-4</v>
      </c>
      <c r="BK38" s="34">
        <f t="shared" ca="1" si="20"/>
        <v>134906.8370670627</v>
      </c>
      <c r="BL38" s="34">
        <f t="shared" ca="1" si="21"/>
        <v>1.4061051541113982E-2</v>
      </c>
      <c r="BM38" s="34">
        <f t="shared" ca="1" si="22"/>
        <v>0.73076362140878293</v>
      </c>
      <c r="BN38" s="34">
        <f t="shared" ca="1" si="23"/>
        <v>0.53431139426116336</v>
      </c>
      <c r="BO38" s="34">
        <f t="shared" ca="1" si="24"/>
        <v>3.2572161027172939</v>
      </c>
      <c r="BP38" s="34">
        <f t="shared" ca="1" si="25"/>
        <v>97591.327310637862</v>
      </c>
      <c r="BQ38" s="34">
        <f t="shared" ca="1" si="26"/>
        <v>1.3942897458847277E-10</v>
      </c>
      <c r="BR38" s="34">
        <f t="shared" ca="1" si="27"/>
        <v>3.394605565537092E-5</v>
      </c>
      <c r="BS38" s="34">
        <f t="shared" ca="1" si="28"/>
        <v>9.6376005847705389E-3</v>
      </c>
      <c r="BT38" s="34">
        <f t="shared" ca="1" si="29"/>
        <v>2.4065478411865042</v>
      </c>
      <c r="BU38" s="34">
        <f t="shared" ca="1" si="30"/>
        <v>2111.2595602664078</v>
      </c>
      <c r="BV38" s="34">
        <f t="shared" ca="1" si="31"/>
        <v>1.6083406345826551E-12</v>
      </c>
      <c r="BW38" s="34">
        <f t="shared" ca="1" si="32"/>
        <v>6.2199479502104962E-8</v>
      </c>
      <c r="BX38" s="34">
        <f t="shared" ca="1" si="33"/>
        <v>3.4735858892471641E-3</v>
      </c>
      <c r="BY38" s="34">
        <f t="shared" ca="1" si="34"/>
        <v>1.1580663384036465</v>
      </c>
    </row>
    <row r="39" spans="1:77" ht="12.75" customHeight="1" x14ac:dyDescent="0.3">
      <c r="A39" s="118"/>
      <c r="B39" s="118"/>
      <c r="C39" s="118"/>
      <c r="D39" s="118"/>
      <c r="E39" s="110"/>
      <c r="F39" s="118"/>
      <c r="G39" s="23"/>
      <c r="H39" s="25">
        <f t="shared" si="0"/>
        <v>9.0571047744587348E-3</v>
      </c>
      <c r="I39" s="25">
        <f t="shared" si="1"/>
        <v>3.305843242677438</v>
      </c>
      <c r="J39" s="117">
        <v>285624.85616733064</v>
      </c>
      <c r="K39" s="117">
        <v>0.58229580387090907</v>
      </c>
      <c r="L39" s="117">
        <v>2.3496736916737944</v>
      </c>
      <c r="M39" s="117">
        <v>5.585945930911711</v>
      </c>
      <c r="N39" s="117">
        <v>176057.91859972247</v>
      </c>
      <c r="O39" s="117">
        <v>9.3435469812271688</v>
      </c>
      <c r="P39" s="117">
        <v>321.50802080858921</v>
      </c>
      <c r="Q39" s="117">
        <v>17.164133464560557</v>
      </c>
      <c r="R39" s="117">
        <v>0.70599662609427005</v>
      </c>
      <c r="S39" s="117">
        <v>6.6183116472298366E-3</v>
      </c>
      <c r="T39" s="117">
        <v>134.80375360517675</v>
      </c>
      <c r="U39" s="117">
        <v>330.47348692946235</v>
      </c>
      <c r="V39" s="117">
        <v>460.69091673774756</v>
      </c>
      <c r="W39" s="117">
        <v>26304239.365671191</v>
      </c>
      <c r="X39" s="117">
        <v>804.56169092112953</v>
      </c>
      <c r="Y39" s="117">
        <v>25039218.025918327</v>
      </c>
      <c r="Z39" s="117">
        <v>561668.91516219475</v>
      </c>
      <c r="AA39" s="117">
        <v>58827.244557733095</v>
      </c>
      <c r="AB39" s="117">
        <v>10.832057759220424</v>
      </c>
      <c r="AC39" s="117">
        <v>11461.604793969938</v>
      </c>
      <c r="AD39" s="117">
        <v>28378.917600810182</v>
      </c>
      <c r="AE39" s="117">
        <v>43661703.395910181</v>
      </c>
      <c r="AF39" s="117">
        <v>988010.97951454995</v>
      </c>
      <c r="AG39" s="117">
        <v>11846.280745512759</v>
      </c>
      <c r="AH39" s="117">
        <v>295.20268885027133</v>
      </c>
      <c r="AI39" s="117">
        <v>2.517953539076885E-4</v>
      </c>
      <c r="AJ39" s="117">
        <v>1374.950537514602</v>
      </c>
      <c r="AK39" s="117">
        <v>11932.763683554327</v>
      </c>
      <c r="AL39" s="117">
        <v>462.7309741272685</v>
      </c>
      <c r="AM39" s="117">
        <v>11.516484188404711</v>
      </c>
      <c r="AN39" s="117">
        <v>8.532064608533964E-6</v>
      </c>
      <c r="AO39" s="117">
        <v>9.6616062304874255</v>
      </c>
      <c r="AP39" s="117">
        <v>16133.722869346273</v>
      </c>
      <c r="AQ39" s="117">
        <v>92.74419857657081</v>
      </c>
      <c r="AS39" s="34">
        <f t="shared" ca="1" si="2"/>
        <v>41.052809745926602</v>
      </c>
      <c r="AT39" s="34">
        <f t="shared" ca="1" si="3"/>
        <v>27902638.654588856</v>
      </c>
      <c r="AU39" s="34">
        <f t="shared" ca="1" si="4"/>
        <v>3.525415009366023E-2</v>
      </c>
      <c r="AV39" s="34">
        <f t="shared" ca="1" si="5"/>
        <v>205.83857254333202</v>
      </c>
      <c r="AW39" s="34">
        <f t="shared" ca="1" si="6"/>
        <v>9.2015646848280983E-4</v>
      </c>
      <c r="AX39" s="34">
        <f t="shared" ca="1" si="7"/>
        <v>4.0662521760024509E-2</v>
      </c>
      <c r="AY39" s="34">
        <f t="shared" ca="1" si="8"/>
        <v>8.4168559442202257E-4</v>
      </c>
      <c r="AZ39" s="34">
        <f t="shared" ca="1" si="9"/>
        <v>1.8153812386536254E-5</v>
      </c>
      <c r="BA39" s="34">
        <f t="shared" ca="1" si="10"/>
        <v>1.5632224719054328E-7</v>
      </c>
      <c r="BB39" s="34">
        <f t="shared" ca="1" si="11"/>
        <v>478.21398910169705</v>
      </c>
      <c r="BC39" s="34">
        <f t="shared" ca="1" si="12"/>
        <v>80.737547150490343</v>
      </c>
      <c r="BD39" s="34">
        <f t="shared" ca="1" si="13"/>
        <v>1.9801553431162984</v>
      </c>
      <c r="BE39" s="34">
        <f t="shared" ca="1" si="14"/>
        <v>61.206583955473434</v>
      </c>
      <c r="BF39" s="34">
        <f t="shared" ca="1" si="15"/>
        <v>0.20316738633663028</v>
      </c>
      <c r="BG39" s="34">
        <f t="shared" ca="1" si="16"/>
        <v>311.67864819888973</v>
      </c>
      <c r="BH39" s="34">
        <f t="shared" ca="1" si="17"/>
        <v>5.2165073850642711</v>
      </c>
      <c r="BI39" s="34">
        <f t="shared" ca="1" si="18"/>
        <v>0.21127192644494538</v>
      </c>
      <c r="BJ39" s="34">
        <f t="shared" ca="1" si="19"/>
        <v>1.373068427681376E-4</v>
      </c>
      <c r="BK39" s="34">
        <f t="shared" ca="1" si="20"/>
        <v>139790.35983006639</v>
      </c>
      <c r="BL39" s="34">
        <f t="shared" ca="1" si="21"/>
        <v>1.4627612549504558E-2</v>
      </c>
      <c r="BM39" s="34">
        <f t="shared" ca="1" si="22"/>
        <v>0.75017619816776659</v>
      </c>
      <c r="BN39" s="34">
        <f t="shared" ca="1" si="23"/>
        <v>0.53764742943103383</v>
      </c>
      <c r="BO39" s="34">
        <f t="shared" ca="1" si="24"/>
        <v>3.4319142763079862</v>
      </c>
      <c r="BP39" s="34">
        <f t="shared" ca="1" si="25"/>
        <v>107106.216369594</v>
      </c>
      <c r="BQ39" s="34">
        <f t="shared" ca="1" si="26"/>
        <v>1.5984772273147133E-10</v>
      </c>
      <c r="BR39" s="34">
        <f t="shared" ca="1" si="27"/>
        <v>3.5451893868841585E-5</v>
      </c>
      <c r="BS39" s="34">
        <f t="shared" ca="1" si="28"/>
        <v>9.7446580226569282E-3</v>
      </c>
      <c r="BT39" s="34">
        <f t="shared" ca="1" si="29"/>
        <v>2.5720806732184611</v>
      </c>
      <c r="BU39" s="34">
        <f t="shared" ca="1" si="30"/>
        <v>2365.8392007362918</v>
      </c>
      <c r="BV39" s="34">
        <f t="shared" ca="1" si="31"/>
        <v>1.8858477782248759E-12</v>
      </c>
      <c r="BW39" s="34">
        <f t="shared" ca="1" si="32"/>
        <v>6.6281599058529631E-8</v>
      </c>
      <c r="BX39" s="34">
        <f t="shared" ca="1" si="33"/>
        <v>3.5055118059245916E-3</v>
      </c>
      <c r="BY39" s="34">
        <f t="shared" ca="1" si="34"/>
        <v>1.2153500752230106</v>
      </c>
    </row>
    <row r="40" spans="1:77" ht="12.75" customHeight="1" x14ac:dyDescent="0.3">
      <c r="A40" s="118"/>
      <c r="B40" s="118"/>
      <c r="C40" s="118"/>
      <c r="D40" s="118"/>
      <c r="E40" s="110"/>
      <c r="F40" s="118"/>
      <c r="G40" s="23"/>
      <c r="H40" s="25">
        <f t="shared" si="0"/>
        <v>9.3925530994386879E-3</v>
      </c>
      <c r="I40" s="25">
        <f t="shared" si="1"/>
        <v>3.428281881295121</v>
      </c>
      <c r="J40" s="117">
        <v>296203.55454389844</v>
      </c>
      <c r="K40" s="117">
        <v>0.5830683291780443</v>
      </c>
      <c r="L40" s="117">
        <v>2.3956202166009897</v>
      </c>
      <c r="M40" s="117">
        <v>5.7720052833047841</v>
      </c>
      <c r="N40" s="117">
        <v>177011.70568332128</v>
      </c>
      <c r="O40" s="117">
        <v>9.7584748597426341</v>
      </c>
      <c r="P40" s="117">
        <v>329.85647266337526</v>
      </c>
      <c r="Q40" s="117">
        <v>17.893194284292168</v>
      </c>
      <c r="R40" s="117">
        <v>0.75434774570542784</v>
      </c>
      <c r="S40" s="117">
        <v>7.2113556481927226E-3</v>
      </c>
      <c r="T40" s="117">
        <v>140.22773716216537</v>
      </c>
      <c r="U40" s="117">
        <v>345.11600145392833</v>
      </c>
      <c r="V40" s="117">
        <v>473.05600302372625</v>
      </c>
      <c r="W40" s="117">
        <v>26425675.25188975</v>
      </c>
      <c r="X40" s="117">
        <v>835.59604323688586</v>
      </c>
      <c r="Y40" s="117">
        <v>25587543.736678433</v>
      </c>
      <c r="Z40" s="117">
        <v>588642.77324749832</v>
      </c>
      <c r="AA40" s="117">
        <v>62573.8578458763</v>
      </c>
      <c r="AB40" s="117">
        <v>11.805032055425761</v>
      </c>
      <c r="AC40" s="117">
        <v>11854.952638168172</v>
      </c>
      <c r="AD40" s="117">
        <v>29467.991123228909</v>
      </c>
      <c r="AE40" s="117">
        <v>44762544.277798787</v>
      </c>
      <c r="AF40" s="117">
        <v>993795.7309870061</v>
      </c>
      <c r="AG40" s="117">
        <v>12451.006253060856</v>
      </c>
      <c r="AH40" s="117">
        <v>322.61938966758095</v>
      </c>
      <c r="AI40" s="117">
        <v>2.8698837962004201E-4</v>
      </c>
      <c r="AJ40" s="117">
        <v>1432.4100140105027</v>
      </c>
      <c r="AK40" s="117">
        <v>12051.953921148654</v>
      </c>
      <c r="AL40" s="117">
        <v>492.85520440340179</v>
      </c>
      <c r="AM40" s="117">
        <v>12.836789455670651</v>
      </c>
      <c r="AN40" s="117">
        <v>9.934554248767011E-6</v>
      </c>
      <c r="AO40" s="117">
        <v>10.260068170461263</v>
      </c>
      <c r="AP40" s="117">
        <v>16268.073975132173</v>
      </c>
      <c r="AQ40" s="117">
        <v>97.01410292267623</v>
      </c>
      <c r="AS40" s="34">
        <f t="shared" ca="1" si="2"/>
        <v>41.107274047827651</v>
      </c>
      <c r="AT40" s="34">
        <f t="shared" ca="1" si="3"/>
        <v>28448258.79198093</v>
      </c>
      <c r="AU40" s="34">
        <f t="shared" ca="1" si="4"/>
        <v>3.6428412146448132E-2</v>
      </c>
      <c r="AV40" s="34">
        <f t="shared" ca="1" si="5"/>
        <v>206.95369518796923</v>
      </c>
      <c r="AW40" s="34">
        <f t="shared" ca="1" si="6"/>
        <v>9.6101874189321332E-4</v>
      </c>
      <c r="AX40" s="34">
        <f t="shared" ca="1" si="7"/>
        <v>4.1718386880757713E-2</v>
      </c>
      <c r="AY40" s="34">
        <f t="shared" ca="1" si="8"/>
        <v>8.7743688886940104E-4</v>
      </c>
      <c r="AZ40" s="34">
        <f t="shared" ca="1" si="9"/>
        <v>1.9397100416049767E-5</v>
      </c>
      <c r="BA40" s="34">
        <f t="shared" ca="1" si="10"/>
        <v>1.7032974273545195E-7</v>
      </c>
      <c r="BB40" s="34">
        <f t="shared" ca="1" si="11"/>
        <v>497.45547714813915</v>
      </c>
      <c r="BC40" s="34">
        <f t="shared" ca="1" si="12"/>
        <v>84.314840802108293</v>
      </c>
      <c r="BD40" s="34">
        <f t="shared" ca="1" si="13"/>
        <v>2.0333033232211744</v>
      </c>
      <c r="BE40" s="34">
        <f t="shared" ca="1" si="14"/>
        <v>61.489149653789866</v>
      </c>
      <c r="BF40" s="34">
        <f t="shared" ca="1" si="15"/>
        <v>0.21100416046817475</v>
      </c>
      <c r="BG40" s="34">
        <f t="shared" ca="1" si="16"/>
        <v>318.50399778151262</v>
      </c>
      <c r="BH40" s="34">
        <f t="shared" ca="1" si="17"/>
        <v>5.4670274443148861</v>
      </c>
      <c r="BI40" s="34">
        <f t="shared" ca="1" si="18"/>
        <v>0.2247274981444394</v>
      </c>
      <c r="BJ40" s="34">
        <f t="shared" ca="1" si="19"/>
        <v>1.4964023607863639E-4</v>
      </c>
      <c r="BK40" s="34">
        <f t="shared" ca="1" si="20"/>
        <v>144587.78895690042</v>
      </c>
      <c r="BL40" s="34">
        <f t="shared" ca="1" si="21"/>
        <v>1.5188963963534899E-2</v>
      </c>
      <c r="BM40" s="34">
        <f t="shared" ca="1" si="22"/>
        <v>0.76909036237420025</v>
      </c>
      <c r="BN40" s="34">
        <f t="shared" ca="1" si="23"/>
        <v>0.54079532639123928</v>
      </c>
      <c r="BO40" s="34">
        <f t="shared" ca="1" si="24"/>
        <v>3.6071056420358358</v>
      </c>
      <c r="BP40" s="34">
        <f t="shared" ca="1" si="25"/>
        <v>117053.61590486245</v>
      </c>
      <c r="BQ40" s="34">
        <f t="shared" ca="1" si="26"/>
        <v>1.8218937808311145E-10</v>
      </c>
      <c r="BR40" s="34">
        <f t="shared" ca="1" si="27"/>
        <v>3.6933436082115737E-5</v>
      </c>
      <c r="BS40" s="34">
        <f t="shared" ca="1" si="28"/>
        <v>9.8419923984810857E-3</v>
      </c>
      <c r="BT40" s="34">
        <f t="shared" ca="1" si="29"/>
        <v>2.7395255922342225</v>
      </c>
      <c r="BU40" s="34">
        <f t="shared" ca="1" si="30"/>
        <v>2637.0704122011043</v>
      </c>
      <c r="BV40" s="34">
        <f t="shared" ca="1" si="31"/>
        <v>2.1958409737020206E-12</v>
      </c>
      <c r="BW40" s="34">
        <f t="shared" ca="1" si="32"/>
        <v>7.0387232574410829E-8</v>
      </c>
      <c r="BX40" s="34">
        <f t="shared" ca="1" si="33"/>
        <v>3.5347034185043715E-3</v>
      </c>
      <c r="BY40" s="34">
        <f t="shared" ca="1" si="34"/>
        <v>1.2713042874312259</v>
      </c>
    </row>
    <row r="41" spans="1:77" ht="12.75" customHeight="1" x14ac:dyDescent="0.3">
      <c r="A41" s="118"/>
      <c r="B41" s="118"/>
      <c r="C41" s="118"/>
      <c r="D41" s="118"/>
      <c r="E41" s="110"/>
      <c r="F41" s="118"/>
      <c r="G41" s="23"/>
      <c r="H41" s="25">
        <f t="shared" si="0"/>
        <v>9.7280014244186391E-3</v>
      </c>
      <c r="I41" s="25">
        <f t="shared" si="1"/>
        <v>3.5507205199128036</v>
      </c>
      <c r="J41" s="117">
        <v>306782.25292046624</v>
      </c>
      <c r="K41" s="117">
        <v>0.58380931449931794</v>
      </c>
      <c r="L41" s="117">
        <v>2.4396859287855914</v>
      </c>
      <c r="M41" s="117">
        <v>5.9566820620319003</v>
      </c>
      <c r="N41" s="117">
        <v>177923.48301160522</v>
      </c>
      <c r="O41" s="117">
        <v>10.169924728473086</v>
      </c>
      <c r="P41" s="117">
        <v>337.95224469964586</v>
      </c>
      <c r="Q41" s="117">
        <v>18.613369296578995</v>
      </c>
      <c r="R41" s="117">
        <v>0.80383114410282352</v>
      </c>
      <c r="S41" s="117">
        <v>7.8280566142927485E-3</v>
      </c>
      <c r="T41" s="117">
        <v>145.55937579391207</v>
      </c>
      <c r="U41" s="117">
        <v>359.63281424893074</v>
      </c>
      <c r="V41" s="117">
        <v>485.12098388069495</v>
      </c>
      <c r="W41" s="117">
        <v>26543135.241225753</v>
      </c>
      <c r="X41" s="117">
        <v>866.35237390654333</v>
      </c>
      <c r="Y41" s="117">
        <v>26117067.968831338</v>
      </c>
      <c r="Z41" s="117">
        <v>615688.56231428951</v>
      </c>
      <c r="AA41" s="117">
        <v>66393.016905227356</v>
      </c>
      <c r="AB41" s="117">
        <v>12.822454004543552</v>
      </c>
      <c r="AC41" s="117">
        <v>12241.315470556281</v>
      </c>
      <c r="AD41" s="117">
        <v>30546.876947028028</v>
      </c>
      <c r="AE41" s="117">
        <v>45835121.364644654</v>
      </c>
      <c r="AF41" s="117">
        <v>999281.47660832864</v>
      </c>
      <c r="AG41" s="117">
        <v>13057.225412163811</v>
      </c>
      <c r="AH41" s="117">
        <v>351.21471832060229</v>
      </c>
      <c r="AI41" s="117">
        <v>3.2533995470552157E-4</v>
      </c>
      <c r="AJ41" s="117">
        <v>1488.9213096665221</v>
      </c>
      <c r="AK41" s="117">
        <v>12160.908442757162</v>
      </c>
      <c r="AL41" s="117">
        <v>523.29581835680153</v>
      </c>
      <c r="AM41" s="117">
        <v>14.238819768459308</v>
      </c>
      <c r="AN41" s="117">
        <v>1.1493273555697627E-5</v>
      </c>
      <c r="AO41" s="117">
        <v>10.861336253745717</v>
      </c>
      <c r="AP41" s="117">
        <v>16391.764644567287</v>
      </c>
      <c r="AQ41" s="117">
        <v>101.18086031169379</v>
      </c>
      <c r="AS41" s="34">
        <f t="shared" ca="1" si="2"/>
        <v>41.159514728966947</v>
      </c>
      <c r="AT41" s="34">
        <f t="shared" ca="1" si="3"/>
        <v>28971544.067081481</v>
      </c>
      <c r="AU41" s="34">
        <f t="shared" ca="1" si="4"/>
        <v>3.7593948468600966E-2</v>
      </c>
      <c r="AV41" s="34">
        <f t="shared" ca="1" si="5"/>
        <v>208.01970201813083</v>
      </c>
      <c r="AW41" s="34">
        <f t="shared" ca="1" si="6"/>
        <v>1.0015384994252726E-3</v>
      </c>
      <c r="AX41" s="34">
        <f t="shared" ca="1" si="7"/>
        <v>4.2742294482692907E-2</v>
      </c>
      <c r="AY41" s="34">
        <f t="shared" ca="1" si="8"/>
        <v>9.1275244584500313E-4</v>
      </c>
      <c r="AZ41" s="34">
        <f t="shared" ca="1" si="9"/>
        <v>2.0669503565798816E-5</v>
      </c>
      <c r="BA41" s="34">
        <f t="shared" ca="1" si="10"/>
        <v>1.8489600766884868E-7</v>
      </c>
      <c r="BB41" s="34">
        <f t="shared" ca="1" si="11"/>
        <v>516.36937316622743</v>
      </c>
      <c r="BC41" s="34">
        <f t="shared" ca="1" si="12"/>
        <v>87.861424427927318</v>
      </c>
      <c r="BD41" s="34">
        <f t="shared" ca="1" si="13"/>
        <v>2.0851613812825236</v>
      </c>
      <c r="BE41" s="34">
        <f t="shared" ca="1" si="14"/>
        <v>61.762463951107499</v>
      </c>
      <c r="BF41" s="34">
        <f t="shared" ca="1" si="15"/>
        <v>0.21877072875743225</v>
      </c>
      <c r="BG41" s="34">
        <f t="shared" ca="1" si="16"/>
        <v>325.09531372017881</v>
      </c>
      <c r="BH41" s="34">
        <f t="shared" ca="1" si="17"/>
        <v>5.7182155634954981</v>
      </c>
      <c r="BI41" s="34">
        <f t="shared" ca="1" si="18"/>
        <v>0.23844361043110088</v>
      </c>
      <c r="BJ41" s="34">
        <f t="shared" ca="1" si="19"/>
        <v>1.6253704651868916E-4</v>
      </c>
      <c r="BK41" s="34">
        <f t="shared" ca="1" si="20"/>
        <v>149300.02605941443</v>
      </c>
      <c r="BL41" s="34">
        <f t="shared" ca="1" si="21"/>
        <v>1.5745064236197731E-2</v>
      </c>
      <c r="BM41" s="34">
        <f t="shared" ca="1" si="22"/>
        <v>0.78751891047631717</v>
      </c>
      <c r="BN41" s="34">
        <f t="shared" ca="1" si="23"/>
        <v>0.54378051288508344</v>
      </c>
      <c r="BO41" s="34">
        <f t="shared" ca="1" si="24"/>
        <v>3.7827297245129392</v>
      </c>
      <c r="BP41" s="34">
        <f t="shared" ca="1" si="25"/>
        <v>127428.64829294343</v>
      </c>
      <c r="BQ41" s="34">
        <f t="shared" ca="1" si="26"/>
        <v>2.0653618133201663E-10</v>
      </c>
      <c r="BR41" s="34">
        <f t="shared" ca="1" si="27"/>
        <v>3.8390530283925634E-5</v>
      </c>
      <c r="BS41" s="34">
        <f t="shared" ca="1" si="28"/>
        <v>9.9309679770857601E-3</v>
      </c>
      <c r="BT41" s="34">
        <f t="shared" ca="1" si="29"/>
        <v>2.9087291234612231</v>
      </c>
      <c r="BU41" s="34">
        <f t="shared" ca="1" si="30"/>
        <v>2925.0904555017883</v>
      </c>
      <c r="BV41" s="34">
        <f t="shared" ca="1" si="31"/>
        <v>2.5403657138113672E-12</v>
      </c>
      <c r="BW41" s="34">
        <f t="shared" ca="1" si="32"/>
        <v>7.451211709901438E-8</v>
      </c>
      <c r="BX41" s="34">
        <f t="shared" ca="1" si="33"/>
        <v>3.5615787470010163E-3</v>
      </c>
      <c r="BY41" s="34">
        <f t="shared" ca="1" si="34"/>
        <v>1.3259068284408133</v>
      </c>
    </row>
    <row r="42" spans="1:77" ht="12.75" customHeight="1" x14ac:dyDescent="0.3">
      <c r="A42" s="118"/>
      <c r="B42" s="118"/>
      <c r="C42" s="118"/>
      <c r="D42" s="118"/>
      <c r="E42" s="110"/>
      <c r="F42" s="118"/>
      <c r="G42" s="23"/>
      <c r="H42" s="25">
        <f t="shared" si="0"/>
        <v>1.0063449749398594E-2</v>
      </c>
      <c r="I42" s="25">
        <f t="shared" si="1"/>
        <v>3.6731591585304866</v>
      </c>
      <c r="J42" s="117">
        <v>317360.95129703404</v>
      </c>
      <c r="K42" s="117">
        <v>0.58451996092148395</v>
      </c>
      <c r="L42" s="117">
        <v>2.4819481759752495</v>
      </c>
      <c r="M42" s="117">
        <v>6.1399865406718241</v>
      </c>
      <c r="N42" s="117">
        <v>178797.94572282949</v>
      </c>
      <c r="O42" s="117">
        <v>10.577825046474619</v>
      </c>
      <c r="P42" s="117">
        <v>345.80263077918903</v>
      </c>
      <c r="Q42" s="117">
        <v>19.324571610932288</v>
      </c>
      <c r="R42" s="117">
        <v>0.85440502338769264</v>
      </c>
      <c r="S42" s="117">
        <v>8.4680397884769262E-3</v>
      </c>
      <c r="T42" s="117">
        <v>150.79904926114975</v>
      </c>
      <c r="U42" s="117">
        <v>374.02145619836421</v>
      </c>
      <c r="V42" s="117">
        <v>496.89282724329991</v>
      </c>
      <c r="W42" s="117">
        <v>26656858.404635731</v>
      </c>
      <c r="X42" s="117">
        <v>896.82860055074252</v>
      </c>
      <c r="Y42" s="117">
        <v>26628436.83781103</v>
      </c>
      <c r="Z42" s="117">
        <v>642788.71654922259</v>
      </c>
      <c r="AA42" s="117">
        <v>70281.653643321522</v>
      </c>
      <c r="AB42" s="117">
        <v>13.884314129705901</v>
      </c>
      <c r="AC42" s="117">
        <v>12620.772167931686</v>
      </c>
      <c r="AD42" s="117">
        <v>31615.511038634635</v>
      </c>
      <c r="AE42" s="117">
        <v>46880160.31422738</v>
      </c>
      <c r="AF42" s="117">
        <v>1004505.8280832681</v>
      </c>
      <c r="AG42" s="117">
        <v>13664.754006237945</v>
      </c>
      <c r="AH42" s="117">
        <v>380.97491740345106</v>
      </c>
      <c r="AI42" s="117">
        <v>3.6697769811640577E-4</v>
      </c>
      <c r="AJ42" s="117">
        <v>1544.4826094622174</v>
      </c>
      <c r="AK42" s="117">
        <v>12261.054978524398</v>
      </c>
      <c r="AL42" s="117">
        <v>554.02894635496716</v>
      </c>
      <c r="AM42" s="117">
        <v>15.72316801110424</v>
      </c>
      <c r="AN42" s="117">
        <v>1.321753706935643E-5</v>
      </c>
      <c r="AO42" s="117">
        <v>11.464876864435643</v>
      </c>
      <c r="AP42" s="117">
        <v>16506.392367270713</v>
      </c>
      <c r="AQ42" s="117">
        <v>105.2436986983847</v>
      </c>
      <c r="AS42" s="34">
        <f t="shared" ca="1" si="2"/>
        <v>41.209616467931689</v>
      </c>
      <c r="AT42" s="34">
        <f t="shared" ca="1" si="3"/>
        <v>29473412.993070059</v>
      </c>
      <c r="AU42" s="34">
        <f t="shared" ca="1" si="4"/>
        <v>3.8750823898964698E-2</v>
      </c>
      <c r="AV42" s="34">
        <f t="shared" ca="1" si="5"/>
        <v>209.04208236689556</v>
      </c>
      <c r="AW42" s="34">
        <f t="shared" ca="1" si="6"/>
        <v>1.0417086956964973E-3</v>
      </c>
      <c r="AX42" s="34">
        <f t="shared" ca="1" si="7"/>
        <v>4.3735167052345106E-2</v>
      </c>
      <c r="AY42" s="34">
        <f t="shared" ca="1" si="8"/>
        <v>9.4762800445952569E-4</v>
      </c>
      <c r="AZ42" s="34">
        <f t="shared" ca="1" si="9"/>
        <v>2.1969947055558852E-5</v>
      </c>
      <c r="BA42" s="34">
        <f t="shared" ca="1" si="10"/>
        <v>2.0001219035790078E-7</v>
      </c>
      <c r="BB42" s="34">
        <f t="shared" ca="1" si="11"/>
        <v>534.95702435060684</v>
      </c>
      <c r="BC42" s="34">
        <f t="shared" ca="1" si="12"/>
        <v>91.376694801407737</v>
      </c>
      <c r="BD42" s="34">
        <f t="shared" ca="1" si="13"/>
        <v>2.1357594670834206</v>
      </c>
      <c r="BE42" s="34">
        <f t="shared" ca="1" si="14"/>
        <v>62.027083134812877</v>
      </c>
      <c r="BF42" s="34">
        <f t="shared" ca="1" si="15"/>
        <v>0.22646656536334356</v>
      </c>
      <c r="BG42" s="34">
        <f t="shared" ca="1" si="16"/>
        <v>331.46063861369612</v>
      </c>
      <c r="BH42" s="34">
        <f t="shared" ca="1" si="17"/>
        <v>5.9699085998852475</v>
      </c>
      <c r="BI42" s="34">
        <f t="shared" ca="1" si="18"/>
        <v>0.25240924457015129</v>
      </c>
      <c r="BJ42" s="34">
        <f t="shared" ca="1" si="19"/>
        <v>1.7599715395979966E-4</v>
      </c>
      <c r="BK42" s="34">
        <f t="shared" ca="1" si="20"/>
        <v>153928.03315087719</v>
      </c>
      <c r="BL42" s="34">
        <f t="shared" ca="1" si="21"/>
        <v>1.6295880362066004E-2</v>
      </c>
      <c r="BM42" s="34">
        <f t="shared" ca="1" si="22"/>
        <v>0.80547431040715545</v>
      </c>
      <c r="BN42" s="34">
        <f t="shared" ca="1" si="23"/>
        <v>0.54662345613084129</v>
      </c>
      <c r="BO42" s="34">
        <f t="shared" ca="1" si="24"/>
        <v>3.9587331554681029</v>
      </c>
      <c r="BP42" s="34">
        <f t="shared" ca="1" si="25"/>
        <v>138226.3220356325</v>
      </c>
      <c r="BQ42" s="34">
        <f t="shared" ca="1" si="26"/>
        <v>2.3296914906003606E-10</v>
      </c>
      <c r="BR42" s="34">
        <f t="shared" ca="1" si="27"/>
        <v>3.9823129675560811E-5</v>
      </c>
      <c r="BS42" s="34">
        <f t="shared" ca="1" si="28"/>
        <v>1.0012750686362948E-2</v>
      </c>
      <c r="BT42" s="34">
        <f t="shared" ca="1" si="29"/>
        <v>3.0795585880344976</v>
      </c>
      <c r="BU42" s="34">
        <f t="shared" ca="1" si="30"/>
        <v>3230.0211272713173</v>
      </c>
      <c r="BV42" s="34">
        <f t="shared" ca="1" si="31"/>
        <v>2.921480797381556E-12</v>
      </c>
      <c r="BW42" s="34">
        <f t="shared" ca="1" si="32"/>
        <v>7.8652591862626395E-8</v>
      </c>
      <c r="BX42" s="34">
        <f t="shared" ca="1" si="33"/>
        <v>3.5864848916321839E-3</v>
      </c>
      <c r="BY42" s="34">
        <f t="shared" ca="1" si="34"/>
        <v>1.3791475811204221</v>
      </c>
    </row>
    <row r="43" spans="1:77" ht="12.75" customHeight="1" x14ac:dyDescent="0.3">
      <c r="A43" s="118"/>
      <c r="B43" s="118"/>
      <c r="C43" s="118"/>
      <c r="D43" s="118"/>
      <c r="E43" s="110"/>
      <c r="F43" s="118"/>
      <c r="G43" s="23"/>
      <c r="H43" s="25">
        <f t="shared" si="0"/>
        <v>1.0398898074378547E-2</v>
      </c>
      <c r="I43" s="25">
        <f t="shared" si="1"/>
        <v>3.7955977971481696</v>
      </c>
      <c r="J43" s="117">
        <v>327939.64967360185</v>
      </c>
      <c r="K43" s="117">
        <v>0.5852014324345286</v>
      </c>
      <c r="L43" s="117">
        <v>2.5224811220930583</v>
      </c>
      <c r="M43" s="117">
        <v>6.3219289164648416</v>
      </c>
      <c r="N43" s="117">
        <v>179638.83709973609</v>
      </c>
      <c r="O43" s="117">
        <v>10.982118703954447</v>
      </c>
      <c r="P43" s="117">
        <v>353.41481912465076</v>
      </c>
      <c r="Q43" s="117">
        <v>20.026742740904272</v>
      </c>
      <c r="R43" s="117">
        <v>0.90602882709582999</v>
      </c>
      <c r="S43" s="117">
        <v>9.1309289032852747E-3</v>
      </c>
      <c r="T43" s="117">
        <v>155.94733897118311</v>
      </c>
      <c r="U43" s="117">
        <v>388.27996928852218</v>
      </c>
      <c r="V43" s="117">
        <v>508.37840042539318</v>
      </c>
      <c r="W43" s="117">
        <v>26767046.114664432</v>
      </c>
      <c r="X43" s="117">
        <v>927.02303304460577</v>
      </c>
      <c r="Y43" s="117">
        <v>27122274.223782212</v>
      </c>
      <c r="Z43" s="117">
        <v>669926.5583619473</v>
      </c>
      <c r="AA43" s="117">
        <v>74236.807069278904</v>
      </c>
      <c r="AB43" s="117">
        <v>14.990573154657374</v>
      </c>
      <c r="AC43" s="117">
        <v>12993.405300775927</v>
      </c>
      <c r="AD43" s="117">
        <v>32673.843147657852</v>
      </c>
      <c r="AE43" s="117">
        <v>47898368.153668612</v>
      </c>
      <c r="AF43" s="117">
        <v>1009499.1289759433</v>
      </c>
      <c r="AG43" s="117">
        <v>14273.427037270108</v>
      </c>
      <c r="AH43" s="117">
        <v>411.88597707691434</v>
      </c>
      <c r="AI43" s="117">
        <v>4.1202727304528471E-4</v>
      </c>
      <c r="AJ43" s="117">
        <v>1599.0953135637603</v>
      </c>
      <c r="AK43" s="117">
        <v>12353.608186709471</v>
      </c>
      <c r="AL43" s="117">
        <v>585.03390942727879</v>
      </c>
      <c r="AM43" s="117">
        <v>17.290361856677528</v>
      </c>
      <c r="AN43" s="117">
        <v>1.5116711314340331E-5</v>
      </c>
      <c r="AO43" s="117">
        <v>12.070231284073802</v>
      </c>
      <c r="AP43" s="117">
        <v>16613.278902700418</v>
      </c>
      <c r="AQ43" s="117">
        <v>109.20258300480411</v>
      </c>
      <c r="AS43" s="34">
        <f t="shared" ca="1" si="2"/>
        <v>41.257661327926066</v>
      </c>
      <c r="AT43" s="34">
        <f t="shared" ca="1" si="3"/>
        <v>29954746.27485247</v>
      </c>
      <c r="AU43" s="34">
        <f t="shared" ca="1" si="4"/>
        <v>3.9899102794596124E-2</v>
      </c>
      <c r="AV43" s="34">
        <f t="shared" ca="1" si="5"/>
        <v>210.02521270299806</v>
      </c>
      <c r="AW43" s="34">
        <f t="shared" ca="1" si="6"/>
        <v>1.0815237065102789E-3</v>
      </c>
      <c r="AX43" s="34">
        <f t="shared" ca="1" si="7"/>
        <v>4.4697913715586277E-2</v>
      </c>
      <c r="AY43" s="34">
        <f t="shared" ca="1" si="8"/>
        <v>9.8206069668583152E-4</v>
      </c>
      <c r="AZ43" s="34">
        <f t="shared" ca="1" si="9"/>
        <v>2.3297388027028542E-5</v>
      </c>
      <c r="BA43" s="34">
        <f t="shared" ca="1" si="10"/>
        <v>2.1566940349448132E-7</v>
      </c>
      <c r="BB43" s="34">
        <f t="shared" ca="1" si="11"/>
        <v>553.22049323365525</v>
      </c>
      <c r="BC43" s="34">
        <f t="shared" ca="1" si="12"/>
        <v>94.860173562771209</v>
      </c>
      <c r="BD43" s="34">
        <f t="shared" ca="1" si="13"/>
        <v>2.1851270979156601</v>
      </c>
      <c r="BE43" s="34">
        <f t="shared" ca="1" si="14"/>
        <v>62.283475772933961</v>
      </c>
      <c r="BF43" s="34">
        <f t="shared" ca="1" si="15"/>
        <v>0.23409124349669178</v>
      </c>
      <c r="BG43" s="34">
        <f t="shared" ca="1" si="16"/>
        <v>337.60773828471014</v>
      </c>
      <c r="BH43" s="34">
        <f t="shared" ca="1" si="17"/>
        <v>6.221951660145943</v>
      </c>
      <c r="BI43" s="34">
        <f t="shared" ca="1" si="18"/>
        <v>0.26661376647100743</v>
      </c>
      <c r="BJ43" s="34">
        <f t="shared" ca="1" si="19"/>
        <v>1.9002006053731935E-4</v>
      </c>
      <c r="BK43" s="34">
        <f t="shared" ca="1" si="20"/>
        <v>158472.81729422041</v>
      </c>
      <c r="BL43" s="34">
        <f t="shared" ca="1" si="21"/>
        <v>1.6841386440107881E-2</v>
      </c>
      <c r="BM43" s="34">
        <f t="shared" ca="1" si="22"/>
        <v>0.82296870999597649</v>
      </c>
      <c r="BN43" s="34">
        <f t="shared" ca="1" si="23"/>
        <v>0.54934066823170435</v>
      </c>
      <c r="BO43" s="34">
        <f t="shared" ca="1" si="24"/>
        <v>4.1350681343258504</v>
      </c>
      <c r="BP43" s="34">
        <f t="shared" ca="1" si="25"/>
        <v>149441.55404620079</v>
      </c>
      <c r="BQ43" s="34">
        <f t="shared" ca="1" si="26"/>
        <v>2.6156805627038158E-10</v>
      </c>
      <c r="BR43" s="34">
        <f t="shared" ca="1" si="27"/>
        <v>4.1231270359078155E-5</v>
      </c>
      <c r="BS43" s="34">
        <f t="shared" ca="1" si="28"/>
        <v>1.0088332453217705E-2</v>
      </c>
      <c r="BT43" s="34">
        <f t="shared" ca="1" si="29"/>
        <v>3.2518990423180081</v>
      </c>
      <c r="BU43" s="34">
        <f t="shared" ca="1" si="30"/>
        <v>3551.9708277487462</v>
      </c>
      <c r="BV43" s="34">
        <f t="shared" ca="1" si="31"/>
        <v>3.3412565134236552E-12</v>
      </c>
      <c r="BW43" s="34">
        <f t="shared" ca="1" si="32"/>
        <v>8.2805509915129247E-8</v>
      </c>
      <c r="BX43" s="34">
        <f t="shared" ca="1" si="33"/>
        <v>3.6097090423677287E-3</v>
      </c>
      <c r="BY43" s="34">
        <f t="shared" ca="1" si="34"/>
        <v>1.4310260857972796</v>
      </c>
    </row>
    <row r="44" spans="1:77" ht="12.75" customHeight="1" x14ac:dyDescent="0.3">
      <c r="A44" s="118"/>
      <c r="B44" s="118"/>
      <c r="C44" s="118"/>
      <c r="D44" s="118"/>
      <c r="E44" s="110"/>
      <c r="F44" s="118"/>
      <c r="G44" s="23"/>
      <c r="H44" s="25">
        <f t="shared" si="0"/>
        <v>1.07343463993585E-2</v>
      </c>
      <c r="I44" s="25">
        <f t="shared" si="1"/>
        <v>3.9180364357658526</v>
      </c>
      <c r="J44" s="117">
        <v>338518.34805016965</v>
      </c>
      <c r="K44" s="117">
        <v>0.58585510316195477</v>
      </c>
      <c r="L44" s="117">
        <v>2.5613558791887323</v>
      </c>
      <c r="M44" s="117">
        <v>6.5025193108830779</v>
      </c>
      <c r="N44" s="117">
        <v>180449.16633921702</v>
      </c>
      <c r="O44" s="117">
        <v>11.382760115275389</v>
      </c>
      <c r="P44" s="117">
        <v>360.79586681016377</v>
      </c>
      <c r="Q44" s="117">
        <v>20.719847039668362</v>
      </c>
      <c r="R44" s="117">
        <v>0.9586632180456649</v>
      </c>
      <c r="S44" s="117">
        <v>9.8163470803371723E-3</v>
      </c>
      <c r="T44" s="117">
        <v>161.00498021286509</v>
      </c>
      <c r="U44" s="117">
        <v>402.40680344646097</v>
      </c>
      <c r="V44" s="117">
        <v>519.5844569610033</v>
      </c>
      <c r="W44" s="117">
        <v>26873870.841602892</v>
      </c>
      <c r="X44" s="117">
        <v>956.93431292706418</v>
      </c>
      <c r="Y44" s="117">
        <v>27599182.542334702</v>
      </c>
      <c r="Z44" s="117">
        <v>697086.24745621835</v>
      </c>
      <c r="AA44" s="117">
        <v>78255.619578837548</v>
      </c>
      <c r="AB44" s="117">
        <v>16.141163596433149</v>
      </c>
      <c r="AC44" s="117">
        <v>13359.300172353092</v>
      </c>
      <c r="AD44" s="117">
        <v>33721.834654792481</v>
      </c>
      <c r="AE44" s="117">
        <v>48890433.760724001</v>
      </c>
      <c r="AF44" s="117">
        <v>1014285.9605124348</v>
      </c>
      <c r="AG44" s="117">
        <v>14883.094498770934</v>
      </c>
      <c r="AH44" s="117">
        <v>443.9336836855104</v>
      </c>
      <c r="AI44" s="117">
        <v>4.6061236564001496E-4</v>
      </c>
      <c r="AJ44" s="117">
        <v>1652.7633418566711</v>
      </c>
      <c r="AK44" s="117">
        <v>12439.597787850222</v>
      </c>
      <c r="AL44" s="117">
        <v>616.29273368043755</v>
      </c>
      <c r="AM44" s="117">
        <v>18.940872416138475</v>
      </c>
      <c r="AN44" s="117">
        <v>1.7200207611198047E-5</v>
      </c>
      <c r="AO44" s="117">
        <v>12.677004350210582</v>
      </c>
      <c r="AP44" s="117">
        <v>16713.515280116848</v>
      </c>
      <c r="AQ44" s="117">
        <v>113.05806263335951</v>
      </c>
      <c r="AS44" s="34">
        <f t="shared" ca="1" si="2"/>
        <v>41.303746186912029</v>
      </c>
      <c r="AT44" s="34">
        <f t="shared" ca="1" si="3"/>
        <v>30416388.375995804</v>
      </c>
      <c r="AU44" s="34">
        <f t="shared" ca="1" si="4"/>
        <v>4.10388490343623E-2</v>
      </c>
      <c r="AV44" s="34">
        <f t="shared" ca="1" si="5"/>
        <v>210.9726112367959</v>
      </c>
      <c r="AW44" s="34">
        <f t="shared" ca="1" si="6"/>
        <v>1.1209790425737393E-3</v>
      </c>
      <c r="AX44" s="34">
        <f t="shared" ca="1" si="7"/>
        <v>4.5631427011363856E-2</v>
      </c>
      <c r="AY44" s="34">
        <f t="shared" ca="1" si="8"/>
        <v>1.0160487744939092E-3</v>
      </c>
      <c r="AZ44" s="34">
        <f t="shared" ca="1" si="9"/>
        <v>2.4650814974220944E-5</v>
      </c>
      <c r="BA44" s="34">
        <f t="shared" ca="1" si="10"/>
        <v>2.3185874534072778E-7</v>
      </c>
      <c r="BB44" s="34">
        <f t="shared" ca="1" si="11"/>
        <v>571.16238823988681</v>
      </c>
      <c r="BC44" s="34">
        <f t="shared" ca="1" si="12"/>
        <v>98.311482015715853</v>
      </c>
      <c r="BD44" s="34">
        <f t="shared" ca="1" si="13"/>
        <v>2.2332933020192316</v>
      </c>
      <c r="BE44" s="34">
        <f t="shared" ca="1" si="14"/>
        <v>62.532043181669316</v>
      </c>
      <c r="BF44" s="34">
        <f t="shared" ca="1" si="15"/>
        <v>0.24164442011978585</v>
      </c>
      <c r="BG44" s="34">
        <f t="shared" ca="1" si="16"/>
        <v>343.54411137301446</v>
      </c>
      <c r="BH44" s="34">
        <f t="shared" ca="1" si="17"/>
        <v>6.4741976273193291</v>
      </c>
      <c r="BI44" s="34">
        <f t="shared" ca="1" si="18"/>
        <v>0.2810469133453648</v>
      </c>
      <c r="BJ44" s="34">
        <f t="shared" ca="1" si="19"/>
        <v>2.0460491083918833E-4</v>
      </c>
      <c r="BK44" s="34">
        <f t="shared" ca="1" si="20"/>
        <v>162935.41888249517</v>
      </c>
      <c r="BL44" s="34">
        <f t="shared" ca="1" si="21"/>
        <v>1.7381562564411476E-2</v>
      </c>
      <c r="BM44" s="34">
        <f t="shared" ca="1" si="22"/>
        <v>0.84001394523761208</v>
      </c>
      <c r="BN44" s="34">
        <f t="shared" ca="1" si="23"/>
        <v>0.55194552559065657</v>
      </c>
      <c r="BO44" s="34">
        <f t="shared" ca="1" si="24"/>
        <v>4.3116912036143002</v>
      </c>
      <c r="BP44" s="34">
        <f t="shared" ca="1" si="25"/>
        <v>161069.18728876434</v>
      </c>
      <c r="BQ44" s="34">
        <f t="shared" ca="1" si="26"/>
        <v>2.9241142287520184E-10</v>
      </c>
      <c r="BR44" s="34">
        <f t="shared" ca="1" si="27"/>
        <v>4.2615053405288321E-5</v>
      </c>
      <c r="BS44" s="34">
        <f t="shared" ca="1" si="28"/>
        <v>1.0158554178782933E-2</v>
      </c>
      <c r="BT44" s="34">
        <f t="shared" ca="1" si="29"/>
        <v>3.4256505787927831</v>
      </c>
      <c r="BU44" s="34">
        <f t="shared" ca="1" si="30"/>
        <v>3891.0363375797292</v>
      </c>
      <c r="BV44" s="34">
        <f t="shared" ca="1" si="31"/>
        <v>3.8017730522270352E-12</v>
      </c>
      <c r="BW44" s="34">
        <f t="shared" ca="1" si="32"/>
        <v>8.6968160320222791E-8</v>
      </c>
      <c r="BX44" s="34">
        <f t="shared" ca="1" si="33"/>
        <v>3.6314882564562529E-3</v>
      </c>
      <c r="BY44" s="34">
        <f t="shared" ca="1" si="34"/>
        <v>1.4815495420188238</v>
      </c>
    </row>
    <row r="45" spans="1:77" ht="12.75" customHeight="1" x14ac:dyDescent="0.3">
      <c r="A45" s="118"/>
      <c r="B45" s="118"/>
      <c r="C45" s="118"/>
      <c r="D45" s="118"/>
      <c r="E45" s="110"/>
      <c r="F45" s="118"/>
      <c r="G45" s="23"/>
      <c r="H45" s="25">
        <f t="shared" si="0"/>
        <v>1.1069794724338453E-2</v>
      </c>
      <c r="I45" s="25">
        <f t="shared" si="1"/>
        <v>4.0404750743835356</v>
      </c>
      <c r="J45" s="117">
        <v>349097.04642673745</v>
      </c>
      <c r="K45" s="117">
        <v>0.5864821909678184</v>
      </c>
      <c r="L45" s="117">
        <v>2.5986406280243304</v>
      </c>
      <c r="M45" s="117">
        <v>6.6817677701714748</v>
      </c>
      <c r="N45" s="117">
        <v>181231.36888614859</v>
      </c>
      <c r="O45" s="117">
        <v>11.779713071117767</v>
      </c>
      <c r="P45" s="117">
        <v>367.95268258655096</v>
      </c>
      <c r="Q45" s="117">
        <v>21.403867560002038</v>
      </c>
      <c r="R45" s="117">
        <v>1.0122700541356158</v>
      </c>
      <c r="S45" s="117">
        <v>1.0523917522704486E-2</v>
      </c>
      <c r="T45" s="117">
        <v>165.97282699861495</v>
      </c>
      <c r="U45" s="117">
        <v>416.4007403191352</v>
      </c>
      <c r="V45" s="117">
        <v>530.51762779052262</v>
      </c>
      <c r="W45" s="117">
        <v>26977482.504180074</v>
      </c>
      <c r="X45" s="117">
        <v>986.56136824178259</v>
      </c>
      <c r="Y45" s="117">
        <v>28059743.453766257</v>
      </c>
      <c r="Z45" s="117">
        <v>724252.7379780612</v>
      </c>
      <c r="AA45" s="117">
        <v>82335.333535848782</v>
      </c>
      <c r="AB45" s="117">
        <v>17.335991200488319</v>
      </c>
      <c r="AC45" s="117">
        <v>13718.544111918149</v>
      </c>
      <c r="AD45" s="117">
        <v>34759.45696788135</v>
      </c>
      <c r="AE45" s="117">
        <v>49857028.310727179</v>
      </c>
      <c r="AF45" s="117">
        <v>1018886.2871864424</v>
      </c>
      <c r="AG45" s="117">
        <v>15493.618223702249</v>
      </c>
      <c r="AH45" s="117">
        <v>477.10365610147062</v>
      </c>
      <c r="AI45" s="117">
        <v>5.128546695147662E-4</v>
      </c>
      <c r="AJ45" s="117">
        <v>1705.4926084679594</v>
      </c>
      <c r="AK45" s="117">
        <v>12519.893110023268</v>
      </c>
      <c r="AL45" s="117">
        <v>647.78974962403618</v>
      </c>
      <c r="AM45" s="117">
        <v>20.67512122905055</v>
      </c>
      <c r="AN45" s="117">
        <v>1.9477476116268285E-5</v>
      </c>
      <c r="AO45" s="117">
        <v>13.28485510972973</v>
      </c>
      <c r="AP45" s="117">
        <v>16807.998946062562</v>
      </c>
      <c r="AQ45" s="117">
        <v>116.81115123380033</v>
      </c>
      <c r="AS45" s="34">
        <f t="shared" ca="1" si="2"/>
        <v>41.347956906304084</v>
      </c>
      <c r="AT45" s="34">
        <f t="shared" ca="1" si="3"/>
        <v>30859148.950697437</v>
      </c>
      <c r="AU45" s="34">
        <f t="shared" ca="1" si="4"/>
        <v>4.2170126022354752E-2</v>
      </c>
      <c r="AV45" s="34">
        <f t="shared" ca="1" si="5"/>
        <v>211.88712537498819</v>
      </c>
      <c r="AW45" s="34">
        <f t="shared" ca="1" si="6"/>
        <v>1.1600711379777227E-3</v>
      </c>
      <c r="AX45" s="34">
        <f t="shared" ca="1" si="7"/>
        <v>4.6536580719529312E-2</v>
      </c>
      <c r="AY45" s="34">
        <f t="shared" ca="1" si="8"/>
        <v>1.0495914068349268E-3</v>
      </c>
      <c r="AZ45" s="34">
        <f t="shared" ca="1" si="9"/>
        <v>2.6029247121123052E-5</v>
      </c>
      <c r="BA45" s="34">
        <f t="shared" ca="1" si="10"/>
        <v>2.4857131608265741E-7</v>
      </c>
      <c r="BB45" s="34">
        <f t="shared" ca="1" si="11"/>
        <v>588.78573896361809</v>
      </c>
      <c r="BC45" s="34">
        <f t="shared" ca="1" si="12"/>
        <v>101.73032250599601</v>
      </c>
      <c r="BD45" s="34">
        <f t="shared" ca="1" si="13"/>
        <v>2.2802865806985246</v>
      </c>
      <c r="BE45" s="34">
        <f t="shared" ca="1" si="14"/>
        <v>62.77313420263124</v>
      </c>
      <c r="BF45" s="34">
        <f t="shared" ca="1" si="15"/>
        <v>0.24912582454292059</v>
      </c>
      <c r="BG45" s="34">
        <f t="shared" ca="1" si="16"/>
        <v>349.276998164433</v>
      </c>
      <c r="BH45" s="34">
        <f t="shared" ca="1" si="17"/>
        <v>6.7265067628401161</v>
      </c>
      <c r="BI45" s="34">
        <f t="shared" ca="1" si="18"/>
        <v>0.29569878142999345</v>
      </c>
      <c r="BJ45" s="34">
        <f t="shared" ca="1" si="19"/>
        <v>2.1975051009759193E-4</v>
      </c>
      <c r="BK45" s="34">
        <f t="shared" ca="1" si="20"/>
        <v>167316.90301855528</v>
      </c>
      <c r="BL45" s="34">
        <f t="shared" ca="1" si="21"/>
        <v>1.7916393997452155E-2</v>
      </c>
      <c r="BM45" s="34">
        <f t="shared" ca="1" si="22"/>
        <v>0.85662154797165913</v>
      </c>
      <c r="BN45" s="34">
        <f t="shared" ca="1" si="23"/>
        <v>0.55444889231643768</v>
      </c>
      <c r="BO45" s="34">
        <f t="shared" ca="1" si="24"/>
        <v>4.4885623357973001</v>
      </c>
      <c r="BP45" s="34">
        <f t="shared" ca="1" si="25"/>
        <v>173104.00396470341</v>
      </c>
      <c r="BQ45" s="34">
        <f t="shared" ca="1" si="26"/>
        <v>3.2557650386270102E-10</v>
      </c>
      <c r="BR45" s="34">
        <f t="shared" ca="1" si="27"/>
        <v>4.3974631304769951E-5</v>
      </c>
      <c r="BS45" s="34">
        <f t="shared" ca="1" si="28"/>
        <v>1.0224125782825824E-2</v>
      </c>
      <c r="BT45" s="34">
        <f t="shared" ca="1" si="29"/>
        <v>3.6007260989162795</v>
      </c>
      <c r="BU45" s="34">
        <f t="shared" ca="1" si="30"/>
        <v>4247.304253924267</v>
      </c>
      <c r="BV45" s="34">
        <f t="shared" ca="1" si="31"/>
        <v>4.3051191879809365E-12</v>
      </c>
      <c r="BW45" s="34">
        <f t="shared" ca="1" si="32"/>
        <v>9.1138204034355634E-8</v>
      </c>
      <c r="BX45" s="34">
        <f t="shared" ca="1" si="33"/>
        <v>3.652017529775372E-3</v>
      </c>
      <c r="BY45" s="34">
        <f t="shared" ca="1" si="34"/>
        <v>1.5307312329803182</v>
      </c>
    </row>
    <row r="46" spans="1:77" ht="12.75" customHeight="1" x14ac:dyDescent="0.3">
      <c r="A46" s="118"/>
      <c r="B46" s="118"/>
      <c r="C46" s="118"/>
      <c r="D46" s="118"/>
      <c r="E46" s="110"/>
      <c r="F46" s="118"/>
      <c r="G46" s="23"/>
      <c r="H46" s="25">
        <f t="shared" si="0"/>
        <v>1.1405243049318408E-2</v>
      </c>
      <c r="I46" s="25">
        <f t="shared" si="1"/>
        <v>4.1629137130012186</v>
      </c>
      <c r="J46" s="117">
        <v>359675.74480330525</v>
      </c>
      <c r="K46" s="117">
        <v>0.5870834312593769</v>
      </c>
      <c r="L46" s="117">
        <v>2.6344007508822962</v>
      </c>
      <c r="M46" s="117">
        <v>6.8596842659622821</v>
      </c>
      <c r="N46" s="117">
        <v>181987.45219906233</v>
      </c>
      <c r="O46" s="117">
        <v>12.17294877762877</v>
      </c>
      <c r="P46" s="117">
        <v>374.89201286456023</v>
      </c>
      <c r="Q46" s="117">
        <v>22.078802246951913</v>
      </c>
      <c r="R46" s="117">
        <v>1.0668123584560369</v>
      </c>
      <c r="S46" s="117">
        <v>1.1253264173366858E-2</v>
      </c>
      <c r="T46" s="117">
        <v>170.85182010374587</v>
      </c>
      <c r="U46" s="117">
        <v>430.2608236886274</v>
      </c>
      <c r="V46" s="117">
        <v>541.18441412512834</v>
      </c>
      <c r="W46" s="117">
        <v>27078014.126180042</v>
      </c>
      <c r="X46" s="117">
        <v>1015.9033718873389</v>
      </c>
      <c r="Y46" s="117">
        <v>28504518.649275087</v>
      </c>
      <c r="Z46" s="117">
        <v>751411.73421165952</v>
      </c>
      <c r="AA46" s="117">
        <v>86473.287483422435</v>
      </c>
      <c r="AB46" s="117">
        <v>18.574936505719123</v>
      </c>
      <c r="AC46" s="117">
        <v>14071.225832372991</v>
      </c>
      <c r="AD46" s="117">
        <v>35786.690042690425</v>
      </c>
      <c r="AE46" s="117">
        <v>50798805.776066408</v>
      </c>
      <c r="AF46" s="117">
        <v>1023316.5276501279</v>
      </c>
      <c r="AG46" s="117">
        <v>16104.868995341059</v>
      </c>
      <c r="AH46" s="117">
        <v>511.38137924521817</v>
      </c>
      <c r="AI46" s="117">
        <v>5.6887387192703861E-4</v>
      </c>
      <c r="AJ46" s="117">
        <v>1757.2905333025196</v>
      </c>
      <c r="AK46" s="117">
        <v>12595.22860637866</v>
      </c>
      <c r="AL46" s="117">
        <v>679.51119192432304</v>
      </c>
      <c r="AM46" s="117">
        <v>22.493487146954742</v>
      </c>
      <c r="AN46" s="117">
        <v>2.1957999782516534E-5</v>
      </c>
      <c r="AO46" s="117">
        <v>13.893487490654039</v>
      </c>
      <c r="AP46" s="117">
        <v>16897.470766263494</v>
      </c>
      <c r="AQ46" s="117">
        <v>120.46321115147732</v>
      </c>
      <c r="AS46" s="34">
        <f t="shared" ca="1" si="2"/>
        <v>41.390345333520727</v>
      </c>
      <c r="AT46" s="34">
        <f t="shared" ca="1" si="3"/>
        <v>31283804.420895401</v>
      </c>
      <c r="AU46" s="34">
        <f t="shared" ca="1" si="4"/>
        <v>4.3292996691767671E-2</v>
      </c>
      <c r="AV46" s="34">
        <f t="shared" ca="1" si="5"/>
        <v>212.77110214292804</v>
      </c>
      <c r="AW46" s="34">
        <f t="shared" ca="1" si="6"/>
        <v>1.198797157091396E-3</v>
      </c>
      <c r="AX46" s="34">
        <f t="shared" ca="1" si="7"/>
        <v>4.7414228088076736E-2</v>
      </c>
      <c r="AY46" s="34">
        <f t="shared" ca="1" si="8"/>
        <v>1.0826884929391795E-3</v>
      </c>
      <c r="AZ46" s="34">
        <f t="shared" ca="1" si="9"/>
        <v>2.74317336531622E-5</v>
      </c>
      <c r="BA46" s="34">
        <f t="shared" ca="1" si="10"/>
        <v>2.6579823338265482E-7</v>
      </c>
      <c r="BB46" s="34">
        <f t="shared" ca="1" si="11"/>
        <v>606.09388278903407</v>
      </c>
      <c r="BC46" s="34">
        <f t="shared" ca="1" si="12"/>
        <v>105.11646142125778</v>
      </c>
      <c r="BD46" s="34">
        <f t="shared" ca="1" si="13"/>
        <v>2.3261348776519748</v>
      </c>
      <c r="BE46" s="34">
        <f t="shared" ca="1" si="14"/>
        <v>63.007058365066868</v>
      </c>
      <c r="BF46" s="34">
        <f t="shared" ca="1" si="15"/>
        <v>0.25653524790699167</v>
      </c>
      <c r="BG46" s="34">
        <f t="shared" ca="1" si="16"/>
        <v>354.81339037704504</v>
      </c>
      <c r="BH46" s="34">
        <f t="shared" ca="1" si="17"/>
        <v>6.9787462950609562</v>
      </c>
      <c r="BI46" s="34">
        <f t="shared" ca="1" si="18"/>
        <v>0.31055981237946073</v>
      </c>
      <c r="BJ46" s="34">
        <f t="shared" ca="1" si="19"/>
        <v>2.3545534402712328E-4</v>
      </c>
      <c r="BK46" s="34">
        <f t="shared" ca="1" si="20"/>
        <v>171618.35168077119</v>
      </c>
      <c r="BL46" s="34">
        <f t="shared" ca="1" si="21"/>
        <v>1.8445870407641753E-2</v>
      </c>
      <c r="BM46" s="34">
        <f t="shared" ca="1" si="22"/>
        <v>0.8728027544642678</v>
      </c>
      <c r="BN46" s="34">
        <f t="shared" ca="1" si="23"/>
        <v>0.55685970297183363</v>
      </c>
      <c r="BO46" s="34">
        <f t="shared" ca="1" si="24"/>
        <v>4.665644096280321</v>
      </c>
      <c r="BP46" s="34">
        <f t="shared" ca="1" si="25"/>
        <v>185540.73767465074</v>
      </c>
      <c r="BQ46" s="34">
        <f t="shared" ca="1" si="26"/>
        <v>3.611392805218682E-10</v>
      </c>
      <c r="BR46" s="34">
        <f t="shared" ca="1" si="27"/>
        <v>4.5310195373263986E-5</v>
      </c>
      <c r="BS46" s="34">
        <f t="shared" ca="1" si="28"/>
        <v>1.0285647042143325E-2</v>
      </c>
      <c r="BT46" s="34">
        <f t="shared" ca="1" si="29"/>
        <v>3.7770490883618533</v>
      </c>
      <c r="BU46" s="34">
        <f t="shared" ca="1" si="30"/>
        <v>4620.8524045127915</v>
      </c>
      <c r="BV46" s="34">
        <f t="shared" ca="1" si="31"/>
        <v>4.8533909439343023E-12</v>
      </c>
      <c r="BW46" s="34">
        <f t="shared" ca="1" si="32"/>
        <v>9.5313609912434783E-8</v>
      </c>
      <c r="BX46" s="34">
        <f t="shared" ca="1" si="33"/>
        <v>3.67145783655093E-3</v>
      </c>
      <c r="BY46" s="34">
        <f t="shared" ca="1" si="34"/>
        <v>1.5785890112973433</v>
      </c>
    </row>
    <row r="47" spans="1:77" ht="12.75" customHeight="1" x14ac:dyDescent="0.3">
      <c r="A47" s="118"/>
      <c r="B47" s="118"/>
      <c r="C47" s="118"/>
      <c r="D47" s="118"/>
      <c r="E47" s="110"/>
      <c r="F47" s="118"/>
      <c r="G47" s="23"/>
      <c r="H47" s="25">
        <f t="shared" si="0"/>
        <v>1.1740691374298359E-2</v>
      </c>
      <c r="I47" s="25">
        <f t="shared" si="1"/>
        <v>4.2853523516189007</v>
      </c>
      <c r="J47" s="117">
        <v>370254.44317987305</v>
      </c>
      <c r="K47" s="117">
        <v>0.58765998795037877</v>
      </c>
      <c r="L47" s="117">
        <v>2.6686989369358161</v>
      </c>
      <c r="M47" s="117">
        <v>7.0362786957833938</v>
      </c>
      <c r="N47" s="117">
        <v>182719.0770354805</v>
      </c>
      <c r="O47" s="117">
        <v>12.562444754040117</v>
      </c>
      <c r="P47" s="117">
        <v>381.6204360939256</v>
      </c>
      <c r="Q47" s="117">
        <v>22.744661760325606</v>
      </c>
      <c r="R47" s="117">
        <v>1.1222542918921834</v>
      </c>
      <c r="S47" s="117">
        <v>1.2004012120039806E-2</v>
      </c>
      <c r="T47" s="117">
        <v>175.64296928716243</v>
      </c>
      <c r="U47" s="117">
        <v>443.98632035259061</v>
      </c>
      <c r="V47" s="117">
        <v>551.59118467680128</v>
      </c>
      <c r="W47" s="117">
        <v>27175584.806354105</v>
      </c>
      <c r="X47" s="117">
        <v>1044.9597177431021</v>
      </c>
      <c r="Y47" s="117">
        <v>28934050.481010251</v>
      </c>
      <c r="Z47" s="117">
        <v>778549.65869006549</v>
      </c>
      <c r="AA47" s="117">
        <v>90666.913107919885</v>
      </c>
      <c r="AB47" s="117">
        <v>19.857856068830028</v>
      </c>
      <c r="AC47" s="117">
        <v>14417.43507518138</v>
      </c>
      <c r="AD47" s="117">
        <v>36803.521535112755</v>
      </c>
      <c r="AE47" s="117">
        <v>51716403.331519507</v>
      </c>
      <c r="AF47" s="117">
        <v>1027590.1872751727</v>
      </c>
      <c r="AG47" s="117">
        <v>16716.724916938103</v>
      </c>
      <c r="AH47" s="117">
        <v>546.75222332974965</v>
      </c>
      <c r="AI47" s="117">
        <v>6.2878764650802757E-4</v>
      </c>
      <c r="AJ47" s="117">
        <v>1808.1657571556734</v>
      </c>
      <c r="AK47" s="117">
        <v>12666.222121737728</v>
      </c>
      <c r="AL47" s="117">
        <v>711.44493111563975</v>
      </c>
      <c r="AM47" s="117">
        <v>24.396310835833468</v>
      </c>
      <c r="AN47" s="117">
        <v>2.4651290176782185E-5</v>
      </c>
      <c r="AO47" s="117">
        <v>14.502644059164828</v>
      </c>
      <c r="AP47" s="117">
        <v>16982.539609134965</v>
      </c>
      <c r="AQ47" s="117">
        <v>124.01588152996329</v>
      </c>
      <c r="AS47" s="34">
        <f t="shared" ca="1" si="2"/>
        <v>41.430993526391248</v>
      </c>
      <c r="AT47" s="34">
        <f t="shared" ca="1" si="3"/>
        <v>31691099.227553215</v>
      </c>
      <c r="AU47" s="34">
        <f t="shared" ca="1" si="4"/>
        <v>4.4407523508106131E-2</v>
      </c>
      <c r="AV47" s="34">
        <f t="shared" ca="1" si="5"/>
        <v>213.62648321958358</v>
      </c>
      <c r="AW47" s="34">
        <f t="shared" ca="1" si="6"/>
        <v>1.2371548859991665E-3</v>
      </c>
      <c r="AX47" s="34">
        <f t="shared" ca="1" si="7"/>
        <v>4.8265201122238172E-2</v>
      </c>
      <c r="AY47" s="34">
        <f t="shared" ca="1" si="8"/>
        <v>1.1153405555366107E-3</v>
      </c>
      <c r="AZ47" s="34">
        <f t="shared" ca="1" si="9"/>
        <v>2.8857353012725885E-5</v>
      </c>
      <c r="BA47" s="34">
        <f t="shared" ca="1" si="10"/>
        <v>2.8353064194137282E-7</v>
      </c>
      <c r="BB47" s="34">
        <f t="shared" ca="1" si="11"/>
        <v>623.09040181841954</v>
      </c>
      <c r="BC47" s="34">
        <f t="shared" ca="1" si="12"/>
        <v>108.46971963379076</v>
      </c>
      <c r="BD47" s="34">
        <f t="shared" ca="1" si="13"/>
        <v>2.3708655670660472</v>
      </c>
      <c r="BE47" s="34">
        <f t="shared" ca="1" si="14"/>
        <v>63.234092796462001</v>
      </c>
      <c r="BF47" s="34">
        <f t="shared" ca="1" si="15"/>
        <v>0.26387253715481801</v>
      </c>
      <c r="BG47" s="34">
        <f t="shared" ca="1" si="16"/>
        <v>360.16003900381253</v>
      </c>
      <c r="BH47" s="34">
        <f t="shared" ca="1" si="17"/>
        <v>7.2307901230802454</v>
      </c>
      <c r="BI47" s="34">
        <f t="shared" ca="1" si="18"/>
        <v>0.32562078236262809</v>
      </c>
      <c r="BJ47" s="34">
        <f t="shared" ca="1" si="19"/>
        <v>2.5171759434482416E-4</v>
      </c>
      <c r="BK47" s="34">
        <f t="shared" ca="1" si="20"/>
        <v>175840.85939226911</v>
      </c>
      <c r="BL47" s="34">
        <f t="shared" ca="1" si="21"/>
        <v>1.8969985432341064E-2</v>
      </c>
      <c r="BM47" s="34">
        <f t="shared" ca="1" si="22"/>
        <v>0.88856851237242862</v>
      </c>
      <c r="BN47" s="34">
        <f t="shared" ca="1" si="23"/>
        <v>0.55918530679538381</v>
      </c>
      <c r="BO47" s="34">
        <f t="shared" ca="1" si="24"/>
        <v>4.8429011710941072</v>
      </c>
      <c r="BP47" s="34">
        <f t="shared" ca="1" si="25"/>
        <v>198374.08040078872</v>
      </c>
      <c r="BQ47" s="34">
        <f t="shared" ca="1" si="26"/>
        <v>3.9917445582748121E-10</v>
      </c>
      <c r="BR47" s="34">
        <f t="shared" ca="1" si="27"/>
        <v>4.6621968406100386E-5</v>
      </c>
      <c r="BS47" s="34">
        <f t="shared" ca="1" si="28"/>
        <v>1.034362250762194E-2</v>
      </c>
      <c r="BT47" s="34">
        <f t="shared" ca="1" si="29"/>
        <v>3.9545521257422602</v>
      </c>
      <c r="BU47" s="34">
        <f t="shared" ca="1" si="30"/>
        <v>5011.7507725903952</v>
      </c>
      <c r="BV47" s="34">
        <f t="shared" ca="1" si="31"/>
        <v>5.4486906678791978E-12</v>
      </c>
      <c r="BW47" s="34">
        <f t="shared" ca="1" si="32"/>
        <v>9.9492611879053421E-8</v>
      </c>
      <c r="BX47" s="34">
        <f t="shared" ca="1" si="33"/>
        <v>3.6899414708253778E-3</v>
      </c>
      <c r="BY47" s="34">
        <f t="shared" ca="1" si="34"/>
        <v>1.6251443568392072</v>
      </c>
    </row>
    <row r="48" spans="1:77" ht="12.75" customHeight="1" x14ac:dyDescent="0.3">
      <c r="A48" s="118"/>
      <c r="B48" s="118"/>
      <c r="C48" s="118"/>
      <c r="D48" s="118"/>
      <c r="E48" s="110"/>
      <c r="F48" s="118"/>
      <c r="G48" s="23"/>
      <c r="H48" s="25">
        <f t="shared" si="0"/>
        <v>1.2076139699278312E-2</v>
      </c>
      <c r="I48" s="25">
        <f t="shared" si="1"/>
        <v>4.4077909902365837</v>
      </c>
      <c r="J48" s="117">
        <v>380833.14155644085</v>
      </c>
      <c r="K48" s="117">
        <v>0.58821357303649724</v>
      </c>
      <c r="L48" s="117">
        <v>2.7015952925216151</v>
      </c>
      <c r="M48" s="117">
        <v>7.2115608836054514</v>
      </c>
      <c r="N48" s="117">
        <v>183427.63551017398</v>
      </c>
      <c r="O48" s="117">
        <v>12.948183761501753</v>
      </c>
      <c r="P48" s="117">
        <v>388.14435790747638</v>
      </c>
      <c r="Q48" s="117">
        <v>23.401467349886666</v>
      </c>
      <c r="R48" s="117">
        <v>1.1785611236697677</v>
      </c>
      <c r="S48" s="117">
        <v>1.2775787996884572E-2</v>
      </c>
      <c r="T48" s="117">
        <v>180.34733607033314</v>
      </c>
      <c r="U48" s="117">
        <v>457.57668211273784</v>
      </c>
      <c r="V48" s="117">
        <v>561.74417331596794</v>
      </c>
      <c r="W48" s="117">
        <v>27270302.635017488</v>
      </c>
      <c r="X48" s="117">
        <v>1073.7299968280047</v>
      </c>
      <c r="Y48" s="117">
        <v>29348862.624482546</v>
      </c>
      <c r="Z48" s="117">
        <v>805653.6191655756</v>
      </c>
      <c r="AA48" s="117">
        <v>94913.732047014055</v>
      </c>
      <c r="AB48" s="117">
        <v>21.184583744424462</v>
      </c>
      <c r="AC48" s="117">
        <v>14757.262258957555</v>
      </c>
      <c r="AD48" s="117">
        <v>37809.945954615236</v>
      </c>
      <c r="AE48" s="117">
        <v>52610441.783063345</v>
      </c>
      <c r="AF48" s="117">
        <v>1031718.4645683813</v>
      </c>
      <c r="AG48" s="117">
        <v>17329.069855427908</v>
      </c>
      <c r="AH48" s="117">
        <v>583.20146261678519</v>
      </c>
      <c r="AI48" s="117">
        <v>6.9271164644385151E-4</v>
      </c>
      <c r="AJ48" s="117">
        <v>1858.1278669316303</v>
      </c>
      <c r="AK48" s="117">
        <v>12733.392639641033</v>
      </c>
      <c r="AL48" s="117">
        <v>743.58021344599069</v>
      </c>
      <c r="AM48" s="117">
        <v>26.383899162713025</v>
      </c>
      <c r="AN48" s="117">
        <v>2.75668832777603E-5</v>
      </c>
      <c r="AO48" s="117">
        <v>15.112099965455489</v>
      </c>
      <c r="AP48" s="117">
        <v>17063.705922867182</v>
      </c>
      <c r="AQ48" s="117">
        <v>127.47100950946914</v>
      </c>
      <c r="AS48" s="34">
        <f t="shared" ca="1" si="2"/>
        <v>41.470022183420078</v>
      </c>
      <c r="AT48" s="34">
        <f t="shared" ca="1" si="3"/>
        <v>32081747.140161689</v>
      </c>
      <c r="AU48" s="34">
        <f t="shared" ca="1" si="4"/>
        <v>4.5513768472639007E-2</v>
      </c>
      <c r="AV48" s="34">
        <f t="shared" ca="1" si="5"/>
        <v>214.45489619955285</v>
      </c>
      <c r="AW48" s="34">
        <f t="shared" ca="1" si="6"/>
        <v>1.2751426270117712E-3</v>
      </c>
      <c r="AX48" s="34">
        <f t="shared" ca="1" si="7"/>
        <v>4.9090309970337927E-2</v>
      </c>
      <c r="AY48" s="34">
        <f t="shared" ca="1" si="8"/>
        <v>1.1475486366617571E-3</v>
      </c>
      <c r="AZ48" s="34">
        <f t="shared" ca="1" si="9"/>
        <v>3.0305212141777915E-5</v>
      </c>
      <c r="BA48" s="34">
        <f t="shared" ca="1" si="10"/>
        <v>3.0175972298598084E-7</v>
      </c>
      <c r="BB48" s="34">
        <f t="shared" ca="1" si="11"/>
        <v>639.7790617808613</v>
      </c>
      <c r="BC48" s="34">
        <f t="shared" ca="1" si="12"/>
        <v>111.78996321398547</v>
      </c>
      <c r="BD48" s="34">
        <f t="shared" ca="1" si="13"/>
        <v>2.4145054435472444</v>
      </c>
      <c r="BE48" s="34">
        <f t="shared" ca="1" si="14"/>
        <v>63.454489009086622</v>
      </c>
      <c r="BF48" s="34">
        <f t="shared" ca="1" si="15"/>
        <v>0.27113758901077084</v>
      </c>
      <c r="BG48" s="34">
        <f t="shared" ca="1" si="16"/>
        <v>365.32346255801866</v>
      </c>
      <c r="BH48" s="34">
        <f t="shared" ca="1" si="17"/>
        <v>7.4825185099790641</v>
      </c>
      <c r="BI48" s="34">
        <f t="shared" ca="1" si="18"/>
        <v>0.34087279059913078</v>
      </c>
      <c r="BJ48" s="34">
        <f t="shared" ca="1" si="19"/>
        <v>2.6853515499657724E-4</v>
      </c>
      <c r="BK48" s="34">
        <f t="shared" ca="1" si="20"/>
        <v>179985.52893497591</v>
      </c>
      <c r="BL48" s="34">
        <f t="shared" ca="1" si="21"/>
        <v>1.9488736241512945E-2</v>
      </c>
      <c r="BM48" s="34">
        <f t="shared" ca="1" si="22"/>
        <v>0.90392948811158813</v>
      </c>
      <c r="BN48" s="34">
        <f t="shared" ca="1" si="23"/>
        <v>0.56143179769547746</v>
      </c>
      <c r="BO48" s="34">
        <f t="shared" ca="1" si="24"/>
        <v>5.020299916031342</v>
      </c>
      <c r="BP48" s="34">
        <f t="shared" ca="1" si="25"/>
        <v>211598.6893120051</v>
      </c>
      <c r="BQ48" s="34">
        <f t="shared" ca="1" si="26"/>
        <v>4.3975545011133234E-10</v>
      </c>
      <c r="BR48" s="34">
        <f t="shared" ca="1" si="27"/>
        <v>4.7910197593197108E-5</v>
      </c>
      <c r="BS48" s="34">
        <f t="shared" ca="1" si="28"/>
        <v>1.0398475997017239E-2</v>
      </c>
      <c r="BT48" s="34">
        <f t="shared" ca="1" si="29"/>
        <v>4.1331754365465665</v>
      </c>
      <c r="BU48" s="34">
        <f t="shared" ca="1" si="30"/>
        <v>5420.0623980595647</v>
      </c>
      <c r="BV48" s="34">
        <f t="shared" ca="1" si="31"/>
        <v>6.0931261033759899E-12</v>
      </c>
      <c r="BW48" s="34">
        <f t="shared" ca="1" si="32"/>
        <v>1.0367366739517876E-7</v>
      </c>
      <c r="BX48" s="34">
        <f t="shared" ca="1" si="33"/>
        <v>3.7075771692525687E-3</v>
      </c>
      <c r="BY48" s="34">
        <f t="shared" ca="1" si="34"/>
        <v>1.6704214751306619</v>
      </c>
    </row>
    <row r="49" spans="1:77" ht="12.75" customHeight="1" x14ac:dyDescent="0.3">
      <c r="A49" s="118"/>
      <c r="B49" s="118"/>
      <c r="C49" s="118"/>
      <c r="D49" s="118"/>
      <c r="E49" s="110"/>
      <c r="F49" s="118"/>
      <c r="G49" s="23"/>
      <c r="H49" s="25">
        <f t="shared" si="0"/>
        <v>1.2411588024258265E-2</v>
      </c>
      <c r="I49" s="25">
        <f t="shared" si="1"/>
        <v>4.5302296288542667</v>
      </c>
      <c r="J49" s="117">
        <v>391411.83993300865</v>
      </c>
      <c r="K49" s="117">
        <v>0.58874440230525604</v>
      </c>
      <c r="L49" s="117">
        <v>2.733147451385705</v>
      </c>
      <c r="M49" s="117">
        <v>7.3855405804109422</v>
      </c>
      <c r="N49" s="117">
        <v>184114.32016697797</v>
      </c>
      <c r="O49" s="117">
        <v>13.330152842272097</v>
      </c>
      <c r="P49" s="117">
        <v>394.47000763525602</v>
      </c>
      <c r="Q49" s="117">
        <v>24.049248936796442</v>
      </c>
      <c r="R49" s="117">
        <v>1.2356992008598562</v>
      </c>
      <c r="S49" s="117">
        <v>1.3568220356181094E-2</v>
      </c>
      <c r="T49" s="117">
        <v>184.96601837050028</v>
      </c>
      <c r="U49" s="117">
        <v>471.03151167997328</v>
      </c>
      <c r="V49" s="117">
        <v>571.64947746957603</v>
      </c>
      <c r="W49" s="117">
        <v>27362267.310506176</v>
      </c>
      <c r="X49" s="117">
        <v>1102.2139752582723</v>
      </c>
      <c r="Y49" s="117">
        <v>29749460.744605482</v>
      </c>
      <c r="Z49" s="117">
        <v>832711.37615525897</v>
      </c>
      <c r="AA49" s="117">
        <v>99211.352680275901</v>
      </c>
      <c r="AB49" s="117">
        <v>22.554931962234203</v>
      </c>
      <c r="AC49" s="117">
        <v>15090.798159439873</v>
      </c>
      <c r="AD49" s="117">
        <v>38805.963881664444</v>
      </c>
      <c r="AE49" s="117">
        <v>53481526.00240007</v>
      </c>
      <c r="AF49" s="117">
        <v>1035710.7882044115</v>
      </c>
      <c r="AG49" s="117">
        <v>17941.792077919166</v>
      </c>
      <c r="AH49" s="117">
        <v>620.71429233862364</v>
      </c>
      <c r="AI49" s="117">
        <v>7.6075949872610443E-4</v>
      </c>
      <c r="AJ49" s="117">
        <v>1907.1871509594405</v>
      </c>
      <c r="AK49" s="117">
        <v>12797.176421580509</v>
      </c>
      <c r="AL49" s="117">
        <v>775.9074256697179</v>
      </c>
      <c r="AM49" s="117">
        <v>28.456529180565493</v>
      </c>
      <c r="AN49" s="117">
        <v>3.0714335493770017E-5</v>
      </c>
      <c r="AO49" s="117">
        <v>15.721657470035451</v>
      </c>
      <c r="AP49" s="117">
        <v>17141.382747216077</v>
      </c>
      <c r="AQ49" s="117">
        <v>130.83058935175694</v>
      </c>
      <c r="AS49" s="34">
        <f t="shared" ca="1" si="2"/>
        <v>41.507446517981755</v>
      </c>
      <c r="AT49" s="34">
        <f t="shared" ca="1" si="3"/>
        <v>32456432.565919567</v>
      </c>
      <c r="AU49" s="34">
        <f t="shared" ca="1" si="4"/>
        <v>4.6611793125990633E-2</v>
      </c>
      <c r="AV49" s="34">
        <f t="shared" ca="1" si="5"/>
        <v>215.25773534855642</v>
      </c>
      <c r="AW49" s="34">
        <f t="shared" ca="1" si="6"/>
        <v>1.3127591040453255E-3</v>
      </c>
      <c r="AX49" s="34">
        <f t="shared" ca="1" si="7"/>
        <v>4.9890342482917974E-2</v>
      </c>
      <c r="AY49" s="34">
        <f t="shared" ca="1" si="8"/>
        <v>1.179314203572522E-3</v>
      </c>
      <c r="AZ49" s="34">
        <f t="shared" ca="1" si="9"/>
        <v>3.1774445697715318E-5</v>
      </c>
      <c r="BA49" s="34">
        <f t="shared" ca="1" si="10"/>
        <v>3.2047670304895281E-7</v>
      </c>
      <c r="BB49" s="34">
        <f t="shared" ca="1" si="11"/>
        <v>656.16375751882561</v>
      </c>
      <c r="BC49" s="34">
        <f t="shared" ca="1" si="12"/>
        <v>115.07709510066039</v>
      </c>
      <c r="BD49" s="34">
        <f t="shared" ca="1" si="13"/>
        <v>2.457080715236668</v>
      </c>
      <c r="BE49" s="34">
        <f t="shared" ca="1" si="14"/>
        <v>63.668478988153737</v>
      </c>
      <c r="BF49" s="34">
        <f t="shared" ca="1" si="15"/>
        <v>0.27833034441467397</v>
      </c>
      <c r="BG49" s="34">
        <f t="shared" ca="1" si="16"/>
        <v>370.3099553638919</v>
      </c>
      <c r="BH49" s="34">
        <f t="shared" ca="1" si="17"/>
        <v>7.733817781399841</v>
      </c>
      <c r="BI49" s="34">
        <f t="shared" ca="1" si="18"/>
        <v>0.35630724783310336</v>
      </c>
      <c r="BJ49" s="34">
        <f t="shared" ca="1" si="19"/>
        <v>2.8590564834722767E-4</v>
      </c>
      <c r="BK49" s="34">
        <f t="shared" ca="1" si="20"/>
        <v>184053.46744644846</v>
      </c>
      <c r="BL49" s="34">
        <f t="shared" ca="1" si="21"/>
        <v>2.0002123134352737E-2</v>
      </c>
      <c r="BM49" s="34">
        <f t="shared" ca="1" si="22"/>
        <v>0.91889607432148779</v>
      </c>
      <c r="BN49" s="34">
        <f t="shared" ca="1" si="23"/>
        <v>0.56360430648826743</v>
      </c>
      <c r="BO49" s="34">
        <f t="shared" ca="1" si="24"/>
        <v>5.1978079616325266</v>
      </c>
      <c r="BP49" s="34">
        <f t="shared" ca="1" si="25"/>
        <v>225209.19290352505</v>
      </c>
      <c r="BQ49" s="34">
        <f t="shared" ca="1" si="26"/>
        <v>4.8295439741229576E-10</v>
      </c>
      <c r="BR49" s="34">
        <f t="shared" ca="1" si="27"/>
        <v>4.9175148210096522E-5</v>
      </c>
      <c r="BS49" s="34">
        <f t="shared" ca="1" si="28"/>
        <v>1.0450563774742069E-2</v>
      </c>
      <c r="BT49" s="34">
        <f t="shared" ca="1" si="29"/>
        <v>4.3128655857450324</v>
      </c>
      <c r="BU49" s="34">
        <f t="shared" ca="1" si="30"/>
        <v>5845.8441961012959</v>
      </c>
      <c r="BV49" s="34">
        <f t="shared" ca="1" si="31"/>
        <v>6.7888095095581174E-12</v>
      </c>
      <c r="BW49" s="34">
        <f t="shared" ca="1" si="32"/>
        <v>1.0785541990690876E-7</v>
      </c>
      <c r="BX49" s="34">
        <f t="shared" ca="1" si="33"/>
        <v>3.7244546765090709E-3</v>
      </c>
      <c r="BY49" s="34">
        <f t="shared" ca="1" si="34"/>
        <v>1.7144464996250097</v>
      </c>
    </row>
    <row r="50" spans="1:77" ht="12.75" customHeight="1" x14ac:dyDescent="0.3">
      <c r="A50" s="118"/>
      <c r="B50" s="118"/>
      <c r="C50" s="118"/>
      <c r="D50" s="118"/>
      <c r="E50" s="110"/>
      <c r="F50" s="118"/>
      <c r="G50" s="23"/>
      <c r="H50" s="25">
        <f t="shared" si="0"/>
        <v>1.2747036349238218E-2</v>
      </c>
      <c r="I50" s="25">
        <f t="shared" si="1"/>
        <v>4.6526682674719497</v>
      </c>
      <c r="J50" s="117">
        <v>401990.53830957646</v>
      </c>
      <c r="K50" s="117">
        <v>0.58925240040353832</v>
      </c>
      <c r="L50" s="117">
        <v>2.7634106745549079</v>
      </c>
      <c r="M50" s="117">
        <v>7.5582274647242942</v>
      </c>
      <c r="N50" s="117">
        <v>184780.1622727483</v>
      </c>
      <c r="O50" s="117">
        <v>13.708342772278069</v>
      </c>
      <c r="P50" s="117">
        <v>400.60343908570161</v>
      </c>
      <c r="Q50" s="117">
        <v>24.688043977083336</v>
      </c>
      <c r="R50" s="117">
        <v>1.293635918019574</v>
      </c>
      <c r="S50" s="117">
        <v>1.4380939919564023E-2</v>
      </c>
      <c r="T50" s="117">
        <v>189.50014198618214</v>
      </c>
      <c r="U50" s="117">
        <v>484.35054324943889</v>
      </c>
      <c r="V50" s="117">
        <v>581.31305874934981</v>
      </c>
      <c r="W50" s="117">
        <v>27451571.403127752</v>
      </c>
      <c r="X50" s="117">
        <v>1130.4115809538087</v>
      </c>
      <c r="Y50" s="117">
        <v>30136333.104738198</v>
      </c>
      <c r="Z50" s="117">
        <v>859711.31588359142</v>
      </c>
      <c r="AA50" s="117">
        <v>103557.46719465432</v>
      </c>
      <c r="AB50" s="117">
        <v>23.968692871951319</v>
      </c>
      <c r="AC50" s="117">
        <v>15418.133732486727</v>
      </c>
      <c r="AD50" s="117">
        <v>39791.581495949846</v>
      </c>
      <c r="AE50" s="117">
        <v>54330245.328832269</v>
      </c>
      <c r="AF50" s="117">
        <v>1039575.1523859322</v>
      </c>
      <c r="AG50" s="117">
        <v>18554.783481204668</v>
      </c>
      <c r="AH50" s="117">
        <v>659.27583892164705</v>
      </c>
      <c r="AI50" s="117">
        <v>8.330428016740675E-4</v>
      </c>
      <c r="AJ50" s="117">
        <v>1955.3544496106485</v>
      </c>
      <c r="AK50" s="117">
        <v>12857.940210223143</v>
      </c>
      <c r="AL50" s="117">
        <v>808.4179168791602</v>
      </c>
      <c r="AM50" s="117">
        <v>30.614451060006843</v>
      </c>
      <c r="AN50" s="117">
        <v>3.4103220478167125E-5</v>
      </c>
      <c r="AO50" s="117">
        <v>16.331141805155905</v>
      </c>
      <c r="AP50" s="117">
        <v>17215.911532311442</v>
      </c>
      <c r="AQ50" s="117">
        <v>134.09672096389875</v>
      </c>
      <c r="AS50" s="34">
        <f t="shared" ca="1" si="2"/>
        <v>41.543261217557877</v>
      </c>
      <c r="AT50" s="34">
        <f t="shared" ca="1" si="3"/>
        <v>32815811.735719066</v>
      </c>
      <c r="AU50" s="34">
        <f t="shared" ca="1" si="4"/>
        <v>4.7701658551486399E-2</v>
      </c>
      <c r="AV50" s="34">
        <f t="shared" ca="1" si="5"/>
        <v>216.03620637491576</v>
      </c>
      <c r="AW50" s="34">
        <f t="shared" ca="1" si="6"/>
        <v>1.3500034087092006E-3</v>
      </c>
      <c r="AX50" s="34">
        <f t="shared" ca="1" si="7"/>
        <v>5.0666064311537119E-2</v>
      </c>
      <c r="AY50" s="34">
        <f t="shared" ca="1" si="8"/>
        <v>1.2106390930175879E-3</v>
      </c>
      <c r="AZ50" s="34">
        <f t="shared" ca="1" si="9"/>
        <v>3.3264215272717355E-5</v>
      </c>
      <c r="BA50" s="34">
        <f t="shared" ca="1" si="10"/>
        <v>3.3967285990217582E-7</v>
      </c>
      <c r="BB50" s="34">
        <f t="shared" ca="1" si="11"/>
        <v>672.2484827831239</v>
      </c>
      <c r="BC50" s="34">
        <f t="shared" ca="1" si="12"/>
        <v>118.33105035537686</v>
      </c>
      <c r="BD50" s="34">
        <f t="shared" ca="1" si="13"/>
        <v>2.4986170065104023</v>
      </c>
      <c r="BE50" s="34">
        <f t="shared" ca="1" si="14"/>
        <v>63.876278132870439</v>
      </c>
      <c r="BF50" s="34">
        <f t="shared" ca="1" si="15"/>
        <v>0.28545078516490924</v>
      </c>
      <c r="BG50" s="34">
        <f t="shared" ca="1" si="16"/>
        <v>375.1255951377405</v>
      </c>
      <c r="BH50" s="34">
        <f t="shared" ca="1" si="17"/>
        <v>7.9845800742507178</v>
      </c>
      <c r="BI50" s="34">
        <f t="shared" ca="1" si="18"/>
        <v>0.37191586579415598</v>
      </c>
      <c r="BJ50" s="34">
        <f t="shared" ca="1" si="19"/>
        <v>3.0382643969243902E-4</v>
      </c>
      <c r="BK50" s="34">
        <f t="shared" ca="1" si="20"/>
        <v>188045.78426106018</v>
      </c>
      <c r="BL50" s="34">
        <f t="shared" ca="1" si="21"/>
        <v>2.0510149296115943E-2</v>
      </c>
      <c r="BM50" s="34">
        <f t="shared" ca="1" si="22"/>
        <v>0.93347839677100664</v>
      </c>
      <c r="BN50" s="34">
        <f t="shared" ca="1" si="23"/>
        <v>0.56570718339111403</v>
      </c>
      <c r="BO50" s="34">
        <f t="shared" ca="1" si="24"/>
        <v>5.3753939899719647</v>
      </c>
      <c r="BP50" s="34">
        <f t="shared" ca="1" si="25"/>
        <v>239200.19470622999</v>
      </c>
      <c r="BQ50" s="34">
        <f t="shared" ca="1" si="26"/>
        <v>5.288421439033487E-10</v>
      </c>
      <c r="BR50" s="34">
        <f t="shared" ca="1" si="27"/>
        <v>5.0417099766272624E-5</v>
      </c>
      <c r="BS50" s="34">
        <f t="shared" ca="1" si="28"/>
        <v>1.0500185334020876E-2</v>
      </c>
      <c r="BT50" s="34">
        <f t="shared" ca="1" si="29"/>
        <v>4.493574487444028</v>
      </c>
      <c r="BU50" s="34">
        <f t="shared" ca="1" si="30"/>
        <v>6289.147559435838</v>
      </c>
      <c r="BV50" s="34">
        <f t="shared" ca="1" si="31"/>
        <v>7.5378569572406619E-12</v>
      </c>
      <c r="BW50" s="34">
        <f t="shared" ca="1" si="32"/>
        <v>1.1203667045357592E-7</v>
      </c>
      <c r="BX50" s="34">
        <f t="shared" ca="1" si="33"/>
        <v>3.7406481823817547E-3</v>
      </c>
      <c r="BY50" s="34">
        <f t="shared" ca="1" si="34"/>
        <v>1.7572469481859785</v>
      </c>
    </row>
    <row r="51" spans="1:77" ht="12.75" customHeight="1" x14ac:dyDescent="0.3">
      <c r="A51" s="118"/>
      <c r="B51" s="118"/>
      <c r="C51" s="118"/>
      <c r="D51" s="118"/>
      <c r="E51" s="110"/>
      <c r="F51" s="118"/>
      <c r="G51" s="23"/>
      <c r="H51" s="25">
        <f t="shared" si="0"/>
        <v>1.3082484674218171E-2</v>
      </c>
      <c r="I51" s="25">
        <f t="shared" si="1"/>
        <v>4.7751069060896327</v>
      </c>
      <c r="J51" s="117">
        <v>412569.23668614426</v>
      </c>
      <c r="K51" s="117">
        <v>0.58974095481936606</v>
      </c>
      <c r="L51" s="117">
        <v>2.7924379499007017</v>
      </c>
      <c r="M51" s="117">
        <v>7.7296311431508231</v>
      </c>
      <c r="N51" s="117">
        <v>185426.06782318608</v>
      </c>
      <c r="O51" s="117">
        <v>14.082747532412222</v>
      </c>
      <c r="P51" s="117">
        <v>406.55053158458503</v>
      </c>
      <c r="Q51" s="117">
        <v>25.317896361680923</v>
      </c>
      <c r="R51" s="117">
        <v>1.3523396865401367</v>
      </c>
      <c r="S51" s="117">
        <v>1.5213579822009977E-2</v>
      </c>
      <c r="T51" s="117">
        <v>193.95085240874712</v>
      </c>
      <c r="U51" s="117">
        <v>497.53362374087726</v>
      </c>
      <c r="V51" s="117">
        <v>590.7407437446974</v>
      </c>
      <c r="W51" s="117">
        <v>27538301.654604807</v>
      </c>
      <c r="X51" s="117">
        <v>1158.3228901212915</v>
      </c>
      <c r="Y51" s="117">
        <v>30509951.17777903</v>
      </c>
      <c r="Z51" s="117">
        <v>886642.42309836007</v>
      </c>
      <c r="AA51" s="117">
        <v>107949.84863998997</v>
      </c>
      <c r="AB51" s="117">
        <v>25.425639486870001</v>
      </c>
      <c r="AC51" s="117">
        <v>15739.359934769471</v>
      </c>
      <c r="AD51" s="117">
        <v>40766.810096769943</v>
      </c>
      <c r="AE51" s="117">
        <v>55157173.975801416</v>
      </c>
      <c r="AF51" s="117">
        <v>1043318.420637488</v>
      </c>
      <c r="AG51" s="117">
        <v>19167.938891065693</v>
      </c>
      <c r="AH51" s="117">
        <v>698.87116986763658</v>
      </c>
      <c r="AI51" s="117">
        <v>9.0967112286981114E-4</v>
      </c>
      <c r="AJ51" s="117">
        <v>2002.6410171114683</v>
      </c>
      <c r="AK51" s="117">
        <v>12915.992807004166</v>
      </c>
      <c r="AL51" s="117">
        <v>841.10384011995677</v>
      </c>
      <c r="AM51" s="117">
        <v>32.857890750649936</v>
      </c>
      <c r="AN51" s="117">
        <v>3.7743126069524287E-5</v>
      </c>
      <c r="AO51" s="117">
        <v>16.940397493033597</v>
      </c>
      <c r="AP51" s="117">
        <v>17287.575850081615</v>
      </c>
      <c r="AQ51" s="117">
        <v>137.27157346786288</v>
      </c>
      <c r="AS51" s="34">
        <f t="shared" ca="1" si="2"/>
        <v>41.57770510561302</v>
      </c>
      <c r="AT51" s="34">
        <f t="shared" ca="1" si="3"/>
        <v>33160513.886477701</v>
      </c>
      <c r="AU51" s="34">
        <f t="shared" ca="1" si="4"/>
        <v>4.8783425378554145E-2</v>
      </c>
      <c r="AV51" s="34">
        <f t="shared" ca="1" si="5"/>
        <v>216.79136852585657</v>
      </c>
      <c r="AW51" s="34">
        <f t="shared" ca="1" si="6"/>
        <v>1.3868749482391434E-3</v>
      </c>
      <c r="AX51" s="34">
        <f t="shared" ca="1" si="7"/>
        <v>5.1418219040170458E-2</v>
      </c>
      <c r="AY51" s="34">
        <f t="shared" ca="1" si="8"/>
        <v>1.2415254572970748E-3</v>
      </c>
      <c r="AZ51" s="34">
        <f t="shared" ca="1" si="9"/>
        <v>3.4773708605568849E-5</v>
      </c>
      <c r="BA51" s="34">
        <f t="shared" ca="1" si="10"/>
        <v>3.593395283198449E-7</v>
      </c>
      <c r="BB51" s="34">
        <f t="shared" ca="1" si="11"/>
        <v>688.03730118461363</v>
      </c>
      <c r="BC51" s="34">
        <f t="shared" ca="1" si="12"/>
        <v>121.55179157929658</v>
      </c>
      <c r="BD51" s="34">
        <f t="shared" ca="1" si="13"/>
        <v>2.5391393613876136</v>
      </c>
      <c r="BE51" s="34">
        <f t="shared" ca="1" si="14"/>
        <v>64.078088280075747</v>
      </c>
      <c r="BF51" s="34">
        <f t="shared" ca="1" si="15"/>
        <v>0.29249893050513653</v>
      </c>
      <c r="BG51" s="34">
        <f t="shared" ca="1" si="16"/>
        <v>379.77625059461229</v>
      </c>
      <c r="BH51" s="34">
        <f t="shared" ca="1" si="17"/>
        <v>8.2347030842329048</v>
      </c>
      <c r="BI51" s="34">
        <f t="shared" ca="1" si="18"/>
        <v>0.38769064662255887</v>
      </c>
      <c r="BJ51" s="34">
        <f t="shared" ca="1" si="19"/>
        <v>3.2229465175546328E-4</v>
      </c>
      <c r="BK51" s="34">
        <f t="shared" ca="1" si="20"/>
        <v>191963.58872309985</v>
      </c>
      <c r="BL51" s="34">
        <f t="shared" ca="1" si="21"/>
        <v>2.1012820550906315E-2</v>
      </c>
      <c r="BM51" s="34">
        <f t="shared" ca="1" si="22"/>
        <v>0.9476863213431258</v>
      </c>
      <c r="BN51" s="34">
        <f t="shared" ca="1" si="23"/>
        <v>0.56774416333855215</v>
      </c>
      <c r="BO51" s="34">
        <f t="shared" ca="1" si="24"/>
        <v>5.5530275316634885</v>
      </c>
      <c r="BP51" s="34">
        <f t="shared" ca="1" si="25"/>
        <v>253566.27687182248</v>
      </c>
      <c r="BQ51" s="34">
        <f t="shared" ca="1" si="26"/>
        <v>5.774882465807077E-10</v>
      </c>
      <c r="BR51" s="34">
        <f t="shared" ca="1" si="27"/>
        <v>5.1636342442079113E-5</v>
      </c>
      <c r="BS51" s="34">
        <f t="shared" ca="1" si="28"/>
        <v>1.0547592851504684E-2</v>
      </c>
      <c r="BT51" s="34">
        <f t="shared" ca="1" si="29"/>
        <v>4.6752585245079317</v>
      </c>
      <c r="BU51" s="34">
        <f t="shared" ca="1" si="30"/>
        <v>6750.0189050462513</v>
      </c>
      <c r="BV51" s="34">
        <f t="shared" ca="1" si="31"/>
        <v>8.3423876526063966E-12</v>
      </c>
      <c r="BW51" s="34">
        <f t="shared" ca="1" si="32"/>
        <v>1.1621635240962689E-7</v>
      </c>
      <c r="BX51" s="34">
        <f t="shared" ca="1" si="33"/>
        <v>3.756219300966182E-3</v>
      </c>
      <c r="BY51" s="34">
        <f t="shared" ca="1" si="34"/>
        <v>1.7988512456917582</v>
      </c>
    </row>
    <row r="52" spans="1:77" ht="12.75" customHeight="1" x14ac:dyDescent="0.3">
      <c r="A52" s="118"/>
      <c r="B52" s="118"/>
      <c r="C52" s="118"/>
      <c r="D52" s="118"/>
      <c r="E52" s="110"/>
      <c r="F52" s="118"/>
      <c r="G52" s="23"/>
      <c r="H52" s="25">
        <f t="shared" si="0"/>
        <v>1.3417932999198126E-2</v>
      </c>
      <c r="I52" s="25">
        <f t="shared" si="1"/>
        <v>4.8975455447073157</v>
      </c>
      <c r="J52" s="117">
        <v>423147.93506271206</v>
      </c>
      <c r="K52" s="117">
        <v>0.59020932730762798</v>
      </c>
      <c r="L52" s="117">
        <v>2.8202800814447042</v>
      </c>
      <c r="M52" s="117">
        <v>7.8997611508435801</v>
      </c>
      <c r="N52" s="117">
        <v>186052.84378575414</v>
      </c>
      <c r="O52" s="117">
        <v>14.453363908320663</v>
      </c>
      <c r="P52" s="117">
        <v>412.31699179827143</v>
      </c>
      <c r="Q52" s="117">
        <v>25.938855566796459</v>
      </c>
      <c r="R52" s="117">
        <v>1.411779906622213</v>
      </c>
      <c r="S52" s="117">
        <v>1.6065775814827637E-2</v>
      </c>
      <c r="T52" s="117">
        <v>198.31930870910392</v>
      </c>
      <c r="U52" s="117">
        <v>510.58069859804476</v>
      </c>
      <c r="V52" s="117">
        <v>599.93822518861623</v>
      </c>
      <c r="W52" s="117">
        <v>27622539.9420662</v>
      </c>
      <c r="X52" s="117">
        <v>1185.9481163148339</v>
      </c>
      <c r="Y52" s="117">
        <v>30870770.194829851</v>
      </c>
      <c r="Z52" s="117">
        <v>913494.25707960536</v>
      </c>
      <c r="AA52" s="117">
        <v>112386.34828527919</v>
      </c>
      <c r="AB52" s="117">
        <v>26.925526714368722</v>
      </c>
      <c r="AC52" s="117">
        <v>16054.567582758496</v>
      </c>
      <c r="AD52" s="117">
        <v>41731.665714872135</v>
      </c>
      <c r="AE52" s="117">
        <v>55962871.395398699</v>
      </c>
      <c r="AF52" s="117">
        <v>1046946.5509623938</v>
      </c>
      <c r="AG52" s="117">
        <v>19781.155567113885</v>
      </c>
      <c r="AH52" s="117">
        <v>739.48530150092483</v>
      </c>
      <c r="AI52" s="117">
        <v>9.9075199602432812E-4</v>
      </c>
      <c r="AJ52" s="117">
        <v>2049.0584178863801</v>
      </c>
      <c r="AK52" s="117">
        <v>12971.594285523357</v>
      </c>
      <c r="AL52" s="117">
        <v>873.9580281023367</v>
      </c>
      <c r="AM52" s="117">
        <v>35.1870520796652</v>
      </c>
      <c r="AN52" s="117">
        <v>4.164365165714227E-5</v>
      </c>
      <c r="AO52" s="117">
        <v>17.549285456930082</v>
      </c>
      <c r="AP52" s="117">
        <v>17356.611898308278</v>
      </c>
      <c r="AQ52" s="117">
        <v>140.35735798801892</v>
      </c>
      <c r="AS52" s="34">
        <f t="shared" ca="1" si="2"/>
        <v>41.610726134655337</v>
      </c>
      <c r="AT52" s="34">
        <f t="shared" ca="1" si="3"/>
        <v>33491142.321650941</v>
      </c>
      <c r="AU52" s="34">
        <f t="shared" ca="1" si="4"/>
        <v>4.9857153785670516E-2</v>
      </c>
      <c r="AV52" s="34">
        <f t="shared" ca="1" si="5"/>
        <v>217.52416526948275</v>
      </c>
      <c r="AW52" s="34">
        <f t="shared" ca="1" si="6"/>
        <v>1.4233734060842195E-3</v>
      </c>
      <c r="AX52" s="34">
        <f t="shared" ca="1" si="7"/>
        <v>5.2147528415804778E-2</v>
      </c>
      <c r="AY52" s="34">
        <f t="shared" ca="1" si="8"/>
        <v>1.2719757225987654E-3</v>
      </c>
      <c r="AZ52" s="34">
        <f t="shared" ca="1" si="9"/>
        <v>3.6302138861041981E-5</v>
      </c>
      <c r="BA52" s="34">
        <f t="shared" ca="1" si="10"/>
        <v>3.7946810487301944E-7</v>
      </c>
      <c r="BB52" s="34">
        <f t="shared" ca="1" si="11"/>
        <v>703.53432450733692</v>
      </c>
      <c r="BC52" s="34">
        <f t="shared" ca="1" si="12"/>
        <v>124.73930544385473</v>
      </c>
      <c r="BD52" s="34">
        <f t="shared" ca="1" si="13"/>
        <v>2.57867224854188</v>
      </c>
      <c r="BE52" s="34">
        <f t="shared" ca="1" si="14"/>
        <v>64.274099947324331</v>
      </c>
      <c r="BF52" s="34">
        <f t="shared" ca="1" si="15"/>
        <v>0.2994748343618992</v>
      </c>
      <c r="BG52" s="34">
        <f t="shared" ca="1" si="16"/>
        <v>384.2675882778596</v>
      </c>
      <c r="BH52" s="34">
        <f t="shared" ca="1" si="17"/>
        <v>8.4840898430234226</v>
      </c>
      <c r="BI52" s="34">
        <f t="shared" ca="1" si="18"/>
        <v>0.40362387337453931</v>
      </c>
      <c r="BJ52" s="34">
        <f t="shared" ca="1" si="19"/>
        <v>3.4130717774950175E-4</v>
      </c>
      <c r="BK52" s="34">
        <f t="shared" ca="1" si="20"/>
        <v>195807.98846690854</v>
      </c>
      <c r="BL52" s="34">
        <f t="shared" ca="1" si="21"/>
        <v>2.1510145161602837E-2</v>
      </c>
      <c r="BM52" s="34">
        <f t="shared" ca="1" si="22"/>
        <v>0.96152946029779351</v>
      </c>
      <c r="BN52" s="34">
        <f t="shared" ca="1" si="23"/>
        <v>0.56971848850625906</v>
      </c>
      <c r="BO52" s="34">
        <f t="shared" ca="1" si="24"/>
        <v>5.7306788224111838</v>
      </c>
      <c r="BP52" s="34">
        <f t="shared" ca="1" si="25"/>
        <v>268302.00298366864</v>
      </c>
      <c r="BQ52" s="34">
        <f t="shared" ca="1" si="26"/>
        <v>6.2896097127435057E-10</v>
      </c>
      <c r="BR52" s="34">
        <f t="shared" ca="1" si="27"/>
        <v>5.2833174416059985E-5</v>
      </c>
      <c r="BS52" s="34">
        <f t="shared" ca="1" si="28"/>
        <v>1.0592998711210961E-2</v>
      </c>
      <c r="BT52" s="34">
        <f t="shared" ca="1" si="29"/>
        <v>4.8578778577028698</v>
      </c>
      <c r="BU52" s="34">
        <f t="shared" ca="1" si="30"/>
        <v>7228.5001052871621</v>
      </c>
      <c r="BV52" s="34">
        <f t="shared" ca="1" si="31"/>
        <v>9.2045233549030258E-12</v>
      </c>
      <c r="BW52" s="34">
        <f t="shared" ca="1" si="32"/>
        <v>1.2039351166573487E-7</v>
      </c>
      <c r="BX52" s="34">
        <f t="shared" ca="1" si="33"/>
        <v>3.7712193529723281E-3</v>
      </c>
      <c r="BY52" s="34">
        <f t="shared" ca="1" si="34"/>
        <v>1.8392883674336356</v>
      </c>
    </row>
    <row r="53" spans="1:77" ht="12.75" customHeight="1" x14ac:dyDescent="0.3">
      <c r="A53" s="118"/>
      <c r="B53" s="118"/>
      <c r="C53" s="118"/>
      <c r="D53" s="118"/>
      <c r="E53" s="110"/>
      <c r="F53" s="118"/>
      <c r="G53" s="23"/>
      <c r="H53" s="25">
        <f t="shared" si="0"/>
        <v>1.3753381324178079E-2</v>
      </c>
      <c r="I53" s="25">
        <f t="shared" si="1"/>
        <v>5.0199841833249987</v>
      </c>
      <c r="J53" s="117">
        <v>433726.63343927986</v>
      </c>
      <c r="K53" s="117">
        <v>0.59065846283021128</v>
      </c>
      <c r="L53" s="117">
        <v>2.8469865102195437</v>
      </c>
      <c r="M53" s="117">
        <v>8.0686271011667223</v>
      </c>
      <c r="N53" s="117">
        <v>186661.22865241315</v>
      </c>
      <c r="O53" s="117">
        <v>14.820191205827113</v>
      </c>
      <c r="P53" s="117">
        <v>417.90844107757806</v>
      </c>
      <c r="Q53" s="117">
        <v>26.55097691195191</v>
      </c>
      <c r="R53" s="117">
        <v>1.4719264867887374</v>
      </c>
      <c r="S53" s="117">
        <v>1.693716075281371E-2</v>
      </c>
      <c r="T53" s="117">
        <v>202.60669746095314</v>
      </c>
      <c r="U53" s="117">
        <v>523.49180260213404</v>
      </c>
      <c r="V53" s="117">
        <v>608.91114937326029</v>
      </c>
      <c r="W53" s="117">
        <v>27704365.129883286</v>
      </c>
      <c r="X53" s="117">
        <v>1213.2876091945529</v>
      </c>
      <c r="Y53" s="117">
        <v>31219236.365198497</v>
      </c>
      <c r="Z53" s="117">
        <v>940256.78226863826</v>
      </c>
      <c r="AA53" s="117">
        <v>116864.86154125165</v>
      </c>
      <c r="AB53" s="117">
        <v>28.468087852924029</v>
      </c>
      <c r="AC53" s="117">
        <v>16363.848674858324</v>
      </c>
      <c r="AD53" s="117">
        <v>42686.169197808791</v>
      </c>
      <c r="AE53" s="117">
        <v>56747891.021621607</v>
      </c>
      <c r="AF53" s="117">
        <v>1050464.8515318769</v>
      </c>
      <c r="AG53" s="117">
        <v>20394.33126337899</v>
      </c>
      <c r="AH53" s="117">
        <v>781.10296529474283</v>
      </c>
      <c r="AI53" s="117">
        <v>1.0763925542511545E-3</v>
      </c>
      <c r="AJ53" s="117">
        <v>2094.6186331485237</v>
      </c>
      <c r="AK53" s="117">
        <v>13024.967182149292</v>
      </c>
      <c r="AL53" s="117">
        <v>906.97378771706826</v>
      </c>
      <c r="AM53" s="117">
        <v>37.602121135038914</v>
      </c>
      <c r="AN53" s="117">
        <v>4.5814558888856031E-5</v>
      </c>
      <c r="AO53" s="117">
        <v>18.157678707018007</v>
      </c>
      <c r="AP53" s="117">
        <v>17423.220287344753</v>
      </c>
      <c r="AQ53" s="117">
        <v>143.35634023289546</v>
      </c>
      <c r="AS53" s="34">
        <f t="shared" ca="1" si="2"/>
        <v>41.642390926048613</v>
      </c>
      <c r="AT53" s="34">
        <f t="shared" ca="1" si="3"/>
        <v>33808284.159047104</v>
      </c>
      <c r="AU53" s="34">
        <f t="shared" ca="1" si="4"/>
        <v>5.0922904444919911E-2</v>
      </c>
      <c r="AV53" s="34">
        <f t="shared" ca="1" si="5"/>
        <v>218.23546001558714</v>
      </c>
      <c r="AW53" s="34">
        <f t="shared" ca="1" si="6"/>
        <v>1.4594987138816548E-3</v>
      </c>
      <c r="AX53" s="34">
        <f t="shared" ca="1" si="7"/>
        <v>5.2854703395197405E-2</v>
      </c>
      <c r="AY53" s="34">
        <f t="shared" ca="1" si="8"/>
        <v>1.3019926016517836E-3</v>
      </c>
      <c r="AZ53" s="34">
        <f t="shared" ca="1" si="9"/>
        <v>3.7848732274774598E-5</v>
      </c>
      <c r="BA53" s="34">
        <f t="shared" ca="1" si="10"/>
        <v>4.0004991771814143E-7</v>
      </c>
      <c r="BB53" s="34">
        <f t="shared" ca="1" si="11"/>
        <v>718.74376210101548</v>
      </c>
      <c r="BC53" s="34">
        <f t="shared" ca="1" si="12"/>
        <v>127.89360044639919</v>
      </c>
      <c r="BD53" s="34">
        <f t="shared" ca="1" si="13"/>
        <v>2.6172399370333697</v>
      </c>
      <c r="BE53" s="34">
        <f t="shared" ca="1" si="14"/>
        <v>64.464496641871406</v>
      </c>
      <c r="BF53" s="34">
        <f t="shared" ca="1" si="15"/>
        <v>0.30637858503113896</v>
      </c>
      <c r="BG53" s="34">
        <f t="shared" ca="1" si="16"/>
        <v>388.60516243097896</v>
      </c>
      <c r="BH53" s="34">
        <f t="shared" ca="1" si="17"/>
        <v>8.7326471452398788</v>
      </c>
      <c r="BI53" s="34">
        <f t="shared" ca="1" si="18"/>
        <v>0.41970798763676592</v>
      </c>
      <c r="BJ53" s="34">
        <f t="shared" ca="1" si="19"/>
        <v>3.6086063697395628E-4</v>
      </c>
      <c r="BK53" s="34">
        <f t="shared" ca="1" si="20"/>
        <v>199580.10554217335</v>
      </c>
      <c r="BL53" s="34">
        <f t="shared" ca="1" si="21"/>
        <v>2.2002133873855606E-2</v>
      </c>
      <c r="BM53" s="34">
        <f t="shared" ca="1" si="22"/>
        <v>0.97501732249471695</v>
      </c>
      <c r="BN53" s="34">
        <f t="shared" ca="1" si="23"/>
        <v>0.57163304744980215</v>
      </c>
      <c r="BO53" s="34">
        <f t="shared" ca="1" si="24"/>
        <v>5.9083182411540172</v>
      </c>
      <c r="BP53" s="34">
        <f t="shared" ca="1" si="25"/>
        <v>283401.8332747083</v>
      </c>
      <c r="BQ53" s="34">
        <f t="shared" ca="1" si="26"/>
        <v>6.8332832950221084E-10</v>
      </c>
      <c r="BR53" s="34">
        <f t="shared" ca="1" si="27"/>
        <v>5.4007904613289306E-5</v>
      </c>
      <c r="BS53" s="34">
        <f t="shared" ca="1" si="28"/>
        <v>1.0636584643111645E-2</v>
      </c>
      <c r="BT53" s="34">
        <f t="shared" ca="1" si="29"/>
        <v>5.0413952835178133</v>
      </c>
      <c r="BU53" s="34">
        <f t="shared" ca="1" si="30"/>
        <v>7724.6293883404969</v>
      </c>
      <c r="BV53" s="34">
        <f t="shared" ca="1" si="31"/>
        <v>1.0126421687487383E-11</v>
      </c>
      <c r="BW53" s="34">
        <f t="shared" ca="1" si="32"/>
        <v>1.2456727703251172E-7</v>
      </c>
      <c r="BX53" s="34">
        <f t="shared" ca="1" si="33"/>
        <v>3.7856919267255703E-3</v>
      </c>
      <c r="BY53" s="34">
        <f t="shared" ca="1" si="34"/>
        <v>1.8785880039914304</v>
      </c>
    </row>
    <row r="54" spans="1:77" ht="12.75" customHeight="1" x14ac:dyDescent="0.3">
      <c r="A54" s="118"/>
      <c r="B54" s="118"/>
      <c r="C54" s="118"/>
      <c r="D54" s="118"/>
      <c r="E54" s="110"/>
      <c r="F54" s="118"/>
      <c r="G54" s="23"/>
      <c r="H54" s="25">
        <f t="shared" si="0"/>
        <v>1.408882964915803E-2</v>
      </c>
      <c r="I54" s="25">
        <f t="shared" si="1"/>
        <v>5.1424228219426809</v>
      </c>
      <c r="J54" s="117">
        <v>444305.33181584766</v>
      </c>
      <c r="K54" s="117">
        <v>0.59108931308911739</v>
      </c>
      <c r="L54" s="117">
        <v>2.8726021884960624</v>
      </c>
      <c r="M54" s="117">
        <v>8.2362380298015179</v>
      </c>
      <c r="N54" s="117">
        <v>187251.86312508577</v>
      </c>
      <c r="O54" s="117">
        <v>15.183230816873154</v>
      </c>
      <c r="P54" s="117">
        <v>423.33004754136283</v>
      </c>
      <c r="Q54" s="117">
        <v>27.154316733939488</v>
      </c>
      <c r="R54" s="117">
        <v>1.5327517988938075</v>
      </c>
      <c r="S54" s="117">
        <v>1.7827389787540043E-2</v>
      </c>
      <c r="T54" s="117">
        <v>206.81414661226691</v>
      </c>
      <c r="U54" s="117">
        <v>536.26704047198723</v>
      </c>
      <c r="V54" s="117">
        <v>617.6647415584456</v>
      </c>
      <c r="W54" s="117">
        <v>27783848.544558395</v>
      </c>
      <c r="X54" s="117">
        <v>1240.341810134699</v>
      </c>
      <c r="Y54" s="117">
        <v>31555758.133076031</v>
      </c>
      <c r="Z54" s="117">
        <v>966920.98559528252</v>
      </c>
      <c r="AA54" s="117">
        <v>121383.46332601072</v>
      </c>
      <c r="AB54" s="117">
        <v>30.05305558552422</v>
      </c>
      <c r="AC54" s="117">
        <v>16667.289983028593</v>
      </c>
      <c r="AD54" s="117">
        <v>43630.34406683471</v>
      </c>
      <c r="AE54" s="117">
        <v>57512743.845436402</v>
      </c>
      <c r="AF54" s="117">
        <v>1053877.8119471585</v>
      </c>
      <c r="AG54" s="117">
        <v>21007.370840086121</v>
      </c>
      <c r="AH54" s="117">
        <v>823.7096711769691</v>
      </c>
      <c r="AI54" s="117">
        <v>1.1666923410479134E-3</v>
      </c>
      <c r="AJ54" s="117">
        <v>2139.3331527785695</v>
      </c>
      <c r="AK54" s="117">
        <v>13076.291183354075</v>
      </c>
      <c r="AL54" s="117">
        <v>940.1452261907499</v>
      </c>
      <c r="AM54" s="117">
        <v>40.103256823770373</v>
      </c>
      <c r="AN54" s="117">
        <v>5.0265095026164991E-5</v>
      </c>
      <c r="AO54" s="117">
        <v>18.765467886634198</v>
      </c>
      <c r="AP54" s="117">
        <v>17487.562401797662</v>
      </c>
      <c r="AQ54" s="117">
        <v>146.27066693692385</v>
      </c>
      <c r="AS54" s="34">
        <f t="shared" ca="1" si="2"/>
        <v>41.672766576345715</v>
      </c>
      <c r="AT54" s="34">
        <f t="shared" ca="1" si="3"/>
        <v>34112473.211924806</v>
      </c>
      <c r="AU54" s="34">
        <f t="shared" ca="1" si="4"/>
        <v>5.1980734382501212E-2</v>
      </c>
      <c r="AV54" s="34">
        <f t="shared" ca="1" si="5"/>
        <v>218.92600184248573</v>
      </c>
      <c r="AW54" s="34">
        <f t="shared" ca="1" si="6"/>
        <v>1.4952510087104462E-3</v>
      </c>
      <c r="AX54" s="34">
        <f t="shared" ca="1" si="7"/>
        <v>5.3540397612882845E-2</v>
      </c>
      <c r="AY54" s="34">
        <f t="shared" ca="1" si="8"/>
        <v>1.3315788570696066E-3</v>
      </c>
      <c r="AZ54" s="34">
        <f t="shared" ca="1" si="9"/>
        <v>3.9412778423857065E-5</v>
      </c>
      <c r="BA54" s="34">
        <f t="shared" ca="1" si="10"/>
        <v>4.2107682165382062E-7</v>
      </c>
      <c r="BB54" s="34">
        <f t="shared" ca="1" si="11"/>
        <v>733.66961534161135</v>
      </c>
      <c r="BC54" s="34">
        <f t="shared" ca="1" si="12"/>
        <v>131.01470217065386</v>
      </c>
      <c r="BD54" s="34">
        <f t="shared" ca="1" si="13"/>
        <v>2.6548648862285869</v>
      </c>
      <c r="BE54" s="34">
        <f t="shared" ca="1" si="14"/>
        <v>64.649444331319842</v>
      </c>
      <c r="BF54" s="34">
        <f t="shared" ca="1" si="15"/>
        <v>0.31321029396838979</v>
      </c>
      <c r="BG54" s="34">
        <f t="shared" ca="1" si="16"/>
        <v>392.79405721167865</v>
      </c>
      <c r="BH54" s="34">
        <f t="shared" ca="1" si="17"/>
        <v>8.9802912818752993</v>
      </c>
      <c r="BI54" s="34">
        <f t="shared" ca="1" si="18"/>
        <v>0.43593607567795778</v>
      </c>
      <c r="BJ54" s="34">
        <f t="shared" ca="1" si="19"/>
        <v>3.809516409263178E-4</v>
      </c>
      <c r="BK54" s="34">
        <f t="shared" ca="1" si="20"/>
        <v>203280.99825474923</v>
      </c>
      <c r="BL54" s="34">
        <f t="shared" ca="1" si="21"/>
        <v>2.2488798811446324E-2</v>
      </c>
      <c r="BM54" s="34">
        <f t="shared" ca="1" si="22"/>
        <v>0.98815868755609493</v>
      </c>
      <c r="BN54" s="34">
        <f t="shared" ca="1" si="23"/>
        <v>0.57349028328226992</v>
      </c>
      <c r="BO54" s="34">
        <f t="shared" ca="1" si="24"/>
        <v>6.0859182255237902</v>
      </c>
      <c r="BP54" s="34">
        <f t="shared" ca="1" si="25"/>
        <v>298860.51041884499</v>
      </c>
      <c r="BQ54" s="34">
        <f t="shared" ca="1" si="26"/>
        <v>7.4065351465193798E-10</v>
      </c>
      <c r="BR54" s="34">
        <f t="shared" ca="1" si="27"/>
        <v>5.5160829290264301E-5</v>
      </c>
      <c r="BS54" s="34">
        <f t="shared" ca="1" si="28"/>
        <v>1.0678497384648992E-2</v>
      </c>
      <c r="BT54" s="34">
        <f t="shared" ca="1" si="29"/>
        <v>5.2257780470921089</v>
      </c>
      <c r="BU54" s="34">
        <f t="shared" ca="1" si="30"/>
        <v>8238.4393985794923</v>
      </c>
      <c r="BV54" s="34">
        <f t="shared" ca="1" si="31"/>
        <v>1.1110126578570687E-11</v>
      </c>
      <c r="BW54" s="34">
        <f t="shared" ca="1" si="32"/>
        <v>1.2873689828951472E-7</v>
      </c>
      <c r="BX54" s="34">
        <f t="shared" ca="1" si="33"/>
        <v>3.7996720876381745E-3</v>
      </c>
      <c r="BY54" s="34">
        <f t="shared" ca="1" si="34"/>
        <v>1.9167782868697827</v>
      </c>
    </row>
    <row r="55" spans="1:77" ht="12.75" customHeight="1" x14ac:dyDescent="0.3">
      <c r="A55" s="118"/>
      <c r="B55" s="118"/>
      <c r="C55" s="118"/>
      <c r="D55" s="118"/>
      <c r="E55" s="110"/>
      <c r="F55" s="118"/>
      <c r="G55" s="23"/>
      <c r="H55" s="25">
        <f t="shared" si="0"/>
        <v>1.4424277974137983E-2</v>
      </c>
      <c r="I55" s="25">
        <f t="shared" si="1"/>
        <v>5.2648614605603639</v>
      </c>
      <c r="J55" s="117">
        <v>454884.03019241546</v>
      </c>
      <c r="K55" s="117">
        <v>0.59150258708728365</v>
      </c>
      <c r="L55" s="117">
        <v>2.8971739490655746</v>
      </c>
      <c r="M55" s="117">
        <v>8.4026036873376544</v>
      </c>
      <c r="N55" s="117">
        <v>187825.3893161657</v>
      </c>
      <c r="O55" s="117">
        <v>15.542486386485381</v>
      </c>
      <c r="P55" s="117">
        <v>428.5872579228174</v>
      </c>
      <c r="Q55" s="117">
        <v>27.74894033846256</v>
      </c>
      <c r="R55" s="117">
        <v>1.5942267608173017</v>
      </c>
      <c r="S55" s="117">
        <v>1.8736091221373329E-2</v>
      </c>
      <c r="T55" s="117">
        <v>210.94288479882994</v>
      </c>
      <c r="U55" s="117">
        <v>548.90660065411305</v>
      </c>
      <c r="V55" s="117">
        <v>626.20454766914781</v>
      </c>
      <c r="W55" s="117">
        <v>27861064.364676435</v>
      </c>
      <c r="X55" s="117">
        <v>1267.1113183470698</v>
      </c>
      <c r="Y55" s="117">
        <v>31880764.079587221</v>
      </c>
      <c r="Z55" s="117">
        <v>993477.60526858515</v>
      </c>
      <c r="AA55" s="117">
        <v>125940.13523951205</v>
      </c>
      <c r="AB55" s="117">
        <v>31.680123154466166</v>
      </c>
      <c r="AC55" s="117">
        <v>16964.985405013347</v>
      </c>
      <c r="AD55" s="117">
        <v>44564.219980510927</v>
      </c>
      <c r="AE55" s="117">
        <v>58257970.978407867</v>
      </c>
      <c r="AF55" s="117">
        <v>1057189.8163210449</v>
      </c>
      <c r="AG55" s="117">
        <v>21620.172546632373</v>
      </c>
      <c r="AH55" s="117">
        <v>867.28962744924502</v>
      </c>
      <c r="AI55" s="117">
        <v>1.2617574342444677E-3</v>
      </c>
      <c r="AJ55" s="117">
        <v>2183.2145839055265</v>
      </c>
      <c r="AK55" s="117">
        <v>13125.732091930378</v>
      </c>
      <c r="AL55" s="117">
        <v>973.46636745626381</v>
      </c>
      <c r="AM55" s="117">
        <v>42.690613455263069</v>
      </c>
      <c r="AN55" s="117">
        <v>5.500531996452616E-5</v>
      </c>
      <c r="AO55" s="117">
        <v>19.372544751547171</v>
      </c>
      <c r="AP55" s="117">
        <v>17549.787171451469</v>
      </c>
      <c r="AQ55" s="117">
        <v>149.10265998906138</v>
      </c>
      <c r="AS55" s="34">
        <f t="shared" ca="1" si="2"/>
        <v>41.701903071417249</v>
      </c>
      <c r="AT55" s="34">
        <f t="shared" ca="1" si="3"/>
        <v>34404265.624934196</v>
      </c>
      <c r="AU55" s="34">
        <f t="shared" ca="1" si="4"/>
        <v>5.3030705136559719E-2</v>
      </c>
      <c r="AV55" s="34">
        <f t="shared" ca="1" si="5"/>
        <v>219.59654147755043</v>
      </c>
      <c r="AW55" s="34">
        <f t="shared" ca="1" si="6"/>
        <v>1.5306306495343584E-3</v>
      </c>
      <c r="AX55" s="34">
        <f t="shared" ca="1" si="7"/>
        <v>5.4205299940965637E-2</v>
      </c>
      <c r="AY55" s="34">
        <f t="shared" ca="1" si="8"/>
        <v>1.3607376912783793E-3</v>
      </c>
      <c r="AZ55" s="34">
        <f t="shared" ca="1" si="9"/>
        <v>4.0993529498267381E-5</v>
      </c>
      <c r="BA55" s="34">
        <f t="shared" ca="1" si="10"/>
        <v>4.4254003730966611E-7</v>
      </c>
      <c r="BB55" s="34">
        <f t="shared" ca="1" si="11"/>
        <v>748.31624279336347</v>
      </c>
      <c r="BC55" s="34">
        <f t="shared" ca="1" si="12"/>
        <v>134.10265665573988</v>
      </c>
      <c r="BD55" s="34">
        <f t="shared" ca="1" si="13"/>
        <v>2.6915709337865215</v>
      </c>
      <c r="BE55" s="34">
        <f t="shared" ca="1" si="14"/>
        <v>64.829115619702108</v>
      </c>
      <c r="BF55" s="34">
        <f t="shared" ca="1" si="15"/>
        <v>0.31997011248621859</v>
      </c>
      <c r="BG55" s="34">
        <f t="shared" ca="1" si="16"/>
        <v>396.83960743454719</v>
      </c>
      <c r="BH55" s="34">
        <f t="shared" ca="1" si="17"/>
        <v>9.2269362339252474</v>
      </c>
      <c r="BI55" s="34">
        <f t="shared" ca="1" si="18"/>
        <v>0.45230088862441847</v>
      </c>
      <c r="BJ55" s="34">
        <f t="shared" ca="1" si="19"/>
        <v>4.0157630115504302E-4</v>
      </c>
      <c r="BK55" s="34">
        <f t="shared" ca="1" si="20"/>
        <v>206911.81181943486</v>
      </c>
      <c r="BL55" s="34">
        <f t="shared" ca="1" si="21"/>
        <v>2.2970155261566191E-2</v>
      </c>
      <c r="BM55" s="34">
        <f t="shared" ca="1" si="22"/>
        <v>1.0009628526230119</v>
      </c>
      <c r="BN55" s="34">
        <f t="shared" ca="1" si="23"/>
        <v>0.57529258171296072</v>
      </c>
      <c r="BO55" s="34">
        <f t="shared" ca="1" si="24"/>
        <v>6.263449297969343</v>
      </c>
      <c r="BP55" s="34">
        <f t="shared" ca="1" si="25"/>
        <v>314672.30483052565</v>
      </c>
      <c r="BQ55" s="34">
        <f t="shared" ca="1" si="26"/>
        <v>8.0100386831372677E-10</v>
      </c>
      <c r="BR55" s="34">
        <f t="shared" ca="1" si="27"/>
        <v>5.6292273510750841E-5</v>
      </c>
      <c r="BS55" s="34">
        <f t="shared" ca="1" si="28"/>
        <v>1.0718872335430051E-2</v>
      </c>
      <c r="BT55" s="34">
        <f t="shared" ca="1" si="29"/>
        <v>5.4109929305786819</v>
      </c>
      <c r="BU55" s="34">
        <f t="shared" ca="1" si="30"/>
        <v>8769.9618358901407</v>
      </c>
      <c r="BV55" s="34">
        <f t="shared" ca="1" si="31"/>
        <v>1.2157861573375255E-11</v>
      </c>
      <c r="BW55" s="34">
        <f t="shared" ca="1" si="32"/>
        <v>1.329016328479258E-7</v>
      </c>
      <c r="BX55" s="34">
        <f t="shared" ca="1" si="33"/>
        <v>3.8131921949567898E-3</v>
      </c>
      <c r="BY55" s="34">
        <f t="shared" ca="1" si="34"/>
        <v>1.953889642855082</v>
      </c>
    </row>
    <row r="56" spans="1:77" ht="12.75" customHeight="1" x14ac:dyDescent="0.3">
      <c r="A56" s="118"/>
      <c r="B56" s="118"/>
      <c r="C56" s="118"/>
      <c r="D56" s="118"/>
      <c r="E56" s="110"/>
      <c r="F56" s="118"/>
      <c r="G56" s="23"/>
      <c r="H56" s="25">
        <f t="shared" si="0"/>
        <v>1.4759726299117936E-2</v>
      </c>
      <c r="I56" s="25">
        <f t="shared" si="1"/>
        <v>5.3873000991780469</v>
      </c>
      <c r="J56" s="117">
        <v>465462.72856898326</v>
      </c>
      <c r="K56" s="117">
        <v>0.59189899028487325</v>
      </c>
      <c r="L56" s="117">
        <v>2.9207420979157388</v>
      </c>
      <c r="M56" s="117">
        <v>8.5677327733533559</v>
      </c>
      <c r="N56" s="117">
        <v>188382.34371074295</v>
      </c>
      <c r="O56" s="117">
        <v>15.897962974548545</v>
      </c>
      <c r="P56" s="117">
        <v>433.68481457476986</v>
      </c>
      <c r="Q56" s="117">
        <v>28.33490975211858</v>
      </c>
      <c r="R56" s="117">
        <v>1.6563260787966707</v>
      </c>
      <c r="S56" s="117">
        <v>1.9662933967399335E-2</v>
      </c>
      <c r="T56" s="117">
        <v>214.99401633024252</v>
      </c>
      <c r="U56" s="117">
        <v>561.41071487374688</v>
      </c>
      <c r="V56" s="117">
        <v>634.53543180865825</v>
      </c>
      <c r="W56" s="117">
        <v>27936076.522679385</v>
      </c>
      <c r="X56" s="117">
        <v>1293.59677581506</v>
      </c>
      <c r="Y56" s="117">
        <v>32194625.765015595</v>
      </c>
      <c r="Z56" s="117">
        <v>1019918.7887600625</v>
      </c>
      <c r="AA56" s="117">
        <v>130533.12888544441</v>
      </c>
      <c r="AB56" s="117">
        <v>33.349000818049269</v>
      </c>
      <c r="AC56" s="117">
        <v>17257.018884866597</v>
      </c>
      <c r="AD56" s="117">
        <v>45487.827130999147</v>
      </c>
      <c r="AE56" s="117">
        <v>58984045.955926456</v>
      </c>
      <c r="AF56" s="117">
        <v>1060404.4379364583</v>
      </c>
      <c r="AG56" s="117">
        <v>22232.646321215707</v>
      </c>
      <c r="AH56" s="117">
        <v>911.82860587641551</v>
      </c>
      <c r="AI56" s="117">
        <v>1.3616812266587684E-3</v>
      </c>
      <c r="AJ56" s="117">
        <v>2226.2743240478949</v>
      </c>
      <c r="AK56" s="117">
        <v>13173.416634492689</v>
      </c>
      <c r="AL56" s="117">
        <v>1006.9321723418253</v>
      </c>
      <c r="AM56" s="117">
        <v>45.364313892925388</v>
      </c>
      <c r="AN56" s="117">
        <v>6.0044281946759915E-5</v>
      </c>
      <c r="AO56" s="117">
        <v>19.978820326698266</v>
      </c>
      <c r="AP56" s="117">
        <v>17610.008941594853</v>
      </c>
      <c r="AQ56" s="117">
        <v>151.85438504637446</v>
      </c>
      <c r="AS56" s="34">
        <f t="shared" ca="1" si="2"/>
        <v>41.729850147362399</v>
      </c>
      <c r="AT56" s="34">
        <f t="shared" ca="1" si="3"/>
        <v>34684140.03619989</v>
      </c>
      <c r="AU56" s="34">
        <f t="shared" ca="1" si="4"/>
        <v>5.4072871612073088E-2</v>
      </c>
      <c r="AV56" s="34">
        <f t="shared" ca="1" si="5"/>
        <v>220.24770615371682</v>
      </c>
      <c r="AW56" s="34">
        <f t="shared" ca="1" si="6"/>
        <v>1.5656381346529874E-3</v>
      </c>
      <c r="AX56" s="34">
        <f t="shared" ca="1" si="7"/>
        <v>5.4850010165493381E-2</v>
      </c>
      <c r="AY56" s="34">
        <f t="shared" ca="1" si="8"/>
        <v>1.3894721459052047E-3</v>
      </c>
      <c r="AZ56" s="34">
        <f t="shared" ca="1" si="9"/>
        <v>4.2590335100818219E-5</v>
      </c>
      <c r="BA56" s="34">
        <f t="shared" ca="1" si="10"/>
        <v>4.6443174452651844E-7</v>
      </c>
      <c r="BB56" s="34">
        <f t="shared" ca="1" si="11"/>
        <v>762.68756197551772</v>
      </c>
      <c r="BC56" s="34">
        <f t="shared" ca="1" si="12"/>
        <v>137.15752051414762</v>
      </c>
      <c r="BD56" s="34">
        <f t="shared" ca="1" si="13"/>
        <v>2.7273789867400056</v>
      </c>
      <c r="BE56" s="34">
        <f t="shared" ca="1" si="14"/>
        <v>65.00365926959303</v>
      </c>
      <c r="BF56" s="34">
        <f t="shared" ca="1" si="15"/>
        <v>0.32665820269784795</v>
      </c>
      <c r="BG56" s="34">
        <f t="shared" ca="1" si="16"/>
        <v>400.74643814046152</v>
      </c>
      <c r="BH56" s="34">
        <f t="shared" ca="1" si="17"/>
        <v>9.4725090709288775</v>
      </c>
      <c r="BI56" s="34">
        <f t="shared" ca="1" si="18"/>
        <v>0.46879614729275881</v>
      </c>
      <c r="BJ56" s="34">
        <f t="shared" ca="1" si="19"/>
        <v>4.2273094490293179E-4</v>
      </c>
      <c r="BK56" s="34">
        <f t="shared" ca="1" si="20"/>
        <v>210473.57005180646</v>
      </c>
      <c r="BL56" s="34">
        <f t="shared" ca="1" si="21"/>
        <v>2.3446218786445237E-2</v>
      </c>
      <c r="BM56" s="34">
        <f t="shared" ca="1" si="22"/>
        <v>1.0134379537724247</v>
      </c>
      <c r="BN56" s="34">
        <f t="shared" ca="1" si="23"/>
        <v>0.5770418872206482</v>
      </c>
      <c r="BO56" s="34">
        <f t="shared" ca="1" si="24"/>
        <v>6.4408853672312487</v>
      </c>
      <c r="BP56" s="34">
        <f t="shared" ca="1" si="25"/>
        <v>330832.05418403097</v>
      </c>
      <c r="BQ56" s="34">
        <f t="shared" ca="1" si="26"/>
        <v>8.6443867922756911E-10</v>
      </c>
      <c r="BR56" s="34">
        <f t="shared" ca="1" si="27"/>
        <v>5.7402531149768587E-5</v>
      </c>
      <c r="BS56" s="34">
        <f t="shared" ca="1" si="28"/>
        <v>1.0757812984265404E-2</v>
      </c>
      <c r="BT56" s="34">
        <f t="shared" ca="1" si="29"/>
        <v>5.5970119238440397</v>
      </c>
      <c r="BU56" s="34">
        <f t="shared" ca="1" si="30"/>
        <v>9319.2219401862185</v>
      </c>
      <c r="BV56" s="34">
        <f t="shared" ca="1" si="31"/>
        <v>1.32716266108845E-11</v>
      </c>
      <c r="BW56" s="34">
        <f t="shared" ca="1" si="32"/>
        <v>1.3706087031139641E-7</v>
      </c>
      <c r="BX56" s="34">
        <f t="shared" ca="1" si="33"/>
        <v>3.8262770934591938E-3</v>
      </c>
      <c r="BY56" s="34">
        <f t="shared" ca="1" si="34"/>
        <v>1.9899491409878669</v>
      </c>
    </row>
    <row r="57" spans="1:77" ht="12.75" customHeight="1" x14ac:dyDescent="0.3">
      <c r="A57" s="118"/>
      <c r="B57" s="118"/>
      <c r="C57" s="118"/>
      <c r="D57" s="118"/>
      <c r="E57" s="110"/>
      <c r="F57" s="118"/>
      <c r="G57" s="23"/>
      <c r="H57" s="25">
        <f t="shared" si="0"/>
        <v>1.5095174624097891E-2</v>
      </c>
      <c r="I57" s="25">
        <f t="shared" si="1"/>
        <v>5.5097387377957299</v>
      </c>
      <c r="J57" s="117">
        <v>476041.42694555107</v>
      </c>
      <c r="K57" s="117">
        <v>0.59227925193661524</v>
      </c>
      <c r="L57" s="117">
        <v>2.9433503024474716</v>
      </c>
      <c r="M57" s="117">
        <v>8.7316349915535127</v>
      </c>
      <c r="N57" s="117">
        <v>188923.29759557018</v>
      </c>
      <c r="O57" s="117">
        <v>16.249667748839631</v>
      </c>
      <c r="P57" s="117">
        <v>438.62790303381468</v>
      </c>
      <c r="Q57" s="117">
        <v>28.912297284283106</v>
      </c>
      <c r="R57" s="117">
        <v>1.7190221168525166</v>
      </c>
      <c r="S57" s="117">
        <v>2.0607549338208374E-2</v>
      </c>
      <c r="T57" s="117">
        <v>218.96877861981497</v>
      </c>
      <c r="U57" s="117">
        <v>573.77969516677501</v>
      </c>
      <c r="V57" s="117">
        <v>642.66274434972718</v>
      </c>
      <c r="W57" s="117">
        <v>28008954.501126725</v>
      </c>
      <c r="X57" s="117">
        <v>1319.7989916766207</v>
      </c>
      <c r="Y57" s="117">
        <v>32497748.118573785</v>
      </c>
      <c r="Z57" s="117">
        <v>1046236.1370446578</v>
      </c>
      <c r="AA57" s="117">
        <v>135160.54018228705</v>
      </c>
      <c r="AB57" s="117">
        <v>35.059351462323939</v>
      </c>
      <c r="AC57" s="117">
        <v>17543.484152155906</v>
      </c>
      <c r="AD57" s="117">
        <v>46401.202424819872</v>
      </c>
      <c r="AE57" s="117">
        <v>59691488.75996732</v>
      </c>
      <c r="AF57" s="117">
        <v>1063525.413698338</v>
      </c>
      <c r="AG57" s="117">
        <v>22844.692297038244</v>
      </c>
      <c r="AH57" s="117">
        <v>957.31061309126346</v>
      </c>
      <c r="AI57" s="117">
        <v>1.4665667381515053E-3</v>
      </c>
      <c r="AJ57" s="117">
        <v>2268.5251920662877</v>
      </c>
      <c r="AK57" s="117">
        <v>13219.470293543412</v>
      </c>
      <c r="AL57" s="117">
        <v>1040.5372428084204</v>
      </c>
      <c r="AM57" s="117">
        <v>48.12448243712867</v>
      </c>
      <c r="AN57" s="117">
        <v>6.5392138200474759E-5</v>
      </c>
      <c r="AO57" s="117">
        <v>20.584201271687252</v>
      </c>
      <c r="AP57" s="117">
        <v>17668.341717881653</v>
      </c>
      <c r="AQ57" s="117">
        <v>154.52813341330224</v>
      </c>
      <c r="AS57" s="34">
        <f t="shared" ca="1" si="2"/>
        <v>41.756659217836308</v>
      </c>
      <c r="AT57" s="34">
        <f t="shared" ca="1" si="3"/>
        <v>34952615.001006007</v>
      </c>
      <c r="AU57" s="34">
        <f t="shared" ca="1" si="4"/>
        <v>5.5107295051286198E-2</v>
      </c>
      <c r="AV57" s="34">
        <f t="shared" ca="1" si="5"/>
        <v>220.88016379237473</v>
      </c>
      <c r="AW57" s="34">
        <f t="shared" ca="1" si="6"/>
        <v>1.6002741699520494E-3</v>
      </c>
      <c r="AX57" s="34">
        <f t="shared" ca="1" si="7"/>
        <v>5.5475184123897674E-2</v>
      </c>
      <c r="AY57" s="34">
        <f t="shared" ca="1" si="8"/>
        <v>1.4177857668185576E-3</v>
      </c>
      <c r="AZ57" s="34">
        <f t="shared" ca="1" si="9"/>
        <v>4.4202484607171504E-5</v>
      </c>
      <c r="BA57" s="34">
        <f t="shared" ca="1" si="10"/>
        <v>4.8674323503443428E-7</v>
      </c>
      <c r="BB57" s="34">
        <f t="shared" ca="1" si="11"/>
        <v>776.78796259043384</v>
      </c>
      <c r="BC57" s="34">
        <f t="shared" ca="1" si="12"/>
        <v>140.17936997895811</v>
      </c>
      <c r="BD57" s="34">
        <f t="shared" ca="1" si="13"/>
        <v>2.7623120422196625</v>
      </c>
      <c r="BE57" s="34">
        <f t="shared" ca="1" si="14"/>
        <v>65.173236957977508</v>
      </c>
      <c r="BF57" s="34">
        <f t="shared" ca="1" si="15"/>
        <v>0.33327476892625835</v>
      </c>
      <c r="BG57" s="34">
        <f t="shared" ca="1" si="16"/>
        <v>404.51958973401719</v>
      </c>
      <c r="BH57" s="34">
        <f t="shared" ca="1" si="17"/>
        <v>9.7169317868312817</v>
      </c>
      <c r="BI57" s="34">
        <f t="shared" ca="1" si="18"/>
        <v>0.48541501337236226</v>
      </c>
      <c r="BJ57" s="34">
        <f t="shared" ca="1" si="19"/>
        <v>4.4441129892356122E-4</v>
      </c>
      <c r="BK57" s="34">
        <f t="shared" ca="1" si="20"/>
        <v>213967.41611551447</v>
      </c>
      <c r="BL57" s="34">
        <f t="shared" ca="1" si="21"/>
        <v>2.3917008409158613E-2</v>
      </c>
      <c r="BM57" s="34">
        <f t="shared" ca="1" si="22"/>
        <v>1.0255929251060953</v>
      </c>
      <c r="BN57" s="34">
        <f t="shared" ca="1" si="23"/>
        <v>0.57874023332254632</v>
      </c>
      <c r="BO57" s="34">
        <f t="shared" ca="1" si="24"/>
        <v>6.6181975015040972</v>
      </c>
      <c r="BP57" s="34">
        <f t="shared" ca="1" si="25"/>
        <v>347333.95572378201</v>
      </c>
      <c r="BQ57" s="34">
        <f t="shared" ca="1" si="26"/>
        <v>9.310233476872822E-10</v>
      </c>
      <c r="BR57" s="34">
        <f t="shared" ca="1" si="27"/>
        <v>5.8491932730397143E-5</v>
      </c>
      <c r="BS57" s="34">
        <f t="shared" ca="1" si="28"/>
        <v>1.0795421803985839E-2</v>
      </c>
      <c r="BT57" s="34">
        <f t="shared" ca="1" si="29"/>
        <v>5.7838050219985213</v>
      </c>
      <c r="BU57" s="34">
        <f t="shared" ca="1" si="30"/>
        <v>9886.2452465777769</v>
      </c>
      <c r="BV57" s="34">
        <f t="shared" ca="1" si="31"/>
        <v>1.4453666749709359E-11</v>
      </c>
      <c r="BW57" s="34">
        <f t="shared" ca="1" si="32"/>
        <v>1.4121397033598822E-7</v>
      </c>
      <c r="BX57" s="34">
        <f t="shared" ca="1" si="33"/>
        <v>3.8389515541278007E-3</v>
      </c>
      <c r="BY57" s="34">
        <f t="shared" ca="1" si="34"/>
        <v>2.0249868072650758</v>
      </c>
    </row>
    <row r="58" spans="1:77" ht="12.75" customHeight="1" x14ac:dyDescent="0.3">
      <c r="A58" s="118"/>
      <c r="B58" s="118"/>
      <c r="C58" s="118"/>
      <c r="D58" s="118"/>
      <c r="E58" s="110"/>
      <c r="F58" s="118"/>
      <c r="G58" s="23"/>
      <c r="H58" s="25">
        <f t="shared" si="0"/>
        <v>1.5430622949077844E-2</v>
      </c>
      <c r="I58" s="25">
        <f t="shared" si="1"/>
        <v>5.6321773764134129</v>
      </c>
      <c r="J58" s="117">
        <v>486620.12532211887</v>
      </c>
      <c r="K58" s="117">
        <v>0.59264402844316255</v>
      </c>
      <c r="L58" s="117">
        <v>2.9650371899446921</v>
      </c>
      <c r="M58" s="117">
        <v>8.8943192807915263</v>
      </c>
      <c r="N58" s="117">
        <v>189448.74632690751</v>
      </c>
      <c r="O58" s="117">
        <v>16.597609168238844</v>
      </c>
      <c r="P58" s="117">
        <v>443.42116981441785</v>
      </c>
      <c r="Q58" s="117">
        <v>29.481173308458917</v>
      </c>
      <c r="R58" s="117">
        <v>1.7822901372594038</v>
      </c>
      <c r="S58" s="117">
        <v>2.1569598575642886E-2</v>
      </c>
      <c r="T58" s="117">
        <v>222.868317593238</v>
      </c>
      <c r="U58" s="117">
        <v>586.01389418590463</v>
      </c>
      <c r="V58" s="117">
        <v>650.59131952271002</v>
      </c>
      <c r="W58" s="117">
        <v>28079760.115196418</v>
      </c>
      <c r="X58" s="117">
        <v>1345.7188261678118</v>
      </c>
      <c r="Y58" s="117">
        <v>32790492.314258676</v>
      </c>
      <c r="Z58" s="117">
        <v>1072422.3596265879</v>
      </c>
      <c r="AA58" s="117">
        <v>139820.67250244902</v>
      </c>
      <c r="AB58" s="117">
        <v>36.810847365823868</v>
      </c>
      <c r="AC58" s="117">
        <v>17824.467631432093</v>
      </c>
      <c r="AD58" s="117">
        <v>47304.383843223426</v>
      </c>
      <c r="AE58" s="117">
        <v>60380768.11364568</v>
      </c>
      <c r="AF58" s="117">
        <v>1066555.9055592141</v>
      </c>
      <c r="AG58" s="117">
        <v>23456.219204864396</v>
      </c>
      <c r="AH58" s="117">
        <v>1003.7207626868554</v>
      </c>
      <c r="AI58" s="117">
        <v>1.5765073913050877E-3</v>
      </c>
      <c r="AJ58" s="117">
        <v>2309.9791117767663</v>
      </c>
      <c r="AK58" s="117">
        <v>13263.990721085645</v>
      </c>
      <c r="AL58" s="117">
        <v>1074.2768611212039</v>
      </c>
      <c r="AM58" s="117">
        <v>50.971217877351705</v>
      </c>
      <c r="AN58" s="117">
        <v>7.1058326326213254E-5</v>
      </c>
      <c r="AO58" s="117">
        <v>21.188608449849561</v>
      </c>
      <c r="AP58" s="117">
        <v>17724.875399229644</v>
      </c>
      <c r="AQ58" s="117">
        <v>157.12599520349417</v>
      </c>
      <c r="AS58" s="34">
        <f t="shared" ca="1" si="2"/>
        <v>41.782376560162184</v>
      </c>
      <c r="AT58" s="34">
        <f t="shared" ca="1" si="3"/>
        <v>35210149.222681955</v>
      </c>
      <c r="AU58" s="34">
        <f t="shared" ca="1" si="4"/>
        <v>5.6134031869295692E-2</v>
      </c>
      <c r="AV58" s="34">
        <f t="shared" ca="1" si="5"/>
        <v>221.49449354058152</v>
      </c>
      <c r="AW58" s="34">
        <f t="shared" ca="1" si="6"/>
        <v>1.634539588465654E-3</v>
      </c>
      <c r="AX58" s="34">
        <f t="shared" ca="1" si="7"/>
        <v>5.6081409481130419E-2</v>
      </c>
      <c r="AY58" s="34">
        <f t="shared" ca="1" si="8"/>
        <v>1.4456820049566193E-3</v>
      </c>
      <c r="AZ58" s="34">
        <f t="shared" ca="1" si="9"/>
        <v>4.5829341917932665E-5</v>
      </c>
      <c r="BA58" s="34">
        <f t="shared" ca="1" si="10"/>
        <v>5.0946650748212248E-7</v>
      </c>
      <c r="BB58" s="34">
        <f t="shared" ca="1" si="11"/>
        <v>790.62150978972011</v>
      </c>
      <c r="BC58" s="34">
        <f t="shared" ca="1" si="12"/>
        <v>143.16829120629484</v>
      </c>
      <c r="BD58" s="34">
        <f t="shared" ca="1" si="13"/>
        <v>2.7963908788575869</v>
      </c>
      <c r="BE58" s="34">
        <f t="shared" ca="1" si="14"/>
        <v>65.337992520829147</v>
      </c>
      <c r="BF58" s="34">
        <f t="shared" ca="1" si="15"/>
        <v>0.33982002839769088</v>
      </c>
      <c r="BG58" s="34">
        <f t="shared" ca="1" si="16"/>
        <v>408.16355797155131</v>
      </c>
      <c r="BH58" s="34">
        <f t="shared" ca="1" si="17"/>
        <v>9.960136671057656</v>
      </c>
      <c r="BI58" s="34">
        <f t="shared" ca="1" si="18"/>
        <v>0.50215139360181071</v>
      </c>
      <c r="BJ58" s="34">
        <f t="shared" ca="1" si="19"/>
        <v>4.6661320902934798E-4</v>
      </c>
      <c r="BK58" s="34">
        <f t="shared" ca="1" si="20"/>
        <v>217394.40407927564</v>
      </c>
      <c r="BL58" s="34">
        <f t="shared" ca="1" si="21"/>
        <v>2.438254370673959E-2</v>
      </c>
      <c r="BM58" s="34">
        <f t="shared" ca="1" si="22"/>
        <v>1.0374358200185829</v>
      </c>
      <c r="BN58" s="34">
        <f t="shared" ca="1" si="23"/>
        <v>0.58038934066314729</v>
      </c>
      <c r="BO58" s="34">
        <f t="shared" ca="1" si="24"/>
        <v>6.7953592597301977</v>
      </c>
      <c r="BP58" s="34">
        <f t="shared" ca="1" si="25"/>
        <v>364172.60832444287</v>
      </c>
      <c r="BQ58" s="34">
        <f t="shared" ca="1" si="26"/>
        <v>1.0008171813282853E-9</v>
      </c>
      <c r="BR58" s="34">
        <f t="shared" ca="1" si="27"/>
        <v>5.9560785697777265E-5</v>
      </c>
      <c r="BS58" s="34">
        <f t="shared" ca="1" si="28"/>
        <v>1.0831778540189326E-2</v>
      </c>
      <c r="BT58" s="34">
        <f t="shared" ca="1" si="29"/>
        <v>5.9713460016093007</v>
      </c>
      <c r="BU58" s="34">
        <f t="shared" ca="1" si="30"/>
        <v>10471.052049454816</v>
      </c>
      <c r="BV58" s="34">
        <f t="shared" ca="1" si="31"/>
        <v>1.5706067988823296E-11</v>
      </c>
      <c r="BW58" s="34">
        <f t="shared" ca="1" si="32"/>
        <v>1.45360390019771E-7</v>
      </c>
      <c r="BX58" s="34">
        <f t="shared" ca="1" si="33"/>
        <v>3.8512351100685252E-3</v>
      </c>
      <c r="BY58" s="34">
        <f t="shared" ca="1" si="34"/>
        <v>2.0590300312142484</v>
      </c>
    </row>
    <row r="59" spans="1:77" ht="12.75" customHeight="1" x14ac:dyDescent="0.3">
      <c r="A59" s="118"/>
      <c r="B59" s="118"/>
      <c r="C59" s="118"/>
      <c r="D59" s="118"/>
      <c r="E59" s="110"/>
      <c r="F59" s="118"/>
      <c r="G59" s="23"/>
      <c r="H59" s="25">
        <f t="shared" si="0"/>
        <v>1.5766071274057797E-2</v>
      </c>
      <c r="I59" s="25">
        <f t="shared" si="1"/>
        <v>5.7546160150310959</v>
      </c>
      <c r="J59" s="117">
        <v>497198.82369868667</v>
      </c>
      <c r="K59" s="117">
        <v>0.59299396083299238</v>
      </c>
      <c r="L59" s="117">
        <v>2.9858406166176388</v>
      </c>
      <c r="M59" s="117">
        <v>9.0557946913289999</v>
      </c>
      <c r="N59" s="117">
        <v>189959.17135727638</v>
      </c>
      <c r="O59" s="117">
        <v>16.941797204105001</v>
      </c>
      <c r="P59" s="117">
        <v>448.0692152032637</v>
      </c>
      <c r="Q59" s="117">
        <v>30.041611862234998</v>
      </c>
      <c r="R59" s="117">
        <v>1.8461056664933864</v>
      </c>
      <c r="S59" s="117">
        <v>2.2548739552537708E-2</v>
      </c>
      <c r="T59" s="117">
        <v>226.6937967270832</v>
      </c>
      <c r="U59" s="117">
        <v>598.11371836722674</v>
      </c>
      <c r="V59" s="117">
        <v>658.32597565264427</v>
      </c>
      <c r="W59" s="117">
        <v>28148554.347780891</v>
      </c>
      <c r="X59" s="117">
        <v>1371.3572397407015</v>
      </c>
      <c r="Y59" s="117">
        <v>33073214.664054051</v>
      </c>
      <c r="Z59" s="117">
        <v>1098470.4265625938</v>
      </c>
      <c r="AA59" s="117">
        <v>144511.85346262765</v>
      </c>
      <c r="AB59" s="117">
        <v>38.603143368941282</v>
      </c>
      <c r="AC59" s="117">
        <v>18100.056831349641</v>
      </c>
      <c r="AD59" s="117">
        <v>48197.412939571135</v>
      </c>
      <c r="AE59" s="117">
        <v>61052350.359124422</v>
      </c>
      <c r="AF59" s="117">
        <v>1069498.9378731109</v>
      </c>
      <c r="AG59" s="117">
        <v>24067.13520268078</v>
      </c>
      <c r="AH59" s="117">
        <v>1051.0438599527167</v>
      </c>
      <c r="AI59" s="117">
        <v>1.691596535426955E-3</v>
      </c>
      <c r="AJ59" s="117">
        <v>2350.6482215997189</v>
      </c>
      <c r="AK59" s="117">
        <v>13307.0653735987</v>
      </c>
      <c r="AL59" s="117">
        <v>1108.1464179785967</v>
      </c>
      <c r="AM59" s="117">
        <v>53.904608011076611</v>
      </c>
      <c r="AN59" s="117">
        <v>7.7052466545568868E-5</v>
      </c>
      <c r="AO59" s="117">
        <v>21.791966386862029</v>
      </c>
      <c r="AP59" s="117">
        <v>17779.691690286767</v>
      </c>
      <c r="AQ59" s="117">
        <v>159.65006305410716</v>
      </c>
      <c r="AS59" s="34">
        <f t="shared" ca="1" si="2"/>
        <v>41.807047367899635</v>
      </c>
      <c r="AT59" s="34">
        <f t="shared" ca="1" si="3"/>
        <v>35457192.2479707</v>
      </c>
      <c r="AU59" s="34">
        <f t="shared" ca="1" si="4"/>
        <v>5.7153139184320197E-2</v>
      </c>
      <c r="AV59" s="34">
        <f t="shared" ca="1" si="5"/>
        <v>222.09125828980243</v>
      </c>
      <c r="AW59" s="34">
        <f t="shared" ca="1" si="6"/>
        <v>1.6684353721774456E-3</v>
      </c>
      <c r="AX59" s="34">
        <f t="shared" ca="1" si="7"/>
        <v>5.666926805551431E-2</v>
      </c>
      <c r="AY59" s="34">
        <f t="shared" ca="1" si="8"/>
        <v>1.4731644909350698E-3</v>
      </c>
      <c r="AZ59" s="34">
        <f t="shared" ca="1" si="9"/>
        <v>4.7470277727315061E-5</v>
      </c>
      <c r="BA59" s="34">
        <f t="shared" ca="1" si="10"/>
        <v>5.3259348094348973E-7</v>
      </c>
      <c r="BB59" s="34">
        <f t="shared" ca="1" si="11"/>
        <v>804.19233098643167</v>
      </c>
      <c r="BC59" s="34">
        <f t="shared" ca="1" si="12"/>
        <v>146.12438349202986</v>
      </c>
      <c r="BD59" s="34">
        <f t="shared" ca="1" si="13"/>
        <v>2.829636206921164</v>
      </c>
      <c r="BE59" s="34">
        <f t="shared" ca="1" si="14"/>
        <v>65.498067857500132</v>
      </c>
      <c r="BF59" s="34">
        <f t="shared" ca="1" si="15"/>
        <v>0.34629422364486706</v>
      </c>
      <c r="BG59" s="34">
        <f t="shared" ca="1" si="16"/>
        <v>411.68277808891378</v>
      </c>
      <c r="BH59" s="34">
        <f t="shared" ca="1" si="17"/>
        <v>10.202058432918172</v>
      </c>
      <c r="BI59" s="34">
        <f t="shared" ca="1" si="18"/>
        <v>0.51899928179052413</v>
      </c>
      <c r="BJ59" s="34">
        <f t="shared" ca="1" si="19"/>
        <v>4.8933229998734484E-4</v>
      </c>
      <c r="BK59" s="34">
        <f t="shared" ca="1" si="20"/>
        <v>220755.6012339727</v>
      </c>
      <c r="BL59" s="34">
        <f t="shared" ca="1" si="21"/>
        <v>2.4842846097428217E-2</v>
      </c>
      <c r="BM59" s="34">
        <f t="shared" ca="1" si="22"/>
        <v>1.0489746509959701</v>
      </c>
      <c r="BN59" s="34">
        <f t="shared" ca="1" si="23"/>
        <v>0.58199085500975556</v>
      </c>
      <c r="BO59" s="34">
        <f t="shared" ca="1" si="24"/>
        <v>6.9723440349158752</v>
      </c>
      <c r="BP59" s="34">
        <f t="shared" ca="1" si="25"/>
        <v>381342.49900117551</v>
      </c>
      <c r="BQ59" s="34">
        <f t="shared" ca="1" si="26"/>
        <v>1.0738794412687094E-9</v>
      </c>
      <c r="BR59" s="34">
        <f t="shared" ca="1" si="27"/>
        <v>6.0609403030434047E-5</v>
      </c>
      <c r="BS59" s="34">
        <f t="shared" ca="1" si="28"/>
        <v>1.0866954612498793E-2</v>
      </c>
      <c r="BT59" s="34">
        <f t="shared" ca="1" si="29"/>
        <v>6.1596092419676474</v>
      </c>
      <c r="BU59" s="34">
        <f t="shared" ca="1" si="30"/>
        <v>11073.660385113964</v>
      </c>
      <c r="BV59" s="34">
        <f t="shared" ca="1" si="31"/>
        <v>1.7030956692049196E-11</v>
      </c>
      <c r="BW59" s="34">
        <f t="shared" ca="1" si="32"/>
        <v>1.4949961158560626E-7</v>
      </c>
      <c r="BX59" s="34">
        <f t="shared" ca="1" si="33"/>
        <v>3.8631455139482673E-3</v>
      </c>
      <c r="BY59" s="34">
        <f t="shared" ca="1" si="34"/>
        <v>2.0921062354317859</v>
      </c>
    </row>
    <row r="60" spans="1:77" ht="12.75" customHeight="1" x14ac:dyDescent="0.3">
      <c r="A60" s="118"/>
      <c r="B60" s="118"/>
      <c r="C60" s="118"/>
      <c r="D60" s="118"/>
      <c r="E60" s="110"/>
      <c r="F60" s="118"/>
      <c r="G60" s="23"/>
      <c r="H60" s="25">
        <f t="shared" si="0"/>
        <v>1.6101519599037752E-2</v>
      </c>
      <c r="I60" s="25">
        <f t="shared" si="1"/>
        <v>5.8770546536487789</v>
      </c>
      <c r="J60" s="117">
        <v>507777.52207525447</v>
      </c>
      <c r="K60" s="117">
        <v>0.59332965196391219</v>
      </c>
      <c r="L60" s="117">
        <v>3.0057968848915158</v>
      </c>
      <c r="M60" s="117">
        <v>9.2160702061137716</v>
      </c>
      <c r="N60" s="117">
        <v>190455.03293362065</v>
      </c>
      <c r="O60" s="117">
        <v>17.282243151216512</v>
      </c>
      <c r="P60" s="117">
        <v>452.57649791170627</v>
      </c>
      <c r="Q60" s="117">
        <v>30.593689142916919</v>
      </c>
      <c r="R60" s="117">
        <v>1.9104450013838778</v>
      </c>
      <c r="S60" s="117">
        <v>2.3544633694709667E-2</v>
      </c>
      <c r="T60" s="117">
        <v>230.44637307486903</v>
      </c>
      <c r="U60" s="117">
        <v>610.07962014159284</v>
      </c>
      <c r="V60" s="117">
        <v>665.87141612934374</v>
      </c>
      <c r="W60" s="117">
        <v>28215396.173812423</v>
      </c>
      <c r="X60" s="117">
        <v>1396.7152762741143</v>
      </c>
      <c r="Y60" s="117">
        <v>33346259.248266544</v>
      </c>
      <c r="Z60" s="117">
        <v>1124373.7183866594</v>
      </c>
      <c r="AA60" s="117">
        <v>149232.46957505797</v>
      </c>
      <c r="AB60" s="117">
        <v>40.43588341013492</v>
      </c>
      <c r="AC60" s="117">
        <v>18370.338570478776</v>
      </c>
      <c r="AD60" s="117">
        <v>49080.334090175558</v>
      </c>
      <c r="AE60" s="117">
        <v>61706689.875413857</v>
      </c>
      <c r="AF60" s="117">
        <v>1072357.3618864717</v>
      </c>
      <c r="AG60" s="117">
        <v>24677.349719530328</v>
      </c>
      <c r="AH60" s="117">
        <v>1099.2646965530284</v>
      </c>
      <c r="AI60" s="117">
        <v>1.8119255003513494E-3</v>
      </c>
      <c r="AJ60" s="117">
        <v>2390.5446190257921</v>
      </c>
      <c r="AK60" s="117">
        <v>13348.771360727278</v>
      </c>
      <c r="AL60" s="117">
        <v>1142.1414851002778</v>
      </c>
      <c r="AM60" s="117">
        <v>56.924727581019646</v>
      </c>
      <c r="AN60" s="117">
        <v>8.3384174857240734E-5</v>
      </c>
      <c r="AO60" s="117">
        <v>22.394204385004453</v>
      </c>
      <c r="AP60" s="117">
        <v>17832.863998265842</v>
      </c>
      <c r="AQ60" s="117">
        <v>162.10238489827481</v>
      </c>
      <c r="AS60" s="34">
        <f t="shared" ca="1" si="2"/>
        <v>41.83071414351339</v>
      </c>
      <c r="AT60" s="34">
        <f t="shared" ca="1" si="3"/>
        <v>35694175.172243632</v>
      </c>
      <c r="AU60" s="34">
        <f t="shared" ca="1" si="4"/>
        <v>5.816467368974617E-2</v>
      </c>
      <c r="AV60" s="34">
        <f t="shared" ca="1" si="5"/>
        <v>222.67099613894652</v>
      </c>
      <c r="AW60" s="34">
        <f t="shared" ca="1" si="6"/>
        <v>1.7019626334019906E-3</v>
      </c>
      <c r="AX60" s="34">
        <f t="shared" ca="1" si="7"/>
        <v>5.7239323759722523E-2</v>
      </c>
      <c r="AY60" s="34">
        <f t="shared" ca="1" si="8"/>
        <v>1.5002369612766159E-3</v>
      </c>
      <c r="AZ60" s="34">
        <f t="shared" ca="1" si="9"/>
        <v>4.9124682538196615E-5</v>
      </c>
      <c r="BA60" s="34">
        <f t="shared" ca="1" si="10"/>
        <v>5.5611615841265679E-7</v>
      </c>
      <c r="BB60" s="34">
        <f t="shared" ca="1" si="11"/>
        <v>817.50453080795376</v>
      </c>
      <c r="BC60" s="34">
        <f t="shared" ca="1" si="12"/>
        <v>149.04775736895519</v>
      </c>
      <c r="BD60" s="34">
        <f t="shared" ca="1" si="13"/>
        <v>2.8620682426597974</v>
      </c>
      <c r="BE60" s="34">
        <f t="shared" ca="1" si="14"/>
        <v>65.653600195077445</v>
      </c>
      <c r="BF60" s="34">
        <f t="shared" ca="1" si="15"/>
        <v>0.3526976182673775</v>
      </c>
      <c r="BG60" s="34">
        <f t="shared" ca="1" si="16"/>
        <v>415.08153306669652</v>
      </c>
      <c r="BH60" s="34">
        <f t="shared" ca="1" si="17"/>
        <v>10.442635594035755</v>
      </c>
      <c r="BI60" s="34">
        <f t="shared" ca="1" si="18"/>
        <v>0.5359528832651167</v>
      </c>
      <c r="BJ60" s="34">
        <f t="shared" ca="1" si="19"/>
        <v>5.125640583720191E-4</v>
      </c>
      <c r="BK60" s="34">
        <f t="shared" ca="1" si="20"/>
        <v>224052.06645394224</v>
      </c>
      <c r="BL60" s="34">
        <f t="shared" ca="1" si="21"/>
        <v>2.5297938454524865E-2</v>
      </c>
      <c r="BM60" s="34">
        <f t="shared" ca="1" si="22"/>
        <v>1.0602172249787094</v>
      </c>
      <c r="BN60" s="34">
        <f t="shared" ca="1" si="23"/>
        <v>0.58354632792946193</v>
      </c>
      <c r="BO60" s="34">
        <f t="shared" ca="1" si="24"/>
        <v>7.1491255882974798</v>
      </c>
      <c r="BP60" s="34">
        <f t="shared" ca="1" si="25"/>
        <v>398838.10982555873</v>
      </c>
      <c r="BQ60" s="34">
        <f t="shared" ca="1" si="26"/>
        <v>1.15026810660068E-9</v>
      </c>
      <c r="BR60" s="34">
        <f t="shared" ca="1" si="27"/>
        <v>6.1638096651555135E-5</v>
      </c>
      <c r="BS60" s="34">
        <f t="shared" ca="1" si="28"/>
        <v>1.0901012990997098E-2</v>
      </c>
      <c r="BT60" s="34">
        <f t="shared" ca="1" si="29"/>
        <v>6.3485701285677987</v>
      </c>
      <c r="BU60" s="34">
        <f t="shared" ca="1" si="30"/>
        <v>11694.085608002393</v>
      </c>
      <c r="BV60" s="34">
        <f t="shared" ca="1" si="31"/>
        <v>1.8430458289820862E-11</v>
      </c>
      <c r="BW60" s="34">
        <f t="shared" ca="1" si="32"/>
        <v>1.536311500253253E-7</v>
      </c>
      <c r="BX60" s="34">
        <f t="shared" ca="1" si="33"/>
        <v>3.8746987155793091E-3</v>
      </c>
      <c r="BY60" s="34">
        <f t="shared" ca="1" si="34"/>
        <v>2.1242422566980594</v>
      </c>
    </row>
    <row r="61" spans="1:77" ht="12.75" customHeight="1" x14ac:dyDescent="0.3">
      <c r="A61" s="118"/>
      <c r="B61" s="118"/>
      <c r="C61" s="118"/>
      <c r="D61" s="118"/>
      <c r="E61" s="110"/>
      <c r="F61" s="118"/>
      <c r="G61" s="23"/>
      <c r="H61" s="25">
        <f t="shared" si="0"/>
        <v>1.6436967924017703E-2</v>
      </c>
      <c r="I61" s="25">
        <f t="shared" si="1"/>
        <v>5.9994932922664619</v>
      </c>
      <c r="J61" s="117">
        <v>518356.22045182227</v>
      </c>
      <c r="K61" s="117">
        <v>0.5936516805509815</v>
      </c>
      <c r="L61" s="117">
        <v>3.0249408004191061</v>
      </c>
      <c r="M61" s="117">
        <v>9.3751547413259857</v>
      </c>
      <c r="N61" s="117">
        <v>190936.77142445598</v>
      </c>
      <c r="O61" s="117">
        <v>17.618959562730961</v>
      </c>
      <c r="P61" s="117">
        <v>456.94733900284069</v>
      </c>
      <c r="Q61" s="117">
        <v>31.137483337402436</v>
      </c>
      <c r="R61" s="117">
        <v>1.9752851873462025</v>
      </c>
      <c r="S61" s="117">
        <v>2.4556946023292E-2</v>
      </c>
      <c r="T61" s="117">
        <v>234.12719671667259</v>
      </c>
      <c r="U61" s="117">
        <v>621.91209563420841</v>
      </c>
      <c r="V61" s="117">
        <v>673.23223188112649</v>
      </c>
      <c r="W61" s="117">
        <v>28280342.63622272</v>
      </c>
      <c r="X61" s="117">
        <v>1421.7940592460491</v>
      </c>
      <c r="Y61" s="117">
        <v>33609958.296337418</v>
      </c>
      <c r="Z61" s="117">
        <v>1150126.0112500263</v>
      </c>
      <c r="AA61" s="117">
        <v>153980.96441232431</v>
      </c>
      <c r="AB61" s="117">
        <v>42.308701165402319</v>
      </c>
      <c r="AC61" s="117">
        <v>18635.398953197022</v>
      </c>
      <c r="AD61" s="117">
        <v>49953.194359562549</v>
      </c>
      <c r="AE61" s="117">
        <v>62344229.362945303</v>
      </c>
      <c r="AF61" s="117">
        <v>1075133.8701897254</v>
      </c>
      <c r="AG61" s="117">
        <v>25286.773477004146</v>
      </c>
      <c r="AH61" s="117">
        <v>1148.3680535547596</v>
      </c>
      <c r="AI61" s="117">
        <v>1.9375836035067336E-3</v>
      </c>
      <c r="AJ61" s="117">
        <v>2429.6803516695236</v>
      </c>
      <c r="AK61" s="117">
        <v>13389.176666008172</v>
      </c>
      <c r="AL61" s="117">
        <v>1176.2577993482228</v>
      </c>
      <c r="AM61" s="117">
        <v>60.031638688293356</v>
      </c>
      <c r="AN61" s="117">
        <v>9.0063061796148949E-5</v>
      </c>
      <c r="AO61" s="117">
        <v>22.99525614421113</v>
      </c>
      <c r="AP61" s="117">
        <v>17884.458382579087</v>
      </c>
      <c r="AQ61" s="117">
        <v>164.48496334612616</v>
      </c>
      <c r="AS61" s="34">
        <f t="shared" ca="1" si="2"/>
        <v>41.853417687364853</v>
      </c>
      <c r="AT61" s="34">
        <f t="shared" ca="1" si="3"/>
        <v>35921511.31653174</v>
      </c>
      <c r="AU61" s="34">
        <f t="shared" ca="1" si="4"/>
        <v>5.9168691657574261E-2</v>
      </c>
      <c r="AV61" s="34">
        <f t="shared" ca="1" si="5"/>
        <v>223.23422194600704</v>
      </c>
      <c r="AW61" s="34">
        <f t="shared" ca="1" si="6"/>
        <v>1.7351226083795711E-3</v>
      </c>
      <c r="AX61" s="34">
        <f t="shared" ca="1" si="7"/>
        <v>5.7792123097452498E-2</v>
      </c>
      <c r="AY61" s="34">
        <f t="shared" ca="1" si="8"/>
        <v>1.5269032500685219E-3</v>
      </c>
      <c r="AZ61" s="34">
        <f t="shared" ca="1" si="9"/>
        <v>5.0791966102397377E-5</v>
      </c>
      <c r="BA61" s="34">
        <f t="shared" ca="1" si="10"/>
        <v>5.8002662780388253E-7</v>
      </c>
      <c r="BB61" s="34">
        <f t="shared" ca="1" si="11"/>
        <v>830.56218914350859</v>
      </c>
      <c r="BC61" s="34">
        <f t="shared" ca="1" si="12"/>
        <v>151.9385340447736</v>
      </c>
      <c r="BD61" s="34">
        <f t="shared" ca="1" si="13"/>
        <v>2.8937067189375583</v>
      </c>
      <c r="BE61" s="34">
        <f t="shared" ca="1" si="14"/>
        <v>65.80472226513109</v>
      </c>
      <c r="BF61" s="34">
        <f t="shared" ca="1" si="15"/>
        <v>0.3590304959651438</v>
      </c>
      <c r="BG61" s="34">
        <f t="shared" ca="1" si="16"/>
        <v>418.36395837043364</v>
      </c>
      <c r="BH61" s="34">
        <f t="shared" ca="1" si="17"/>
        <v>10.681810350333775</v>
      </c>
      <c r="BI61" s="34">
        <f t="shared" ca="1" si="18"/>
        <v>0.55300660827850867</v>
      </c>
      <c r="BJ61" s="34">
        <f t="shared" ca="1" si="19"/>
        <v>5.3630384067118438E-4</v>
      </c>
      <c r="BK61" s="34">
        <f t="shared" ca="1" si="20"/>
        <v>227284.84990293821</v>
      </c>
      <c r="BL61" s="34">
        <f t="shared" ca="1" si="21"/>
        <v>2.574784503694098E-2</v>
      </c>
      <c r="BM61" s="34">
        <f t="shared" ca="1" si="22"/>
        <v>1.0711711482510424</v>
      </c>
      <c r="BN61" s="34">
        <f t="shared" ca="1" si="23"/>
        <v>0.58505722465327337</v>
      </c>
      <c r="BO61" s="34">
        <f t="shared" ca="1" si="24"/>
        <v>7.3256780555676722</v>
      </c>
      <c r="BP61" s="34">
        <f t="shared" ca="1" si="25"/>
        <v>416653.91902426275</v>
      </c>
      <c r="BQ61" s="34">
        <f t="shared" ca="1" si="26"/>
        <v>1.2300398788769401E-9</v>
      </c>
      <c r="BR61" s="34">
        <f t="shared" ca="1" si="27"/>
        <v>6.2647177198316389E-5</v>
      </c>
      <c r="BS61" s="34">
        <f t="shared" ca="1" si="28"/>
        <v>1.0934009193109608E-2</v>
      </c>
      <c r="BT61" s="34">
        <f t="shared" ca="1" si="29"/>
        <v>6.5382049648440761</v>
      </c>
      <c r="BU61" s="34">
        <f t="shared" ca="1" si="30"/>
        <v>12332.340475594006</v>
      </c>
      <c r="BV61" s="34">
        <f t="shared" ca="1" si="31"/>
        <v>1.9906697004909474E-11</v>
      </c>
      <c r="BW61" s="34">
        <f t="shared" ca="1" si="32"/>
        <v>1.5775455050002576E-7</v>
      </c>
      <c r="BX61" s="34">
        <f t="shared" ca="1" si="33"/>
        <v>3.88590906825452E-3</v>
      </c>
      <c r="BY61" s="34">
        <f t="shared" ca="1" si="34"/>
        <v>2.1554643378660816</v>
      </c>
    </row>
    <row r="62" spans="1:77" ht="12.75" customHeight="1" x14ac:dyDescent="0.3">
      <c r="A62" s="118"/>
      <c r="B62" s="118"/>
      <c r="C62" s="118"/>
      <c r="D62" s="118"/>
      <c r="E62" s="110"/>
      <c r="F62" s="118"/>
      <c r="G62" s="23"/>
      <c r="H62" s="25">
        <f t="shared" si="0"/>
        <v>1.6436967924017703E-2</v>
      </c>
      <c r="I62" s="25">
        <f t="shared" si="1"/>
        <v>5.9994932922664619</v>
      </c>
      <c r="J62" s="117">
        <v>518356.22045182227</v>
      </c>
      <c r="K62" s="117">
        <v>0.5936516805509815</v>
      </c>
      <c r="L62" s="117">
        <v>3.0249408004191061</v>
      </c>
      <c r="M62" s="117">
        <v>9.3751547413259857</v>
      </c>
      <c r="N62" s="117">
        <v>190936.77142445598</v>
      </c>
      <c r="O62" s="117">
        <v>17.618959562730961</v>
      </c>
      <c r="P62" s="117">
        <v>456.94733900284069</v>
      </c>
      <c r="Q62" s="117">
        <v>31.137483337402436</v>
      </c>
      <c r="R62" s="117">
        <v>1.9752851873462025</v>
      </c>
      <c r="S62" s="117">
        <v>2.4556946023292E-2</v>
      </c>
      <c r="T62" s="117">
        <v>234.12719671667259</v>
      </c>
      <c r="U62" s="117">
        <v>621.91209563420841</v>
      </c>
      <c r="V62" s="117">
        <v>673.23223188112649</v>
      </c>
      <c r="W62" s="117">
        <v>28280342.63622272</v>
      </c>
      <c r="X62" s="117">
        <v>1421.7940592460491</v>
      </c>
      <c r="Y62" s="117">
        <v>33609958.296337418</v>
      </c>
      <c r="Z62" s="117">
        <v>1150126.0112500263</v>
      </c>
      <c r="AA62" s="117">
        <v>153980.96441232431</v>
      </c>
      <c r="AB62" s="117">
        <v>42.308701165402319</v>
      </c>
      <c r="AC62" s="117">
        <v>18635.398953197022</v>
      </c>
      <c r="AD62" s="117">
        <v>49953.194359562549</v>
      </c>
      <c r="AE62" s="117">
        <v>62344229.362945303</v>
      </c>
      <c r="AF62" s="117">
        <v>1075133.8701897254</v>
      </c>
      <c r="AG62" s="117">
        <v>25286.773477004146</v>
      </c>
      <c r="AH62" s="117">
        <v>1148.3680535547596</v>
      </c>
      <c r="AI62" s="117">
        <v>1.9375836035067336E-3</v>
      </c>
      <c r="AJ62" s="117">
        <v>2429.6803516695236</v>
      </c>
      <c r="AK62" s="117">
        <v>13389.176666008172</v>
      </c>
      <c r="AL62" s="117">
        <v>1176.2577993482228</v>
      </c>
      <c r="AM62" s="117">
        <v>60.031638688293356</v>
      </c>
      <c r="AN62" s="117">
        <v>9.0063061796148949E-5</v>
      </c>
      <c r="AO62" s="117">
        <v>22.99525614421113</v>
      </c>
      <c r="AP62" s="117">
        <v>17884.458382579087</v>
      </c>
      <c r="AQ62" s="117">
        <v>164.48496334612616</v>
      </c>
      <c r="AS62" s="34">
        <f t="shared" ca="1" si="2"/>
        <v>41.853417687364853</v>
      </c>
      <c r="AT62" s="34">
        <f t="shared" ca="1" si="3"/>
        <v>35921511.31653174</v>
      </c>
      <c r="AU62" s="34">
        <f t="shared" ca="1" si="4"/>
        <v>5.9168691657574261E-2</v>
      </c>
      <c r="AV62" s="34">
        <f t="shared" ca="1" si="5"/>
        <v>223.23422194600704</v>
      </c>
      <c r="AW62" s="34">
        <f t="shared" ca="1" si="6"/>
        <v>1.7351226083795711E-3</v>
      </c>
      <c r="AX62" s="34">
        <f t="shared" ca="1" si="7"/>
        <v>5.7792123097452498E-2</v>
      </c>
      <c r="AY62" s="34">
        <f t="shared" ca="1" si="8"/>
        <v>1.5269032500685219E-3</v>
      </c>
      <c r="AZ62" s="34">
        <f t="shared" ca="1" si="9"/>
        <v>5.0791966102397377E-5</v>
      </c>
      <c r="BA62" s="34">
        <f t="shared" ca="1" si="10"/>
        <v>5.8002662780388253E-7</v>
      </c>
      <c r="BB62" s="34">
        <f t="shared" ca="1" si="11"/>
        <v>830.56218914350859</v>
      </c>
      <c r="BC62" s="34">
        <f t="shared" ca="1" si="12"/>
        <v>151.9385340447736</v>
      </c>
      <c r="BD62" s="34">
        <f t="shared" ca="1" si="13"/>
        <v>2.8937067189375583</v>
      </c>
      <c r="BE62" s="34">
        <f t="shared" ca="1" si="14"/>
        <v>65.80472226513109</v>
      </c>
      <c r="BF62" s="34">
        <f t="shared" ca="1" si="15"/>
        <v>0.3590304959651438</v>
      </c>
      <c r="BG62" s="34">
        <f t="shared" ca="1" si="16"/>
        <v>418.36395837043364</v>
      </c>
      <c r="BH62" s="34">
        <f t="shared" ca="1" si="17"/>
        <v>10.681810350333775</v>
      </c>
      <c r="BI62" s="34">
        <f t="shared" ca="1" si="18"/>
        <v>0.55300660827850867</v>
      </c>
      <c r="BJ62" s="34">
        <f t="shared" ca="1" si="19"/>
        <v>5.3630384067118438E-4</v>
      </c>
      <c r="BK62" s="34">
        <f t="shared" ca="1" si="20"/>
        <v>227284.84990293821</v>
      </c>
      <c r="BL62" s="34">
        <f t="shared" ca="1" si="21"/>
        <v>2.574784503694098E-2</v>
      </c>
      <c r="BM62" s="34">
        <f t="shared" ca="1" si="22"/>
        <v>1.0711711482510424</v>
      </c>
      <c r="BN62" s="34">
        <f t="shared" ca="1" si="23"/>
        <v>0.58505722465327337</v>
      </c>
      <c r="BO62" s="34">
        <f t="shared" ca="1" si="24"/>
        <v>7.3256780555676722</v>
      </c>
      <c r="BP62" s="34">
        <f t="shared" ca="1" si="25"/>
        <v>416653.91902426275</v>
      </c>
      <c r="BQ62" s="34">
        <f t="shared" ca="1" si="26"/>
        <v>1.2300398788769401E-9</v>
      </c>
      <c r="BR62" s="34">
        <f t="shared" ca="1" si="27"/>
        <v>6.2647177198316389E-5</v>
      </c>
      <c r="BS62" s="34">
        <f t="shared" ca="1" si="28"/>
        <v>1.0934009193109608E-2</v>
      </c>
      <c r="BT62" s="34">
        <f t="shared" ca="1" si="29"/>
        <v>6.5382049648440761</v>
      </c>
      <c r="BU62" s="34">
        <f t="shared" ca="1" si="30"/>
        <v>12332.340475594006</v>
      </c>
      <c r="BV62" s="34">
        <f t="shared" ca="1" si="31"/>
        <v>1.9906697004909474E-11</v>
      </c>
      <c r="BW62" s="34">
        <f t="shared" ca="1" si="32"/>
        <v>1.5775455050002576E-7</v>
      </c>
      <c r="BX62" s="34">
        <f t="shared" ca="1" si="33"/>
        <v>3.88590906825452E-3</v>
      </c>
      <c r="BY62" s="34">
        <f t="shared" ca="1" si="34"/>
        <v>2.1554643378660816</v>
      </c>
    </row>
    <row r="63" spans="1:77" ht="12.75" customHeight="1" x14ac:dyDescent="0.3">
      <c r="A63" s="118"/>
      <c r="B63" s="118"/>
      <c r="C63" s="118"/>
      <c r="D63" s="118"/>
      <c r="E63" s="110"/>
      <c r="F63" s="118"/>
      <c r="G63" s="23"/>
      <c r="H63" s="25">
        <f t="shared" si="0"/>
        <v>1.6772416248997654E-2</v>
      </c>
      <c r="I63" s="25">
        <f t="shared" si="1"/>
        <v>6.121931930884144</v>
      </c>
      <c r="J63" s="117">
        <v>528934.91882839007</v>
      </c>
      <c r="K63" s="117">
        <v>0.21215188633500387</v>
      </c>
      <c r="L63" s="117">
        <v>2.9009546306701011</v>
      </c>
      <c r="M63" s="117">
        <v>9.3054906625969753</v>
      </c>
      <c r="N63" s="117">
        <v>185108.19874753035</v>
      </c>
      <c r="O63" s="117">
        <v>17.944893186991603</v>
      </c>
      <c r="P63" s="117">
        <v>447.86533874576736</v>
      </c>
      <c r="Q63" s="117">
        <v>31.655546547996277</v>
      </c>
      <c r="R63" s="117">
        <v>2.0395699607745654</v>
      </c>
      <c r="S63" s="117">
        <v>2.5585173235287275E-2</v>
      </c>
      <c r="T63" s="117">
        <v>237.62496811614471</v>
      </c>
      <c r="U63" s="117">
        <v>633.3611536990694</v>
      </c>
      <c r="V63" s="117">
        <v>659.46838508565043</v>
      </c>
      <c r="W63" s="117">
        <v>22717119.09528514</v>
      </c>
      <c r="X63" s="117">
        <v>1441.745834727162</v>
      </c>
      <c r="Y63" s="117">
        <v>32457098.911651425</v>
      </c>
      <c r="Z63" s="117">
        <v>1173360.5653056831</v>
      </c>
      <c r="AA63" s="117">
        <v>158646.26695079255</v>
      </c>
      <c r="AB63" s="117">
        <v>44.219822416824023</v>
      </c>
      <c r="AC63" s="117">
        <v>18818.242985512497</v>
      </c>
      <c r="AD63" s="117">
        <v>50644.162175125886</v>
      </c>
      <c r="AE63" s="117">
        <v>60743737.701010279</v>
      </c>
      <c r="AF63" s="117">
        <v>1048494.2155091879</v>
      </c>
      <c r="AG63" s="117">
        <v>25888.503317174749</v>
      </c>
      <c r="AH63" s="117">
        <v>1198.3341033625713</v>
      </c>
      <c r="AI63" s="117">
        <v>2.0686581442373171E-3</v>
      </c>
      <c r="AJ63" s="117">
        <v>2467.1020966224114</v>
      </c>
      <c r="AK63" s="117">
        <v>13399.306721073615</v>
      </c>
      <c r="AL63" s="117">
        <v>1210.4727033519387</v>
      </c>
      <c r="AM63" s="117">
        <v>63.225381192728861</v>
      </c>
      <c r="AN63" s="117">
        <v>9.7098732141996644E-5</v>
      </c>
      <c r="AO63" s="117">
        <v>23.59464673874843</v>
      </c>
      <c r="AP63" s="117">
        <v>17885.12712122676</v>
      </c>
      <c r="AQ63" s="117">
        <v>166.79341436299134</v>
      </c>
      <c r="AS63" s="34">
        <f t="shared" ca="1" si="2"/>
        <v>14.957056137195144</v>
      </c>
      <c r="AT63" s="34">
        <f t="shared" ca="1" si="3"/>
        <v>34449161.643071935</v>
      </c>
      <c r="AU63" s="34">
        <f t="shared" ca="1" si="4"/>
        <v>5.8729026125894424E-2</v>
      </c>
      <c r="AV63" s="34">
        <f t="shared" ca="1" si="5"/>
        <v>216.41973107092673</v>
      </c>
      <c r="AW63" s="34">
        <f t="shared" ca="1" si="6"/>
        <v>1.7672206898963706E-3</v>
      </c>
      <c r="AX63" s="34">
        <f t="shared" ca="1" si="7"/>
        <v>5.6643482910657114E-2</v>
      </c>
      <c r="AY63" s="34">
        <f t="shared" ca="1" si="8"/>
        <v>1.552307756637827E-3</v>
      </c>
      <c r="AZ63" s="34">
        <f t="shared" ca="1" si="9"/>
        <v>5.2444967934128033E-5</v>
      </c>
      <c r="BA63" s="34">
        <f t="shared" ca="1" si="10"/>
        <v>6.0431300127329234E-7</v>
      </c>
      <c r="BB63" s="34">
        <f t="shared" ca="1" si="11"/>
        <v>842.97047280900995</v>
      </c>
      <c r="BC63" s="34">
        <f t="shared" ca="1" si="12"/>
        <v>154.73563850821796</v>
      </c>
      <c r="BD63" s="34">
        <f t="shared" ca="1" si="13"/>
        <v>2.834546544982119</v>
      </c>
      <c r="BE63" s="34">
        <f t="shared" ca="1" si="14"/>
        <v>52.859816161294255</v>
      </c>
      <c r="BF63" s="34">
        <f t="shared" ca="1" si="15"/>
        <v>0.36406870512053141</v>
      </c>
      <c r="BG63" s="34">
        <f t="shared" ca="1" si="16"/>
        <v>404.01360389009812</v>
      </c>
      <c r="BH63" s="34">
        <f t="shared" ca="1" si="17"/>
        <v>10.897601574573073</v>
      </c>
      <c r="BI63" s="34">
        <f t="shared" ca="1" si="18"/>
        <v>0.56976155680891893</v>
      </c>
      <c r="BJ63" s="34">
        <f t="shared" ca="1" si="19"/>
        <v>5.6052915695113485E-4</v>
      </c>
      <c r="BK63" s="34">
        <f t="shared" ca="1" si="20"/>
        <v>229514.88954656714</v>
      </c>
      <c r="BL63" s="34">
        <f t="shared" ca="1" si="21"/>
        <v>2.6103997080243347E-2</v>
      </c>
      <c r="BM63" s="34">
        <f t="shared" ca="1" si="22"/>
        <v>1.0436722039413688</v>
      </c>
      <c r="BN63" s="34">
        <f t="shared" ca="1" si="23"/>
        <v>0.5705606834640663</v>
      </c>
      <c r="BO63" s="34">
        <f t="shared" ca="1" si="24"/>
        <v>7.5000015646356344</v>
      </c>
      <c r="BP63" s="34">
        <f t="shared" ca="1" si="25"/>
        <v>434782.73269697221</v>
      </c>
      <c r="BQ63" s="34">
        <f t="shared" ca="1" si="26"/>
        <v>1.3132501785059736E-9</v>
      </c>
      <c r="BR63" s="34">
        <f t="shared" ca="1" si="27"/>
        <v>6.3612064075523452E-5</v>
      </c>
      <c r="BS63" s="34">
        <f t="shared" ca="1" si="28"/>
        <v>1.0942281704405501E-2</v>
      </c>
      <c r="BT63" s="34">
        <f t="shared" ca="1" si="29"/>
        <v>6.7283878102651355</v>
      </c>
      <c r="BU63" s="34">
        <f t="shared" ca="1" si="30"/>
        <v>12988.43317632109</v>
      </c>
      <c r="BV63" s="34">
        <f t="shared" ca="1" si="31"/>
        <v>2.1461795788006869E-11</v>
      </c>
      <c r="BW63" s="34">
        <f t="shared" ca="1" si="32"/>
        <v>1.6186655487267457E-7</v>
      </c>
      <c r="BX63" s="34">
        <f t="shared" ca="1" si="33"/>
        <v>3.8860543708138535E-3</v>
      </c>
      <c r="BY63" s="34">
        <f t="shared" ca="1" si="34"/>
        <v>2.1857150291228442</v>
      </c>
    </row>
    <row r="64" spans="1:77" ht="12.75" customHeight="1" x14ac:dyDescent="0.3">
      <c r="A64" s="118"/>
      <c r="B64" s="118"/>
      <c r="C64" s="118"/>
      <c r="D64" s="118"/>
      <c r="E64" s="110"/>
      <c r="F64" s="118"/>
      <c r="G64" s="23"/>
      <c r="H64" s="25">
        <f t="shared" si="0"/>
        <v>1.7107864573977609E-2</v>
      </c>
      <c r="I64" s="25">
        <f t="shared" si="1"/>
        <v>6.244370569501827</v>
      </c>
      <c r="J64" s="117">
        <v>539513.61720495787</v>
      </c>
      <c r="K64" s="117">
        <v>9.5950261827244115E-2</v>
      </c>
      <c r="L64" s="117">
        <v>2.7820658873195461</v>
      </c>
      <c r="M64" s="117">
        <v>9.2363435556522742</v>
      </c>
      <c r="N64" s="117">
        <v>171330.16356123568</v>
      </c>
      <c r="O64" s="117">
        <v>18.233067572768203</v>
      </c>
      <c r="P64" s="117">
        <v>438.73895317642689</v>
      </c>
      <c r="Q64" s="117">
        <v>32.095975271014176</v>
      </c>
      <c r="R64" s="117">
        <v>2.1022640600506719</v>
      </c>
      <c r="S64" s="117">
        <v>2.6627460643985638E-2</v>
      </c>
      <c r="T64" s="117">
        <v>240.51351537211738</v>
      </c>
      <c r="U64" s="117">
        <v>643.47062519546762</v>
      </c>
      <c r="V64" s="117">
        <v>645.86555834703756</v>
      </c>
      <c r="W64" s="117">
        <v>18509658.042645376</v>
      </c>
      <c r="X64" s="117">
        <v>1453.4204725902271</v>
      </c>
      <c r="Y64" s="117">
        <v>31343791.999014467</v>
      </c>
      <c r="Z64" s="117">
        <v>1192383.9670024947</v>
      </c>
      <c r="AA64" s="117">
        <v>163122.81009352714</v>
      </c>
      <c r="AB64" s="117">
        <v>46.162485828063126</v>
      </c>
      <c r="AC64" s="117">
        <v>18869.907651534253</v>
      </c>
      <c r="AD64" s="117">
        <v>51041.68483144309</v>
      </c>
      <c r="AE64" s="117">
        <v>59184292.947857171</v>
      </c>
      <c r="AF64" s="117">
        <v>982519.19722079637</v>
      </c>
      <c r="AG64" s="117">
        <v>26455.342662632644</v>
      </c>
      <c r="AH64" s="117">
        <v>1249.0956004499778</v>
      </c>
      <c r="AI64" s="117">
        <v>2.2052314640964715E-3</v>
      </c>
      <c r="AJ64" s="117">
        <v>2499.0171407322514</v>
      </c>
      <c r="AK64" s="117">
        <v>13275.442008132746</v>
      </c>
      <c r="AL64" s="117">
        <v>1244.5840351094469</v>
      </c>
      <c r="AM64" s="117">
        <v>66.505720475472984</v>
      </c>
      <c r="AN64" s="117">
        <v>1.045007671778876E-4</v>
      </c>
      <c r="AO64" s="117">
        <v>24.187917236894748</v>
      </c>
      <c r="AP64" s="117">
        <v>17663.877353263488</v>
      </c>
      <c r="AQ64" s="117">
        <v>168.96377078019361</v>
      </c>
      <c r="AS64" s="34">
        <f t="shared" ca="1" si="2"/>
        <v>6.7646509174209193</v>
      </c>
      <c r="AT64" s="34">
        <f t="shared" ca="1" si="3"/>
        <v>33037344.47987869</v>
      </c>
      <c r="AU64" s="34">
        <f t="shared" ca="1" si="4"/>
        <v>5.82926233183984E-2</v>
      </c>
      <c r="AV64" s="34">
        <f t="shared" ca="1" si="5"/>
        <v>200.31110546774318</v>
      </c>
      <c r="AW64" s="34">
        <f t="shared" ca="1" si="6"/>
        <v>1.7956002255969095E-3</v>
      </c>
      <c r="AX64" s="34">
        <f t="shared" ca="1" si="7"/>
        <v>5.5489229119817421E-2</v>
      </c>
      <c r="AY64" s="34">
        <f t="shared" ca="1" si="8"/>
        <v>1.5739052647380323E-3</v>
      </c>
      <c r="AZ64" s="34">
        <f t="shared" ca="1" si="9"/>
        <v>5.4057067587206747E-5</v>
      </c>
      <c r="BA64" s="34">
        <f t="shared" ca="1" si="10"/>
        <v>6.2893147175803196E-7</v>
      </c>
      <c r="BB64" s="34">
        <f t="shared" ca="1" si="11"/>
        <v>853.21754434110721</v>
      </c>
      <c r="BC64" s="34">
        <f t="shared" ca="1" si="12"/>
        <v>157.20547032193076</v>
      </c>
      <c r="BD64" s="34">
        <f t="shared" ca="1" si="13"/>
        <v>2.7760784722041985</v>
      </c>
      <c r="BE64" s="34">
        <f t="shared" ca="1" si="14"/>
        <v>43.069595103092247</v>
      </c>
      <c r="BF64" s="34">
        <f t="shared" ca="1" si="15"/>
        <v>0.36701677695620388</v>
      </c>
      <c r="BG64" s="34">
        <f t="shared" ca="1" si="16"/>
        <v>390.1555835157402</v>
      </c>
      <c r="BH64" s="34">
        <f t="shared" ca="1" si="17"/>
        <v>11.074281666281204</v>
      </c>
      <c r="BI64" s="34">
        <f t="shared" ca="1" si="18"/>
        <v>0.58583859561448925</v>
      </c>
      <c r="BJ64" s="34">
        <f t="shared" ca="1" si="19"/>
        <v>5.851543007130731E-4</v>
      </c>
      <c r="BK64" s="34">
        <f t="shared" ca="1" si="20"/>
        <v>230145.01267360788</v>
      </c>
      <c r="BL64" s="34">
        <f t="shared" ca="1" si="21"/>
        <v>2.6308895923745818E-2</v>
      </c>
      <c r="BM64" s="34">
        <f t="shared" ca="1" si="22"/>
        <v>1.0168785095780231</v>
      </c>
      <c r="BN64" s="34">
        <f t="shared" ca="1" si="23"/>
        <v>0.53465895795202023</v>
      </c>
      <c r="BO64" s="34">
        <f t="shared" ca="1" si="24"/>
        <v>7.6642171597106454</v>
      </c>
      <c r="BP64" s="34">
        <f t="shared" ca="1" si="25"/>
        <v>453200.15264481655</v>
      </c>
      <c r="BQ64" s="34">
        <f t="shared" ca="1" si="26"/>
        <v>1.3999512785324902E-9</v>
      </c>
      <c r="BR64" s="34">
        <f t="shared" ca="1" si="27"/>
        <v>6.4434965500506124E-5</v>
      </c>
      <c r="BS64" s="34">
        <f t="shared" ca="1" si="28"/>
        <v>1.0841130009735904E-2</v>
      </c>
      <c r="BT64" s="34">
        <f t="shared" ca="1" si="29"/>
        <v>6.9179949514700354</v>
      </c>
      <c r="BU64" s="34">
        <f t="shared" ca="1" si="30"/>
        <v>13662.315512272637</v>
      </c>
      <c r="BV64" s="34">
        <f t="shared" ca="1" si="31"/>
        <v>2.3097872396336281E-11</v>
      </c>
      <c r="BW64" s="34">
        <f t="shared" ca="1" si="32"/>
        <v>1.6593657349621397E-7</v>
      </c>
      <c r="BX64" s="34">
        <f t="shared" ca="1" si="33"/>
        <v>3.8379815434860121E-3</v>
      </c>
      <c r="BY64" s="34">
        <f t="shared" ca="1" si="34"/>
        <v>2.2141560839315693</v>
      </c>
    </row>
    <row r="65" spans="1:77" ht="12.75" customHeight="1" x14ac:dyDescent="0.3">
      <c r="A65" s="118"/>
      <c r="B65" s="118"/>
      <c r="C65" s="118"/>
      <c r="D65" s="118"/>
      <c r="E65" s="110"/>
      <c r="F65" s="118"/>
      <c r="G65" s="23"/>
      <c r="H65" s="25">
        <f t="shared" si="0"/>
        <v>1.744331289895756E-2</v>
      </c>
      <c r="I65" s="25">
        <f t="shared" si="1"/>
        <v>6.36680920811951</v>
      </c>
      <c r="J65" s="117">
        <v>550092.31558152568</v>
      </c>
      <c r="K65" s="117">
        <v>5.9659905369433747E-2</v>
      </c>
      <c r="L65" s="117">
        <v>2.6680666400949127</v>
      </c>
      <c r="M65" s="117">
        <v>9.1677100578137942</v>
      </c>
      <c r="N65" s="117">
        <v>154302.25614002341</v>
      </c>
      <c r="O65" s="117">
        <v>18.466978929053763</v>
      </c>
      <c r="P65" s="117">
        <v>429.38366120316738</v>
      </c>
      <c r="Q65" s="117">
        <v>32.43106647639582</v>
      </c>
      <c r="R65" s="117">
        <v>2.1633487246741581</v>
      </c>
      <c r="S65" s="117">
        <v>2.7680503636224318E-2</v>
      </c>
      <c r="T65" s="117">
        <v>242.53745299015395</v>
      </c>
      <c r="U65" s="117">
        <v>651.65581731527527</v>
      </c>
      <c r="V65" s="117">
        <v>632.31923778146313</v>
      </c>
      <c r="W65" s="117">
        <v>15317489.225088911</v>
      </c>
      <c r="X65" s="117">
        <v>1458.8785166700411</v>
      </c>
      <c r="Y65" s="117">
        <v>30268696.977575898</v>
      </c>
      <c r="Z65" s="117">
        <v>1208016.0838041587</v>
      </c>
      <c r="AA65" s="117">
        <v>167417.153557449</v>
      </c>
      <c r="AB65" s="117">
        <v>48.130017120731317</v>
      </c>
      <c r="AC65" s="117">
        <v>18824.445795945441</v>
      </c>
      <c r="AD65" s="117">
        <v>51218.932213862143</v>
      </c>
      <c r="AE65" s="117">
        <v>57664852.673517279</v>
      </c>
      <c r="AF65" s="117">
        <v>898139.37620634458</v>
      </c>
      <c r="AG65" s="117">
        <v>26968.843903265235</v>
      </c>
      <c r="AH65" s="117">
        <v>1300.5222870717412</v>
      </c>
      <c r="AI65" s="117">
        <v>2.3473740843021115E-3</v>
      </c>
      <c r="AJ65" s="117">
        <v>2522.9441920281565</v>
      </c>
      <c r="AK65" s="117">
        <v>12972.019682944618</v>
      </c>
      <c r="AL65" s="117">
        <v>1278.1906284851466</v>
      </c>
      <c r="AM65" s="117">
        <v>69.871529476195377</v>
      </c>
      <c r="AN65" s="117">
        <v>1.1227866453511854E-4</v>
      </c>
      <c r="AO65" s="117">
        <v>24.7662268244143</v>
      </c>
      <c r="AP65" s="117">
        <v>17156.610639642302</v>
      </c>
      <c r="AQ65" s="117">
        <v>170.8727491667043</v>
      </c>
      <c r="AS65" s="34">
        <f t="shared" ca="1" si="2"/>
        <v>4.2061212330740423</v>
      </c>
      <c r="AT65" s="34">
        <f t="shared" ca="1" si="3"/>
        <v>31683590.631641924</v>
      </c>
      <c r="AU65" s="34">
        <f t="shared" ca="1" si="4"/>
        <v>5.7859462012475098E-2</v>
      </c>
      <c r="AV65" s="34">
        <f t="shared" ca="1" si="5"/>
        <v>180.40288330506297</v>
      </c>
      <c r="AW65" s="34">
        <f t="shared" ca="1" si="6"/>
        <v>1.818635915145021E-3</v>
      </c>
      <c r="AX65" s="34">
        <f t="shared" ca="1" si="7"/>
        <v>5.4306024537619686E-2</v>
      </c>
      <c r="AY65" s="34">
        <f t="shared" ca="1" si="8"/>
        <v>1.5903372880015185E-3</v>
      </c>
      <c r="AZ65" s="34">
        <f t="shared" ca="1" si="9"/>
        <v>5.5627782659039372E-5</v>
      </c>
      <c r="BA65" s="34">
        <f t="shared" ca="1" si="10"/>
        <v>6.5380398543059454E-7</v>
      </c>
      <c r="BB65" s="34">
        <f t="shared" ca="1" si="11"/>
        <v>860.39742810642906</v>
      </c>
      <c r="BC65" s="34">
        <f t="shared" ca="1" si="12"/>
        <v>159.20518394751988</v>
      </c>
      <c r="BD65" s="34">
        <f t="shared" ca="1" si="13"/>
        <v>2.7178532759328378</v>
      </c>
      <c r="BE65" s="34">
        <f t="shared" ca="1" si="14"/>
        <v>35.641828574066494</v>
      </c>
      <c r="BF65" s="34">
        <f t="shared" ca="1" si="15"/>
        <v>0.36839503863920342</v>
      </c>
      <c r="BG65" s="34">
        <f t="shared" ca="1" si="16"/>
        <v>376.77321020757694</v>
      </c>
      <c r="BH65" s="34">
        <f t="shared" ca="1" si="17"/>
        <v>11.219465155234868</v>
      </c>
      <c r="BI65" s="34">
        <f t="shared" ca="1" si="18"/>
        <v>0.60126128323584516</v>
      </c>
      <c r="BJ65" s="34">
        <f t="shared" ca="1" si="19"/>
        <v>6.1009466900217499E-4</v>
      </c>
      <c r="BK65" s="34">
        <f t="shared" ca="1" si="20"/>
        <v>229590.54152706775</v>
      </c>
      <c r="BL65" s="34">
        <f t="shared" ca="1" si="21"/>
        <v>2.6400256209994567E-2</v>
      </c>
      <c r="BM65" s="34">
        <f t="shared" ca="1" si="22"/>
        <v>0.9907721545874375</v>
      </c>
      <c r="BN65" s="34">
        <f t="shared" ca="1" si="23"/>
        <v>0.48874186309689915</v>
      </c>
      <c r="BO65" s="34">
        <f t="shared" ca="1" si="24"/>
        <v>7.8129804953505158</v>
      </c>
      <c r="BP65" s="34">
        <f t="shared" ca="1" si="25"/>
        <v>471858.91840990633</v>
      </c>
      <c r="BQ65" s="34">
        <f t="shared" ca="1" si="26"/>
        <v>1.4901879480751929E-9</v>
      </c>
      <c r="BR65" s="34">
        <f t="shared" ca="1" si="27"/>
        <v>6.5051903535724535E-5</v>
      </c>
      <c r="BS65" s="34">
        <f t="shared" ca="1" si="28"/>
        <v>1.0593346103693025E-2</v>
      </c>
      <c r="BT65" s="34">
        <f t="shared" ca="1" si="29"/>
        <v>7.1047965146836853</v>
      </c>
      <c r="BU65" s="34">
        <f t="shared" ca="1" si="30"/>
        <v>14353.755950676359</v>
      </c>
      <c r="BV65" s="34">
        <f t="shared" ca="1" si="31"/>
        <v>2.4817026097507731E-11</v>
      </c>
      <c r="BW65" s="34">
        <f t="shared" ca="1" si="32"/>
        <v>1.6990395565785905E-7</v>
      </c>
      <c r="BX65" s="34">
        <f t="shared" ca="1" si="33"/>
        <v>3.7277633707956761E-3</v>
      </c>
      <c r="BY65" s="34">
        <f t="shared" ca="1" si="34"/>
        <v>2.239171956204479</v>
      </c>
    </row>
    <row r="66" spans="1:77" ht="12.75" customHeight="1" x14ac:dyDescent="0.3">
      <c r="A66" s="118"/>
      <c r="B66" s="118"/>
      <c r="C66" s="118"/>
      <c r="D66" s="118"/>
      <c r="E66" s="110"/>
      <c r="F66" s="118"/>
      <c r="G66" s="23"/>
      <c r="H66" s="25">
        <f t="shared" si="0"/>
        <v>1.7778761223937515E-2</v>
      </c>
      <c r="I66" s="25">
        <f t="shared" si="1"/>
        <v>6.489247846737193</v>
      </c>
      <c r="J66" s="117">
        <v>560671.01395809348</v>
      </c>
      <c r="K66" s="117">
        <v>4.7476071354380499E-2</v>
      </c>
      <c r="L66" s="117">
        <v>2.5587561967038059</v>
      </c>
      <c r="M66" s="117">
        <v>9.0995864964038304</v>
      </c>
      <c r="N66" s="117">
        <v>136744.12179060839</v>
      </c>
      <c r="O66" s="117">
        <v>18.641897656840982</v>
      </c>
      <c r="P66" s="117">
        <v>419.74662783879592</v>
      </c>
      <c r="Q66" s="117">
        <v>32.654065682914478</v>
      </c>
      <c r="R66" s="117">
        <v>2.2227878499403526</v>
      </c>
      <c r="S66" s="117">
        <v>2.8740440250249907E-2</v>
      </c>
      <c r="T66" s="117">
        <v>243.6306777152007</v>
      </c>
      <c r="U66" s="117">
        <v>657.74954195315638</v>
      </c>
      <c r="V66" s="117">
        <v>618.79526781484992</v>
      </c>
      <c r="W66" s="117">
        <v>12886085.429596713</v>
      </c>
      <c r="X66" s="117">
        <v>1459.6637371808026</v>
      </c>
      <c r="Y66" s="117">
        <v>29230514.075438194</v>
      </c>
      <c r="Z66" s="117">
        <v>1220881.1206474225</v>
      </c>
      <c r="AA66" s="117">
        <v>171535.63440723845</v>
      </c>
      <c r="AB66" s="117">
        <v>50.117009541607587</v>
      </c>
      <c r="AC66" s="117">
        <v>18707.336661710047</v>
      </c>
      <c r="AD66" s="117">
        <v>51230.721970838946</v>
      </c>
      <c r="AE66" s="117">
        <v>56184398.244923919</v>
      </c>
      <c r="AF66" s="117">
        <v>808281.79064975341</v>
      </c>
      <c r="AG66" s="117">
        <v>27421.724575419907</v>
      </c>
      <c r="AH66" s="117">
        <v>1352.4533887023367</v>
      </c>
      <c r="AI66" s="117">
        <v>2.4951391305899307E-3</v>
      </c>
      <c r="AJ66" s="117">
        <v>2538.023614189045</v>
      </c>
      <c r="AK66" s="117">
        <v>12497.333059581586</v>
      </c>
      <c r="AL66" s="117">
        <v>1310.852340656475</v>
      </c>
      <c r="AM66" s="117">
        <v>73.320457303935981</v>
      </c>
      <c r="AN66" s="117">
        <v>1.2044170637188654E-4</v>
      </c>
      <c r="AO66" s="117">
        <v>25.319938245725812</v>
      </c>
      <c r="AP66" s="117">
        <v>16390.071198163452</v>
      </c>
      <c r="AQ66" s="117">
        <v>172.39574210071967</v>
      </c>
      <c r="AS66" s="34">
        <f t="shared" ca="1" si="2"/>
        <v>3.3471409408052408</v>
      </c>
      <c r="AT66" s="34">
        <f t="shared" ca="1" si="3"/>
        <v>30385516.854877528</v>
      </c>
      <c r="AU66" s="34">
        <f t="shared" ca="1" si="4"/>
        <v>5.7429519029036737E-2</v>
      </c>
      <c r="AV66" s="34">
        <f t="shared" ca="1" si="5"/>
        <v>159.87474495290746</v>
      </c>
      <c r="AW66" s="34">
        <f t="shared" ca="1" si="6"/>
        <v>1.8358619856250621E-3</v>
      </c>
      <c r="AX66" s="34">
        <f t="shared" ca="1" si="7"/>
        <v>5.3087186892775563E-2</v>
      </c>
      <c r="AY66" s="34">
        <f t="shared" ca="1" si="8"/>
        <v>1.6012726037913799E-3</v>
      </c>
      <c r="AZ66" s="34">
        <f t="shared" ca="1" si="9"/>
        <v>5.715618476270359E-5</v>
      </c>
      <c r="BA66" s="34">
        <f t="shared" ca="1" si="10"/>
        <v>6.7883932408125586E-7</v>
      </c>
      <c r="BB66" s="34">
        <f t="shared" ca="1" si="11"/>
        <v>864.27562394866356</v>
      </c>
      <c r="BC66" s="34">
        <f t="shared" ca="1" si="12"/>
        <v>160.69393387673296</v>
      </c>
      <c r="BD66" s="34">
        <f t="shared" ca="1" si="13"/>
        <v>2.659724147667915</v>
      </c>
      <c r="BE66" s="34">
        <f t="shared" ca="1" si="14"/>
        <v>29.9842644654967</v>
      </c>
      <c r="BF66" s="34">
        <f t="shared" ca="1" si="15"/>
        <v>0.36859332200351164</v>
      </c>
      <c r="BG66" s="34">
        <f t="shared" ca="1" si="16"/>
        <v>363.85030490012929</v>
      </c>
      <c r="BH66" s="34">
        <f t="shared" ca="1" si="17"/>
        <v>11.338949352936337</v>
      </c>
      <c r="BI66" s="34">
        <f t="shared" ca="1" si="18"/>
        <v>0.61605237858126294</v>
      </c>
      <c r="BJ66" s="34">
        <f t="shared" ca="1" si="19"/>
        <v>6.3528172597502989E-4</v>
      </c>
      <c r="BK66" s="34">
        <f t="shared" ca="1" si="20"/>
        <v>228162.23124169078</v>
      </c>
      <c r="BL66" s="34">
        <f t="shared" ca="1" si="21"/>
        <v>2.6406333115376771E-2</v>
      </c>
      <c r="BM66" s="34">
        <f t="shared" ca="1" si="22"/>
        <v>0.96533563726395555</v>
      </c>
      <c r="BN66" s="34">
        <f t="shared" ca="1" si="23"/>
        <v>0.43984392482386703</v>
      </c>
      <c r="BO66" s="34">
        <f t="shared" ca="1" si="24"/>
        <v>7.9441818130991528</v>
      </c>
      <c r="BP66" s="34">
        <f t="shared" ca="1" si="25"/>
        <v>490700.69735582609</v>
      </c>
      <c r="BQ66" s="34">
        <f t="shared" ca="1" si="26"/>
        <v>1.5839939130457688E-9</v>
      </c>
      <c r="BR66" s="34">
        <f t="shared" ca="1" si="27"/>
        <v>6.5440713212483982E-5</v>
      </c>
      <c r="BS66" s="34">
        <f t="shared" ca="1" si="28"/>
        <v>1.0205702558972738E-2</v>
      </c>
      <c r="BT66" s="34">
        <f t="shared" ca="1" si="29"/>
        <v>7.2863459750122095</v>
      </c>
      <c r="BU66" s="34">
        <f t="shared" ca="1" si="30"/>
        <v>15062.27154639909</v>
      </c>
      <c r="BV66" s="34">
        <f t="shared" ca="1" si="31"/>
        <v>2.6621308532972172E-11</v>
      </c>
      <c r="BW66" s="34">
        <f t="shared" ca="1" si="32"/>
        <v>1.7370258681151626E-7</v>
      </c>
      <c r="BX66" s="34">
        <f t="shared" ca="1" si="33"/>
        <v>3.5612107974329335E-3</v>
      </c>
      <c r="BY66" s="34">
        <f t="shared" ca="1" si="34"/>
        <v>2.2591297498490217</v>
      </c>
    </row>
    <row r="67" spans="1:77" ht="12.75" customHeight="1" x14ac:dyDescent="0.3">
      <c r="A67" s="118"/>
      <c r="B67" s="118"/>
      <c r="C67" s="118"/>
      <c r="D67" s="118"/>
      <c r="E67" s="110"/>
      <c r="F67" s="118"/>
      <c r="G67" s="23"/>
      <c r="H67" s="25">
        <f t="shared" si="0"/>
        <v>1.811420954891747E-2</v>
      </c>
      <c r="I67" s="25">
        <f t="shared" si="1"/>
        <v>6.611686485354876</v>
      </c>
      <c r="J67" s="117">
        <v>571249.71233466128</v>
      </c>
      <c r="K67" s="117">
        <v>4.2600189645175542E-2</v>
      </c>
      <c r="L67" s="117">
        <v>2.4539417330193829</v>
      </c>
      <c r="M67" s="117">
        <v>9.0319691256349319</v>
      </c>
      <c r="N67" s="117">
        <v>120130.1428917391</v>
      </c>
      <c r="O67" s="117">
        <v>18.75965666295971</v>
      </c>
      <c r="P67" s="117">
        <v>409.84745719913678</v>
      </c>
      <c r="Q67" s="117">
        <v>32.769777959256501</v>
      </c>
      <c r="R67" s="117">
        <v>2.2805434622564391</v>
      </c>
      <c r="S67" s="117">
        <v>2.9803406268959314E-2</v>
      </c>
      <c r="T67" s="117">
        <v>243.83172157978109</v>
      </c>
      <c r="U67" s="117">
        <v>661.81727104619836</v>
      </c>
      <c r="V67" s="117">
        <v>605.29849504222273</v>
      </c>
      <c r="W67" s="117">
        <v>11025117.329730609</v>
      </c>
      <c r="X67" s="117">
        <v>1456.9334594356774</v>
      </c>
      <c r="Y67" s="117">
        <v>28227984.36604508</v>
      </c>
      <c r="Z67" s="117">
        <v>1231456.5874863525</v>
      </c>
      <c r="AA67" s="117">
        <v>175484.37347505358</v>
      </c>
      <c r="AB67" s="117">
        <v>52.119024410955909</v>
      </c>
      <c r="AC67" s="117">
        <v>18537.648455436633</v>
      </c>
      <c r="AD67" s="117">
        <v>51118.147866772975</v>
      </c>
      <c r="AE67" s="117">
        <v>54741935.051043853</v>
      </c>
      <c r="AF67" s="117">
        <v>720566.81772230018</v>
      </c>
      <c r="AG67" s="117">
        <v>27813.429461806376</v>
      </c>
      <c r="AH67" s="117">
        <v>1404.7210563060398</v>
      </c>
      <c r="AI67" s="117">
        <v>2.6485603291470103E-3</v>
      </c>
      <c r="AJ67" s="117">
        <v>2544.3612006720905</v>
      </c>
      <c r="AK67" s="117">
        <v>11884.643421030632</v>
      </c>
      <c r="AL67" s="117">
        <v>1342.1836650648479</v>
      </c>
      <c r="AM67" s="117">
        <v>76.84897257188986</v>
      </c>
      <c r="AN67" s="117">
        <v>1.289988184142527E-4</v>
      </c>
      <c r="AO67" s="117">
        <v>25.840700710719165</v>
      </c>
      <c r="AP67" s="117">
        <v>15428.461536415476</v>
      </c>
      <c r="AQ67" s="117">
        <v>173.43670703328414</v>
      </c>
      <c r="AS67" s="34">
        <f t="shared" ca="1" si="2"/>
        <v>3.0033832787699319</v>
      </c>
      <c r="AT67" s="34">
        <f t="shared" ca="1" si="3"/>
        <v>29140833.341449909</v>
      </c>
      <c r="AU67" s="34">
        <f t="shared" ca="1" si="4"/>
        <v>5.700277072758364E-2</v>
      </c>
      <c r="AV67" s="34">
        <f t="shared" ca="1" si="5"/>
        <v>140.45046839660333</v>
      </c>
      <c r="AW67" s="34">
        <f t="shared" ca="1" si="6"/>
        <v>1.8474589424788096E-3</v>
      </c>
      <c r="AX67" s="34">
        <f t="shared" ca="1" si="7"/>
        <v>5.1835195603323468E-2</v>
      </c>
      <c r="AY67" s="34">
        <f t="shared" ca="1" si="8"/>
        <v>1.6069468404952573E-3</v>
      </c>
      <c r="AZ67" s="34">
        <f t="shared" ca="1" si="9"/>
        <v>5.864129745517665E-5</v>
      </c>
      <c r="BA67" s="34">
        <f t="shared" ca="1" si="10"/>
        <v>7.0394621622970738E-7</v>
      </c>
      <c r="BB67" s="34">
        <f t="shared" ca="1" si="11"/>
        <v>864.98882358809647</v>
      </c>
      <c r="BC67" s="34">
        <f t="shared" ca="1" si="12"/>
        <v>161.68771547324266</v>
      </c>
      <c r="BD67" s="34">
        <f t="shared" ca="1" si="13"/>
        <v>2.6017119191877121</v>
      </c>
      <c r="BE67" s="34">
        <f t="shared" ca="1" si="14"/>
        <v>25.65403089898026</v>
      </c>
      <c r="BF67" s="34">
        <f t="shared" ca="1" si="15"/>
        <v>0.36790387407216024</v>
      </c>
      <c r="BG67" s="34">
        <f t="shared" ca="1" si="16"/>
        <v>351.37119695516731</v>
      </c>
      <c r="BH67" s="34">
        <f t="shared" ca="1" si="17"/>
        <v>11.437169139320368</v>
      </c>
      <c r="BI67" s="34">
        <f t="shared" ca="1" si="18"/>
        <v>0.63023386398241876</v>
      </c>
      <c r="BJ67" s="34">
        <f t="shared" ca="1" si="19"/>
        <v>6.6065920705899958E-4</v>
      </c>
      <c r="BK67" s="34">
        <f t="shared" ca="1" si="20"/>
        <v>226092.6453642961</v>
      </c>
      <c r="BL67" s="34">
        <f t="shared" ca="1" si="21"/>
        <v>2.6348307985576275E-2</v>
      </c>
      <c r="BM67" s="34">
        <f t="shared" ca="1" si="22"/>
        <v>0.94055186863794171</v>
      </c>
      <c r="BN67" s="34">
        <f t="shared" ca="1" si="23"/>
        <v>0.39211193530667621</v>
      </c>
      <c r="BO67" s="34">
        <f t="shared" ca="1" si="24"/>
        <v>8.0576602643167234</v>
      </c>
      <c r="BP67" s="34">
        <f t="shared" ca="1" si="25"/>
        <v>509664.59005375364</v>
      </c>
      <c r="BQ67" s="34">
        <f t="shared" ca="1" si="26"/>
        <v>1.6813905839036151E-9</v>
      </c>
      <c r="BR67" s="34">
        <f t="shared" ca="1" si="27"/>
        <v>6.5604122322303793E-5</v>
      </c>
      <c r="BS67" s="34">
        <f t="shared" ca="1" si="28"/>
        <v>9.7053615516390582E-3</v>
      </c>
      <c r="BT67" s="34">
        <f t="shared" ca="1" si="29"/>
        <v>7.4605005021196806</v>
      </c>
      <c r="BU67" s="34">
        <f t="shared" ca="1" si="30"/>
        <v>15787.136844241189</v>
      </c>
      <c r="BV67" s="34">
        <f t="shared" ca="1" si="31"/>
        <v>2.8512692561754203E-11</v>
      </c>
      <c r="BW67" s="34">
        <f t="shared" ca="1" si="32"/>
        <v>1.7727517796106051E-7</v>
      </c>
      <c r="BX67" s="34">
        <f t="shared" ca="1" si="33"/>
        <v>3.3522736507342393E-3</v>
      </c>
      <c r="BY67" s="34">
        <f t="shared" ca="1" si="34"/>
        <v>2.2727708921362368</v>
      </c>
    </row>
    <row r="68" spans="1:77" ht="12.75" customHeight="1" x14ac:dyDescent="0.3">
      <c r="A68" s="118"/>
      <c r="B68" s="118"/>
      <c r="C68" s="118"/>
      <c r="D68" s="118"/>
      <c r="E68" s="110"/>
      <c r="F68" s="118"/>
      <c r="G68" s="23"/>
      <c r="H68" s="25">
        <f t="shared" si="0"/>
        <v>1.8449657873897421E-2</v>
      </c>
      <c r="I68" s="25">
        <f t="shared" si="1"/>
        <v>6.734125123972559</v>
      </c>
      <c r="J68" s="117">
        <v>581828.41071122908</v>
      </c>
      <c r="K68" s="117">
        <v>3.9973440772799559E-2</v>
      </c>
      <c r="L68" s="117">
        <v>2.3534382441919153</v>
      </c>
      <c r="M68" s="117">
        <v>8.9648541973296876</v>
      </c>
      <c r="N68" s="117">
        <v>105169.06926838965</v>
      </c>
      <c r="O68" s="117">
        <v>18.8254176685078</v>
      </c>
      <c r="P68" s="117">
        <v>399.74162303155805</v>
      </c>
      <c r="Q68" s="117">
        <v>32.788761259668391</v>
      </c>
      <c r="R68" s="117">
        <v>2.3365838686597047</v>
      </c>
      <c r="S68" s="117">
        <v>3.0865828517433015E-2</v>
      </c>
      <c r="T68" s="117">
        <v>243.23137809395294</v>
      </c>
      <c r="U68" s="117">
        <v>664.04245314603247</v>
      </c>
      <c r="V68" s="117">
        <v>591.85336414299366</v>
      </c>
      <c r="W68" s="117">
        <v>9592220.1436660383</v>
      </c>
      <c r="X68" s="117">
        <v>1451.5559575955301</v>
      </c>
      <c r="Y68" s="117">
        <v>27259889.354184885</v>
      </c>
      <c r="Z68" s="117">
        <v>1240109.9081685657</v>
      </c>
      <c r="AA68" s="117">
        <v>179269.28227656896</v>
      </c>
      <c r="AB68" s="117">
        <v>54.132366381992341</v>
      </c>
      <c r="AC68" s="117">
        <v>18329.654460493217</v>
      </c>
      <c r="AD68" s="117">
        <v>50912.038523441115</v>
      </c>
      <c r="AE68" s="117">
        <v>53336492.423635788</v>
      </c>
      <c r="AF68" s="117">
        <v>639155.65869941213</v>
      </c>
      <c r="AG68" s="117">
        <v>28147.216344938039</v>
      </c>
      <c r="AH68" s="117">
        <v>1457.1639749213709</v>
      </c>
      <c r="AI68" s="117">
        <v>2.8076521038790359E-3</v>
      </c>
      <c r="AJ68" s="117">
        <v>2542.5989566142193</v>
      </c>
      <c r="AK68" s="117">
        <v>11175.39774425545</v>
      </c>
      <c r="AL68" s="117">
        <v>1371.8925929718341</v>
      </c>
      <c r="AM68" s="117">
        <v>80.452587694191791</v>
      </c>
      <c r="AN68" s="117">
        <v>1.3795844523050726E-4</v>
      </c>
      <c r="AO68" s="117">
        <v>26.322301924292425</v>
      </c>
      <c r="AP68" s="117">
        <v>14344.278946720755</v>
      </c>
      <c r="AQ68" s="117">
        <v>173.93736868159056</v>
      </c>
      <c r="AS68" s="34">
        <f t="shared" ca="1" si="2"/>
        <v>2.8181931726569833</v>
      </c>
      <c r="AT68" s="34">
        <f t="shared" ca="1" si="3"/>
        <v>27947343.13801631</v>
      </c>
      <c r="AU68" s="34">
        <f t="shared" ca="1" si="4"/>
        <v>5.6579193452532546E-2</v>
      </c>
      <c r="AV68" s="34">
        <f t="shared" ca="1" si="5"/>
        <v>122.95869033379711</v>
      </c>
      <c r="AW68" s="34">
        <f t="shared" ca="1" si="6"/>
        <v>1.8539351141886094E-3</v>
      </c>
      <c r="AX68" s="34">
        <f t="shared" ca="1" si="7"/>
        <v>5.0557066676060976E-2</v>
      </c>
      <c r="AY68" s="34">
        <f t="shared" ca="1" si="8"/>
        <v>1.6078777334252302E-3</v>
      </c>
      <c r="AZ68" s="34">
        <f t="shared" ca="1" si="9"/>
        <v>6.0082305791913782E-5</v>
      </c>
      <c r="BA68" s="34">
        <f t="shared" ca="1" si="10"/>
        <v>7.2904026471201979E-7</v>
      </c>
      <c r="BB68" s="34">
        <f t="shared" ca="1" si="11"/>
        <v>862.85911543449447</v>
      </c>
      <c r="BC68" s="34">
        <f t="shared" ca="1" si="12"/>
        <v>162.23134681375663</v>
      </c>
      <c r="BD68" s="34">
        <f t="shared" ca="1" si="13"/>
        <v>2.5439216593372835</v>
      </c>
      <c r="BE68" s="34">
        <f t="shared" ca="1" si="14"/>
        <v>22.319863326247447</v>
      </c>
      <c r="BF68" s="34">
        <f t="shared" ca="1" si="15"/>
        <v>0.36654595086227892</v>
      </c>
      <c r="BG68" s="34">
        <f t="shared" ca="1" si="16"/>
        <v>339.32071900843812</v>
      </c>
      <c r="BH68" s="34">
        <f t="shared" ca="1" si="17"/>
        <v>11.517536968170321</v>
      </c>
      <c r="BI68" s="34">
        <f t="shared" ca="1" si="18"/>
        <v>0.64382697003262335</v>
      </c>
      <c r="BJ68" s="34">
        <f t="shared" ca="1" si="19"/>
        <v>6.8618027014789201E-4</v>
      </c>
      <c r="BK68" s="34">
        <f t="shared" ca="1" si="20"/>
        <v>223555.86662185247</v>
      </c>
      <c r="BL68" s="34">
        <f t="shared" ca="1" si="21"/>
        <v>2.6242071107218195E-2</v>
      </c>
      <c r="BM68" s="34">
        <f t="shared" ca="1" si="22"/>
        <v>0.91640417111428851</v>
      </c>
      <c r="BN68" s="34">
        <f t="shared" ca="1" si="23"/>
        <v>0.34781030173863314</v>
      </c>
      <c r="BO68" s="34">
        <f t="shared" ca="1" si="24"/>
        <v>8.1543596414522703</v>
      </c>
      <c r="BP68" s="34">
        <f t="shared" ca="1" si="25"/>
        <v>528692.06778487831</v>
      </c>
      <c r="BQ68" s="34">
        <f t="shared" ca="1" si="26"/>
        <v>1.7823871174041723E-9</v>
      </c>
      <c r="BR68" s="34">
        <f t="shared" ca="1" si="27"/>
        <v>6.555868440464343E-5</v>
      </c>
      <c r="BS68" s="34">
        <f t="shared" ca="1" si="28"/>
        <v>9.1261699446061276E-3</v>
      </c>
      <c r="BT68" s="34">
        <f t="shared" ca="1" si="29"/>
        <v>7.62563697139477</v>
      </c>
      <c r="BU68" s="34">
        <f t="shared" ca="1" si="30"/>
        <v>16527.42995637796</v>
      </c>
      <c r="BV68" s="34">
        <f t="shared" ca="1" si="31"/>
        <v>3.0493044692264025E-11</v>
      </c>
      <c r="BW68" s="34">
        <f t="shared" ca="1" si="32"/>
        <v>1.8057911084578476E-7</v>
      </c>
      <c r="BX68" s="34">
        <f t="shared" ca="1" si="33"/>
        <v>3.1167040367814777E-3</v>
      </c>
      <c r="BY68" s="34">
        <f t="shared" ca="1" si="34"/>
        <v>2.2793317248488956</v>
      </c>
    </row>
    <row r="69" spans="1:77" ht="12.75" customHeight="1" x14ac:dyDescent="0.3">
      <c r="A69" s="118"/>
      <c r="B69" s="118"/>
      <c r="C69" s="118"/>
      <c r="D69" s="118"/>
      <c r="E69" s="110"/>
      <c r="F69" s="118"/>
      <c r="G69" s="23"/>
      <c r="H69" s="25">
        <f t="shared" si="0"/>
        <v>1.8785106198877376E-2</v>
      </c>
      <c r="I69" s="25">
        <f t="shared" si="1"/>
        <v>6.856563762590242</v>
      </c>
      <c r="J69" s="117">
        <v>592407.10908779688</v>
      </c>
      <c r="K69" s="117">
        <v>3.8071529034414665E-2</v>
      </c>
      <c r="L69" s="117">
        <v>2.2570683055424787</v>
      </c>
      <c r="M69" s="117">
        <v>8.8982379820567949</v>
      </c>
      <c r="N69" s="117">
        <v>92113.559948434791</v>
      </c>
      <c r="O69" s="117">
        <v>18.845720269278985</v>
      </c>
      <c r="P69" s="117">
        <v>389.49856784199386</v>
      </c>
      <c r="Q69" s="117">
        <v>32.723839245831478</v>
      </c>
      <c r="R69" s="117">
        <v>2.3908873428945596</v>
      </c>
      <c r="S69" s="117">
        <v>3.1924558402392667E-2</v>
      </c>
      <c r="T69" s="117">
        <v>241.9412290488138</v>
      </c>
      <c r="U69" s="117">
        <v>664.65732897108546</v>
      </c>
      <c r="V69" s="117">
        <v>578.49225492879964</v>
      </c>
      <c r="W69" s="117">
        <v>8480876.3272714857</v>
      </c>
      <c r="X69" s="117">
        <v>1444.1832250328548</v>
      </c>
      <c r="Y69" s="117">
        <v>26325050.324962065</v>
      </c>
      <c r="Z69" s="117">
        <v>1247125.786626376</v>
      </c>
      <c r="AA69" s="117">
        <v>182896.06982265291</v>
      </c>
      <c r="AB69" s="117">
        <v>56.153914667787383</v>
      </c>
      <c r="AC69" s="117">
        <v>18094.040599666008</v>
      </c>
      <c r="AD69" s="117">
        <v>50635.541716882981</v>
      </c>
      <c r="AE69" s="117">
        <v>51967123.424185239</v>
      </c>
      <c r="AF69" s="117">
        <v>566004.68669037311</v>
      </c>
      <c r="AG69" s="117">
        <v>28428.280534314781</v>
      </c>
      <c r="AH69" s="117">
        <v>1509.6345962655221</v>
      </c>
      <c r="AI69" s="117">
        <v>2.9724108561467832E-3</v>
      </c>
      <c r="AJ69" s="117">
        <v>2533.640341237377</v>
      </c>
      <c r="AK69" s="117">
        <v>10410.085337851882</v>
      </c>
      <c r="AL69" s="117">
        <v>1399.7884650531521</v>
      </c>
      <c r="AM69" s="117">
        <v>84.12614437873421</v>
      </c>
      <c r="AN69" s="117">
        <v>1.4732845617844515E-4</v>
      </c>
      <c r="AO69" s="117">
        <v>26.760825562473922</v>
      </c>
      <c r="AP69" s="117">
        <v>13203.740752990991</v>
      </c>
      <c r="AQ69" s="117">
        <v>173.8757728027106</v>
      </c>
      <c r="AS69" s="34">
        <f t="shared" ca="1" si="2"/>
        <v>2.6841052739800264</v>
      </c>
      <c r="AT69" s="34">
        <f t="shared" ca="1" si="3"/>
        <v>26802939.30661254</v>
      </c>
      <c r="AU69" s="34">
        <f t="shared" ca="1" si="4"/>
        <v>5.6158763666611072E-2</v>
      </c>
      <c r="AV69" s="34">
        <f t="shared" ca="1" si="5"/>
        <v>107.6948077227828</v>
      </c>
      <c r="AW69" s="34">
        <f t="shared" ca="1" si="6"/>
        <v>1.8559345229210923E-3</v>
      </c>
      <c r="AX69" s="34">
        <f t="shared" ca="1" si="7"/>
        <v>4.9261582807611067E-2</v>
      </c>
      <c r="AY69" s="34">
        <f t="shared" ca="1" si="8"/>
        <v>1.6046941224424666E-3</v>
      </c>
      <c r="AZ69" s="34">
        <f t="shared" ca="1" si="9"/>
        <v>6.1478651109667508E-5</v>
      </c>
      <c r="BA69" s="34">
        <f t="shared" ca="1" si="10"/>
        <v>7.5404710083675131E-7</v>
      </c>
      <c r="BB69" s="34">
        <f t="shared" ca="1" si="11"/>
        <v>858.28233396579185</v>
      </c>
      <c r="BC69" s="34">
        <f t="shared" ca="1" si="12"/>
        <v>162.38156632570045</v>
      </c>
      <c r="BD69" s="34">
        <f t="shared" ca="1" si="13"/>
        <v>2.4864925439820365</v>
      </c>
      <c r="BE69" s="34">
        <f t="shared" ca="1" si="14"/>
        <v>19.733909113470546</v>
      </c>
      <c r="BF69" s="34">
        <f t="shared" ca="1" si="15"/>
        <v>0.36468419330929031</v>
      </c>
      <c r="BG69" s="34">
        <f t="shared" ca="1" si="16"/>
        <v>327.68419886591079</v>
      </c>
      <c r="BH69" s="34">
        <f t="shared" ca="1" si="17"/>
        <v>11.582697030975847</v>
      </c>
      <c r="BI69" s="34">
        <f t="shared" ca="1" si="18"/>
        <v>0.65685220005025069</v>
      </c>
      <c r="BJ69" s="34">
        <f t="shared" ca="1" si="19"/>
        <v>7.1180535623918283E-4</v>
      </c>
      <c r="BK69" s="34">
        <f t="shared" ca="1" si="20"/>
        <v>220682.22484323216</v>
      </c>
      <c r="BL69" s="34">
        <f t="shared" ca="1" si="21"/>
        <v>2.6099553756331204E-2</v>
      </c>
      <c r="BM69" s="34">
        <f t="shared" ca="1" si="22"/>
        <v>0.89287627481162535</v>
      </c>
      <c r="BN69" s="34">
        <f t="shared" ca="1" si="23"/>
        <v>0.30800362663430841</v>
      </c>
      <c r="BO69" s="34">
        <f t="shared" ca="1" si="24"/>
        <v>8.2357850461681217</v>
      </c>
      <c r="BP69" s="34">
        <f t="shared" ca="1" si="25"/>
        <v>547729.59669297084</v>
      </c>
      <c r="BQ69" s="34">
        <f t="shared" ca="1" si="26"/>
        <v>1.8869812290164673E-9</v>
      </c>
      <c r="BR69" s="34">
        <f t="shared" ca="1" si="27"/>
        <v>6.5327694363266612E-5</v>
      </c>
      <c r="BS69" s="34">
        <f t="shared" ca="1" si="28"/>
        <v>8.5011925396502597E-3</v>
      </c>
      <c r="BT69" s="34">
        <f t="shared" ca="1" si="29"/>
        <v>7.7806956068756925</v>
      </c>
      <c r="BU69" s="34">
        <f t="shared" ca="1" si="30"/>
        <v>17282.091211343934</v>
      </c>
      <c r="BV69" s="34">
        <f t="shared" ca="1" si="31"/>
        <v>3.2564104293762718E-11</v>
      </c>
      <c r="BW69" s="34">
        <f t="shared" ca="1" si="32"/>
        <v>1.8358751827517421E-7</v>
      </c>
      <c r="BX69" s="34">
        <f t="shared" ca="1" si="33"/>
        <v>2.868889559267175E-3</v>
      </c>
      <c r="BY69" s="34">
        <f t="shared" ca="1" si="34"/>
        <v>2.2785245524631383</v>
      </c>
    </row>
    <row r="70" spans="1:77" ht="12.75" customHeight="1" x14ac:dyDescent="0.3">
      <c r="A70" s="118"/>
      <c r="B70" s="118"/>
      <c r="C70" s="118"/>
      <c r="D70" s="118"/>
      <c r="E70" s="110"/>
      <c r="F70" s="118"/>
      <c r="G70" s="23"/>
      <c r="H70" s="25">
        <f t="shared" si="0"/>
        <v>1.9120554523857327E-2</v>
      </c>
      <c r="I70" s="25">
        <f t="shared" si="1"/>
        <v>6.9790024012079241</v>
      </c>
      <c r="J70" s="117">
        <v>602985.80746436468</v>
      </c>
      <c r="K70" s="117">
        <v>3.6433558099547791E-2</v>
      </c>
      <c r="L70" s="117">
        <v>2.1646617855042054</v>
      </c>
      <c r="M70" s="117">
        <v>8.8321167753521621</v>
      </c>
      <c r="N70" s="117">
        <v>80957.165687253131</v>
      </c>
      <c r="O70" s="117">
        <v>18.827351368811922</v>
      </c>
      <c r="P70" s="117">
        <v>379.18915182370807</v>
      </c>
      <c r="Q70" s="117">
        <v>32.58809453325032</v>
      </c>
      <c r="R70" s="117">
        <v>2.443443192206507</v>
      </c>
      <c r="S70" s="117">
        <v>3.2976911380395643E-2</v>
      </c>
      <c r="T70" s="117">
        <v>240.07551471892225</v>
      </c>
      <c r="U70" s="117">
        <v>663.90284431155033</v>
      </c>
      <c r="V70" s="117">
        <v>565.24876155135905</v>
      </c>
      <c r="W70" s="117">
        <v>7611366.6813443415</v>
      </c>
      <c r="X70" s="117">
        <v>1435.3053685534239</v>
      </c>
      <c r="Y70" s="117">
        <v>25422327.527757619</v>
      </c>
      <c r="Z70" s="117">
        <v>1252726.6749296449</v>
      </c>
      <c r="AA70" s="117">
        <v>186370.24929605244</v>
      </c>
      <c r="AB70" s="117">
        <v>58.180996098495129</v>
      </c>
      <c r="AC70" s="117">
        <v>17838.808089854498</v>
      </c>
      <c r="AD70" s="117">
        <v>50306.056085534779</v>
      </c>
      <c r="AE70" s="117">
        <v>50632904.534960501</v>
      </c>
      <c r="AF70" s="117">
        <v>501708.26578324632</v>
      </c>
      <c r="AG70" s="117">
        <v>28662.580039274049</v>
      </c>
      <c r="AH70" s="117">
        <v>1562.0023393935173</v>
      </c>
      <c r="AI70" s="117">
        <v>3.1428168278770847E-3</v>
      </c>
      <c r="AJ70" s="117">
        <v>2518.4794421971192</v>
      </c>
      <c r="AK70" s="117">
        <v>9623.7869335171454</v>
      </c>
      <c r="AL70" s="117">
        <v>1425.7736404984153</v>
      </c>
      <c r="AM70" s="117">
        <v>87.864094719381185</v>
      </c>
      <c r="AN70" s="117">
        <v>1.5711608484904744E-4</v>
      </c>
      <c r="AO70" s="117">
        <v>27.154448564394247</v>
      </c>
      <c r="AP70" s="117">
        <v>12060.6924729699</v>
      </c>
      <c r="AQ70" s="117">
        <v>173.26008671601898</v>
      </c>
      <c r="AS70" s="34">
        <f t="shared" ca="1" si="2"/>
        <v>2.5686256350895587</v>
      </c>
      <c r="AT70" s="34">
        <f t="shared" ca="1" si="3"/>
        <v>25705601.515798174</v>
      </c>
      <c r="AU70" s="34">
        <f t="shared" ca="1" si="4"/>
        <v>5.5741457990120466E-2</v>
      </c>
      <c r="AV70" s="34">
        <f t="shared" ca="1" si="5"/>
        <v>94.651280412470314</v>
      </c>
      <c r="AW70" s="34">
        <f t="shared" ca="1" si="6"/>
        <v>1.8541255458144705E-3</v>
      </c>
      <c r="AX70" s="34">
        <f t="shared" ca="1" si="7"/>
        <v>4.7957705995697042E-2</v>
      </c>
      <c r="AY70" s="34">
        <f t="shared" ca="1" si="8"/>
        <v>1.5980375458471831E-3</v>
      </c>
      <c r="AZ70" s="34">
        <f t="shared" ca="1" si="9"/>
        <v>6.2830058457748468E-5</v>
      </c>
      <c r="BA70" s="34">
        <f t="shared" ca="1" si="10"/>
        <v>7.7890331661014137E-7</v>
      </c>
      <c r="BB70" s="34">
        <f t="shared" ca="1" si="11"/>
        <v>851.66374458411326</v>
      </c>
      <c r="BC70" s="34">
        <f t="shared" ca="1" si="12"/>
        <v>162.1972391612446</v>
      </c>
      <c r="BD70" s="34">
        <f t="shared" ca="1" si="13"/>
        <v>2.4295689684998814</v>
      </c>
      <c r="BE70" s="34">
        <f t="shared" ca="1" si="14"/>
        <v>17.710671930912472</v>
      </c>
      <c r="BF70" s="34">
        <f t="shared" ca="1" si="15"/>
        <v>0.36244236285980336</v>
      </c>
      <c r="BG70" s="34">
        <f t="shared" ca="1" si="16"/>
        <v>316.44744934602704</v>
      </c>
      <c r="BH70" s="34">
        <f t="shared" ca="1" si="17"/>
        <v>11.634715354241051</v>
      </c>
      <c r="BI70" s="34">
        <f t="shared" ca="1" si="18"/>
        <v>0.66932935405735805</v>
      </c>
      <c r="BJ70" s="34">
        <f t="shared" ca="1" si="19"/>
        <v>7.3750058031121833E-4</v>
      </c>
      <c r="BK70" s="34">
        <f t="shared" ca="1" si="20"/>
        <v>217569.30610033037</v>
      </c>
      <c r="BL70" s="34">
        <f t="shared" ca="1" si="21"/>
        <v>2.5929723876848668E-2</v>
      </c>
      <c r="BM70" s="34">
        <f t="shared" ca="1" si="22"/>
        <v>0.86995231225417757</v>
      </c>
      <c r="BN70" s="34">
        <f t="shared" ca="1" si="23"/>
        <v>0.27301534599868477</v>
      </c>
      <c r="BO70" s="34">
        <f t="shared" ca="1" si="24"/>
        <v>8.3036625372790915</v>
      </c>
      <c r="BP70" s="34">
        <f t="shared" ca="1" si="25"/>
        <v>566729.79905596236</v>
      </c>
      <c r="BQ70" s="34">
        <f t="shared" ca="1" si="26"/>
        <v>1.9951603756853858E-9</v>
      </c>
      <c r="BR70" s="34">
        <f t="shared" ca="1" si="27"/>
        <v>6.4936783876622483E-5</v>
      </c>
      <c r="BS70" s="34">
        <f t="shared" ca="1" si="28"/>
        <v>7.859077330030979E-3</v>
      </c>
      <c r="BT70" s="34">
        <f t="shared" ca="1" si="29"/>
        <v>7.9251336741112137</v>
      </c>
      <c r="BU70" s="34">
        <f t="shared" ca="1" si="30"/>
        <v>18049.980898998096</v>
      </c>
      <c r="BV70" s="34">
        <f t="shared" ca="1" si="31"/>
        <v>3.4727470211559842E-11</v>
      </c>
      <c r="BW70" s="34">
        <f t="shared" ca="1" si="32"/>
        <v>1.862878934893048E-7</v>
      </c>
      <c r="BX70" s="34">
        <f t="shared" ca="1" si="33"/>
        <v>2.6205296938594902E-3</v>
      </c>
      <c r="BY70" s="34">
        <f t="shared" ca="1" si="34"/>
        <v>2.2704564021824862</v>
      </c>
    </row>
    <row r="71" spans="1:77" ht="12.75" customHeight="1" x14ac:dyDescent="0.3">
      <c r="A71" s="118"/>
      <c r="B71" s="118"/>
      <c r="C71" s="118"/>
      <c r="D71" s="118"/>
      <c r="E71" s="110"/>
      <c r="F71" s="118"/>
      <c r="G71" s="23"/>
      <c r="H71" s="25">
        <f t="shared" si="0"/>
        <v>1.9456002848837278E-2</v>
      </c>
      <c r="I71" s="25">
        <f t="shared" si="1"/>
        <v>7.1014410398256071</v>
      </c>
      <c r="J71" s="117">
        <v>613564.50584093248</v>
      </c>
      <c r="K71" s="117">
        <v>3.4918692787935586E-2</v>
      </c>
      <c r="L71" s="117">
        <v>2.0760555528494553</v>
      </c>
      <c r="M71" s="117">
        <v>8.7664868994468765</v>
      </c>
      <c r="N71" s="117">
        <v>71557.418386215664</v>
      </c>
      <c r="O71" s="117">
        <v>18.776730631025146</v>
      </c>
      <c r="P71" s="117">
        <v>368.8789572503913</v>
      </c>
      <c r="Q71" s="117">
        <v>32.393790694653596</v>
      </c>
      <c r="R71" s="117">
        <v>2.4942513688145214</v>
      </c>
      <c r="S71" s="117">
        <v>3.4020653878564913E-2</v>
      </c>
      <c r="T71" s="117">
        <v>237.74137801376256</v>
      </c>
      <c r="U71" s="117">
        <v>662.00686444225232</v>
      </c>
      <c r="V71" s="117">
        <v>552.15407332636448</v>
      </c>
      <c r="W71" s="117">
        <v>6924007.8918556254</v>
      </c>
      <c r="X71" s="117">
        <v>1425.2912955693864</v>
      </c>
      <c r="Y71" s="117">
        <v>24550619.247908045</v>
      </c>
      <c r="Z71" s="117">
        <v>1257088.0955134833</v>
      </c>
      <c r="AA71" s="117">
        <v>189697.14457546163</v>
      </c>
      <c r="AB71" s="117">
        <v>60.211289429852329</v>
      </c>
      <c r="AC71" s="117">
        <v>17569.948652934076</v>
      </c>
      <c r="AD71" s="117">
        <v>49936.676061554346</v>
      </c>
      <c r="AE71" s="117">
        <v>49332935.282137103</v>
      </c>
      <c r="AF71" s="117">
        <v>446057.85074750887</v>
      </c>
      <c r="AG71" s="117">
        <v>28856.12765531992</v>
      </c>
      <c r="AH71" s="117">
        <v>1614.15432632343</v>
      </c>
      <c r="AI71" s="117">
        <v>3.3188361766430161E-3</v>
      </c>
      <c r="AJ71" s="117">
        <v>2498.0992033616039</v>
      </c>
      <c r="AK71" s="117">
        <v>8844.505570301968</v>
      </c>
      <c r="AL71" s="117">
        <v>1449.8279396364242</v>
      </c>
      <c r="AM71" s="117">
        <v>91.660745894377015</v>
      </c>
      <c r="AN71" s="117">
        <v>1.6732789931477726E-4</v>
      </c>
      <c r="AO71" s="117">
        <v>27.503079721959097</v>
      </c>
      <c r="AP71" s="117">
        <v>10955.20909462431</v>
      </c>
      <c r="AQ71" s="117">
        <v>172.12094429474482</v>
      </c>
      <c r="AS71" s="34">
        <f t="shared" ca="1" si="2"/>
        <v>2.4618251446602875</v>
      </c>
      <c r="AT71" s="34">
        <f t="shared" ca="1" si="3"/>
        <v>24653392.563946333</v>
      </c>
      <c r="AU71" s="34">
        <f t="shared" ca="1" si="4"/>
        <v>5.5327253211841204E-2</v>
      </c>
      <c r="AV71" s="34">
        <f t="shared" ca="1" si="5"/>
        <v>83.661541455527754</v>
      </c>
      <c r="AW71" s="34">
        <f t="shared" ca="1" si="6"/>
        <v>1.849140394093453E-3</v>
      </c>
      <c r="AX71" s="34">
        <f t="shared" ca="1" si="7"/>
        <v>4.665373071653231E-2</v>
      </c>
      <c r="AY71" s="34">
        <f t="shared" ca="1" si="8"/>
        <v>1.5885093781581215E-3</v>
      </c>
      <c r="AZ71" s="34">
        <f t="shared" ca="1" si="9"/>
        <v>6.4136526607527886E-5</v>
      </c>
      <c r="BA71" s="34">
        <f t="shared" ca="1" si="10"/>
        <v>8.0355615580824477E-7</v>
      </c>
      <c r="BB71" s="34">
        <f t="shared" ca="1" si="11"/>
        <v>843.38343491148817</v>
      </c>
      <c r="BC71" s="34">
        <f t="shared" ca="1" si="12"/>
        <v>161.7340347888875</v>
      </c>
      <c r="BD71" s="34">
        <f t="shared" ca="1" si="13"/>
        <v>2.3732849917312975</v>
      </c>
      <c r="BE71" s="34">
        <f t="shared" ca="1" si="14"/>
        <v>16.111276378297518</v>
      </c>
      <c r="BF71" s="34">
        <f t="shared" ca="1" si="15"/>
        <v>0.35991361576966807</v>
      </c>
      <c r="BG71" s="34">
        <f t="shared" ca="1" si="16"/>
        <v>305.5967567243141</v>
      </c>
      <c r="BH71" s="34">
        <f t="shared" ca="1" si="17"/>
        <v>11.675222104874374</v>
      </c>
      <c r="BI71" s="34">
        <f t="shared" ca="1" si="18"/>
        <v>0.68127755221019815</v>
      </c>
      <c r="BJ71" s="34">
        <f t="shared" ca="1" si="19"/>
        <v>7.6323651834058913E-4</v>
      </c>
      <c r="BK71" s="34">
        <f t="shared" ca="1" si="20"/>
        <v>214290.18785237017</v>
      </c>
      <c r="BL71" s="34">
        <f t="shared" ca="1" si="21"/>
        <v>2.5739330855158574E-2</v>
      </c>
      <c r="BM71" s="34">
        <f t="shared" ca="1" si="22"/>
        <v>0.84761681189645688</v>
      </c>
      <c r="BN71" s="34">
        <f t="shared" ca="1" si="23"/>
        <v>0.24273197545817168</v>
      </c>
      <c r="BO71" s="34">
        <f t="shared" ca="1" si="24"/>
        <v>8.3597340453686506</v>
      </c>
      <c r="BP71" s="34">
        <f t="shared" ca="1" si="25"/>
        <v>585651.72018742142</v>
      </c>
      <c r="BQ71" s="34">
        <f t="shared" ca="1" si="26"/>
        <v>2.1069030731587712E-9</v>
      </c>
      <c r="BR71" s="34">
        <f t="shared" ca="1" si="27"/>
        <v>6.4411297290374532E-5</v>
      </c>
      <c r="BS71" s="34">
        <f t="shared" ca="1" si="28"/>
        <v>7.2226924497682801E-3</v>
      </c>
      <c r="BT71" s="34">
        <f t="shared" ca="1" si="29"/>
        <v>8.0588390048109293</v>
      </c>
      <c r="BU71" s="34">
        <f t="shared" ca="1" si="30"/>
        <v>18829.929539084831</v>
      </c>
      <c r="BV71" s="34">
        <f t="shared" ca="1" si="31"/>
        <v>3.6984594190974975E-11</v>
      </c>
      <c r="BW71" s="34">
        <f t="shared" ca="1" si="32"/>
        <v>1.886796107725146E-7</v>
      </c>
      <c r="BX71" s="34">
        <f t="shared" ca="1" si="33"/>
        <v>2.380331875573741E-3</v>
      </c>
      <c r="BY71" s="34">
        <f t="shared" ca="1" si="34"/>
        <v>2.2555287102229484</v>
      </c>
    </row>
    <row r="72" spans="1:77" ht="12.75" customHeight="1" x14ac:dyDescent="0.3">
      <c r="A72" s="118"/>
      <c r="B72" s="118"/>
      <c r="C72" s="118"/>
      <c r="D72" s="118"/>
      <c r="E72" s="110"/>
      <c r="F72" s="118"/>
      <c r="G72" s="23"/>
      <c r="H72" s="25">
        <f t="shared" si="0"/>
        <v>1.9791451173817233E-2</v>
      </c>
      <c r="I72" s="25">
        <f t="shared" si="1"/>
        <v>7.2238796784432902</v>
      </c>
      <c r="J72" s="117">
        <v>624143.20421750029</v>
      </c>
      <c r="K72" s="117">
        <v>3.3482803993074357E-2</v>
      </c>
      <c r="L72" s="117">
        <v>1.991093190986041</v>
      </c>
      <c r="M72" s="117">
        <v>8.7013447036441818</v>
      </c>
      <c r="N72" s="117">
        <v>63710.713931188453</v>
      </c>
      <c r="O72" s="117">
        <v>18.699614138394868</v>
      </c>
      <c r="P72" s="117">
        <v>358.62518184694301</v>
      </c>
      <c r="Q72" s="117">
        <v>32.151864901035538</v>
      </c>
      <c r="R72" s="117">
        <v>2.5433213477905832</v>
      </c>
      <c r="S72" s="117">
        <v>3.5053963467767998E-2</v>
      </c>
      <c r="T72" s="117">
        <v>235.03425612641695</v>
      </c>
      <c r="U72" s="117">
        <v>659.17367345534262</v>
      </c>
      <c r="V72" s="117">
        <v>539.23526219457187</v>
      </c>
      <c r="W72" s="117">
        <v>6374104.1345411334</v>
      </c>
      <c r="X72" s="117">
        <v>1414.4191153602958</v>
      </c>
      <c r="Y72" s="117">
        <v>23708860.806568123</v>
      </c>
      <c r="Z72" s="117">
        <v>1260350.1014612233</v>
      </c>
      <c r="AA72" s="117">
        <v>192881.8965852471</v>
      </c>
      <c r="AB72" s="117">
        <v>62.24275314871084</v>
      </c>
      <c r="AC72" s="117">
        <v>17291.949044289064</v>
      </c>
      <c r="AD72" s="117">
        <v>49537.271519172136</v>
      </c>
      <c r="AE72" s="117">
        <v>48066337.812366411</v>
      </c>
      <c r="AF72" s="117">
        <v>398406.10960667901</v>
      </c>
      <c r="AG72" s="117">
        <v>29014.590458135219</v>
      </c>
      <c r="AH72" s="117">
        <v>1665.9946861285102</v>
      </c>
      <c r="AI72" s="117">
        <v>3.5004230378898383E-3</v>
      </c>
      <c r="AJ72" s="117">
        <v>2473.4149368142166</v>
      </c>
      <c r="AK72" s="117">
        <v>8093.0624227774033</v>
      </c>
      <c r="AL72" s="117">
        <v>1471.9910791442767</v>
      </c>
      <c r="AM72" s="117">
        <v>95.510455901990014</v>
      </c>
      <c r="AN72" s="117">
        <v>1.7796979807224763E-4</v>
      </c>
      <c r="AO72" s="117">
        <v>27.807956595185889</v>
      </c>
      <c r="AP72" s="117">
        <v>9914.5898919054762</v>
      </c>
      <c r="AQ72" s="117">
        <v>170.50406860657924</v>
      </c>
      <c r="AS72" s="34">
        <f t="shared" ca="1" si="2"/>
        <v>2.3605926282658984</v>
      </c>
      <c r="AT72" s="34">
        <f t="shared" ca="1" si="3"/>
        <v>23644454.986479346</v>
      </c>
      <c r="AU72" s="34">
        <f t="shared" ca="1" si="4"/>
        <v>5.4916126291412175E-2</v>
      </c>
      <c r="AV72" s="34">
        <f t="shared" ca="1" si="5"/>
        <v>74.487546573398376</v>
      </c>
      <c r="AW72" s="34">
        <f t="shared" ca="1" si="6"/>
        <v>1.8415459292009419E-3</v>
      </c>
      <c r="AX72" s="34">
        <f t="shared" ca="1" si="7"/>
        <v>4.5356891015872557E-2</v>
      </c>
      <c r="AY72" s="34">
        <f t="shared" ca="1" si="8"/>
        <v>1.5766459505153648E-3</v>
      </c>
      <c r="AZ72" s="34">
        <f t="shared" ca="1" si="9"/>
        <v>6.5398299198525737E-5</v>
      </c>
      <c r="BA72" s="34">
        <f t="shared" ca="1" si="10"/>
        <v>8.2796257328110178E-7</v>
      </c>
      <c r="BB72" s="34">
        <f t="shared" ca="1" si="11"/>
        <v>833.77996674305928</v>
      </c>
      <c r="BC72" s="34">
        <f t="shared" ca="1" si="12"/>
        <v>161.04186158910281</v>
      </c>
      <c r="BD72" s="34">
        <f t="shared" ca="1" si="13"/>
        <v>2.3177569750938609</v>
      </c>
      <c r="BE72" s="34">
        <f t="shared" ca="1" si="14"/>
        <v>14.831721017596788</v>
      </c>
      <c r="BF72" s="34">
        <f t="shared" ca="1" si="15"/>
        <v>0.35716818001031331</v>
      </c>
      <c r="BG72" s="34">
        <f t="shared" ca="1" si="16"/>
        <v>295.11886828405761</v>
      </c>
      <c r="BH72" s="34">
        <f t="shared" ca="1" si="17"/>
        <v>11.705518027716384</v>
      </c>
      <c r="BI72" s="34">
        <f t="shared" ca="1" si="18"/>
        <v>0.69271525760359709</v>
      </c>
      <c r="BJ72" s="34">
        <f t="shared" ca="1" si="19"/>
        <v>7.8898729216720102E-4</v>
      </c>
      <c r="BK72" s="34">
        <f t="shared" ca="1" si="20"/>
        <v>210899.59237960103</v>
      </c>
      <c r="BL72" s="34">
        <f t="shared" ca="1" si="21"/>
        <v>2.5533462013412743E-2</v>
      </c>
      <c r="BM72" s="34">
        <f t="shared" ca="1" si="22"/>
        <v>0.82585469084804863</v>
      </c>
      <c r="BN72" s="34">
        <f t="shared" ca="1" si="23"/>
        <v>0.21680125539181341</v>
      </c>
      <c r="BO72" s="34">
        <f t="shared" ca="1" si="24"/>
        <v>8.40564134462387</v>
      </c>
      <c r="BP72" s="34">
        <f t="shared" ca="1" si="25"/>
        <v>604460.57594542822</v>
      </c>
      <c r="BQ72" s="34">
        <f t="shared" ca="1" si="26"/>
        <v>2.222180205154231E-9</v>
      </c>
      <c r="BR72" s="34">
        <f t="shared" ca="1" si="27"/>
        <v>6.3774835123924498E-5</v>
      </c>
      <c r="BS72" s="34">
        <f t="shared" ca="1" si="28"/>
        <v>6.6090411037529615E-3</v>
      </c>
      <c r="BT72" s="34">
        <f t="shared" ca="1" si="29"/>
        <v>8.1820323633136898</v>
      </c>
      <c r="BU72" s="34">
        <f t="shared" ca="1" si="30"/>
        <v>19620.778091340715</v>
      </c>
      <c r="BV72" s="34">
        <f t="shared" ca="1" si="31"/>
        <v>3.9336779980542966E-11</v>
      </c>
      <c r="BW72" s="34">
        <f t="shared" ca="1" si="32"/>
        <v>1.907711601682735E-7</v>
      </c>
      <c r="BX72" s="34">
        <f t="shared" ca="1" si="33"/>
        <v>2.1542276508920563E-3</v>
      </c>
      <c r="BY72" s="34">
        <f t="shared" ca="1" si="34"/>
        <v>2.2343406465014648</v>
      </c>
    </row>
    <row r="73" spans="1:77" ht="12.75" customHeight="1" x14ac:dyDescent="0.3">
      <c r="A73" s="118"/>
      <c r="B73" s="118"/>
      <c r="C73" s="118"/>
      <c r="D73" s="118"/>
      <c r="E73" s="110"/>
      <c r="F73" s="118"/>
      <c r="G73" s="23"/>
      <c r="H73" s="25">
        <f t="shared" si="0"/>
        <v>2.0126899498797188E-2</v>
      </c>
      <c r="I73" s="25">
        <f t="shared" si="1"/>
        <v>7.3463183170609732</v>
      </c>
      <c r="J73" s="117">
        <v>634721.90259406809</v>
      </c>
      <c r="K73" s="117">
        <v>3.2111166506729891E-2</v>
      </c>
      <c r="L73" s="117">
        <v>1.9096247213054691</v>
      </c>
      <c r="M73" s="117">
        <v>8.6366865642911765</v>
      </c>
      <c r="N73" s="117">
        <v>57196.435058926181</v>
      </c>
      <c r="O73" s="117">
        <v>18.600987188757507</v>
      </c>
      <c r="P73" s="117">
        <v>348.47564797156485</v>
      </c>
      <c r="Q73" s="117">
        <v>31.871758082991207</v>
      </c>
      <c r="R73" s="117">
        <v>2.5906706997907674</v>
      </c>
      <c r="S73" s="117">
        <v>3.6075377648587717E-2</v>
      </c>
      <c r="T73" s="117">
        <v>232.03631877858643</v>
      </c>
      <c r="U73" s="117">
        <v>655.58018063097904</v>
      </c>
      <c r="V73" s="117">
        <v>526.51469867622654</v>
      </c>
      <c r="W73" s="117">
        <v>5928160.1288657486</v>
      </c>
      <c r="X73" s="117">
        <v>1402.8989638513817</v>
      </c>
      <c r="Y73" s="117">
        <v>22896023.512435142</v>
      </c>
      <c r="Z73" s="117">
        <v>1262625.8919469656</v>
      </c>
      <c r="AA73" s="117">
        <v>195929.46949389158</v>
      </c>
      <c r="AB73" s="117">
        <v>64.273570609338464</v>
      </c>
      <c r="AC73" s="117">
        <v>17008.169854581512</v>
      </c>
      <c r="AD73" s="117">
        <v>49115.298359492299</v>
      </c>
      <c r="AE73" s="117">
        <v>46832256.435991704</v>
      </c>
      <c r="AF73" s="117">
        <v>357899.77111234894</v>
      </c>
      <c r="AG73" s="117">
        <v>29143.086145022051</v>
      </c>
      <c r="AH73" s="117">
        <v>1717.4430925628642</v>
      </c>
      <c r="AI73" s="117">
        <v>3.6875214594516694E-3</v>
      </c>
      <c r="AJ73" s="117">
        <v>2445.2466920012471</v>
      </c>
      <c r="AK73" s="117">
        <v>7383.7985763685256</v>
      </c>
      <c r="AL73" s="117">
        <v>1492.3458479518197</v>
      </c>
      <c r="AM73" s="117">
        <v>99.407779920162156</v>
      </c>
      <c r="AN73" s="117">
        <v>1.8904702591136384E-4</v>
      </c>
      <c r="AO73" s="117">
        <v>28.071261986179131</v>
      </c>
      <c r="AP73" s="117">
        <v>8955.3992244224282</v>
      </c>
      <c r="AQ73" s="117">
        <v>168.46393305498603</v>
      </c>
      <c r="AS73" s="34">
        <f t="shared" ca="1" si="2"/>
        <v>2.2638899345611643</v>
      </c>
      <c r="AT73" s="34">
        <f t="shared" ca="1" si="3"/>
        <v>22677007.770598058</v>
      </c>
      <c r="AU73" s="34">
        <f t="shared" ca="1" si="4"/>
        <v>5.4508054359152062E-2</v>
      </c>
      <c r="AV73" s="34">
        <f t="shared" ca="1" si="5"/>
        <v>66.871360520078952</v>
      </c>
      <c r="AW73" s="34">
        <f t="shared" ca="1" si="6"/>
        <v>1.8318331053816918E-3</v>
      </c>
      <c r="AX73" s="34">
        <f t="shared" ca="1" si="7"/>
        <v>4.4073235195953291E-2</v>
      </c>
      <c r="AY73" s="34">
        <f t="shared" ca="1" si="8"/>
        <v>1.5629102222227543E-3</v>
      </c>
      <c r="AZ73" s="34">
        <f t="shared" ca="1" si="9"/>
        <v>6.6615828037991647E-5</v>
      </c>
      <c r="BA73" s="34">
        <f t="shared" ca="1" si="10"/>
        <v>8.5208802529496359E-7</v>
      </c>
      <c r="BB73" s="34">
        <f t="shared" ca="1" si="11"/>
        <v>823.14483574825033</v>
      </c>
      <c r="BC73" s="34">
        <f t="shared" ca="1" si="12"/>
        <v>160.16394003770182</v>
      </c>
      <c r="BD73" s="34">
        <f t="shared" ca="1" si="13"/>
        <v>2.2630810722202632</v>
      </c>
      <c r="BE73" s="34">
        <f t="shared" ca="1" si="14"/>
        <v>13.794066636363016</v>
      </c>
      <c r="BF73" s="34">
        <f t="shared" ca="1" si="15"/>
        <v>0.35425911896666801</v>
      </c>
      <c r="BG73" s="34">
        <f t="shared" ca="1" si="16"/>
        <v>285.00097926776436</v>
      </c>
      <c r="BH73" s="34">
        <f t="shared" ca="1" si="17"/>
        <v>11.726654461574942</v>
      </c>
      <c r="BI73" s="34">
        <f t="shared" ca="1" si="18"/>
        <v>0.70366029853202028</v>
      </c>
      <c r="BJ73" s="34">
        <f t="shared" ca="1" si="19"/>
        <v>8.1472987404365271E-4</v>
      </c>
      <c r="BK73" s="34">
        <f t="shared" ca="1" si="20"/>
        <v>207438.50680261673</v>
      </c>
      <c r="BL73" s="34">
        <f t="shared" ca="1" si="21"/>
        <v>2.5315960416878606E-2</v>
      </c>
      <c r="BM73" s="34">
        <f t="shared" ca="1" si="22"/>
        <v>0.80465124702535207</v>
      </c>
      <c r="BN73" s="34">
        <f t="shared" ca="1" si="23"/>
        <v>0.19475885989349581</v>
      </c>
      <c r="BO73" s="34">
        <f t="shared" ca="1" si="24"/>
        <v>8.4428670521471343</v>
      </c>
      <c r="BP73" s="34">
        <f t="shared" ca="1" si="25"/>
        <v>623127.22215007595</v>
      </c>
      <c r="BQ73" s="34">
        <f t="shared" ca="1" si="26"/>
        <v>2.3409562514520351E-9</v>
      </c>
      <c r="BR73" s="34">
        <f t="shared" ca="1" si="27"/>
        <v>6.3048541633115688E-5</v>
      </c>
      <c r="BS73" s="34">
        <f t="shared" ca="1" si="28"/>
        <v>6.0298346588441238E-3</v>
      </c>
      <c r="BT73" s="34">
        <f t="shared" ca="1" si="29"/>
        <v>8.2951739301959435</v>
      </c>
      <c r="BU73" s="34">
        <f t="shared" ca="1" si="30"/>
        <v>20421.408022257154</v>
      </c>
      <c r="BV73" s="34">
        <f t="shared" ca="1" si="31"/>
        <v>4.1785186839580746E-11</v>
      </c>
      <c r="BW73" s="34">
        <f t="shared" ca="1" si="32"/>
        <v>1.9257751637234775E-7</v>
      </c>
      <c r="BX73" s="34">
        <f t="shared" ca="1" si="33"/>
        <v>1.9458160997439264E-3</v>
      </c>
      <c r="BY73" s="34">
        <f t="shared" ca="1" si="34"/>
        <v>2.2076060481745747</v>
      </c>
    </row>
    <row r="74" spans="1:77" ht="12.75" customHeight="1" x14ac:dyDescent="0.3">
      <c r="A74" s="118"/>
      <c r="B74" s="118"/>
      <c r="C74" s="118"/>
      <c r="D74" s="118"/>
      <c r="E74" s="110"/>
      <c r="F74" s="118"/>
      <c r="G74" s="23"/>
      <c r="H74" s="25">
        <f t="shared" si="0"/>
        <v>2.0462347823777139E-2</v>
      </c>
      <c r="I74" s="25">
        <f t="shared" si="1"/>
        <v>7.4687569556786562</v>
      </c>
      <c r="J74" s="117">
        <v>645300.60097063589</v>
      </c>
      <c r="K74" s="117">
        <v>3.0797348390269583E-2</v>
      </c>
      <c r="L74" s="117">
        <v>1.831506339556489</v>
      </c>
      <c r="M74" s="117">
        <v>8.5725088846333986</v>
      </c>
      <c r="N74" s="117">
        <v>51801.185499347259</v>
      </c>
      <c r="O74" s="117">
        <v>18.485065469813598</v>
      </c>
      <c r="P74" s="117">
        <v>338.46900563519387</v>
      </c>
      <c r="Q74" s="117">
        <v>31.561436700933861</v>
      </c>
      <c r="R74" s="117">
        <v>2.6363236286087877</v>
      </c>
      <c r="S74" s="117">
        <v>3.7083740968005277E-2</v>
      </c>
      <c r="T74" s="117">
        <v>228.81663818450855</v>
      </c>
      <c r="U74" s="117">
        <v>651.37596931819905</v>
      </c>
      <c r="V74" s="117">
        <v>514.01010938965544</v>
      </c>
      <c r="W74" s="117">
        <v>5561077.6348200971</v>
      </c>
      <c r="X74" s="117">
        <v>1390.8899156801299</v>
      </c>
      <c r="Y74" s="117">
        <v>22111113.598982204</v>
      </c>
      <c r="Z74" s="117">
        <v>1264008.2066833375</v>
      </c>
      <c r="AA74" s="117">
        <v>198844.6566833629</v>
      </c>
      <c r="AB74" s="117">
        <v>66.302108755075537</v>
      </c>
      <c r="AC74" s="117">
        <v>16721.126190253839</v>
      </c>
      <c r="AD74" s="117">
        <v>48676.399116815468</v>
      </c>
      <c r="AE74" s="117">
        <v>45629857.153776817</v>
      </c>
      <c r="AF74" s="117">
        <v>323621.87711842044</v>
      </c>
      <c r="AG74" s="117">
        <v>29246.104592010837</v>
      </c>
      <c r="AH74" s="117">
        <v>1768.4329796658794</v>
      </c>
      <c r="AI74" s="117">
        <v>3.8800671231302526E-3</v>
      </c>
      <c r="AJ74" s="117">
        <v>2414.3098242959691</v>
      </c>
      <c r="AK74" s="117">
        <v>6725.611253011265</v>
      </c>
      <c r="AL74" s="117">
        <v>1511.0036006805897</v>
      </c>
      <c r="AM74" s="117">
        <v>103.3475700997289</v>
      </c>
      <c r="AN74" s="117">
        <v>2.0056420393702344E-4</v>
      </c>
      <c r="AO74" s="117">
        <v>28.295794909610187</v>
      </c>
      <c r="AP74" s="117">
        <v>8085.7624183928419</v>
      </c>
      <c r="AQ74" s="117">
        <v>166.05880096037302</v>
      </c>
      <c r="AS74" s="34">
        <f t="shared" ca="1" si="2"/>
        <v>2.1712636013173925</v>
      </c>
      <c r="AT74" s="34">
        <f t="shared" ca="1" si="3"/>
        <v>21749343.22468815</v>
      </c>
      <c r="AU74" s="34">
        <f t="shared" ca="1" si="4"/>
        <v>5.4103014715141604E-2</v>
      </c>
      <c r="AV74" s="34">
        <f t="shared" ca="1" si="5"/>
        <v>60.563490492467956</v>
      </c>
      <c r="AW74" s="34">
        <f t="shared" ca="1" si="6"/>
        <v>1.8204170853479513E-3</v>
      </c>
      <c r="AX74" s="34">
        <f t="shared" ca="1" si="7"/>
        <v>4.2807651492243103E-2</v>
      </c>
      <c r="AY74" s="34">
        <f t="shared" ca="1" si="8"/>
        <v>1.5476928483041644E-3</v>
      </c>
      <c r="AZ74" s="34">
        <f t="shared" ca="1" si="9"/>
        <v>6.7789735495939717E-5</v>
      </c>
      <c r="BA74" s="34">
        <f t="shared" ca="1" si="10"/>
        <v>8.7590522044651653E-7</v>
      </c>
      <c r="BB74" s="34">
        <f t="shared" ca="1" si="11"/>
        <v>811.72307441483167</v>
      </c>
      <c r="BC74" s="34">
        <f t="shared" ca="1" si="12"/>
        <v>159.1368146478558</v>
      </c>
      <c r="BD74" s="34">
        <f t="shared" ca="1" si="13"/>
        <v>2.2093334761864263</v>
      </c>
      <c r="BE74" s="34">
        <f t="shared" ca="1" si="14"/>
        <v>12.939912856128192</v>
      </c>
      <c r="BF74" s="34">
        <f t="shared" ca="1" si="15"/>
        <v>0.35122660206103384</v>
      </c>
      <c r="BG74" s="34">
        <f t="shared" ca="1" si="16"/>
        <v>275.23071964824709</v>
      </c>
      <c r="BH74" s="34">
        <f t="shared" ca="1" si="17"/>
        <v>11.73949272774227</v>
      </c>
      <c r="BI74" s="34">
        <f t="shared" ca="1" si="18"/>
        <v>0.71412988992793869</v>
      </c>
      <c r="BJ74" s="34">
        <f t="shared" ca="1" si="19"/>
        <v>8.4044356339217923E-4</v>
      </c>
      <c r="BK74" s="34">
        <f t="shared" ca="1" si="20"/>
        <v>203937.60637509398</v>
      </c>
      <c r="BL74" s="34">
        <f t="shared" ca="1" si="21"/>
        <v>2.5089734450107967E-2</v>
      </c>
      <c r="BM74" s="34">
        <f t="shared" ca="1" si="22"/>
        <v>0.78399215102003894</v>
      </c>
      <c r="BN74" s="34">
        <f t="shared" ca="1" si="23"/>
        <v>0.17610580646163995</v>
      </c>
      <c r="BO74" s="34">
        <f t="shared" ca="1" si="24"/>
        <v>8.4727119027410893</v>
      </c>
      <c r="BP74" s="34">
        <f t="shared" ca="1" si="25"/>
        <v>641627.50716437248</v>
      </c>
      <c r="BQ74" s="34">
        <f t="shared" ca="1" si="26"/>
        <v>2.46319038080823E-9</v>
      </c>
      <c r="BR74" s="34">
        <f t="shared" ca="1" si="27"/>
        <v>6.2250861628928439E-5</v>
      </c>
      <c r="BS74" s="34">
        <f t="shared" ca="1" si="28"/>
        <v>5.4923388572802418E-3</v>
      </c>
      <c r="BT74" s="34">
        <f t="shared" ca="1" si="29"/>
        <v>8.3988826678482447</v>
      </c>
      <c r="BU74" s="34">
        <f t="shared" ca="1" si="30"/>
        <v>21230.76180566959</v>
      </c>
      <c r="BV74" s="34">
        <f t="shared" ca="1" si="31"/>
        <v>4.4330836173903184E-11</v>
      </c>
      <c r="BW74" s="34">
        <f t="shared" ca="1" si="32"/>
        <v>1.9411788148879549E-7</v>
      </c>
      <c r="BX74" s="34">
        <f t="shared" ca="1" si="33"/>
        <v>1.7568626811752094E-3</v>
      </c>
      <c r="BY74" s="34">
        <f t="shared" ca="1" si="34"/>
        <v>2.1760884167003445</v>
      </c>
    </row>
    <row r="75" spans="1:77" ht="12.75" customHeight="1" x14ac:dyDescent="0.3">
      <c r="A75" s="118"/>
      <c r="B75" s="118"/>
      <c r="C75" s="118"/>
      <c r="D75" s="118"/>
      <c r="E75" s="110"/>
      <c r="F75" s="118"/>
      <c r="G75" s="23"/>
      <c r="H75" s="25">
        <f t="shared" si="0"/>
        <v>2.0797796148757094E-2</v>
      </c>
      <c r="I75" s="25">
        <f t="shared" si="1"/>
        <v>7.5911955942963392</v>
      </c>
      <c r="J75" s="117">
        <v>655879.29934720369</v>
      </c>
      <c r="K75" s="117">
        <v>2.9538393732291265E-2</v>
      </c>
      <c r="L75" s="117">
        <v>1.7566001610793454</v>
      </c>
      <c r="M75" s="117">
        <v>8.5088080946271507</v>
      </c>
      <c r="N75" s="117">
        <v>47331.305316661899</v>
      </c>
      <c r="O75" s="117">
        <v>18.355351681175243</v>
      </c>
      <c r="P75" s="117">
        <v>328.6355334929321</v>
      </c>
      <c r="Q75" s="117">
        <v>31.227511327583635</v>
      </c>
      <c r="R75" s="117">
        <v>2.6803095867749924</v>
      </c>
      <c r="S75" s="117">
        <v>3.8078154587551441E-2</v>
      </c>
      <c r="T75" s="117">
        <v>225.43223543424924</v>
      </c>
      <c r="U75" s="117">
        <v>646.68531124267599</v>
      </c>
      <c r="V75" s="117">
        <v>501.73495927225326</v>
      </c>
      <c r="W75" s="117">
        <v>5254032.8657278661</v>
      </c>
      <c r="X75" s="117">
        <v>1378.5127995621842</v>
      </c>
      <c r="Y75" s="117">
        <v>21353171.148118444</v>
      </c>
      <c r="Z75" s="117">
        <v>1264574.1816559532</v>
      </c>
      <c r="AA75" s="117">
        <v>201632.08657680498</v>
      </c>
      <c r="AB75" s="117">
        <v>68.326886251519284</v>
      </c>
      <c r="AC75" s="117">
        <v>16432.700367357229</v>
      </c>
      <c r="AD75" s="117">
        <v>48224.858078438621</v>
      </c>
      <c r="AE75" s="117">
        <v>44458327.169361658</v>
      </c>
      <c r="AF75" s="117">
        <v>294677.25487458531</v>
      </c>
      <c r="AG75" s="117">
        <v>29327.50180489078</v>
      </c>
      <c r="AH75" s="117">
        <v>1818.9096740688278</v>
      </c>
      <c r="AI75" s="117">
        <v>4.0779888615444402E-3</v>
      </c>
      <c r="AJ75" s="117">
        <v>2381.2159896444532</v>
      </c>
      <c r="AK75" s="117">
        <v>6123.0693166596839</v>
      </c>
      <c r="AL75" s="117">
        <v>1528.092272637936</v>
      </c>
      <c r="AM75" s="117">
        <v>107.32503858354613</v>
      </c>
      <c r="AN75" s="117">
        <v>2.1252536893739545E-4</v>
      </c>
      <c r="AO75" s="117">
        <v>28.484699994566416</v>
      </c>
      <c r="AP75" s="117">
        <v>7307.555239629005</v>
      </c>
      <c r="AQ75" s="117">
        <v>163.34700630053086</v>
      </c>
      <c r="AS75" s="34">
        <f t="shared" ca="1" si="2"/>
        <v>2.0825052319299502</v>
      </c>
      <c r="AT75" s="34">
        <f t="shared" ca="1" si="3"/>
        <v>20859823.952948336</v>
      </c>
      <c r="AU75" s="34">
        <f t="shared" ca="1" si="4"/>
        <v>5.3700984828039124E-2</v>
      </c>
      <c r="AV75" s="34">
        <f t="shared" ca="1" si="5"/>
        <v>55.337518473932839</v>
      </c>
      <c r="AW75" s="34">
        <f t="shared" ca="1" si="6"/>
        <v>1.8076428164427055E-3</v>
      </c>
      <c r="AX75" s="34">
        <f t="shared" ca="1" si="7"/>
        <v>4.1563969378323559E-2</v>
      </c>
      <c r="AY75" s="34">
        <f t="shared" ca="1" si="8"/>
        <v>1.5313179944881419E-3</v>
      </c>
      <c r="AZ75" s="34">
        <f t="shared" ca="1" si="9"/>
        <v>6.8920778907023513E-5</v>
      </c>
      <c r="BA75" s="34">
        <f t="shared" ca="1" si="10"/>
        <v>8.9939292847993966E-7</v>
      </c>
      <c r="BB75" s="34">
        <f t="shared" ca="1" si="11"/>
        <v>799.71696407558579</v>
      </c>
      <c r="BC75" s="34">
        <f t="shared" ca="1" si="12"/>
        <v>157.99084608300024</v>
      </c>
      <c r="BD75" s="34">
        <f t="shared" ca="1" si="13"/>
        <v>2.1565720623850653</v>
      </c>
      <c r="BE75" s="34">
        <f t="shared" ca="1" si="14"/>
        <v>12.225459144835595</v>
      </c>
      <c r="BF75" s="34">
        <f t="shared" ca="1" si="15"/>
        <v>0.34810114088081157</v>
      </c>
      <c r="BG75" s="34">
        <f t="shared" ca="1" si="16"/>
        <v>265.79614073075686</v>
      </c>
      <c r="BH75" s="34">
        <f t="shared" ca="1" si="17"/>
        <v>11.744749227692171</v>
      </c>
      <c r="BI75" s="34">
        <f t="shared" ca="1" si="18"/>
        <v>0.72414065429137553</v>
      </c>
      <c r="BJ75" s="34">
        <f t="shared" ca="1" si="19"/>
        <v>8.6610958286184212E-4</v>
      </c>
      <c r="BK75" s="34">
        <f t="shared" ca="1" si="20"/>
        <v>200419.84858360107</v>
      </c>
      <c r="BL75" s="34">
        <f t="shared" ca="1" si="21"/>
        <v>2.4856992403618182E-2</v>
      </c>
      <c r="BM75" s="34">
        <f t="shared" ca="1" si="22"/>
        <v>0.76386343772227905</v>
      </c>
      <c r="BN75" s="34">
        <f t="shared" ca="1" si="23"/>
        <v>0.16035496758645204</v>
      </c>
      <c r="BO75" s="34">
        <f t="shared" ca="1" si="24"/>
        <v>8.4962929964983154</v>
      </c>
      <c r="BP75" s="34">
        <f t="shared" ca="1" si="25"/>
        <v>659941.59425280755</v>
      </c>
      <c r="BQ75" s="34">
        <f t="shared" ca="1" si="26"/>
        <v>2.588837413899081E-9</v>
      </c>
      <c r="BR75" s="34">
        <f t="shared" ca="1" si="27"/>
        <v>6.1397566123550242E-5</v>
      </c>
      <c r="BS75" s="34">
        <f t="shared" ca="1" si="28"/>
        <v>5.0002847724291491E-3</v>
      </c>
      <c r="BT75" s="34">
        <f t="shared" ca="1" si="29"/>
        <v>8.4938697020647442</v>
      </c>
      <c r="BU75" s="34">
        <f t="shared" ca="1" si="30"/>
        <v>22047.85586881973</v>
      </c>
      <c r="BV75" s="34">
        <f t="shared" ca="1" si="31"/>
        <v>4.6974620237419381E-11</v>
      </c>
      <c r="BW75" s="34">
        <f t="shared" ca="1" si="32"/>
        <v>1.9541382864318024E-7</v>
      </c>
      <c r="BX75" s="34">
        <f t="shared" ca="1" si="33"/>
        <v>1.5877749588495043E-3</v>
      </c>
      <c r="BY75" s="34">
        <f t="shared" ca="1" si="34"/>
        <v>2.1405521794541142</v>
      </c>
    </row>
    <row r="76" spans="1:77" ht="12.75" customHeight="1" x14ac:dyDescent="0.3">
      <c r="A76" s="118"/>
      <c r="B76" s="118"/>
      <c r="C76" s="118"/>
      <c r="D76" s="118"/>
      <c r="E76" s="110"/>
      <c r="F76" s="118"/>
      <c r="G76" s="23"/>
      <c r="H76" s="25">
        <f t="shared" si="0"/>
        <v>2.1133244473737049E-2</v>
      </c>
      <c r="I76" s="25">
        <f t="shared" si="1"/>
        <v>7.7136342329140222</v>
      </c>
      <c r="J76" s="117">
        <v>666457.99772377149</v>
      </c>
      <c r="K76" s="117">
        <v>2.8330671464373267E-2</v>
      </c>
      <c r="L76" s="117">
        <v>1.6847739772701789</v>
      </c>
      <c r="M76" s="117">
        <v>8.4455806507521327</v>
      </c>
      <c r="N76" s="117">
        <v>43617.851277690068</v>
      </c>
      <c r="O76" s="117">
        <v>18.214718755397197</v>
      </c>
      <c r="P76" s="117">
        <v>318.99821104099465</v>
      </c>
      <c r="Q76" s="117">
        <v>30.875400155748395</v>
      </c>
      <c r="R76" s="117">
        <v>2.7226620465847611</v>
      </c>
      <c r="S76" s="117">
        <v>3.9057931134601438E-2</v>
      </c>
      <c r="T76" s="117">
        <v>221.92953546738602</v>
      </c>
      <c r="U76" s="117">
        <v>641.61012309343982</v>
      </c>
      <c r="V76" s="117">
        <v>489.69898528312729</v>
      </c>
      <c r="W76" s="117">
        <v>4992900.8815164156</v>
      </c>
      <c r="X76" s="117">
        <v>1365.8597199433361</v>
      </c>
      <c r="Y76" s="117">
        <v>20621269.020781353</v>
      </c>
      <c r="Z76" s="117">
        <v>1264388.9670678317</v>
      </c>
      <c r="AA76" s="117">
        <v>204296.22826647179</v>
      </c>
      <c r="AB76" s="117">
        <v>70.346549229940351</v>
      </c>
      <c r="AC76" s="117">
        <v>16144.299942782029</v>
      </c>
      <c r="AD76" s="117">
        <v>47763.939434248874</v>
      </c>
      <c r="AE76" s="117">
        <v>43316874.397615299</v>
      </c>
      <c r="AF76" s="117">
        <v>270238.48343114561</v>
      </c>
      <c r="AG76" s="117">
        <v>29390.537348605551</v>
      </c>
      <c r="AH76" s="117">
        <v>1868.8286033195454</v>
      </c>
      <c r="AI76" s="117">
        <v>4.2812099518784019E-3</v>
      </c>
      <c r="AJ76" s="117">
        <v>2346.480281099582</v>
      </c>
      <c r="AK76" s="117">
        <v>5577.4621976446379</v>
      </c>
      <c r="AL76" s="117">
        <v>1543.7470962990046</v>
      </c>
      <c r="AM76" s="117">
        <v>111.33578955322592</v>
      </c>
      <c r="AN76" s="117">
        <v>2.2493401818026449E-4</v>
      </c>
      <c r="AO76" s="117">
        <v>28.641258958299833</v>
      </c>
      <c r="AP76" s="117">
        <v>6618.2896126263777</v>
      </c>
      <c r="AQ76" s="117">
        <v>160.38439376750756</v>
      </c>
      <c r="AS76" s="34">
        <f t="shared" ca="1" si="2"/>
        <v>1.9973588301163656</v>
      </c>
      <c r="AT76" s="34">
        <f t="shared" ca="1" si="3"/>
        <v>20006879.963377766</v>
      </c>
      <c r="AU76" s="34">
        <f t="shared" ca="1" si="4"/>
        <v>5.3301942333898018E-2</v>
      </c>
      <c r="AV76" s="34">
        <f t="shared" ca="1" si="5"/>
        <v>50.995924044857063</v>
      </c>
      <c r="AW76" s="34">
        <f t="shared" ca="1" si="6"/>
        <v>1.7937932262821028E-3</v>
      </c>
      <c r="AX76" s="34">
        <f t="shared" ca="1" si="7"/>
        <v>4.0345095171314009E-2</v>
      </c>
      <c r="AY76" s="34">
        <f t="shared" ca="1" si="8"/>
        <v>1.5140513552149913E-3</v>
      </c>
      <c r="AZ76" s="34">
        <f t="shared" ca="1" si="9"/>
        <v>7.0009818969082098E-5</v>
      </c>
      <c r="BA76" s="34">
        <f t="shared" ca="1" si="10"/>
        <v>9.2253491389000322E-7</v>
      </c>
      <c r="BB76" s="34">
        <f t="shared" ca="1" si="11"/>
        <v>787.29119640233523</v>
      </c>
      <c r="BC76" s="34">
        <f t="shared" ca="1" si="12"/>
        <v>156.7509334766857</v>
      </c>
      <c r="BD76" s="34">
        <f t="shared" ca="1" si="13"/>
        <v>2.1048386825022058</v>
      </c>
      <c r="BE76" s="34">
        <f t="shared" ca="1" si="14"/>
        <v>11.617838582503106</v>
      </c>
      <c r="BF76" s="34">
        <f t="shared" ca="1" si="15"/>
        <v>0.34490599357976681</v>
      </c>
      <c r="BG76" s="34">
        <f t="shared" ca="1" si="16"/>
        <v>256.68570184140378</v>
      </c>
      <c r="BH76" s="34">
        <f t="shared" ca="1" si="17"/>
        <v>11.743029044786057</v>
      </c>
      <c r="BI76" s="34">
        <f t="shared" ca="1" si="18"/>
        <v>0.73370864190204477</v>
      </c>
      <c r="BJ76" s="34">
        <f t="shared" ca="1" si="19"/>
        <v>8.9171077085279759E-4</v>
      </c>
      <c r="BK76" s="34">
        <f t="shared" ca="1" si="20"/>
        <v>196902.40056029096</v>
      </c>
      <c r="BL76" s="34">
        <f t="shared" ca="1" si="21"/>
        <v>2.4619416769519367E-2</v>
      </c>
      <c r="BM76" s="34">
        <f t="shared" ca="1" si="22"/>
        <v>0.74425149787347888</v>
      </c>
      <c r="BN76" s="34">
        <f t="shared" ca="1" si="23"/>
        <v>0.14705608435797429</v>
      </c>
      <c r="BO76" s="34">
        <f t="shared" ca="1" si="24"/>
        <v>8.514554642244935</v>
      </c>
      <c r="BP76" s="34">
        <f t="shared" ca="1" si="25"/>
        <v>678053.31152099837</v>
      </c>
      <c r="BQ76" s="34">
        <f t="shared" ca="1" si="26"/>
        <v>2.7178486446337022E-9</v>
      </c>
      <c r="BR76" s="34">
        <f t="shared" ca="1" si="27"/>
        <v>6.0501936339647055E-5</v>
      </c>
      <c r="BS76" s="34">
        <f t="shared" ca="1" si="28"/>
        <v>4.5547253923455371E-3</v>
      </c>
      <c r="BT76" s="34">
        <f t="shared" ca="1" si="29"/>
        <v>8.5808867197978227</v>
      </c>
      <c r="BU76" s="34">
        <f t="shared" ca="1" si="30"/>
        <v>22871.787175738318</v>
      </c>
      <c r="BV76" s="34">
        <f t="shared" ca="1" si="31"/>
        <v>4.9717312033497716E-11</v>
      </c>
      <c r="BW76" s="34">
        <f t="shared" ca="1" si="32"/>
        <v>1.9648787142816278E-7</v>
      </c>
      <c r="BX76" s="34">
        <f t="shared" ca="1" si="33"/>
        <v>1.4380123273451224E-3</v>
      </c>
      <c r="BY76" s="34">
        <f t="shared" ca="1" si="34"/>
        <v>2.1017291434030367</v>
      </c>
    </row>
    <row r="77" spans="1:77" ht="12.75" customHeight="1" x14ac:dyDescent="0.3">
      <c r="A77" s="118"/>
      <c r="B77" s="118"/>
      <c r="C77" s="118"/>
      <c r="D77" s="118"/>
      <c r="E77" s="110"/>
      <c r="F77" s="118"/>
      <c r="G77" s="23"/>
      <c r="H77" s="25">
        <f t="shared" ref="H77:H110" si="35">I77/365</f>
        <v>2.1468692798717E-2</v>
      </c>
      <c r="I77" s="25">
        <f t="shared" si="1"/>
        <v>7.8360728715317052</v>
      </c>
      <c r="J77" s="117">
        <v>677036.69610033929</v>
      </c>
      <c r="K77" s="117">
        <v>2.7173365373998507E-2</v>
      </c>
      <c r="L77" s="117">
        <v>1.6159010218662293</v>
      </c>
      <c r="M77" s="117">
        <v>8.3828230358055507</v>
      </c>
      <c r="N77" s="117">
        <v>40517.407515075327</v>
      </c>
      <c r="O77" s="117">
        <v>18.065500131637741</v>
      </c>
      <c r="P77" s="117">
        <v>309.57384489879814</v>
      </c>
      <c r="Q77" s="117">
        <v>30.509502697426978</v>
      </c>
      <c r="R77" s="117">
        <v>2.7634174465452497</v>
      </c>
      <c r="S77" s="117">
        <v>4.0022555614854655E-2</v>
      </c>
      <c r="T77" s="117">
        <v>218.34591694014514</v>
      </c>
      <c r="U77" s="117">
        <v>636.233172310903</v>
      </c>
      <c r="V77" s="117">
        <v>477.90876538171187</v>
      </c>
      <c r="W77" s="117">
        <v>4767075.1265783962</v>
      </c>
      <c r="X77" s="117">
        <v>1353.0011973635135</v>
      </c>
      <c r="Y77" s="117">
        <v>19914511.799521524</v>
      </c>
      <c r="Z77" s="117">
        <v>1263508.4501195641</v>
      </c>
      <c r="AA77" s="117">
        <v>206841.39696367923</v>
      </c>
      <c r="AB77" s="117">
        <v>72.359852551722028</v>
      </c>
      <c r="AC77" s="117">
        <v>15856.976224113858</v>
      </c>
      <c r="AD77" s="117">
        <v>47296.140859102408</v>
      </c>
      <c r="AE77" s="117">
        <v>42204726.972194418</v>
      </c>
      <c r="AF77" s="117">
        <v>249567.63479376771</v>
      </c>
      <c r="AG77" s="117">
        <v>29437.93281437215</v>
      </c>
      <c r="AH77" s="117">
        <v>1918.1536601540442</v>
      </c>
      <c r="AI77" s="117">
        <v>4.4896492071489448E-3</v>
      </c>
      <c r="AJ77" s="117">
        <v>2310.5312244082093</v>
      </c>
      <c r="AK77" s="117">
        <v>5087.7122894428603</v>
      </c>
      <c r="AL77" s="117">
        <v>1558.1037102392925</v>
      </c>
      <c r="AM77" s="117">
        <v>115.37582833059295</v>
      </c>
      <c r="AN77" s="117">
        <v>2.3779315645578778E-4</v>
      </c>
      <c r="AO77" s="117">
        <v>28.768736768056637</v>
      </c>
      <c r="AP77" s="117">
        <v>6012.6405246718159</v>
      </c>
      <c r="AQ77" s="117">
        <v>157.22268383432461</v>
      </c>
      <c r="AS77" s="34">
        <f t="shared" ca="1" si="2"/>
        <v>1.9157668515547446</v>
      </c>
      <c r="AT77" s="34">
        <f t="shared" ca="1" si="3"/>
        <v>19189005.89238663</v>
      </c>
      <c r="AU77" s="34">
        <f t="shared" ca="1" si="4"/>
        <v>5.2905865034867341E-2</v>
      </c>
      <c r="AV77" s="34">
        <f t="shared" ca="1" si="5"/>
        <v>47.371032171640849</v>
      </c>
      <c r="AW77" s="34">
        <f t="shared" ca="1" si="6"/>
        <v>1.7790981129438561E-3</v>
      </c>
      <c r="AX77" s="34">
        <f t="shared" ca="1" si="7"/>
        <v>3.9153154477679947E-2</v>
      </c>
      <c r="AY77" s="34">
        <f t="shared" ca="1" si="8"/>
        <v>1.496108671400475E-3</v>
      </c>
      <c r="AZ77" s="34">
        <f t="shared" ca="1" si="9"/>
        <v>7.1057792652347494E-5</v>
      </c>
      <c r="BA77" s="34">
        <f t="shared" ca="1" si="10"/>
        <v>9.4531901268826828E-7</v>
      </c>
      <c r="BB77" s="34">
        <f t="shared" ca="1" si="11"/>
        <v>774.57837153285925</v>
      </c>
      <c r="BC77" s="34">
        <f t="shared" ca="1" si="12"/>
        <v>155.43729763447487</v>
      </c>
      <c r="BD77" s="34">
        <f t="shared" ca="1" si="13"/>
        <v>2.0541616101179159</v>
      </c>
      <c r="BE77" s="34">
        <f t="shared" ca="1" si="14"/>
        <v>11.09237107755937</v>
      </c>
      <c r="BF77" s="34">
        <f t="shared" ca="1" si="15"/>
        <v>0.34165896795802464</v>
      </c>
      <c r="BG77" s="34">
        <f t="shared" ca="1" si="16"/>
        <v>247.88825716485471</v>
      </c>
      <c r="BH77" s="34">
        <f t="shared" ca="1" si="17"/>
        <v>11.734851232129316</v>
      </c>
      <c r="BI77" s="34">
        <f t="shared" ca="1" si="18"/>
        <v>0.74284935039228628</v>
      </c>
      <c r="BJ77" s="34">
        <f t="shared" ca="1" si="19"/>
        <v>9.1723134402488357E-4</v>
      </c>
      <c r="BK77" s="34">
        <f t="shared" ca="1" si="20"/>
        <v>193398.08447695614</v>
      </c>
      <c r="BL77" s="34">
        <f t="shared" ca="1" si="21"/>
        <v>2.4378294947866187E-2</v>
      </c>
      <c r="BM77" s="34">
        <f t="shared" ca="1" si="22"/>
        <v>0.72514306960536745</v>
      </c>
      <c r="BN77" s="34">
        <f t="shared" ca="1" si="23"/>
        <v>0.13580759738315867</v>
      </c>
      <c r="BO77" s="34">
        <f t="shared" ca="1" si="24"/>
        <v>8.5282852956956638</v>
      </c>
      <c r="BP77" s="34">
        <f t="shared" ca="1" si="25"/>
        <v>695949.55843641155</v>
      </c>
      <c r="BQ77" s="34">
        <f t="shared" ca="1" si="26"/>
        <v>2.8501725329253625E-9</v>
      </c>
      <c r="BR77" s="34">
        <f t="shared" ca="1" si="27"/>
        <v>5.9575021437812644E-5</v>
      </c>
      <c r="BS77" s="34">
        <f t="shared" ca="1" si="28"/>
        <v>4.1547807107432944E-3</v>
      </c>
      <c r="BT77" s="34">
        <f t="shared" ca="1" si="29"/>
        <v>8.6606876653003759</v>
      </c>
      <c r="BU77" s="34">
        <f t="shared" ca="1" si="30"/>
        <v>23701.735096963541</v>
      </c>
      <c r="BV77" s="34">
        <f t="shared" ca="1" si="31"/>
        <v>5.2559575712856902E-11</v>
      </c>
      <c r="BW77" s="34">
        <f t="shared" ca="1" si="32"/>
        <v>1.9736240852619703E-7</v>
      </c>
      <c r="BX77" s="34">
        <f t="shared" ca="1" si="33"/>
        <v>1.3064177756557513E-3</v>
      </c>
      <c r="BY77" s="34">
        <f t="shared" ca="1" si="34"/>
        <v>2.0602970704097618</v>
      </c>
    </row>
    <row r="78" spans="1:77" ht="12.75" customHeight="1" x14ac:dyDescent="0.3">
      <c r="A78" s="118"/>
      <c r="B78" s="118"/>
      <c r="C78" s="118"/>
      <c r="D78" s="118"/>
      <c r="E78" s="110"/>
      <c r="F78" s="118"/>
      <c r="G78" s="23"/>
      <c r="H78" s="25">
        <f t="shared" si="35"/>
        <v>2.1804141123696951E-2</v>
      </c>
      <c r="I78" s="25">
        <f t="shared" ref="I78:I111" si="36">J78/(3600*24)</f>
        <v>7.9585115101493873</v>
      </c>
      <c r="J78" s="117">
        <v>687615.39447690709</v>
      </c>
      <c r="K78" s="117">
        <v>2.6063050900731626E-2</v>
      </c>
      <c r="L78" s="117">
        <v>1.5498597470542816</v>
      </c>
      <c r="M78" s="117">
        <v>8.3205317587209464</v>
      </c>
      <c r="N78" s="117">
        <v>37910.624856097485</v>
      </c>
      <c r="O78" s="117">
        <v>17.909577067963156</v>
      </c>
      <c r="P78" s="117">
        <v>300.37413942405135</v>
      </c>
      <c r="Q78" s="117">
        <v>30.133366015363759</v>
      </c>
      <c r="R78" s="117">
        <v>2.8026143124702192</v>
      </c>
      <c r="S78" s="117">
        <v>4.0971652413207021E-2</v>
      </c>
      <c r="T78" s="117">
        <v>214.71119735039991</v>
      </c>
      <c r="U78" s="117">
        <v>630.6211770499433</v>
      </c>
      <c r="V78" s="117">
        <v>466.36826365980534</v>
      </c>
      <c r="W78" s="117">
        <v>4568584.2466923753</v>
      </c>
      <c r="X78" s="117">
        <v>1339.9915159825209</v>
      </c>
      <c r="Y78" s="117">
        <v>19232034.749799639</v>
      </c>
      <c r="Z78" s="117">
        <v>1261981.3034630467</v>
      </c>
      <c r="AA78" s="117">
        <v>209271.75926818064</v>
      </c>
      <c r="AB78" s="117">
        <v>74.36564525303632</v>
      </c>
      <c r="AC78" s="117">
        <v>15571.513023351761</v>
      </c>
      <c r="AD78" s="117">
        <v>46823.383425615531</v>
      </c>
      <c r="AE78" s="117">
        <v>41121132.7561097</v>
      </c>
      <c r="AF78" s="117">
        <v>232022.94369706986</v>
      </c>
      <c r="AG78" s="117">
        <v>29471.938534282188</v>
      </c>
      <c r="AH78" s="117">
        <v>1966.8557578189968</v>
      </c>
      <c r="AI78" s="117">
        <v>4.7032218850565259E-3</v>
      </c>
      <c r="AJ78" s="117">
        <v>2273.7217709306256</v>
      </c>
      <c r="AK78" s="117">
        <v>4651.1284582230028</v>
      </c>
      <c r="AL78" s="117">
        <v>1571.2933040695773</v>
      </c>
      <c r="AM78" s="117">
        <v>119.44155384468741</v>
      </c>
      <c r="AN78" s="117">
        <v>2.5110534306521675E-4</v>
      </c>
      <c r="AO78" s="117">
        <v>28.870274158330286</v>
      </c>
      <c r="AP78" s="117">
        <v>5483.6231191049983</v>
      </c>
      <c r="AQ78" s="117">
        <v>153.90855744530663</v>
      </c>
      <c r="AS78" s="34">
        <f t="shared" ref="AS78:AS111" ca="1" si="37">K78/M.aR</f>
        <v>1.8374878591145394</v>
      </c>
      <c r="AT78" s="34">
        <f t="shared" ref="AT78:AT111" ca="1" si="38">L78/M.w0R</f>
        <v>18404758.346058819</v>
      </c>
      <c r="AU78" s="34">
        <f t="shared" ref="AU78:AU111" ca="1" si="39">M78/M.w1R</f>
        <v>5.2512730898048365E-2</v>
      </c>
      <c r="AV78" s="34">
        <f t="shared" ref="AV78:AV111" ca="1" si="40">N78/M.w2R</f>
        <v>44.323305459190912</v>
      </c>
      <c r="AW78" s="34">
        <f t="shared" ref="AW78:AW111" ca="1" si="41">O78/M.sd1R</f>
        <v>1.7637427435200077E-3</v>
      </c>
      <c r="AX78" s="34">
        <f t="shared" ref="AX78:AX111" ca="1" si="42">P78/M.sd2R</f>
        <v>3.7989627598593409E-2</v>
      </c>
      <c r="AY78" s="34">
        <f t="shared" ref="AY78:AY111" ca="1" si="43">Q78/M.s1R</f>
        <v>1.4776638820098553E-3</v>
      </c>
      <c r="AZ78" s="34">
        <f t="shared" ref="AZ78:AZ111" ca="1" si="44">R78/M.s2R</f>
        <v>7.2065690599507222E-5</v>
      </c>
      <c r="BA78" s="34">
        <f t="shared" ref="BA78:BA111" ca="1" si="45">S78/M.s3R</f>
        <v>9.6773635297503022E-7</v>
      </c>
      <c r="BB78" s="34">
        <f t="shared" ref="BB78:BB111" ca="1" si="46">T78/M.aC</f>
        <v>761.68426652619121</v>
      </c>
      <c r="BC78" s="34">
        <f t="shared" ref="BC78:BC111" ca="1" si="47">U78/M.w0C</f>
        <v>154.06623838188565</v>
      </c>
      <c r="BD78" s="34">
        <f t="shared" ref="BD78:BD111" ca="1" si="48">V78/M.w1C</f>
        <v>2.004557883808971</v>
      </c>
      <c r="BE78" s="34">
        <f t="shared" ref="BE78:BE111" ca="1" si="49">W78/M.w2C</f>
        <v>10.630508313339138</v>
      </c>
      <c r="BF78" s="34">
        <f t="shared" ref="BF78:BF111" ca="1" si="50">X78/M.sd1C</f>
        <v>0.33837377181573441</v>
      </c>
      <c r="BG78" s="34">
        <f t="shared" ref="BG78:BG111" ca="1" si="51">Y78/M.sd2C</f>
        <v>239.39304281495362</v>
      </c>
      <c r="BH78" s="34">
        <f t="shared" ref="BH78:BH111" ca="1" si="52">Z78/M.s1C</f>
        <v>11.720667837612105</v>
      </c>
      <c r="BI78" s="34">
        <f t="shared" ref="BI78:BI111" ca="1" si="53">AA78/M.s2C</f>
        <v>0.75157774367147978</v>
      </c>
      <c r="BJ78" s="34">
        <f t="shared" ref="BJ78:BJ111" ca="1" si="54">AB78/M.s3C</f>
        <v>9.4265671279476543E-4</v>
      </c>
      <c r="BK78" s="34">
        <f t="shared" ref="BK78:BK111" ca="1" si="55">AC78/M.aM</f>
        <v>189916.46002121063</v>
      </c>
      <c r="BL78" s="34">
        <f t="shared" ref="BL78:BL111" ca="1" si="56">AD78/M.w2M</f>
        <v>2.4134617135194898E-2</v>
      </c>
      <c r="BM78" s="34">
        <f t="shared" ref="BM78:BM111" ca="1" si="57">AE78/M.w3M</f>
        <v>0.70652523003076306</v>
      </c>
      <c r="BN78" s="34">
        <f t="shared" ref="BN78:BN111" ca="1" si="58">AF78/M.sdM</f>
        <v>0.12626027628665035</v>
      </c>
      <c r="BO78" s="34">
        <f t="shared" ref="BO78:BO111" ca="1" si="59">AG78/M.sM</f>
        <v>8.5381368869370409</v>
      </c>
      <c r="BP78" s="34">
        <f t="shared" ref="BP78:BP111" ca="1" si="60">AH78/M.aA</f>
        <v>713619.78166666557</v>
      </c>
      <c r="BQ78" s="34">
        <f t="shared" ref="BQ78:BQ111" ca="1" si="61">AI78/M.w2A</f>
        <v>2.9857552816591013E-9</v>
      </c>
      <c r="BR78" s="34">
        <f t="shared" ref="BR78:BR111" ca="1" si="62">AJ78/M.w3A</f>
        <v>5.8625921959357039E-5</v>
      </c>
      <c r="BS78" s="34">
        <f t="shared" ref="BS78:BS111" ca="1" si="63">AK78/M.sdA</f>
        <v>3.7982530658254433E-3</v>
      </c>
      <c r="BT78" s="34">
        <f t="shared" ref="BT78:BT111" ca="1" si="64">AL78/M.sA</f>
        <v>8.7340017533457246</v>
      </c>
      <c r="BU78" s="34">
        <f t="shared" ref="BU78:BU111" ca="1" si="65">AM78/M.aT</f>
        <v>24536.959862032298</v>
      </c>
      <c r="BV78" s="34">
        <f t="shared" ref="BV78:BV111" ca="1" si="66">AN78/M.w2T</f>
        <v>5.550197695951369E-11</v>
      </c>
      <c r="BW78" s="34">
        <f t="shared" ref="BW78:BW111" ca="1" si="67">AO78/M.w3T</f>
        <v>1.9805898634473102E-7</v>
      </c>
      <c r="BX78" s="34">
        <f t="shared" ref="BX78:BX111" ca="1" si="68">AP78/M.sdT</f>
        <v>1.1914736442998357E-3</v>
      </c>
      <c r="BY78" s="34">
        <f t="shared" ref="BY78:BY111" ca="1" si="69">AQ78/M.sT</f>
        <v>2.0168676827174834</v>
      </c>
    </row>
    <row r="79" spans="1:77" ht="12.75" customHeight="1" x14ac:dyDescent="0.3">
      <c r="A79" s="118"/>
      <c r="B79" s="118"/>
      <c r="C79" s="118"/>
      <c r="D79" s="118"/>
      <c r="E79" s="110"/>
      <c r="F79" s="118"/>
      <c r="G79" s="23"/>
      <c r="H79" s="25">
        <f t="shared" si="35"/>
        <v>2.2139589448676906E-2</v>
      </c>
      <c r="I79" s="25">
        <f t="shared" si="36"/>
        <v>8.0809501487670712</v>
      </c>
      <c r="J79" s="117">
        <v>698194.0928534749</v>
      </c>
      <c r="K79" s="117">
        <v>2.499865082703772E-2</v>
      </c>
      <c r="L79" s="117">
        <v>1.4865336083727299</v>
      </c>
      <c r="M79" s="117">
        <v>8.2587033543612058</v>
      </c>
      <c r="N79" s="117">
        <v>35699.65530969479</v>
      </c>
      <c r="O79" s="117">
        <v>17.748458161312257</v>
      </c>
      <c r="P79" s="117">
        <v>291.40666076782514</v>
      </c>
      <c r="Q79" s="117">
        <v>29.749835166341526</v>
      </c>
      <c r="R79" s="117">
        <v>2.840292537376778</v>
      </c>
      <c r="S79" s="117">
        <v>4.1904957858564365E-2</v>
      </c>
      <c r="T79" s="117">
        <v>211.04897795863315</v>
      </c>
      <c r="U79" s="117">
        <v>624.82762911891757</v>
      </c>
      <c r="V79" s="117">
        <v>455.0793236654107</v>
      </c>
      <c r="W79" s="117">
        <v>4391430.1012873771</v>
      </c>
      <c r="X79" s="117">
        <v>1326.8727362154693</v>
      </c>
      <c r="Y79" s="117">
        <v>18573002.80194753</v>
      </c>
      <c r="Z79" s="117">
        <v>1259850.5313145479</v>
      </c>
      <c r="AA79" s="117">
        <v>211591.33827072196</v>
      </c>
      <c r="AB79" s="117">
        <v>76.362859118564415</v>
      </c>
      <c r="AC79" s="117">
        <v>15288.493254323437</v>
      </c>
      <c r="AD79" s="117">
        <v>46347.154110518262</v>
      </c>
      <c r="AE79" s="117">
        <v>40065358.856757767</v>
      </c>
      <c r="AF79" s="117">
        <v>217056.55221997685</v>
      </c>
      <c r="AG79" s="117">
        <v>29494.400932054261</v>
      </c>
      <c r="AH79" s="117">
        <v>2014.9115810087421</v>
      </c>
      <c r="AI79" s="117">
        <v>4.9218404393849982E-3</v>
      </c>
      <c r="AJ79" s="117">
        <v>2236.3401954717165</v>
      </c>
      <c r="AK79" s="117">
        <v>4264.0052035961689</v>
      </c>
      <c r="AL79" s="117">
        <v>1583.4394024403039</v>
      </c>
      <c r="AM79" s="117">
        <v>123.52973974792847</v>
      </c>
      <c r="AN79" s="117">
        <v>2.6487273722529528E-4</v>
      </c>
      <c r="AO79" s="117">
        <v>28.948817334575384</v>
      </c>
      <c r="AP79" s="117">
        <v>5023.4649941775551</v>
      </c>
      <c r="AQ79" s="117">
        <v>150.48326877878156</v>
      </c>
      <c r="AS79" s="34">
        <f t="shared" ca="1" si="37"/>
        <v>1.7624459071917786</v>
      </c>
      <c r="AT79" s="34">
        <f t="shared" ca="1" si="38"/>
        <v>17652753.345839825</v>
      </c>
      <c r="AU79" s="34">
        <f t="shared" ca="1" si="39"/>
        <v>5.2122518054188265E-2</v>
      </c>
      <c r="AV79" s="34">
        <f t="shared" ca="1" si="40"/>
        <v>41.738344674762857</v>
      </c>
      <c r="AW79" s="34">
        <f t="shared" ca="1" si="41"/>
        <v>1.7478756852767547E-3</v>
      </c>
      <c r="AX79" s="34">
        <f t="shared" ca="1" si="42"/>
        <v>3.6855471458182708E-2</v>
      </c>
      <c r="AY79" s="34">
        <f t="shared" ca="1" si="43"/>
        <v>1.4588565014156071E-3</v>
      </c>
      <c r="AZ79" s="34">
        <f t="shared" ca="1" si="44"/>
        <v>7.30345386091577E-5</v>
      </c>
      <c r="BA79" s="34">
        <f t="shared" ca="1" si="45"/>
        <v>9.8978070692963701E-7</v>
      </c>
      <c r="BB79" s="34">
        <f t="shared" ca="1" si="46"/>
        <v>748.69260644651877</v>
      </c>
      <c r="BC79" s="34">
        <f t="shared" ca="1" si="47"/>
        <v>152.6508242329447</v>
      </c>
      <c r="BD79" s="34">
        <f t="shared" ca="1" si="48"/>
        <v>1.956035427568001</v>
      </c>
      <c r="BE79" s="34">
        <f t="shared" ca="1" si="49"/>
        <v>10.218293387712283</v>
      </c>
      <c r="BF79" s="34">
        <f t="shared" ca="1" si="50"/>
        <v>0.335061026221116</v>
      </c>
      <c r="BG79" s="34">
        <f t="shared" ca="1" si="51"/>
        <v>231.18966416256086</v>
      </c>
      <c r="BH79" s="34">
        <f t="shared" ca="1" si="52"/>
        <v>11.70087826345466</v>
      </c>
      <c r="BI79" s="34">
        <f t="shared" ca="1" si="53"/>
        <v>0.75990827025134033</v>
      </c>
      <c r="BJ79" s="34">
        <f t="shared" ca="1" si="54"/>
        <v>9.6797333649675593E-4</v>
      </c>
      <c r="BK79" s="34">
        <f t="shared" ca="1" si="55"/>
        <v>186464.63664545555</v>
      </c>
      <c r="BL79" s="34">
        <f t="shared" ca="1" si="56"/>
        <v>2.3889149777914155E-2</v>
      </c>
      <c r="BM79" s="34">
        <f t="shared" ca="1" si="57"/>
        <v>0.68838538691106521</v>
      </c>
      <c r="BN79" s="34">
        <f t="shared" ca="1" si="58"/>
        <v>0.11811599239471299</v>
      </c>
      <c r="BO79" s="34">
        <f t="shared" ca="1" si="59"/>
        <v>8.5446443322061629</v>
      </c>
      <c r="BP79" s="34">
        <f t="shared" ca="1" si="60"/>
        <v>731055.52189120813</v>
      </c>
      <c r="BQ79" s="34">
        <f t="shared" ca="1" si="61"/>
        <v>3.1245413137042528E-9</v>
      </c>
      <c r="BR79" s="34">
        <f t="shared" ca="1" si="62"/>
        <v>5.7662070817326217E-5</v>
      </c>
      <c r="BS79" s="34">
        <f t="shared" ca="1" si="63"/>
        <v>3.4821164331897436E-3</v>
      </c>
      <c r="BT79" s="34">
        <f t="shared" ca="1" si="64"/>
        <v>8.801515593181664</v>
      </c>
      <c r="BU79" s="34">
        <f t="shared" ca="1" si="65"/>
        <v>25376.798680160784</v>
      </c>
      <c r="BV79" s="34">
        <f t="shared" ca="1" si="66"/>
        <v>5.8544993026546429E-11</v>
      </c>
      <c r="BW79" s="34">
        <f t="shared" ca="1" si="67"/>
        <v>1.9859781676199988E-7</v>
      </c>
      <c r="BX79" s="34">
        <f t="shared" ca="1" si="68"/>
        <v>1.0914911571461663E-3</v>
      </c>
      <c r="BY79" s="34">
        <f t="shared" ca="1" si="69"/>
        <v>1.9719815884666951</v>
      </c>
    </row>
    <row r="80" spans="1:77" ht="12.75" customHeight="1" x14ac:dyDescent="0.3">
      <c r="A80" s="118"/>
      <c r="B80" s="118"/>
      <c r="C80" s="118"/>
      <c r="D80" s="118"/>
      <c r="E80" s="110"/>
      <c r="F80" s="118"/>
      <c r="G80" s="23"/>
      <c r="H80" s="25">
        <f t="shared" si="35"/>
        <v>2.2475037773656857E-2</v>
      </c>
      <c r="I80" s="25">
        <f t="shared" si="36"/>
        <v>8.2033887873847533</v>
      </c>
      <c r="J80" s="117">
        <v>708772.7912300427</v>
      </c>
      <c r="K80" s="117">
        <v>2.3977998227918983E-2</v>
      </c>
      <c r="L80" s="117">
        <v>1.4258108591345227</v>
      </c>
      <c r="M80" s="117">
        <v>8.1973343833353578</v>
      </c>
      <c r="N80" s="117">
        <v>33805.208691422398</v>
      </c>
      <c r="O80" s="117">
        <v>17.58334853276039</v>
      </c>
      <c r="P80" s="117">
        <v>282.67566858516454</v>
      </c>
      <c r="Q80" s="117">
        <v>29.36118356452068</v>
      </c>
      <c r="R80" s="117">
        <v>2.8764928045321319</v>
      </c>
      <c r="S80" s="117">
        <v>4.282229783693732E-2</v>
      </c>
      <c r="T80" s="117">
        <v>207.3778094919964</v>
      </c>
      <c r="U80" s="117">
        <v>618.89524983226329</v>
      </c>
      <c r="V80" s="117">
        <v>444.04209548601921</v>
      </c>
      <c r="W80" s="117">
        <v>4231093.8982945886</v>
      </c>
      <c r="X80" s="117">
        <v>1313.6776919918268</v>
      </c>
      <c r="Y80" s="117">
        <v>17936609.560739629</v>
      </c>
      <c r="Z80" s="117">
        <v>1257154.633011634</v>
      </c>
      <c r="AA80" s="117">
        <v>213804.01847149266</v>
      </c>
      <c r="AB80" s="117">
        <v>78.350499662356185</v>
      </c>
      <c r="AC80" s="117">
        <v>15008.348676371981</v>
      </c>
      <c r="AD80" s="117">
        <v>45868.61224148397</v>
      </c>
      <c r="AE80" s="117">
        <v>39036691.149173334</v>
      </c>
      <c r="AF80" s="117">
        <v>204207.38937678645</v>
      </c>
      <c r="AG80" s="117">
        <v>29506.825749366526</v>
      </c>
      <c r="AH80" s="117">
        <v>2062.3025301624675</v>
      </c>
      <c r="AI80" s="117">
        <v>5.1454151335755139E-3</v>
      </c>
      <c r="AJ80" s="117">
        <v>2198.6202199559993</v>
      </c>
      <c r="AK80" s="117">
        <v>3922.0795197741686</v>
      </c>
      <c r="AL80" s="117">
        <v>1594.6559449810536</v>
      </c>
      <c r="AM80" s="117">
        <v>127.63750842079374</v>
      </c>
      <c r="AN80" s="117">
        <v>2.790971406418473E-4</v>
      </c>
      <c r="AO80" s="117">
        <v>29.007076957515029</v>
      </c>
      <c r="AP80" s="117">
        <v>4624.2206105235018</v>
      </c>
      <c r="AQ80" s="117">
        <v>146.98263295320331</v>
      </c>
      <c r="AS80" s="34">
        <f t="shared" ca="1" si="37"/>
        <v>1.6904882240180972</v>
      </c>
      <c r="AT80" s="34">
        <f t="shared" ca="1" si="38"/>
        <v>16931663.887286134</v>
      </c>
      <c r="AU80" s="34">
        <f t="shared" ca="1" si="39"/>
        <v>5.1735204796523847E-2</v>
      </c>
      <c r="AV80" s="34">
        <f t="shared" ca="1" si="40"/>
        <v>39.52344749339094</v>
      </c>
      <c r="AW80" s="34">
        <f t="shared" ca="1" si="41"/>
        <v>1.7316156190485823E-3</v>
      </c>
      <c r="AX80" s="34">
        <f t="shared" ca="1" si="42"/>
        <v>3.5751224793601342E-2</v>
      </c>
      <c r="AY80" s="34">
        <f t="shared" ca="1" si="43"/>
        <v>1.4397980120851046E-3</v>
      </c>
      <c r="AZ80" s="34">
        <f t="shared" ca="1" si="44"/>
        <v>7.3965382800179427E-5</v>
      </c>
      <c r="BA80" s="34">
        <f t="shared" ca="1" si="45"/>
        <v>1.0114479620394816E-6</v>
      </c>
      <c r="BB80" s="34">
        <f t="shared" ca="1" si="46"/>
        <v>735.66919967821275</v>
      </c>
      <c r="BC80" s="34">
        <f t="shared" ca="1" si="47"/>
        <v>151.20149237633777</v>
      </c>
      <c r="BD80" s="34">
        <f t="shared" ca="1" si="48"/>
        <v>1.9085948865055054</v>
      </c>
      <c r="BE80" s="34">
        <f t="shared" ca="1" si="49"/>
        <v>9.8452116523632878</v>
      </c>
      <c r="BF80" s="34">
        <f t="shared" ca="1" si="50"/>
        <v>0.33172902237633373</v>
      </c>
      <c r="BG80" s="34">
        <f t="shared" ca="1" si="51"/>
        <v>223.26808350707574</v>
      </c>
      <c r="BH80" s="34">
        <f t="shared" ca="1" si="52"/>
        <v>11.67584007275744</v>
      </c>
      <c r="BI80" s="34">
        <f t="shared" ca="1" si="53"/>
        <v>0.76785488091002296</v>
      </c>
      <c r="BJ80" s="34">
        <f t="shared" ca="1" si="54"/>
        <v>9.9316860905645783E-4</v>
      </c>
      <c r="BK80" s="34">
        <f t="shared" ca="1" si="55"/>
        <v>183047.88026096747</v>
      </c>
      <c r="BL80" s="34">
        <f t="shared" ca="1" si="56"/>
        <v>2.3642490439196123E-2</v>
      </c>
      <c r="BM80" s="34">
        <f t="shared" ca="1" si="57"/>
        <v>0.67071127046498247</v>
      </c>
      <c r="BN80" s="34">
        <f t="shared" ca="1" si="58"/>
        <v>0.1111238440115276</v>
      </c>
      <c r="BO80" s="34">
        <f t="shared" ca="1" si="59"/>
        <v>8.5482438508087117</v>
      </c>
      <c r="BP80" s="34">
        <f t="shared" ca="1" si="60"/>
        <v>748250.0307684422</v>
      </c>
      <c r="BQ80" s="34">
        <f t="shared" ca="1" si="61"/>
        <v>3.2664736614307362E-9</v>
      </c>
      <c r="BR80" s="34">
        <f t="shared" ca="1" si="62"/>
        <v>5.6689494326585144E-5</v>
      </c>
      <c r="BS80" s="34">
        <f t="shared" ca="1" si="63"/>
        <v>3.202889512556044E-3</v>
      </c>
      <c r="BT80" s="34">
        <f t="shared" ca="1" si="64"/>
        <v>8.863862515913187</v>
      </c>
      <c r="BU80" s="34">
        <f t="shared" ca="1" si="65"/>
        <v>26220.660400008059</v>
      </c>
      <c r="BV80" s="34">
        <f t="shared" ca="1" si="66"/>
        <v>6.1689022146162788E-11</v>
      </c>
      <c r="BW80" s="34">
        <f t="shared" ca="1" si="67"/>
        <v>1.9899749574672205E-7</v>
      </c>
      <c r="BX80" s="34">
        <f t="shared" ca="1" si="68"/>
        <v>1.0047439189741572E-3</v>
      </c>
      <c r="BY80" s="34">
        <f t="shared" ca="1" si="69"/>
        <v>1.9261081205922348</v>
      </c>
    </row>
    <row r="81" spans="1:77" ht="12.75" customHeight="1" x14ac:dyDescent="0.3">
      <c r="A81" s="118"/>
      <c r="B81" s="118"/>
      <c r="C81" s="118"/>
      <c r="D81" s="118"/>
      <c r="E81" s="110"/>
      <c r="F81" s="118"/>
      <c r="G81" s="23"/>
      <c r="H81" s="25">
        <f t="shared" si="35"/>
        <v>2.2810486098636815E-2</v>
      </c>
      <c r="I81" s="25">
        <f t="shared" si="36"/>
        <v>8.3258274260024372</v>
      </c>
      <c r="J81" s="117">
        <v>719351.4896066105</v>
      </c>
      <c r="K81" s="117">
        <v>2.2999288169541249E-2</v>
      </c>
      <c r="L81" s="117">
        <v>1.3675843526286424</v>
      </c>
      <c r="M81" s="117">
        <v>8.1364214318034858</v>
      </c>
      <c r="N81" s="117">
        <v>32163.613516453308</v>
      </c>
      <c r="O81" s="117">
        <v>17.415208806384626</v>
      </c>
      <c r="P81" s="117">
        <v>274.18282011647915</v>
      </c>
      <c r="Q81" s="117">
        <v>28.969223813399687</v>
      </c>
      <c r="R81" s="117">
        <v>2.9112561286678944</v>
      </c>
      <c r="S81" s="117">
        <v>4.3723569579938677E-2</v>
      </c>
      <c r="T81" s="117">
        <v>203.71218319009407</v>
      </c>
      <c r="U81" s="117">
        <v>612.85808344528812</v>
      </c>
      <c r="V81" s="117">
        <v>433.25539824913182</v>
      </c>
      <c r="W81" s="117">
        <v>4084164.8991284166</v>
      </c>
      <c r="X81" s="117">
        <v>1300.4322473191285</v>
      </c>
      <c r="Y81" s="117">
        <v>17322076.338446204</v>
      </c>
      <c r="Z81" s="117">
        <v>1253928.4873726806</v>
      </c>
      <c r="AA81" s="117">
        <v>215913.55054822462</v>
      </c>
      <c r="AB81" s="117">
        <v>80.327638873250621</v>
      </c>
      <c r="AC81" s="117">
        <v>14731.397343029756</v>
      </c>
      <c r="AD81" s="117">
        <v>45388.669639255873</v>
      </c>
      <c r="AE81" s="117">
        <v>38034433.805939406</v>
      </c>
      <c r="AF81" s="117">
        <v>193091.73010148274</v>
      </c>
      <c r="AG81" s="117">
        <v>29510.435318862921</v>
      </c>
      <c r="AH81" s="117">
        <v>2109.0138353052566</v>
      </c>
      <c r="AI81" s="117">
        <v>5.3738545423463718E-3</v>
      </c>
      <c r="AJ81" s="117">
        <v>2160.7501242155531</v>
      </c>
      <c r="AK81" s="117">
        <v>3620.8696785521233</v>
      </c>
      <c r="AL81" s="117">
        <v>1605.0463265021738</v>
      </c>
      <c r="AM81" s="117">
        <v>131.76230095936944</v>
      </c>
      <c r="AN81" s="117">
        <v>2.9378003689084281E-4</v>
      </c>
      <c r="AO81" s="117">
        <v>29.047508741800549</v>
      </c>
      <c r="AP81" s="117">
        <v>4278.1858207351388</v>
      </c>
      <c r="AQ81" s="117">
        <v>143.43726122246764</v>
      </c>
      <c r="AS81" s="34">
        <f t="shared" ca="1" si="37"/>
        <v>1.6214875587962108</v>
      </c>
      <c r="AT81" s="34">
        <f t="shared" ca="1" si="38"/>
        <v>16240217.591185631</v>
      </c>
      <c r="AU81" s="34">
        <f t="shared" ca="1" si="39"/>
        <v>5.1350769579550315E-2</v>
      </c>
      <c r="AV81" s="34">
        <f t="shared" ca="1" si="40"/>
        <v>37.604172233310756</v>
      </c>
      <c r="AW81" s="34">
        <f t="shared" ca="1" si="41"/>
        <v>1.7150571475019161E-3</v>
      </c>
      <c r="AX81" s="34">
        <f t="shared" ca="1" si="42"/>
        <v>3.4677097203272542E-2</v>
      </c>
      <c r="AY81" s="34">
        <f t="shared" ca="1" si="43"/>
        <v>1.4205772994990043E-3</v>
      </c>
      <c r="AZ81" s="34">
        <f t="shared" ca="1" si="44"/>
        <v>7.4859277814641879E-5</v>
      </c>
      <c r="BA81" s="34">
        <f t="shared" ca="1" si="45"/>
        <v>1.0327356909505674E-6</v>
      </c>
      <c r="BB81" s="34">
        <f t="shared" ca="1" si="46"/>
        <v>722.66545364364015</v>
      </c>
      <c r="BC81" s="34">
        <f t="shared" ca="1" si="47"/>
        <v>149.72656011973649</v>
      </c>
      <c r="BD81" s="34">
        <f t="shared" ca="1" si="48"/>
        <v>1.8622311849603339</v>
      </c>
      <c r="BE81" s="34">
        <f t="shared" ca="1" si="49"/>
        <v>9.5033267570070468</v>
      </c>
      <c r="BF81" s="34">
        <f t="shared" ca="1" si="50"/>
        <v>0.32838429144347309</v>
      </c>
      <c r="BG81" s="34">
        <f t="shared" ca="1" si="51"/>
        <v>215.61860804025162</v>
      </c>
      <c r="BH81" s="34">
        <f t="shared" ca="1" si="52"/>
        <v>11.645877203001627</v>
      </c>
      <c r="BI81" s="34">
        <f t="shared" ca="1" si="53"/>
        <v>0.77543104581625399</v>
      </c>
      <c r="BJ81" s="34">
        <f t="shared" ca="1" si="54"/>
        <v>1.0182307670319282E-3</v>
      </c>
      <c r="BK81" s="34">
        <f t="shared" ca="1" si="55"/>
        <v>179670.06997704503</v>
      </c>
      <c r="BL81" s="34">
        <f t="shared" ca="1" si="56"/>
        <v>2.3395109107386867E-2</v>
      </c>
      <c r="BM81" s="34">
        <f t="shared" ca="1" si="57"/>
        <v>0.65349092529165642</v>
      </c>
      <c r="BN81" s="34">
        <f t="shared" ca="1" si="58"/>
        <v>0.1050750188874033</v>
      </c>
      <c r="BO81" s="34">
        <f t="shared" ca="1" si="59"/>
        <v>8.5492895573348449</v>
      </c>
      <c r="BP81" s="34">
        <f t="shared" ca="1" si="60"/>
        <v>765197.9494172025</v>
      </c>
      <c r="BQ81" s="34">
        <f t="shared" ca="1" si="61"/>
        <v>3.4114942851533346E-9</v>
      </c>
      <c r="BR81" s="34">
        <f t="shared" ca="1" si="62"/>
        <v>5.5713047117494971E-5</v>
      </c>
      <c r="BS81" s="34">
        <f t="shared" ca="1" si="63"/>
        <v>2.9569123882614533E-3</v>
      </c>
      <c r="BT81" s="34">
        <f t="shared" ca="1" si="64"/>
        <v>8.9216172394828455</v>
      </c>
      <c r="BU81" s="34">
        <f t="shared" ca="1" si="65"/>
        <v>27068.019344198015</v>
      </c>
      <c r="BV81" s="34">
        <f t="shared" ca="1" si="66"/>
        <v>6.4934392234122349E-11</v>
      </c>
      <c r="BW81" s="34">
        <f t="shared" ca="1" si="67"/>
        <v>1.9927487025892039E-7</v>
      </c>
      <c r="BX81" s="34">
        <f t="shared" ca="1" si="68"/>
        <v>9.2955798385632585E-4</v>
      </c>
      <c r="BY81" s="34">
        <f t="shared" ca="1" si="69"/>
        <v>1.8796484188990268</v>
      </c>
    </row>
    <row r="82" spans="1:77" ht="12.75" customHeight="1" x14ac:dyDescent="0.3">
      <c r="A82" s="118"/>
      <c r="B82" s="118"/>
      <c r="C82" s="118"/>
      <c r="D82" s="118"/>
      <c r="E82" s="110"/>
      <c r="F82" s="118"/>
      <c r="G82" s="23"/>
      <c r="H82" s="25">
        <f t="shared" si="35"/>
        <v>2.3145934423616767E-2</v>
      </c>
      <c r="I82" s="25">
        <f t="shared" si="36"/>
        <v>8.4482660646201193</v>
      </c>
      <c r="J82" s="117">
        <v>729930.1879831783</v>
      </c>
      <c r="K82" s="117">
        <v>2.2060806952991115E-2</v>
      </c>
      <c r="L82" s="117">
        <v>1.3117513522949285</v>
      </c>
      <c r="M82" s="117">
        <v>8.0759611112872758</v>
      </c>
      <c r="N82" s="117">
        <v>30724.108514049822</v>
      </c>
      <c r="O82" s="117">
        <v>17.244804102141082</v>
      </c>
      <c r="P82" s="117">
        <v>265.92775130285548</v>
      </c>
      <c r="Q82" s="117">
        <v>28.575399605591304</v>
      </c>
      <c r="R82" s="117">
        <v>2.9446234985945932</v>
      </c>
      <c r="S82" s="117">
        <v>4.4608727055118091E-2</v>
      </c>
      <c r="T82" s="117">
        <v>200.06335236437567</v>
      </c>
      <c r="U82" s="117">
        <v>606.74323606432722</v>
      </c>
      <c r="V82" s="117">
        <v>422.71701996160266</v>
      </c>
      <c r="W82" s="117">
        <v>3948062.9616226559</v>
      </c>
      <c r="X82" s="117">
        <v>1287.156985372447</v>
      </c>
      <c r="Y82" s="117">
        <v>16728651.21440771</v>
      </c>
      <c r="Z82" s="117">
        <v>1250204.0228259775</v>
      </c>
      <c r="AA82" s="117">
        <v>217923.55596806499</v>
      </c>
      <c r="AB82" s="117">
        <v>82.293409331521104</v>
      </c>
      <c r="AC82" s="117">
        <v>14457.871630550955</v>
      </c>
      <c r="AD82" s="117">
        <v>44908.050606695215</v>
      </c>
      <c r="AE82" s="117">
        <v>37057908.835465431</v>
      </c>
      <c r="AF82" s="117">
        <v>183393.04925127371</v>
      </c>
      <c r="AG82" s="117">
        <v>29506.218706884247</v>
      </c>
      <c r="AH82" s="117">
        <v>2155.0338245507915</v>
      </c>
      <c r="AI82" s="117">
        <v>5.607065957607597E-3</v>
      </c>
      <c r="AJ82" s="117">
        <v>2122.8806892532311</v>
      </c>
      <c r="AK82" s="117">
        <v>3355.914595735951</v>
      </c>
      <c r="AL82" s="117">
        <v>1614.7031501298854</v>
      </c>
      <c r="AM82" s="117">
        <v>135.90184554300265</v>
      </c>
      <c r="AN82" s="117">
        <v>3.0892262714566867E-4</v>
      </c>
      <c r="AO82" s="117">
        <v>29.07231001256816</v>
      </c>
      <c r="AP82" s="117">
        <v>3978.1558043336277</v>
      </c>
      <c r="AQ82" s="117">
        <v>139.87295063643131</v>
      </c>
      <c r="AS82" s="34">
        <f t="shared" ca="1" si="37"/>
        <v>1.5553230929404691</v>
      </c>
      <c r="AT82" s="34">
        <f t="shared" ca="1" si="38"/>
        <v>15577194.44936231</v>
      </c>
      <c r="AU82" s="34">
        <f t="shared" ca="1" si="39"/>
        <v>5.0969191017825606E-2</v>
      </c>
      <c r="AV82" s="34">
        <f t="shared" ca="1" si="40"/>
        <v>35.921171223072825</v>
      </c>
      <c r="AW82" s="34">
        <f t="shared" ca="1" si="41"/>
        <v>1.6982756199744541E-3</v>
      </c>
      <c r="AX82" s="34">
        <f t="shared" ca="1" si="42"/>
        <v>3.3633042643077558E-2</v>
      </c>
      <c r="AY82" s="34">
        <f t="shared" ca="1" si="43"/>
        <v>1.4012651586833092E-3</v>
      </c>
      <c r="AZ82" s="34">
        <f t="shared" ca="1" si="44"/>
        <v>7.5717277628086529E-5</v>
      </c>
      <c r="BA82" s="34">
        <f t="shared" ca="1" si="45"/>
        <v>1.0536428063922328E-6</v>
      </c>
      <c r="BB82" s="34">
        <f t="shared" ca="1" si="46"/>
        <v>709.72128927092774</v>
      </c>
      <c r="BC82" s="34">
        <f t="shared" ca="1" si="47"/>
        <v>148.23264972067395</v>
      </c>
      <c r="BD82" s="34">
        <f t="shared" ca="1" si="48"/>
        <v>1.8169348152780318</v>
      </c>
      <c r="BE82" s="34">
        <f t="shared" ca="1" si="49"/>
        <v>9.1866350424646157</v>
      </c>
      <c r="BF82" s="34">
        <f t="shared" ca="1" si="50"/>
        <v>0.32503203107229695</v>
      </c>
      <c r="BG82" s="34">
        <f t="shared" ca="1" si="51"/>
        <v>208.23187814013556</v>
      </c>
      <c r="BH82" s="34">
        <f t="shared" ca="1" si="52"/>
        <v>11.611286189881957</v>
      </c>
      <c r="BI82" s="34">
        <f t="shared" ca="1" si="53"/>
        <v>0.78264977109239198</v>
      </c>
      <c r="BJ82" s="34">
        <f t="shared" ca="1" si="54"/>
        <v>1.043148815036449E-3</v>
      </c>
      <c r="BK82" s="34">
        <f t="shared" ca="1" si="55"/>
        <v>176334.03994830916</v>
      </c>
      <c r="BL82" s="34">
        <f t="shared" ca="1" si="56"/>
        <v>2.3147379116725972E-2</v>
      </c>
      <c r="BM82" s="34">
        <f t="shared" ca="1" si="57"/>
        <v>0.63671270243755962</v>
      </c>
      <c r="BN82" s="34">
        <f t="shared" ca="1" si="58"/>
        <v>9.9797273056533117E-2</v>
      </c>
      <c r="BO82" s="34">
        <f t="shared" ca="1" si="59"/>
        <v>8.5480679882062613</v>
      </c>
      <c r="BP82" s="34">
        <f t="shared" ca="1" si="60"/>
        <v>781895.04301298165</v>
      </c>
      <c r="BQ82" s="34">
        <f t="shared" ca="1" si="61"/>
        <v>3.5595443308192169E-9</v>
      </c>
      <c r="BR82" s="34">
        <f t="shared" ca="1" si="62"/>
        <v>5.473661694598927E-5</v>
      </c>
      <c r="BS82" s="34">
        <f t="shared" ca="1" si="63"/>
        <v>2.7405420031706381E-3</v>
      </c>
      <c r="BT82" s="34">
        <f t="shared" ca="1" si="64"/>
        <v>8.9752944964772841</v>
      </c>
      <c r="BU82" s="34">
        <f t="shared" ca="1" si="65"/>
        <v>27918.408811064612</v>
      </c>
      <c r="BV82" s="34">
        <f t="shared" ca="1" si="66"/>
        <v>6.8281368786558442E-11</v>
      </c>
      <c r="BW82" s="34">
        <f t="shared" ca="1" si="67"/>
        <v>1.9944501462683857E-7</v>
      </c>
      <c r="BX82" s="34">
        <f t="shared" ca="1" si="68"/>
        <v>8.6436789889301178E-4</v>
      </c>
      <c r="BY82" s="34">
        <f t="shared" ca="1" si="69"/>
        <v>1.8329405362999769</v>
      </c>
    </row>
    <row r="83" spans="1:77" ht="12.75" customHeight="1" x14ac:dyDescent="0.3">
      <c r="A83" s="118"/>
      <c r="B83" s="118"/>
      <c r="C83" s="118"/>
      <c r="D83" s="118"/>
      <c r="E83" s="110"/>
      <c r="F83" s="118"/>
      <c r="G83" s="23"/>
      <c r="H83" s="25">
        <f t="shared" si="35"/>
        <v>2.3481382748596718E-2</v>
      </c>
      <c r="I83" s="25">
        <f t="shared" si="36"/>
        <v>8.5707047032378014</v>
      </c>
      <c r="J83" s="117">
        <v>740508.8863597461</v>
      </c>
      <c r="K83" s="117">
        <v>2.1160935908274444E-2</v>
      </c>
      <c r="L83" s="117">
        <v>1.2582133529384578</v>
      </c>
      <c r="M83" s="117">
        <v>8.0159500584847017</v>
      </c>
      <c r="N83" s="117">
        <v>29446.493248975508</v>
      </c>
      <c r="O83" s="117">
        <v>17.072743597999768</v>
      </c>
      <c r="P83" s="117">
        <v>257.90854315579134</v>
      </c>
      <c r="Q83" s="117">
        <v>28.180859848001084</v>
      </c>
      <c r="R83" s="117">
        <v>2.9766356058152348</v>
      </c>
      <c r="S83" s="117">
        <v>4.5477769463315512E-2</v>
      </c>
      <c r="T83" s="117">
        <v>196.43999477186679</v>
      </c>
      <c r="U83" s="117">
        <v>600.57227978582421</v>
      </c>
      <c r="V83" s="117">
        <v>412.42395858338415</v>
      </c>
      <c r="W83" s="117">
        <v>3820833.3971267464</v>
      </c>
      <c r="X83" s="117">
        <v>1273.8684597801848</v>
      </c>
      <c r="Y83" s="117">
        <v>16155608.139117561</v>
      </c>
      <c r="Z83" s="117">
        <v>1246010.7213497641</v>
      </c>
      <c r="AA83" s="117">
        <v>219837.53136319053</v>
      </c>
      <c r="AB83" s="117">
        <v>84.246999434881317</v>
      </c>
      <c r="AC83" s="117">
        <v>14187.938998680558</v>
      </c>
      <c r="AD83" s="117">
        <v>44427.336369705183</v>
      </c>
      <c r="AE83" s="117">
        <v>36106455.637985922</v>
      </c>
      <c r="AF83" s="117">
        <v>174852.29456827324</v>
      </c>
      <c r="AG83" s="117">
        <v>29494.974058194119</v>
      </c>
      <c r="AH83" s="117">
        <v>2200.3533338705452</v>
      </c>
      <c r="AI83" s="117">
        <v>5.8449557115484996E-3</v>
      </c>
      <c r="AJ83" s="117">
        <v>2085.1318883690624</v>
      </c>
      <c r="AK83" s="117">
        <v>3122.9338088978584</v>
      </c>
      <c r="AL83" s="117">
        <v>1623.7084556424688</v>
      </c>
      <c r="AM83" s="117">
        <v>140.05412652484071</v>
      </c>
      <c r="AN83" s="117">
        <v>3.245258616471668E-4</v>
      </c>
      <c r="AO83" s="117">
        <v>29.083426780732662</v>
      </c>
      <c r="AP83" s="117">
        <v>3717.5684144738716</v>
      </c>
      <c r="AQ83" s="117">
        <v>136.31114436393446</v>
      </c>
      <c r="AS83" s="34">
        <f t="shared" ca="1" si="37"/>
        <v>1.4918807075599769</v>
      </c>
      <c r="AT83" s="34">
        <f t="shared" ca="1" si="38"/>
        <v>14941424.701577006</v>
      </c>
      <c r="AU83" s="34">
        <f t="shared" ca="1" si="39"/>
        <v>5.0590447884800827E-2</v>
      </c>
      <c r="AV83" s="34">
        <f t="shared" ca="1" si="40"/>
        <v>34.427444019467899</v>
      </c>
      <c r="AW83" s="34">
        <f t="shared" ca="1" si="41"/>
        <v>1.6813310285709816E-3</v>
      </c>
      <c r="AX83" s="34">
        <f t="shared" ca="1" si="42"/>
        <v>3.2618818410170176E-2</v>
      </c>
      <c r="AY83" s="34">
        <f t="shared" ca="1" si="43"/>
        <v>1.3819179291202147E-3</v>
      </c>
      <c r="AZ83" s="34">
        <f t="shared" ca="1" si="44"/>
        <v>7.6540428571167117E-5</v>
      </c>
      <c r="BA83" s="34">
        <f t="shared" ca="1" si="45"/>
        <v>1.0741692894885922E-6</v>
      </c>
      <c r="BB83" s="34">
        <f t="shared" ca="1" si="46"/>
        <v>696.86749075333921</v>
      </c>
      <c r="BC83" s="34">
        <f t="shared" ca="1" si="47"/>
        <v>146.72503142993466</v>
      </c>
      <c r="BD83" s="34">
        <f t="shared" ca="1" si="48"/>
        <v>1.7726928740011518</v>
      </c>
      <c r="BE83" s="34">
        <f t="shared" ca="1" si="49"/>
        <v>8.8905881994945002</v>
      </c>
      <c r="BF83" s="34">
        <f t="shared" ca="1" si="50"/>
        <v>0.32167642137410662</v>
      </c>
      <c r="BG83" s="34">
        <f t="shared" ca="1" si="51"/>
        <v>201.09885621903194</v>
      </c>
      <c r="BH83" s="34">
        <f t="shared" ca="1" si="52"/>
        <v>11.572340847656365</v>
      </c>
      <c r="BI83" s="34">
        <f t="shared" ca="1" si="53"/>
        <v>0.78952361452899134</v>
      </c>
      <c r="BJ83" s="34">
        <f t="shared" ca="1" si="54"/>
        <v>1.0679124652235186E-3</v>
      </c>
      <c r="BK83" s="34">
        <f t="shared" ca="1" si="55"/>
        <v>173041.83258142351</v>
      </c>
      <c r="BL83" s="34">
        <f t="shared" ca="1" si="56"/>
        <v>2.2899600053950152E-2</v>
      </c>
      <c r="BM83" s="34">
        <f t="shared" ca="1" si="57"/>
        <v>0.62036525176785895</v>
      </c>
      <c r="BN83" s="34">
        <f t="shared" ca="1" si="58"/>
        <v>9.5149637659836958E-2</v>
      </c>
      <c r="BO83" s="34">
        <f t="shared" ca="1" si="59"/>
        <v>8.5448103691103832</v>
      </c>
      <c r="BP83" s="34">
        <f t="shared" ca="1" si="60"/>
        <v>798337.98663883505</v>
      </c>
      <c r="BQ83" s="34">
        <f t="shared" ca="1" si="61"/>
        <v>3.7105643351142295E-9</v>
      </c>
      <c r="BR83" s="34">
        <f t="shared" ca="1" si="62"/>
        <v>5.3763297218400614E-5</v>
      </c>
      <c r="BS83" s="34">
        <f t="shared" ca="1" si="63"/>
        <v>2.5502828013802192E-3</v>
      </c>
      <c r="BT83" s="34">
        <f t="shared" ca="1" si="64"/>
        <v>9.0253503033292652</v>
      </c>
      <c r="BU83" s="34">
        <f t="shared" ca="1" si="65"/>
        <v>28771.414724900285</v>
      </c>
      <c r="BV83" s="34">
        <f t="shared" ca="1" si="66"/>
        <v>7.1730161835821112E-11</v>
      </c>
      <c r="BW83" s="34">
        <f t="shared" ca="1" si="67"/>
        <v>1.9952127908563851E-7</v>
      </c>
      <c r="BX83" s="34">
        <f t="shared" ca="1" si="68"/>
        <v>8.0774785037562565E-4</v>
      </c>
      <c r="BY83" s="34">
        <f t="shared" ca="1" si="69"/>
        <v>1.7862654710382411</v>
      </c>
    </row>
    <row r="84" spans="1:77" ht="12.75" customHeight="1" x14ac:dyDescent="0.3">
      <c r="A84" s="118"/>
      <c r="B84" s="118"/>
      <c r="C84" s="118"/>
      <c r="D84" s="118"/>
      <c r="E84" s="110"/>
      <c r="F84" s="118"/>
      <c r="G84" s="23"/>
      <c r="H84" s="25">
        <f t="shared" si="35"/>
        <v>2.3816831073576673E-2</v>
      </c>
      <c r="I84" s="25">
        <f t="shared" si="36"/>
        <v>8.6931433418554853</v>
      </c>
      <c r="J84" s="117">
        <v>751087.5847363139</v>
      </c>
      <c r="K84" s="117">
        <v>2.0297992275856248E-2</v>
      </c>
      <c r="L84" s="117">
        <v>1.2068759008250372</v>
      </c>
      <c r="M84" s="117">
        <v>7.9563849350775726</v>
      </c>
      <c r="N84" s="117">
        <v>28299.012949310312</v>
      </c>
      <c r="O84" s="117">
        <v>16.899514304589641</v>
      </c>
      <c r="P84" s="117">
        <v>250.12211734084593</v>
      </c>
      <c r="Q84" s="117">
        <v>27.786521902950351</v>
      </c>
      <c r="R84" s="117">
        <v>3.0073326272897254</v>
      </c>
      <c r="S84" s="117">
        <v>4.6330731597425907E-2</v>
      </c>
      <c r="T84" s="117">
        <v>192.84877737022785</v>
      </c>
      <c r="U84" s="117">
        <v>594.36245139698576</v>
      </c>
      <c r="V84" s="117">
        <v>402.37262685214273</v>
      </c>
      <c r="W84" s="117">
        <v>3700984.6807156792</v>
      </c>
      <c r="X84" s="117">
        <v>1260.5801868359792</v>
      </c>
      <c r="Y84" s="117">
        <v>15602246.023305658</v>
      </c>
      <c r="Z84" s="117">
        <v>1241376.0256205697</v>
      </c>
      <c r="AA84" s="117">
        <v>221658.85296562684</v>
      </c>
      <c r="AB84" s="117">
        <v>86.187649195838077</v>
      </c>
      <c r="AC84" s="117">
        <v>13921.718449624781</v>
      </c>
      <c r="AD84" s="117">
        <v>43947.000317555678</v>
      </c>
      <c r="AE84" s="117">
        <v>35179430.549968168</v>
      </c>
      <c r="AF84" s="117">
        <v>167258.43563046455</v>
      </c>
      <c r="AG84" s="117">
        <v>29477.346237214591</v>
      </c>
      <c r="AH84" s="117">
        <v>2244.965201670097</v>
      </c>
      <c r="AI84" s="117">
        <v>6.0874294510274334E-3</v>
      </c>
      <c r="AJ84" s="117">
        <v>2047.5988270101836</v>
      </c>
      <c r="AK84" s="117">
        <v>2917.9346726011217</v>
      </c>
      <c r="AL84" s="117">
        <v>1632.1342851040993</v>
      </c>
      <c r="AM84" s="117">
        <v>144.21735328827577</v>
      </c>
      <c r="AN84" s="117">
        <v>3.405904690401619E-4</v>
      </c>
      <c r="AO84" s="117">
        <v>29.082568331432878</v>
      </c>
      <c r="AP84" s="117">
        <v>3490.5721889260271</v>
      </c>
      <c r="AQ84" s="117">
        <v>132.76944625594183</v>
      </c>
      <c r="AS84" s="34">
        <f t="shared" ca="1" si="37"/>
        <v>1.4310417653460352</v>
      </c>
      <c r="AT84" s="34">
        <f t="shared" ca="1" si="38"/>
        <v>14331786.699141176</v>
      </c>
      <c r="AU84" s="34">
        <f t="shared" ca="1" si="39"/>
        <v>5.0214519111605634E-2</v>
      </c>
      <c r="AV84" s="34">
        <f t="shared" ca="1" si="40"/>
        <v>33.085864448476364</v>
      </c>
      <c r="AW84" s="34">
        <f t="shared" ca="1" si="41"/>
        <v>1.6642713343047364E-3</v>
      </c>
      <c r="AX84" s="34">
        <f t="shared" ca="1" si="42"/>
        <v>3.1634035174166457E-2</v>
      </c>
      <c r="AY84" s="34">
        <f t="shared" ca="1" si="43"/>
        <v>1.3625805959324665E-3</v>
      </c>
      <c r="AZ84" s="34">
        <f t="shared" ca="1" si="44"/>
        <v>7.7329763743710803E-5</v>
      </c>
      <c r="BA84" s="34">
        <f t="shared" ca="1" si="45"/>
        <v>1.0943159620358707E-6</v>
      </c>
      <c r="BB84" s="34">
        <f t="shared" ca="1" si="46"/>
        <v>684.12770900809824</v>
      </c>
      <c r="BC84" s="34">
        <f t="shared" ca="1" si="47"/>
        <v>145.20791634455017</v>
      </c>
      <c r="BD84" s="34">
        <f t="shared" ca="1" si="48"/>
        <v>1.7294899422524841</v>
      </c>
      <c r="BE84" s="34">
        <f t="shared" ca="1" si="49"/>
        <v>8.6117156413112337</v>
      </c>
      <c r="BF84" s="34">
        <f t="shared" ca="1" si="50"/>
        <v>0.31832087547443655</v>
      </c>
      <c r="BG84" s="34">
        <f t="shared" ca="1" si="51"/>
        <v>194.21081538476128</v>
      </c>
      <c r="BH84" s="34">
        <f t="shared" ca="1" si="52"/>
        <v>11.529296050541527</v>
      </c>
      <c r="BI84" s="34">
        <f t="shared" ca="1" si="53"/>
        <v>0.79606470151199415</v>
      </c>
      <c r="BJ84" s="34">
        <f t="shared" ca="1" si="54"/>
        <v>1.092512084014223E-3</v>
      </c>
      <c r="BK84" s="34">
        <f t="shared" ca="1" si="55"/>
        <v>169794.89927534369</v>
      </c>
      <c r="BL84" s="34">
        <f t="shared" ca="1" si="56"/>
        <v>2.2652015922545475E-2</v>
      </c>
      <c r="BM84" s="34">
        <f t="shared" ca="1" si="57"/>
        <v>0.60443751413862945</v>
      </c>
      <c r="BN84" s="34">
        <f t="shared" ca="1" si="58"/>
        <v>9.1017275953309384E-2</v>
      </c>
      <c r="BO84" s="34">
        <f t="shared" ca="1" si="59"/>
        <v>8.5397035198148554</v>
      </c>
      <c r="BP84" s="34">
        <f t="shared" ca="1" si="60"/>
        <v>814524.18190623005</v>
      </c>
      <c r="BQ84" s="34">
        <f t="shared" ca="1" si="61"/>
        <v>3.8644943996542653E-9</v>
      </c>
      <c r="BR84" s="34">
        <f t="shared" ca="1" si="62"/>
        <v>5.2795540145282226E-5</v>
      </c>
      <c r="BS84" s="34">
        <f t="shared" ca="1" si="63"/>
        <v>2.3828742671020385E-3</v>
      </c>
      <c r="BT84" s="34">
        <f t="shared" ca="1" si="64"/>
        <v>9.0721851043817967</v>
      </c>
      <c r="BU84" s="34">
        <f t="shared" ca="1" si="65"/>
        <v>29626.669238114144</v>
      </c>
      <c r="BV84" s="34">
        <f t="shared" ca="1" si="66"/>
        <v>7.5280932434748894E-11</v>
      </c>
      <c r="BW84" s="34">
        <f t="shared" ca="1" si="67"/>
        <v>1.9951538985863598E-7</v>
      </c>
      <c r="BX84" s="34">
        <f t="shared" ca="1" si="68"/>
        <v>7.5842644111365199E-4</v>
      </c>
      <c r="BY84" s="34">
        <f t="shared" ca="1" si="69"/>
        <v>1.7398539096896111</v>
      </c>
    </row>
    <row r="85" spans="1:77" ht="12.75" customHeight="1" x14ac:dyDescent="0.3">
      <c r="A85" s="118"/>
      <c r="B85" s="118"/>
      <c r="C85" s="118"/>
      <c r="D85" s="118"/>
      <c r="E85" s="110"/>
      <c r="F85" s="118"/>
      <c r="G85" s="23"/>
      <c r="H85" s="25">
        <f t="shared" si="35"/>
        <v>2.4152279398556624E-2</v>
      </c>
      <c r="I85" s="25">
        <f t="shared" si="36"/>
        <v>8.8155819804731674</v>
      </c>
      <c r="J85" s="117">
        <v>761666.28311288171</v>
      </c>
      <c r="K85" s="117">
        <v>1.9470496360179276E-2</v>
      </c>
      <c r="L85" s="117">
        <v>1.1576484326311893</v>
      </c>
      <c r="M85" s="117">
        <v>7.8972624275513308</v>
      </c>
      <c r="N85" s="117">
        <v>27256.733533109244</v>
      </c>
      <c r="O85" s="117">
        <v>16.725505634797699</v>
      </c>
      <c r="P85" s="117">
        <v>242.5645213938073</v>
      </c>
      <c r="Q85" s="117">
        <v>27.393117575810106</v>
      </c>
      <c r="R85" s="117">
        <v>3.0367540812682443</v>
      </c>
      <c r="S85" s="117">
        <v>4.7167676952457244E-2</v>
      </c>
      <c r="T85" s="117">
        <v>189.29476656771797</v>
      </c>
      <c r="U85" s="117">
        <v>588.12752435712787</v>
      </c>
      <c r="V85" s="117">
        <v>392.55900026823156</v>
      </c>
      <c r="W85" s="117">
        <v>3587380.5883030142</v>
      </c>
      <c r="X85" s="117">
        <v>1247.3033073760373</v>
      </c>
      <c r="Y85" s="117">
        <v>15067887.913337205</v>
      </c>
      <c r="Z85" s="117">
        <v>1236325.6187727081</v>
      </c>
      <c r="AA85" s="117">
        <v>223390.78061000386</v>
      </c>
      <c r="AB85" s="117">
        <v>88.114646987821985</v>
      </c>
      <c r="AC85" s="117">
        <v>13659.29150336728</v>
      </c>
      <c r="AD85" s="117">
        <v>43467.431511497831</v>
      </c>
      <c r="AE85" s="117">
        <v>34276206.427351475</v>
      </c>
      <c r="AF85" s="117">
        <v>160440.61082184888</v>
      </c>
      <c r="AG85" s="117">
        <v>29453.855538290354</v>
      </c>
      <c r="AH85" s="117">
        <v>2288.8638988070716</v>
      </c>
      <c r="AI85" s="117">
        <v>6.3343923374162133E-3</v>
      </c>
      <c r="AJ85" s="117">
        <v>2010.3562699595209</v>
      </c>
      <c r="AK85" s="117">
        <v>2737.2621233896475</v>
      </c>
      <c r="AL85" s="117">
        <v>1640.0434458421344</v>
      </c>
      <c r="AM85" s="117">
        <v>148.38993302820211</v>
      </c>
      <c r="AN85" s="117">
        <v>3.5711698017761701E-4</v>
      </c>
      <c r="AO85" s="117">
        <v>29.071225944199881</v>
      </c>
      <c r="AP85" s="117">
        <v>3292.0257756919432</v>
      </c>
      <c r="AQ85" s="117">
        <v>129.26210672966846</v>
      </c>
      <c r="AS85" s="34">
        <f t="shared" ca="1" si="37"/>
        <v>1.372701945333612</v>
      </c>
      <c r="AT85" s="34">
        <f t="shared" ca="1" si="38"/>
        <v>13747204.992429921</v>
      </c>
      <c r="AU85" s="34">
        <f t="shared" ca="1" si="39"/>
        <v>4.9841383785910943E-2</v>
      </c>
      <c r="AV85" s="34">
        <f t="shared" ca="1" si="40"/>
        <v>31.867280763468152</v>
      </c>
      <c r="AW85" s="34">
        <f t="shared" ca="1" si="41"/>
        <v>1.6471348867219454E-3</v>
      </c>
      <c r="AX85" s="34">
        <f t="shared" ca="1" si="42"/>
        <v>3.067819304967747E-2</v>
      </c>
      <c r="AY85" s="34">
        <f t="shared" ca="1" si="43"/>
        <v>1.343289045000349E-3</v>
      </c>
      <c r="AZ85" s="34">
        <f t="shared" ca="1" si="44"/>
        <v>7.8086299307655304E-5</v>
      </c>
      <c r="BA85" s="34">
        <f t="shared" ca="1" si="45"/>
        <v>1.1140843237643408E-6</v>
      </c>
      <c r="BB85" s="34">
        <f t="shared" ca="1" si="46"/>
        <v>671.51991703105421</v>
      </c>
      <c r="BC85" s="34">
        <f t="shared" ca="1" si="47"/>
        <v>143.68466944042609</v>
      </c>
      <c r="BD85" s="34">
        <f t="shared" ca="1" si="48"/>
        <v>1.6873087218084484</v>
      </c>
      <c r="BE85" s="34">
        <f t="shared" ca="1" si="49"/>
        <v>8.3473735205116597</v>
      </c>
      <c r="BF85" s="34">
        <f t="shared" ca="1" si="50"/>
        <v>0.31496820664988112</v>
      </c>
      <c r="BG85" s="34">
        <f t="shared" ca="1" si="51"/>
        <v>187.55932917633871</v>
      </c>
      <c r="BH85" s="34">
        <f t="shared" ca="1" si="52"/>
        <v>11.482390330982804</v>
      </c>
      <c r="BI85" s="34">
        <f t="shared" ca="1" si="53"/>
        <v>0.8022847393982101</v>
      </c>
      <c r="BJ85" s="34">
        <f t="shared" ca="1" si="54"/>
        <v>1.1169386508512822E-3</v>
      </c>
      <c r="BK85" s="34">
        <f t="shared" ca="1" si="55"/>
        <v>166594.2342807051</v>
      </c>
      <c r="BL85" s="34">
        <f t="shared" ca="1" si="56"/>
        <v>2.2404827260013735E-2</v>
      </c>
      <c r="BM85" s="34">
        <f t="shared" ca="1" si="57"/>
        <v>0.58891871423625375</v>
      </c>
      <c r="BN85" s="34">
        <f t="shared" ca="1" si="58"/>
        <v>8.7307209912885028E-2</v>
      </c>
      <c r="BO85" s="34">
        <f t="shared" ca="1" si="59"/>
        <v>8.5328981716443693</v>
      </c>
      <c r="BP85" s="34">
        <f t="shared" ca="1" si="60"/>
        <v>830451.62271718029</v>
      </c>
      <c r="BQ85" s="34">
        <f t="shared" ca="1" si="61"/>
        <v>4.021274317852876E-9</v>
      </c>
      <c r="BR85" s="34">
        <f t="shared" ca="1" si="62"/>
        <v>5.1835273470998058E-5</v>
      </c>
      <c r="BS85" s="34">
        <f t="shared" ca="1" si="63"/>
        <v>2.2353315642683344E-3</v>
      </c>
      <c r="BT85" s="34">
        <f t="shared" ca="1" si="64"/>
        <v>9.1161480128818084</v>
      </c>
      <c r="BU85" s="34">
        <f t="shared" ca="1" si="65"/>
        <v>30483.845139667064</v>
      </c>
      <c r="BV85" s="34">
        <f t="shared" ca="1" si="66"/>
        <v>7.8933797918116772E-11</v>
      </c>
      <c r="BW85" s="34">
        <f t="shared" ca="1" si="67"/>
        <v>1.9943757758342943E-7</v>
      </c>
      <c r="BX85" s="34">
        <f t="shared" ca="1" si="68"/>
        <v>7.1528656563342658E-4</v>
      </c>
      <c r="BY85" s="34">
        <f t="shared" ca="1" si="69"/>
        <v>1.6938925943457765</v>
      </c>
    </row>
    <row r="86" spans="1:77" ht="12.75" customHeight="1" x14ac:dyDescent="0.3">
      <c r="A86" s="118"/>
      <c r="B86" s="118"/>
      <c r="C86" s="118"/>
      <c r="D86" s="118"/>
      <c r="E86" s="110"/>
      <c r="F86" s="118"/>
      <c r="G86" s="23"/>
      <c r="H86" s="25">
        <f t="shared" si="35"/>
        <v>2.4487727723536579E-2</v>
      </c>
      <c r="I86" s="25">
        <f t="shared" si="36"/>
        <v>8.9380206190908513</v>
      </c>
      <c r="J86" s="117">
        <v>772244.98148944951</v>
      </c>
      <c r="K86" s="117">
        <v>1.8677075290573067E-2</v>
      </c>
      <c r="L86" s="117">
        <v>1.110444112602142</v>
      </c>
      <c r="M86" s="117">
        <v>7.8385792470084441</v>
      </c>
      <c r="N86" s="117">
        <v>26300.107185309836</v>
      </c>
      <c r="O86" s="117">
        <v>16.551030938180254</v>
      </c>
      <c r="P86" s="117">
        <v>235.23117728179562</v>
      </c>
      <c r="Q86" s="117">
        <v>27.001233449275386</v>
      </c>
      <c r="R86" s="117">
        <v>3.0649387077485133</v>
      </c>
      <c r="S86" s="117">
        <v>4.7988691665497338E-2</v>
      </c>
      <c r="T86" s="117">
        <v>185.78178768849722</v>
      </c>
      <c r="U86" s="117">
        <v>581.87857305898262</v>
      </c>
      <c r="V86" s="117">
        <v>382.97874617258731</v>
      </c>
      <c r="W86" s="117">
        <v>3479147.0195371057</v>
      </c>
      <c r="X86" s="117">
        <v>1234.0471598100794</v>
      </c>
      <c r="Y86" s="117">
        <v>14551880.151423834</v>
      </c>
      <c r="Z86" s="117">
        <v>1230883.6713321225</v>
      </c>
      <c r="AA86" s="117">
        <v>225036.46180501298</v>
      </c>
      <c r="AB86" s="117">
        <v>90.027326468364677</v>
      </c>
      <c r="AC86" s="117">
        <v>13400.711696759847</v>
      </c>
      <c r="AD86" s="117">
        <v>42988.955038131528</v>
      </c>
      <c r="AE86" s="117">
        <v>33396172.217829958</v>
      </c>
      <c r="AF86" s="117">
        <v>154260.9755745974</v>
      </c>
      <c r="AG86" s="117">
        <v>29424.923322808099</v>
      </c>
      <c r="AH86" s="117">
        <v>2332.0452017672992</v>
      </c>
      <c r="AI86" s="117">
        <v>6.5857492246532605E-3</v>
      </c>
      <c r="AJ86" s="117">
        <v>1973.4626893571676</v>
      </c>
      <c r="AK86" s="117">
        <v>2577.6285137457694</v>
      </c>
      <c r="AL86" s="117">
        <v>1647.4903433344466</v>
      </c>
      <c r="AM86" s="117">
        <v>152.57044467047365</v>
      </c>
      <c r="AN86" s="117">
        <v>3.7410575034492515E-4</v>
      </c>
      <c r="AO86" s="117">
        <v>29.050693090912553</v>
      </c>
      <c r="AP86" s="117">
        <v>3117.4766050585795</v>
      </c>
      <c r="AQ86" s="117">
        <v>125.800494407023</v>
      </c>
      <c r="AS86" s="34">
        <f t="shared" ca="1" si="37"/>
        <v>1.3167644578874989</v>
      </c>
      <c r="AT86" s="34">
        <f t="shared" ca="1" si="38"/>
        <v>13186648.397114841</v>
      </c>
      <c r="AU86" s="34">
        <f t="shared" ca="1" si="39"/>
        <v>4.94710211507512E-2</v>
      </c>
      <c r="AV86" s="34">
        <f t="shared" ca="1" si="40"/>
        <v>30.74883858572062</v>
      </c>
      <c r="AW86" s="34">
        <f t="shared" ca="1" si="41"/>
        <v>1.6299525446197779E-3</v>
      </c>
      <c r="AX86" s="34">
        <f t="shared" ca="1" si="42"/>
        <v>2.975071303291623E-2</v>
      </c>
      <c r="AY86" s="34">
        <f t="shared" ca="1" si="43"/>
        <v>1.3240720408522531E-3</v>
      </c>
      <c r="AZ86" s="34">
        <f t="shared" ca="1" si="44"/>
        <v>7.8811031413158426E-5</v>
      </c>
      <c r="BA86" s="34">
        <f t="shared" ca="1" si="45"/>
        <v>1.1334764092024215E-6</v>
      </c>
      <c r="BB86" s="34">
        <f t="shared" ca="1" si="46"/>
        <v>659.05768509363691</v>
      </c>
      <c r="BC86" s="34">
        <f t="shared" ca="1" si="47"/>
        <v>142.1579962880264</v>
      </c>
      <c r="BD86" s="34">
        <f t="shared" ca="1" si="48"/>
        <v>1.6461305899055334</v>
      </c>
      <c r="BE86" s="34">
        <f t="shared" ca="1" si="49"/>
        <v>8.0955279179310864</v>
      </c>
      <c r="BF86" s="34">
        <f t="shared" ca="1" si="50"/>
        <v>0.31162077302948971</v>
      </c>
      <c r="BG86" s="34">
        <f t="shared" ca="1" si="51"/>
        <v>181.13626111060205</v>
      </c>
      <c r="BH86" s="34">
        <f t="shared" ca="1" si="52"/>
        <v>11.43184817305557</v>
      </c>
      <c r="BI86" s="34">
        <f t="shared" ca="1" si="53"/>
        <v>0.80819503213753052</v>
      </c>
      <c r="BJ86" s="34">
        <f t="shared" ca="1" si="54"/>
        <v>1.1411837191973376E-3</v>
      </c>
      <c r="BK86" s="34">
        <f t="shared" ca="1" si="55"/>
        <v>163440.4905545683</v>
      </c>
      <c r="BL86" s="34">
        <f t="shared" ca="1" si="56"/>
        <v>2.215820162880024E-2</v>
      </c>
      <c r="BM86" s="34">
        <f t="shared" ca="1" si="57"/>
        <v>0.57379835322857331</v>
      </c>
      <c r="BN86" s="34">
        <f t="shared" ca="1" si="58"/>
        <v>8.3944428451550826E-2</v>
      </c>
      <c r="BO86" s="34">
        <f t="shared" ca="1" si="59"/>
        <v>8.5245163946553024</v>
      </c>
      <c r="BP86" s="34">
        <f t="shared" ca="1" si="60"/>
        <v>846118.77668516117</v>
      </c>
      <c r="BQ86" s="34">
        <f t="shared" ca="1" si="61"/>
        <v>4.1808436879550874E-9</v>
      </c>
      <c r="BR86" s="34">
        <f t="shared" ca="1" si="62"/>
        <v>5.0884004848404219E-5</v>
      </c>
      <c r="BS86" s="34">
        <f t="shared" ca="1" si="63"/>
        <v>2.1049698998497398E-3</v>
      </c>
      <c r="BT86" s="34">
        <f t="shared" ca="1" si="64"/>
        <v>9.1575414405673889</v>
      </c>
      <c r="BU86" s="34">
        <f t="shared" ca="1" si="65"/>
        <v>31342.65049732809</v>
      </c>
      <c r="BV86" s="34">
        <f t="shared" ca="1" si="66"/>
        <v>8.2688836814885763E-11</v>
      </c>
      <c r="BW86" s="34">
        <f t="shared" ca="1" si="67"/>
        <v>1.9929671587610546E-7</v>
      </c>
      <c r="BX86" s="34">
        <f t="shared" ca="1" si="68"/>
        <v>6.7736077607296686E-4</v>
      </c>
      <c r="BY86" s="34">
        <f t="shared" ca="1" si="69"/>
        <v>1.6485305031175403</v>
      </c>
    </row>
    <row r="87" spans="1:77" ht="12.75" customHeight="1" x14ac:dyDescent="0.3">
      <c r="A87" s="118"/>
      <c r="B87" s="118"/>
      <c r="C87" s="118"/>
      <c r="D87" s="118"/>
      <c r="E87" s="110"/>
      <c r="F87" s="118"/>
      <c r="G87" s="23"/>
      <c r="H87" s="25">
        <f t="shared" si="35"/>
        <v>2.482317604851653E-2</v>
      </c>
      <c r="I87" s="25">
        <f t="shared" si="36"/>
        <v>9.0604592577085334</v>
      </c>
      <c r="J87" s="117">
        <v>782823.67986601731</v>
      </c>
      <c r="K87" s="117">
        <v>1.7916140399906751E-2</v>
      </c>
      <c r="L87" s="117">
        <v>1.0651796794851283</v>
      </c>
      <c r="M87" s="117">
        <v>7.7803321289868572</v>
      </c>
      <c r="N87" s="117">
        <v>25413.834592013824</v>
      </c>
      <c r="O87" s="117">
        <v>16.376343741891251</v>
      </c>
      <c r="P87" s="117">
        <v>228.11706653083334</v>
      </c>
      <c r="Q87" s="117">
        <v>26.611341308624894</v>
      </c>
      <c r="R87" s="117">
        <v>3.0919243904430309</v>
      </c>
      <c r="S87" s="117">
        <v>4.879388000503608E-2</v>
      </c>
      <c r="T87" s="117">
        <v>182.31269567107046</v>
      </c>
      <c r="U87" s="117">
        <v>575.62454921012306</v>
      </c>
      <c r="V87" s="117">
        <v>373.62732012410208</v>
      </c>
      <c r="W87" s="117">
        <v>3375608.4307815344</v>
      </c>
      <c r="X87" s="117">
        <v>1220.8196734384292</v>
      </c>
      <c r="Y87" s="117">
        <v>14053591.578438563</v>
      </c>
      <c r="Z87" s="117">
        <v>1225073.0190025729</v>
      </c>
      <c r="AA87" s="117">
        <v>226598.93559080243</v>
      </c>
      <c r="AB87" s="117">
        <v>91.925064010698335</v>
      </c>
      <c r="AC87" s="117">
        <v>13146.011098707224</v>
      </c>
      <c r="AD87" s="117">
        <v>42511.845980289574</v>
      </c>
      <c r="AE87" s="117">
        <v>32538732.550745655</v>
      </c>
      <c r="AF87" s="117">
        <v>148608.63777650811</v>
      </c>
      <c r="AG87" s="117">
        <v>29390.892273245408</v>
      </c>
      <c r="AH87" s="117">
        <v>2374.5059445002262</v>
      </c>
      <c r="AI87" s="117">
        <v>6.8414047951321855E-3</v>
      </c>
      <c r="AJ87" s="117">
        <v>1936.9634645746407</v>
      </c>
      <c r="AK87" s="117">
        <v>2436.1140260157358</v>
      </c>
      <c r="AL87" s="117">
        <v>1654.5218797743012</v>
      </c>
      <c r="AM87" s="117">
        <v>156.75761567017403</v>
      </c>
      <c r="AN87" s="117">
        <v>3.9155697802227096E-4</v>
      </c>
      <c r="AO87" s="117">
        <v>29.022086905224331</v>
      </c>
      <c r="AP87" s="117">
        <v>2963.1082179346267</v>
      </c>
      <c r="AQ87" s="117">
        <v>122.3935327667276</v>
      </c>
      <c r="AS87" s="34">
        <f t="shared" ca="1" si="37"/>
        <v>1.263117299367897</v>
      </c>
      <c r="AT87" s="34">
        <f t="shared" ca="1" si="38"/>
        <v>12649128.176479803</v>
      </c>
      <c r="AU87" s="34">
        <f t="shared" ca="1" si="39"/>
        <v>4.9103410603378604E-2</v>
      </c>
      <c r="AV87" s="34">
        <f t="shared" ca="1" si="40"/>
        <v>29.712650682675537</v>
      </c>
      <c r="AW87" s="34">
        <f t="shared" ca="1" si="41"/>
        <v>1.6127492754598534E-3</v>
      </c>
      <c r="AX87" s="34">
        <f t="shared" ca="1" si="42"/>
        <v>2.8850960415588996E-2</v>
      </c>
      <c r="AY87" s="34">
        <f t="shared" ca="1" si="43"/>
        <v>1.3049527186422818E-3</v>
      </c>
      <c r="AZ87" s="34">
        <f t="shared" ca="1" si="44"/>
        <v>7.9504934192083977E-5</v>
      </c>
      <c r="BA87" s="34">
        <f t="shared" ca="1" si="45"/>
        <v>1.15249468113602E-6</v>
      </c>
      <c r="BB87" s="34">
        <f t="shared" ca="1" si="46"/>
        <v>646.75114104091404</v>
      </c>
      <c r="BC87" s="34">
        <f t="shared" ca="1" si="47"/>
        <v>140.63008386736868</v>
      </c>
      <c r="BD87" s="34">
        <f t="shared" ca="1" si="48"/>
        <v>1.6059360134923717</v>
      </c>
      <c r="BE87" s="34">
        <f t="shared" ca="1" si="49"/>
        <v>7.8546069303594166</v>
      </c>
      <c r="BF87" s="34">
        <f t="shared" ca="1" si="50"/>
        <v>0.30828057691493838</v>
      </c>
      <c r="BG87" s="34">
        <f t="shared" ca="1" si="51"/>
        <v>174.9337547591559</v>
      </c>
      <c r="BH87" s="34">
        <f t="shared" ca="1" si="52"/>
        <v>11.37788166365673</v>
      </c>
      <c r="BI87" s="34">
        <f t="shared" ca="1" si="53"/>
        <v>0.81380649412636286</v>
      </c>
      <c r="BJ87" s="34">
        <f t="shared" ca="1" si="54"/>
        <v>1.1652393839779833E-3</v>
      </c>
      <c r="BK87" s="34">
        <f t="shared" ca="1" si="55"/>
        <v>160334.05922224378</v>
      </c>
      <c r="BL87" s="34">
        <f t="shared" ca="1" si="56"/>
        <v>2.1912280817438075E-2</v>
      </c>
      <c r="BM87" s="34">
        <f t="shared" ca="1" si="57"/>
        <v>0.5590662017186121</v>
      </c>
      <c r="BN87" s="34">
        <f t="shared" ca="1" si="58"/>
        <v>8.086858724084714E-2</v>
      </c>
      <c r="BO87" s="34">
        <f t="shared" ca="1" si="59"/>
        <v>8.5146574653136025</v>
      </c>
      <c r="BP87" s="34">
        <f t="shared" ca="1" si="60"/>
        <v>861524.4950953793</v>
      </c>
      <c r="BQ87" s="34">
        <f t="shared" ca="1" si="61"/>
        <v>4.3431419993038078E-9</v>
      </c>
      <c r="BR87" s="34">
        <f t="shared" ca="1" si="62"/>
        <v>4.994290434480054E-5</v>
      </c>
      <c r="BS87" s="34">
        <f t="shared" ca="1" si="63"/>
        <v>1.989404861879433E-3</v>
      </c>
      <c r="BT87" s="34">
        <f t="shared" ca="1" si="64"/>
        <v>9.1966260923223135</v>
      </c>
      <c r="BU87" s="34">
        <f t="shared" ca="1" si="65"/>
        <v>32202.823891327214</v>
      </c>
      <c r="BV87" s="34">
        <f t="shared" ca="1" si="66"/>
        <v>8.6546092995259907E-11</v>
      </c>
      <c r="BW87" s="34">
        <f t="shared" ca="1" si="67"/>
        <v>1.991004686181291E-7</v>
      </c>
      <c r="BX87" s="34">
        <f t="shared" ca="1" si="68"/>
        <v>6.43819837759671E-4</v>
      </c>
      <c r="BY87" s="34">
        <f t="shared" ca="1" si="69"/>
        <v>1.6038845721658987</v>
      </c>
    </row>
    <row r="88" spans="1:77" ht="12.75" customHeight="1" x14ac:dyDescent="0.3">
      <c r="A88" s="118"/>
      <c r="B88" s="118"/>
      <c r="C88" s="118"/>
      <c r="D88" s="118"/>
      <c r="E88" s="110"/>
      <c r="F88" s="118"/>
      <c r="G88" s="23"/>
      <c r="H88" s="25">
        <f t="shared" si="35"/>
        <v>2.5158624373496485E-2</v>
      </c>
      <c r="I88" s="25">
        <f t="shared" si="36"/>
        <v>9.1828978963262173</v>
      </c>
      <c r="J88" s="117">
        <v>793402.37824258511</v>
      </c>
      <c r="K88" s="117">
        <v>1.7186587216349802E-2</v>
      </c>
      <c r="L88" s="117">
        <v>1.021775299456511</v>
      </c>
      <c r="M88" s="117">
        <v>7.7225178332768509</v>
      </c>
      <c r="N88" s="117">
        <v>24585.953324316026</v>
      </c>
      <c r="O88" s="117">
        <v>16.201650640576087</v>
      </c>
      <c r="P88" s="117">
        <v>221.21687548653694</v>
      </c>
      <c r="Q88" s="117">
        <v>26.223822324059729</v>
      </c>
      <c r="R88" s="117">
        <v>3.1177481027733478</v>
      </c>
      <c r="S88" s="117">
        <v>4.9583360759520717E-2</v>
      </c>
      <c r="T88" s="117">
        <v>178.88958980462644</v>
      </c>
      <c r="U88" s="117">
        <v>569.37273928841785</v>
      </c>
      <c r="V88" s="117">
        <v>364.50004164321967</v>
      </c>
      <c r="W88" s="117">
        <v>3276238.5986539838</v>
      </c>
      <c r="X88" s="117">
        <v>1207.6276746304641</v>
      </c>
      <c r="Y88" s="117">
        <v>13572412.761878764</v>
      </c>
      <c r="Z88" s="117">
        <v>1218915.3067460652</v>
      </c>
      <c r="AA88" s="117">
        <v>228081.1362710036</v>
      </c>
      <c r="AB88" s="117">
        <v>93.807276392867678</v>
      </c>
      <c r="AC88" s="117">
        <v>12895.205377948703</v>
      </c>
      <c r="AD88" s="117">
        <v>42036.34029316737</v>
      </c>
      <c r="AE88" s="117">
        <v>31703307.336322486</v>
      </c>
      <c r="AF88" s="117">
        <v>143394.60660915295</v>
      </c>
      <c r="AG88" s="117">
        <v>29352.042873386825</v>
      </c>
      <c r="AH88" s="117">
        <v>2416.2438194643241</v>
      </c>
      <c r="AI88" s="117">
        <v>7.1012636709827824E-3</v>
      </c>
      <c r="AJ88" s="117">
        <v>1900.893493257372</v>
      </c>
      <c r="AK88" s="117">
        <v>2310.1536450853764</v>
      </c>
      <c r="AL88" s="117">
        <v>1661.17832447759</v>
      </c>
      <c r="AM88" s="117">
        <v>160.95030146924805</v>
      </c>
      <c r="AN88" s="117">
        <v>4.0947072112615526E-4</v>
      </c>
      <c r="AO88" s="117">
        <v>28.986368851046077</v>
      </c>
      <c r="AP88" s="117">
        <v>2825.6794303503998</v>
      </c>
      <c r="AQ88" s="117">
        <v>119.04808816247264</v>
      </c>
      <c r="AS88" s="34">
        <f t="shared" ca="1" si="37"/>
        <v>1.211682602698267</v>
      </c>
      <c r="AT88" s="34">
        <f t="shared" ca="1" si="38"/>
        <v>12133696.294914056</v>
      </c>
      <c r="AU88" s="34">
        <f t="shared" ca="1" si="39"/>
        <v>4.8738531694107252E-2</v>
      </c>
      <c r="AV88" s="34">
        <f t="shared" ca="1" si="40"/>
        <v>28.744731149526249</v>
      </c>
      <c r="AW88" s="34">
        <f t="shared" ca="1" si="41"/>
        <v>1.5955454247704485E-3</v>
      </c>
      <c r="AX88" s="34">
        <f t="shared" ca="1" si="42"/>
        <v>2.7978263156648531E-2</v>
      </c>
      <c r="AY88" s="34">
        <f t="shared" ca="1" si="43"/>
        <v>1.2859497699908393E-3</v>
      </c>
      <c r="AZ88" s="34">
        <f t="shared" ca="1" si="44"/>
        <v>8.0168958369312629E-5</v>
      </c>
      <c r="BA88" s="34">
        <f t="shared" ca="1" si="45"/>
        <v>1.1711419453074466E-6</v>
      </c>
      <c r="BB88" s="34">
        <f t="shared" ca="1" si="46"/>
        <v>634.60773206504746</v>
      </c>
      <c r="BC88" s="34">
        <f t="shared" ca="1" si="47"/>
        <v>139.10271232837042</v>
      </c>
      <c r="BD88" s="34">
        <f t="shared" ca="1" si="48"/>
        <v>1.5667048747931076</v>
      </c>
      <c r="BE88" s="34">
        <f t="shared" ca="1" si="49"/>
        <v>7.6233861036247816</v>
      </c>
      <c r="BF88" s="34">
        <f t="shared" ca="1" si="50"/>
        <v>0.30494934209650987</v>
      </c>
      <c r="BG88" s="34">
        <f t="shared" ca="1" si="51"/>
        <v>168.94422413834894</v>
      </c>
      <c r="BH88" s="34">
        <f t="shared" ca="1" si="52"/>
        <v>11.320691830653603</v>
      </c>
      <c r="BI88" s="34">
        <f t="shared" ca="1" si="53"/>
        <v>0.81912966361081474</v>
      </c>
      <c r="BJ88" s="34">
        <f t="shared" ca="1" si="54"/>
        <v>1.1890982522890186E-3</v>
      </c>
      <c r="BK88" s="34">
        <f t="shared" ca="1" si="55"/>
        <v>157275.13138600235</v>
      </c>
      <c r="BL88" s="34">
        <f t="shared" ca="1" si="56"/>
        <v>2.1667186446533985E-2</v>
      </c>
      <c r="BM88" s="34">
        <f t="shared" ca="1" si="57"/>
        <v>0.5447122928587903</v>
      </c>
      <c r="BN88" s="34">
        <f t="shared" ca="1" si="58"/>
        <v>7.8031260012480522E-2</v>
      </c>
      <c r="BO88" s="34">
        <f t="shared" ca="1" si="59"/>
        <v>8.5034026408784165</v>
      </c>
      <c r="BP88" s="34">
        <f t="shared" ca="1" si="60"/>
        <v>876667.94071954547</v>
      </c>
      <c r="BQ88" s="34">
        <f t="shared" ca="1" si="61"/>
        <v>4.5081087029845533E-9</v>
      </c>
      <c r="BR88" s="34">
        <f t="shared" ca="1" si="62"/>
        <v>4.9012871765371558E-5</v>
      </c>
      <c r="BS88" s="34">
        <f t="shared" ca="1" si="63"/>
        <v>1.886541780943572E-3</v>
      </c>
      <c r="BT88" s="34">
        <f t="shared" ca="1" si="64"/>
        <v>9.2336258043168851</v>
      </c>
      <c r="BU88" s="34">
        <f t="shared" ca="1" si="65"/>
        <v>33064.130194322599</v>
      </c>
      <c r="BV88" s="34">
        <f t="shared" ca="1" si="66"/>
        <v>9.0505579260560943E-11</v>
      </c>
      <c r="BW88" s="34">
        <f t="shared" ca="1" si="67"/>
        <v>1.9885543174851178E-7</v>
      </c>
      <c r="BX88" s="34">
        <f t="shared" ca="1" si="68"/>
        <v>6.1395951096146245E-4</v>
      </c>
      <c r="BY88" s="34">
        <f t="shared" ca="1" si="69"/>
        <v>1.5600447804178592</v>
      </c>
    </row>
    <row r="89" spans="1:77" ht="12.75" customHeight="1" x14ac:dyDescent="0.3">
      <c r="A89" s="118"/>
      <c r="B89" s="118"/>
      <c r="C89" s="118"/>
      <c r="D89" s="118"/>
      <c r="E89" s="110"/>
      <c r="F89" s="118"/>
      <c r="G89" s="23"/>
      <c r="H89" s="25">
        <f t="shared" si="35"/>
        <v>2.5494072698476436E-2</v>
      </c>
      <c r="I89" s="25">
        <f t="shared" si="36"/>
        <v>9.3053365349438995</v>
      </c>
      <c r="J89" s="117">
        <v>803981.07661915291</v>
      </c>
      <c r="K89" s="117">
        <v>1.6487009108912883E-2</v>
      </c>
      <c r="L89" s="117">
        <v>0.98015442498908201</v>
      </c>
      <c r="M89" s="117">
        <v>7.665133143743021</v>
      </c>
      <c r="N89" s="117">
        <v>23807.110025729886</v>
      </c>
      <c r="O89" s="117">
        <v>16.027121407497223</v>
      </c>
      <c r="P89" s="117">
        <v>214.52510753230766</v>
      </c>
      <c r="Q89" s="117">
        <v>25.838986051486447</v>
      </c>
      <c r="R89" s="117">
        <v>3.1424458738038625</v>
      </c>
      <c r="S89" s="117">
        <v>5.0357264381867786E-2</v>
      </c>
      <c r="T89" s="117">
        <v>175.51398203592055</v>
      </c>
      <c r="U89" s="117">
        <v>563.12912337959744</v>
      </c>
      <c r="V89" s="117">
        <v>355.59215285409124</v>
      </c>
      <c r="W89" s="117">
        <v>3180623.6892117518</v>
      </c>
      <c r="X89" s="117">
        <v>1194.4771181575768</v>
      </c>
      <c r="Y89" s="117">
        <v>13107755.249075133</v>
      </c>
      <c r="Z89" s="117">
        <v>1212431.1037733078</v>
      </c>
      <c r="AA89" s="117">
        <v>229485.89701953251</v>
      </c>
      <c r="AB89" s="117">
        <v>95.673418715894002</v>
      </c>
      <c r="AC89" s="117">
        <v>12648.29762758184</v>
      </c>
      <c r="AD89" s="117">
        <v>41562.643022274337</v>
      </c>
      <c r="AE89" s="117">
        <v>30889331.374499924</v>
      </c>
      <c r="AF89" s="117">
        <v>138547.58097687605</v>
      </c>
      <c r="AG89" s="117">
        <v>29308.606723345682</v>
      </c>
      <c r="AH89" s="117">
        <v>2457.2572201155667</v>
      </c>
      <c r="AI89" s="117">
        <v>7.3652305045769778E-3</v>
      </c>
      <c r="AJ89" s="117">
        <v>1865.2793078382024</v>
      </c>
      <c r="AK89" s="117">
        <v>2197.514344297354</v>
      </c>
      <c r="AL89" s="117">
        <v>1667.4941454814536</v>
      </c>
      <c r="AM89" s="117">
        <v>165.1474673830279</v>
      </c>
      <c r="AN89" s="117">
        <v>4.2784691102291733E-4</v>
      </c>
      <c r="AO89" s="117">
        <v>28.944364368644557</v>
      </c>
      <c r="AP89" s="117">
        <v>2702.4585383129493</v>
      </c>
      <c r="AQ89" s="117">
        <v>115.76931352788986</v>
      </c>
      <c r="AS89" s="34">
        <f t="shared" ca="1" si="37"/>
        <v>1.1623611980855177</v>
      </c>
      <c r="AT89" s="34">
        <f t="shared" ca="1" si="38"/>
        <v>11639443.741945563</v>
      </c>
      <c r="AU89" s="34">
        <f t="shared" ca="1" si="39"/>
        <v>4.8376364125189607E-2</v>
      </c>
      <c r="AV89" s="34">
        <f t="shared" ca="1" si="40"/>
        <v>27.834144485256981</v>
      </c>
      <c r="AW89" s="34">
        <f t="shared" ca="1" si="41"/>
        <v>1.5783577118944367E-3</v>
      </c>
      <c r="AX89" s="34">
        <f t="shared" ca="1" si="42"/>
        <v>2.7131926075018208E-2</v>
      </c>
      <c r="AY89" s="34">
        <f t="shared" ca="1" si="43"/>
        <v>1.2670783747348662E-3</v>
      </c>
      <c r="AZ89" s="34">
        <f t="shared" ca="1" si="44"/>
        <v>8.080403038677256E-5</v>
      </c>
      <c r="BA89" s="34">
        <f t="shared" ca="1" si="45"/>
        <v>1.189421282969769E-6</v>
      </c>
      <c r="BB89" s="34">
        <f t="shared" ca="1" si="46"/>
        <v>622.63282177105441</v>
      </c>
      <c r="BC89" s="34">
        <f t="shared" ca="1" si="47"/>
        <v>137.57734265798734</v>
      </c>
      <c r="BD89" s="34">
        <f t="shared" ca="1" si="48"/>
        <v>1.5284167233648482</v>
      </c>
      <c r="BE89" s="34">
        <f t="shared" ca="1" si="49"/>
        <v>7.4009024993351789</v>
      </c>
      <c r="BF89" s="34">
        <f t="shared" ca="1" si="50"/>
        <v>0.30162857226913975</v>
      </c>
      <c r="BG89" s="34">
        <f t="shared" ca="1" si="51"/>
        <v>163.16034441350348</v>
      </c>
      <c r="BH89" s="34">
        <f t="shared" ca="1" si="52"/>
        <v>11.260469710859281</v>
      </c>
      <c r="BI89" s="34">
        <f t="shared" ca="1" si="53"/>
        <v>0.82417471564014577</v>
      </c>
      <c r="BJ89" s="34">
        <f t="shared" ca="1" si="54"/>
        <v>1.2127534170071565E-3</v>
      </c>
      <c r="BK89" s="34">
        <f t="shared" ca="1" si="55"/>
        <v>154263.7447705107</v>
      </c>
      <c r="BL89" s="34">
        <f t="shared" ca="1" si="56"/>
        <v>2.1423024204624407E-2</v>
      </c>
      <c r="BM89" s="34">
        <f t="shared" ca="1" si="57"/>
        <v>0.5307269156300769</v>
      </c>
      <c r="BN89" s="34">
        <f t="shared" ca="1" si="58"/>
        <v>7.5393646741360371E-2</v>
      </c>
      <c r="BO89" s="34">
        <f t="shared" ca="1" si="59"/>
        <v>8.4908190168164488</v>
      </c>
      <c r="BP89" s="34">
        <f t="shared" ca="1" si="60"/>
        <v>891548.53066712862</v>
      </c>
      <c r="BQ89" s="34">
        <f t="shared" ca="1" si="61"/>
        <v>4.6756832692815089E-9</v>
      </c>
      <c r="BR89" s="34">
        <f t="shared" ca="1" si="62"/>
        <v>4.8094591225630882E-5</v>
      </c>
      <c r="BS89" s="34">
        <f t="shared" ca="1" si="63"/>
        <v>1.7945570995069307E-3</v>
      </c>
      <c r="BT89" s="34">
        <f t="shared" ca="1" si="64"/>
        <v>9.2687321664318976</v>
      </c>
      <c r="BU89" s="34">
        <f t="shared" ca="1" si="65"/>
        <v>33926.356850337317</v>
      </c>
      <c r="BV89" s="34">
        <f t="shared" ca="1" si="66"/>
        <v>9.4567280440646334E-11</v>
      </c>
      <c r="BW89" s="34">
        <f t="shared" ca="1" si="67"/>
        <v>1.9856726804210723E-7</v>
      </c>
      <c r="BX89" s="34">
        <f t="shared" ca="1" si="68"/>
        <v>5.8718625501354095E-4</v>
      </c>
      <c r="BY89" s="34">
        <f t="shared" ca="1" si="69"/>
        <v>1.5170786535879472</v>
      </c>
    </row>
    <row r="90" spans="1:77" ht="12.75" customHeight="1" x14ac:dyDescent="0.3">
      <c r="A90" s="118"/>
      <c r="B90" s="118"/>
      <c r="C90" s="118"/>
      <c r="D90" s="118"/>
      <c r="E90" s="110"/>
      <c r="F90" s="118"/>
      <c r="G90" s="23"/>
      <c r="H90" s="25">
        <f t="shared" si="35"/>
        <v>2.5829521023456387E-2</v>
      </c>
      <c r="I90" s="25">
        <f t="shared" si="36"/>
        <v>9.4277751735615816</v>
      </c>
      <c r="J90" s="117">
        <v>814559.77499572071</v>
      </c>
      <c r="K90" s="117">
        <v>1.5815949288220249E-2</v>
      </c>
      <c r="L90" s="117">
        <v>0.94024365958126421</v>
      </c>
      <c r="M90" s="117">
        <v>7.6081748681449035</v>
      </c>
      <c r="N90" s="117">
        <v>23069.9808947288</v>
      </c>
      <c r="O90" s="117">
        <v>15.852896897243513</v>
      </c>
      <c r="P90" s="117">
        <v>208.03616912234415</v>
      </c>
      <c r="Q90" s="117">
        <v>25.457085314730865</v>
      </c>
      <c r="R90" s="117">
        <v>3.1660527696239797</v>
      </c>
      <c r="S90" s="117">
        <v>5.1115730732945119E-2</v>
      </c>
      <c r="T90" s="117">
        <v>172.18692838843648</v>
      </c>
      <c r="U90" s="117">
        <v>556.89865563903595</v>
      </c>
      <c r="V90" s="117">
        <v>346.89886356044462</v>
      </c>
      <c r="W90" s="117">
        <v>3088434.8428280912</v>
      </c>
      <c r="X90" s="117">
        <v>1181.3732605845667</v>
      </c>
      <c r="Y90" s="117">
        <v>12659050.845841859</v>
      </c>
      <c r="Z90" s="117">
        <v>1205639.9957881691</v>
      </c>
      <c r="AA90" s="117">
        <v>230815.95336207762</v>
      </c>
      <c r="AB90" s="117">
        <v>97.522982512176569</v>
      </c>
      <c r="AC90" s="117">
        <v>12405.281226962763</v>
      </c>
      <c r="AD90" s="117">
        <v>41090.934463524165</v>
      </c>
      <c r="AE90" s="117">
        <v>30096253.973595574</v>
      </c>
      <c r="AF90" s="117">
        <v>134010.46942387329</v>
      </c>
      <c r="AG90" s="117">
        <v>29260.777212159519</v>
      </c>
      <c r="AH90" s="117">
        <v>2497.545117195034</v>
      </c>
      <c r="AI90" s="117">
        <v>7.6332100523363302E-3</v>
      </c>
      <c r="AJ90" s="117">
        <v>1830.1407793985504</v>
      </c>
      <c r="AK90" s="117">
        <v>2096.2670229082064</v>
      </c>
      <c r="AL90" s="117">
        <v>1673.4987787477194</v>
      </c>
      <c r="AM90" s="117">
        <v>169.34817285094746</v>
      </c>
      <c r="AN90" s="117">
        <v>4.4668536453478088E-4</v>
      </c>
      <c r="AO90" s="117">
        <v>28.896780978324447</v>
      </c>
      <c r="AP90" s="117">
        <v>2591.1582568712001</v>
      </c>
      <c r="AQ90" s="117">
        <v>112.56094628617245</v>
      </c>
      <c r="AS90" s="34">
        <f t="shared" ca="1" si="37"/>
        <v>1.1150503794880036</v>
      </c>
      <c r="AT90" s="34">
        <f t="shared" ca="1" si="38"/>
        <v>11165498.925885117</v>
      </c>
      <c r="AU90" s="34">
        <f t="shared" ca="1" si="39"/>
        <v>4.8016887749684413E-2</v>
      </c>
      <c r="AV90" s="34">
        <f t="shared" ca="1" si="40"/>
        <v>26.972328048301733</v>
      </c>
      <c r="AW90" s="34">
        <f t="shared" ca="1" si="41"/>
        <v>1.5612000082514518E-3</v>
      </c>
      <c r="AX90" s="34">
        <f t="shared" ca="1" si="42"/>
        <v>2.6311241730562342E-2</v>
      </c>
      <c r="AY90" s="34">
        <f t="shared" ca="1" si="43"/>
        <v>1.248350930713878E-3</v>
      </c>
      <c r="AZ90" s="34">
        <f t="shared" ca="1" si="44"/>
        <v>8.1411051924705079E-5</v>
      </c>
      <c r="BA90" s="34">
        <f t="shared" ca="1" si="45"/>
        <v>1.2073359975886321E-6</v>
      </c>
      <c r="BB90" s="34">
        <f t="shared" ca="1" si="46"/>
        <v>610.83015638401582</v>
      </c>
      <c r="BC90" s="34">
        <f t="shared" ca="1" si="47"/>
        <v>136.05518519946614</v>
      </c>
      <c r="BD90" s="34">
        <f t="shared" ca="1" si="48"/>
        <v>1.4910509698441003</v>
      </c>
      <c r="BE90" s="34">
        <f t="shared" ca="1" si="49"/>
        <v>7.1863909034095546</v>
      </c>
      <c r="BF90" s="34">
        <f t="shared" ca="1" si="50"/>
        <v>0.29831959481709636</v>
      </c>
      <c r="BG90" s="34">
        <f t="shared" ca="1" si="51"/>
        <v>157.57504291982764</v>
      </c>
      <c r="BH90" s="34">
        <f t="shared" ca="1" si="52"/>
        <v>11.197397206754234</v>
      </c>
      <c r="BI90" s="34">
        <f t="shared" ca="1" si="53"/>
        <v>0.82895147457016916</v>
      </c>
      <c r="BJ90" s="34">
        <f t="shared" ca="1" si="54"/>
        <v>1.2361984328121763E-3</v>
      </c>
      <c r="BK90" s="34">
        <f t="shared" ca="1" si="55"/>
        <v>151299.818627723</v>
      </c>
      <c r="BL90" s="34">
        <f t="shared" ca="1" si="56"/>
        <v>2.117988702332875E-2</v>
      </c>
      <c r="BM90" s="34">
        <f t="shared" ca="1" si="57"/>
        <v>0.51710060829001725</v>
      </c>
      <c r="BN90" s="34">
        <f t="shared" ca="1" si="58"/>
        <v>7.2924679883611135E-2</v>
      </c>
      <c r="BO90" s="34">
        <f t="shared" ca="1" si="59"/>
        <v>8.4769626186949711</v>
      </c>
      <c r="BP90" s="34">
        <f t="shared" ca="1" si="60"/>
        <v>906165.89149969874</v>
      </c>
      <c r="BQ90" s="34">
        <f t="shared" ca="1" si="61"/>
        <v>4.8458052345328864E-9</v>
      </c>
      <c r="BR90" s="34">
        <f t="shared" ca="1" si="62"/>
        <v>4.7188575083987249E-5</v>
      </c>
      <c r="BS90" s="34">
        <f t="shared" ca="1" si="63"/>
        <v>1.711875455186174E-3</v>
      </c>
      <c r="BT90" s="34">
        <f t="shared" ca="1" si="64"/>
        <v>9.3021087978602477</v>
      </c>
      <c r="BU90" s="34">
        <f t="shared" ca="1" si="65"/>
        <v>34789.310639372823</v>
      </c>
      <c r="BV90" s="34">
        <f t="shared" ca="1" si="66"/>
        <v>9.8731156047613278E-11</v>
      </c>
      <c r="BW90" s="34">
        <f t="shared" ca="1" si="67"/>
        <v>1.9824083130645441E-7</v>
      </c>
      <c r="BX90" s="34">
        <f t="shared" ca="1" si="68"/>
        <v>5.630030919732185E-4</v>
      </c>
      <c r="BY90" s="34">
        <f t="shared" ca="1" si="69"/>
        <v>1.475035168082544</v>
      </c>
    </row>
    <row r="91" spans="1:77" ht="12.75" customHeight="1" x14ac:dyDescent="0.3">
      <c r="A91" s="118"/>
      <c r="B91" s="118"/>
      <c r="C91" s="118"/>
      <c r="D91" s="118"/>
      <c r="E91" s="110"/>
      <c r="F91" s="118"/>
      <c r="G91" s="23"/>
      <c r="H91" s="25">
        <f t="shared" si="35"/>
        <v>2.6164969348436342E-2</v>
      </c>
      <c r="I91" s="25">
        <f t="shared" si="36"/>
        <v>9.5502138121792655</v>
      </c>
      <c r="J91" s="117">
        <v>825138.47337228851</v>
      </c>
      <c r="K91" s="117">
        <v>1.5172897234474826E-2</v>
      </c>
      <c r="L91" s="117">
        <v>0.9019726280304986</v>
      </c>
      <c r="M91" s="117">
        <v>7.5516398379569765</v>
      </c>
      <c r="N91" s="117">
        <v>22368.821286366227</v>
      </c>
      <c r="O91" s="117">
        <v>15.679095162690995</v>
      </c>
      <c r="P91" s="117">
        <v>201.74443475773435</v>
      </c>
      <c r="Q91" s="117">
        <v>25.07832776308857</v>
      </c>
      <c r="R91" s="117">
        <v>3.1886028864645519</v>
      </c>
      <c r="S91" s="117">
        <v>5.1858907291722378E-2</v>
      </c>
      <c r="T91" s="117">
        <v>168.90913060950828</v>
      </c>
      <c r="U91" s="117">
        <v>550.68548138061021</v>
      </c>
      <c r="V91" s="117">
        <v>338.41538538688468</v>
      </c>
      <c r="W91" s="117">
        <v>2999407.387278947</v>
      </c>
      <c r="X91" s="117">
        <v>1168.3207932012481</v>
      </c>
      <c r="Y91" s="117">
        <v>12225750.91952545</v>
      </c>
      <c r="Z91" s="117">
        <v>1198560.6610945752</v>
      </c>
      <c r="AA91" s="117">
        <v>232073.94653817077</v>
      </c>
      <c r="AB91" s="117">
        <v>99.355494001337291</v>
      </c>
      <c r="AC91" s="117">
        <v>12166.142031222198</v>
      </c>
      <c r="AD91" s="117">
        <v>40621.374886309037</v>
      </c>
      <c r="AE91" s="117">
        <v>29323538.578508817</v>
      </c>
      <c r="AF91" s="117">
        <v>129737.57094817651</v>
      </c>
      <c r="AG91" s="117">
        <v>29208.717989102257</v>
      </c>
      <c r="AH91" s="117">
        <v>2537.1069619100058</v>
      </c>
      <c r="AI91" s="117">
        <v>7.9051072356270402E-3</v>
      </c>
      <c r="AJ91" s="117">
        <v>1795.4924785506587</v>
      </c>
      <c r="AK91" s="117">
        <v>2004.7558311067535</v>
      </c>
      <c r="AL91" s="117">
        <v>1679.2173271449751</v>
      </c>
      <c r="AM91" s="117">
        <v>173.55155782865364</v>
      </c>
      <c r="AN91" s="117">
        <v>4.659857942265138E-4</v>
      </c>
      <c r="AO91" s="117">
        <v>28.844224682596654</v>
      </c>
      <c r="AP91" s="117">
        <v>2489.8737495247574</v>
      </c>
      <c r="AQ91" s="117">
        <v>109.42556379182737</v>
      </c>
      <c r="AS91" s="34">
        <f t="shared" ca="1" si="37"/>
        <v>1.069714154422245</v>
      </c>
      <c r="AT91" s="34">
        <f t="shared" ca="1" si="38"/>
        <v>10711026.133308252</v>
      </c>
      <c r="AU91" s="34">
        <f t="shared" ca="1" si="39"/>
        <v>4.7660082570320735E-2</v>
      </c>
      <c r="AV91" s="34">
        <f t="shared" ca="1" si="40"/>
        <v>26.152565472109256</v>
      </c>
      <c r="AW91" s="34">
        <f t="shared" ca="1" si="41"/>
        <v>1.5440839397387821E-3</v>
      </c>
      <c r="AX91" s="34">
        <f t="shared" ca="1" si="42"/>
        <v>2.5515498641895968E-2</v>
      </c>
      <c r="AY91" s="34">
        <f t="shared" ca="1" si="43"/>
        <v>1.2297776205229438E-3</v>
      </c>
      <c r="AZ91" s="34">
        <f t="shared" ca="1" si="44"/>
        <v>8.1990899724662645E-5</v>
      </c>
      <c r="BA91" s="34">
        <f t="shared" ca="1" si="45"/>
        <v>1.2248895725666284E-6</v>
      </c>
      <c r="BB91" s="34">
        <f t="shared" ca="1" si="46"/>
        <v>599.20222534048628</v>
      </c>
      <c r="BC91" s="34">
        <f t="shared" ca="1" si="47"/>
        <v>134.53725268904077</v>
      </c>
      <c r="BD91" s="34">
        <f t="shared" ca="1" si="48"/>
        <v>1.4545870326939179</v>
      </c>
      <c r="BE91" s="34">
        <f t="shared" ca="1" si="49"/>
        <v>6.979235457602508</v>
      </c>
      <c r="BF91" s="34">
        <f t="shared" ca="1" si="50"/>
        <v>0.29502359438178244</v>
      </c>
      <c r="BG91" s="34">
        <f t="shared" ca="1" si="51"/>
        <v>152.18149048703262</v>
      </c>
      <c r="BH91" s="34">
        <f t="shared" ca="1" si="52"/>
        <v>11.131647793330117</v>
      </c>
      <c r="BI91" s="34">
        <f t="shared" ca="1" si="53"/>
        <v>0.8334694261377793</v>
      </c>
      <c r="BJ91" s="34">
        <f t="shared" ca="1" si="54"/>
        <v>1.2594272940780625E-3</v>
      </c>
      <c r="BK91" s="34">
        <f t="shared" ca="1" si="55"/>
        <v>148383.18044110242</v>
      </c>
      <c r="BL91" s="34">
        <f t="shared" ca="1" si="56"/>
        <v>2.0937857511807986E-2</v>
      </c>
      <c r="BM91" s="34">
        <f t="shared" ca="1" si="57"/>
        <v>0.50382415198469166</v>
      </c>
      <c r="BN91" s="34">
        <f t="shared" ca="1" si="58"/>
        <v>7.0599490255853228E-2</v>
      </c>
      <c r="BO91" s="34">
        <f t="shared" ca="1" si="59"/>
        <v>8.4618808563543819</v>
      </c>
      <c r="BP91" s="34">
        <f t="shared" ca="1" si="60"/>
        <v>920519.82410283724</v>
      </c>
      <c r="BQ91" s="34">
        <f t="shared" ca="1" si="61"/>
        <v>5.0184142397890165E-9</v>
      </c>
      <c r="BR91" s="34">
        <f t="shared" ca="1" si="62"/>
        <v>4.6295199030899885E-5</v>
      </c>
      <c r="BS91" s="34">
        <f t="shared" ca="1" si="63"/>
        <v>1.6371446306262336E-3</v>
      </c>
      <c r="BT91" s="34">
        <f t="shared" ca="1" si="64"/>
        <v>9.3338952323845117</v>
      </c>
      <c r="BU91" s="34">
        <f t="shared" ca="1" si="65"/>
        <v>35652.814881931146</v>
      </c>
      <c r="BV91" s="34">
        <f t="shared" ca="1" si="66"/>
        <v>1.0299714254946585E-10</v>
      </c>
      <c r="BW91" s="34">
        <f t="shared" ca="1" si="67"/>
        <v>1.9788027890571189E-7</v>
      </c>
      <c r="BX91" s="34">
        <f t="shared" ca="1" si="68"/>
        <v>5.409961417401259E-4</v>
      </c>
      <c r="BY91" s="34">
        <f t="shared" ca="1" si="69"/>
        <v>1.4339480983915041</v>
      </c>
    </row>
    <row r="92" spans="1:77" ht="12.75" customHeight="1" x14ac:dyDescent="0.3">
      <c r="A92" s="118"/>
      <c r="B92" s="118"/>
      <c r="C92" s="118"/>
      <c r="D92" s="118"/>
      <c r="E92" s="110"/>
      <c r="F92" s="118"/>
      <c r="G92" s="23"/>
      <c r="H92" s="25">
        <f t="shared" si="35"/>
        <v>2.6500417673416293E-2</v>
      </c>
      <c r="I92" s="25">
        <f t="shared" si="36"/>
        <v>9.6726524507969476</v>
      </c>
      <c r="J92" s="117">
        <v>835717.17174885632</v>
      </c>
      <c r="K92" s="117">
        <v>1.4555913220128511E-2</v>
      </c>
      <c r="L92" s="117">
        <v>0.8652738520309855</v>
      </c>
      <c r="M92" s="117">
        <v>7.4955249081986812</v>
      </c>
      <c r="N92" s="117">
        <v>21699.10827256558</v>
      </c>
      <c r="O92" s="117">
        <v>15.505816240414607</v>
      </c>
      <c r="P92" s="117">
        <v>195.64429628927067</v>
      </c>
      <c r="Q92" s="117">
        <v>24.702884944942188</v>
      </c>
      <c r="R92" s="117">
        <v>3.2101293525166739</v>
      </c>
      <c r="S92" s="117">
        <v>5.2586947723407967E-2</v>
      </c>
      <c r="T92" s="117">
        <v>165.68101559535933</v>
      </c>
      <c r="U92" s="117">
        <v>544.49310691014398</v>
      </c>
      <c r="V92" s="117">
        <v>330.13695777841912</v>
      </c>
      <c r="W92" s="117">
        <v>2913325.367521653</v>
      </c>
      <c r="X92" s="117">
        <v>1155.3239424786977</v>
      </c>
      <c r="Y92" s="117">
        <v>11807325.725482639</v>
      </c>
      <c r="Z92" s="117">
        <v>1191210.9336028825</v>
      </c>
      <c r="AA92" s="117">
        <v>233262.42674890719</v>
      </c>
      <c r="AB92" s="117">
        <v>101.17051247282483</v>
      </c>
      <c r="AC92" s="117">
        <v>11930.860020995235</v>
      </c>
      <c r="AD92" s="117">
        <v>40154.108103119353</v>
      </c>
      <c r="AE92" s="117">
        <v>28570662.408144049</v>
      </c>
      <c r="AF92" s="117">
        <v>125692.26772234061</v>
      </c>
      <c r="AG92" s="117">
        <v>29152.569715018781</v>
      </c>
      <c r="AH92" s="117">
        <v>2575.9426101443719</v>
      </c>
      <c r="AI92" s="117">
        <v>8.1808271915624151E-3</v>
      </c>
      <c r="AJ92" s="117">
        <v>1761.3447677565391</v>
      </c>
      <c r="AK92" s="117">
        <v>1921.5673670620238</v>
      </c>
      <c r="AL92" s="117">
        <v>1684.6711849922197</v>
      </c>
      <c r="AM92" s="117">
        <v>177.75683109909019</v>
      </c>
      <c r="AN92" s="117">
        <v>4.8574781721657357E-4</v>
      </c>
      <c r="AO92" s="117">
        <v>28.787214587800296</v>
      </c>
      <c r="AP92" s="117">
        <v>2397.0260599965677</v>
      </c>
      <c r="AQ92" s="117">
        <v>106.36480007912124</v>
      </c>
      <c r="AS92" s="34">
        <f t="shared" ca="1" si="37"/>
        <v>1.0262157689129232</v>
      </c>
      <c r="AT92" s="34">
        <f t="shared" ca="1" si="38"/>
        <v>10275224.051764466</v>
      </c>
      <c r="AU92" s="34">
        <f t="shared" ca="1" si="39"/>
        <v>4.730592873842511E-2</v>
      </c>
      <c r="AV92" s="34">
        <f t="shared" ca="1" si="40"/>
        <v>25.369568763578162</v>
      </c>
      <c r="AW92" s="34">
        <f t="shared" ca="1" si="41"/>
        <v>1.5270193580007442E-3</v>
      </c>
      <c r="AX92" s="34">
        <f t="shared" ca="1" si="42"/>
        <v>2.4743987521926917E-2</v>
      </c>
      <c r="AY92" s="34">
        <f t="shared" ca="1" si="43"/>
        <v>1.2113668564598769E-3</v>
      </c>
      <c r="AZ92" s="34">
        <f t="shared" ca="1" si="44"/>
        <v>8.2544425636276808E-5</v>
      </c>
      <c r="BA92" s="34">
        <f t="shared" ca="1" si="45"/>
        <v>1.2420856374231845E-6</v>
      </c>
      <c r="BB92" s="34">
        <f t="shared" ca="1" si="46"/>
        <v>587.75054304744981</v>
      </c>
      <c r="BC92" s="34">
        <f t="shared" ca="1" si="47"/>
        <v>133.02440174772011</v>
      </c>
      <c r="BD92" s="34">
        <f t="shared" ca="1" si="48"/>
        <v>1.4190044499558341</v>
      </c>
      <c r="BE92" s="34">
        <f t="shared" ca="1" si="49"/>
        <v>6.778933662287808</v>
      </c>
      <c r="BF92" s="34">
        <f t="shared" ca="1" si="50"/>
        <v>0.29174163822888033</v>
      </c>
      <c r="BG92" s="34">
        <f t="shared" ca="1" si="51"/>
        <v>146.97309305558613</v>
      </c>
      <c r="BH92" s="34">
        <f t="shared" ca="1" si="52"/>
        <v>11.063387103262281</v>
      </c>
      <c r="BI92" s="34">
        <f t="shared" ca="1" si="53"/>
        <v>0.83773772912480016</v>
      </c>
      <c r="BJ92" s="34">
        <f t="shared" ca="1" si="54"/>
        <v>1.2824344143709421E-3</v>
      </c>
      <c r="BK92" s="34">
        <f t="shared" ca="1" si="55"/>
        <v>145513.58604639146</v>
      </c>
      <c r="BL92" s="34">
        <f t="shared" ca="1" si="56"/>
        <v>2.0697009796687347E-2</v>
      </c>
      <c r="BM92" s="34">
        <f t="shared" ca="1" si="57"/>
        <v>0.49088856451908097</v>
      </c>
      <c r="BN92" s="34">
        <f t="shared" ca="1" si="58"/>
        <v>6.8398151479528713E-2</v>
      </c>
      <c r="BO92" s="34">
        <f t="shared" ca="1" si="59"/>
        <v>8.4456144797964807</v>
      </c>
      <c r="BP92" s="34">
        <f t="shared" ca="1" si="60"/>
        <v>934610.27618795761</v>
      </c>
      <c r="BQ92" s="34">
        <f t="shared" ca="1" si="61"/>
        <v>5.1934500630633773E-9</v>
      </c>
      <c r="BR92" s="34">
        <f t="shared" ca="1" si="62"/>
        <v>4.5414730253364556E-5</v>
      </c>
      <c r="BS92" s="34">
        <f t="shared" ca="1" si="63"/>
        <v>1.5692103988720922E-3</v>
      </c>
      <c r="BT92" s="34">
        <f t="shared" ca="1" si="64"/>
        <v>9.3642103898900917</v>
      </c>
      <c r="BU92" s="34">
        <f t="shared" ca="1" si="65"/>
        <v>36516.707037752836</v>
      </c>
      <c r="BV92" s="34">
        <f t="shared" ca="1" si="66"/>
        <v>1.073651553176482E-10</v>
      </c>
      <c r="BW92" s="34">
        <f t="shared" ca="1" si="67"/>
        <v>1.9748917206949484E-7</v>
      </c>
      <c r="BX92" s="34">
        <f t="shared" ca="1" si="68"/>
        <v>5.2082233099417011E-4</v>
      </c>
      <c r="BY92" s="34">
        <f t="shared" ca="1" si="69"/>
        <v>1.3938388574301295</v>
      </c>
    </row>
    <row r="93" spans="1:77" ht="12.75" customHeight="1" x14ac:dyDescent="0.3">
      <c r="A93" s="118"/>
      <c r="B93" s="118"/>
      <c r="C93" s="118"/>
      <c r="D93" s="118"/>
      <c r="E93" s="110"/>
      <c r="F93" s="118"/>
      <c r="G93" s="23"/>
      <c r="H93" s="25">
        <f t="shared" si="35"/>
        <v>2.6835865998396252E-2</v>
      </c>
      <c r="I93" s="25">
        <f t="shared" si="36"/>
        <v>9.7950910894146315</v>
      </c>
      <c r="J93" s="117">
        <v>846295.87012542412</v>
      </c>
      <c r="K93" s="117">
        <v>1.396432472664199E-2</v>
      </c>
      <c r="L93" s="117">
        <v>0.83008263261673587</v>
      </c>
      <c r="M93" s="117">
        <v>7.4398269572667566</v>
      </c>
      <c r="N93" s="117">
        <v>21057.265809162345</v>
      </c>
      <c r="O93" s="117">
        <v>15.33314582664257</v>
      </c>
      <c r="P93" s="117">
        <v>189.73019938282269</v>
      </c>
      <c r="Q93" s="117">
        <v>24.330899312773674</v>
      </c>
      <c r="R93" s="117">
        <v>3.2306643358393732</v>
      </c>
      <c r="S93" s="117">
        <v>5.3300010737557954E-2</v>
      </c>
      <c r="T93" s="117">
        <v>162.50279634716756</v>
      </c>
      <c r="U93" s="117">
        <v>538.32452998686392</v>
      </c>
      <c r="V93" s="117">
        <v>322.05886732584469</v>
      </c>
      <c r="W93" s="117">
        <v>2830009.8887743838</v>
      </c>
      <c r="X93" s="117">
        <v>1142.3865470489066</v>
      </c>
      <c r="Y93" s="117">
        <v>11403263.768063804</v>
      </c>
      <c r="Z93" s="117">
        <v>1183607.8557252642</v>
      </c>
      <c r="AA93" s="117">
        <v>234383.85623739034</v>
      </c>
      <c r="AB93" s="117">
        <v>102.96762879298616</v>
      </c>
      <c r="AC93" s="117">
        <v>11699.41056289142</v>
      </c>
      <c r="AD93" s="117">
        <v>39689.264205319727</v>
      </c>
      <c r="AE93" s="117">
        <v>27837116.110356294</v>
      </c>
      <c r="AF93" s="117">
        <v>121845.18189422558</v>
      </c>
      <c r="AG93" s="117">
        <v>29092.45535213907</v>
      </c>
      <c r="AH93" s="117">
        <v>2614.0522639065998</v>
      </c>
      <c r="AI93" s="117">
        <v>8.4602753159864919E-3</v>
      </c>
      <c r="AJ93" s="117">
        <v>1727.7046653150903</v>
      </c>
      <c r="AK93" s="117">
        <v>1845.5009778504866</v>
      </c>
      <c r="AL93" s="117">
        <v>1689.8785866441565</v>
      </c>
      <c r="AM93" s="117">
        <v>181.96326034950292</v>
      </c>
      <c r="AN93" s="117">
        <v>5.059709626522755E-4</v>
      </c>
      <c r="AO93" s="117">
        <v>28.726195721747956</v>
      </c>
      <c r="AP93" s="117">
        <v>2311.3115082248669</v>
      </c>
      <c r="AQ93" s="117">
        <v>103.37952734844112</v>
      </c>
      <c r="AS93" s="34">
        <f t="shared" ca="1" si="37"/>
        <v>0.98450780929938353</v>
      </c>
      <c r="AT93" s="34">
        <f t="shared" ca="1" si="38"/>
        <v>9857324.3737752717</v>
      </c>
      <c r="AU93" s="34">
        <f t="shared" ca="1" si="39"/>
        <v>4.695440655286344E-2</v>
      </c>
      <c r="AV93" s="34">
        <f t="shared" ca="1" si="40"/>
        <v>24.619156981390788</v>
      </c>
      <c r="AW93" s="34">
        <f t="shared" ca="1" si="41"/>
        <v>1.5100147024382294E-3</v>
      </c>
      <c r="AX93" s="34">
        <f t="shared" ca="1" si="42"/>
        <v>2.3996005889790572E-2</v>
      </c>
      <c r="AY93" s="34">
        <f t="shared" ca="1" si="43"/>
        <v>1.1931256240332784E-3</v>
      </c>
      <c r="AZ93" s="34">
        <f t="shared" ca="1" si="44"/>
        <v>8.3072456820594624E-5</v>
      </c>
      <c r="BA93" s="34">
        <f t="shared" ca="1" si="45"/>
        <v>1.2589279408234851E-6</v>
      </c>
      <c r="BB93" s="34">
        <f t="shared" ca="1" si="46"/>
        <v>576.47586512290866</v>
      </c>
      <c r="BC93" s="34">
        <f t="shared" ca="1" si="47"/>
        <v>131.51736475415623</v>
      </c>
      <c r="BD93" s="34">
        <f t="shared" ca="1" si="48"/>
        <v>1.3842829623148094</v>
      </c>
      <c r="BE93" s="34">
        <f t="shared" ca="1" si="49"/>
        <v>6.5850692523026133</v>
      </c>
      <c r="BF93" s="34">
        <f t="shared" ca="1" si="50"/>
        <v>0.28847469568720296</v>
      </c>
      <c r="BG93" s="34">
        <f t="shared" ca="1" si="51"/>
        <v>141.94348372247754</v>
      </c>
      <c r="BH93" s="34">
        <f t="shared" ca="1" si="52"/>
        <v>10.992773418176359</v>
      </c>
      <c r="BI93" s="34">
        <f t="shared" ca="1" si="53"/>
        <v>0.84176522642108242</v>
      </c>
      <c r="BJ93" s="34">
        <f t="shared" ca="1" si="54"/>
        <v>1.3052146075247686E-3</v>
      </c>
      <c r="BK93" s="34">
        <f t="shared" ca="1" si="55"/>
        <v>142690.73500481408</v>
      </c>
      <c r="BL93" s="34">
        <f t="shared" ca="1" si="56"/>
        <v>2.0457410932183076E-2</v>
      </c>
      <c r="BM93" s="34">
        <f t="shared" ca="1" si="57"/>
        <v>0.47828509442849343</v>
      </c>
      <c r="BN93" s="34">
        <f t="shared" ca="1" si="58"/>
        <v>6.6304676964394405E-2</v>
      </c>
      <c r="BO93" s="34">
        <f t="shared" ca="1" si="59"/>
        <v>8.4281991116644868</v>
      </c>
      <c r="BP93" s="34">
        <f t="shared" ca="1" si="60"/>
        <v>948437.32104830374</v>
      </c>
      <c r="BQ93" s="34">
        <f t="shared" ca="1" si="61"/>
        <v>5.3708526466199662E-9</v>
      </c>
      <c r="BR93" s="34">
        <f t="shared" ca="1" si="62"/>
        <v>4.4547349712063784E-5</v>
      </c>
      <c r="BS93" s="34">
        <f t="shared" ca="1" si="63"/>
        <v>1.5070922702020066E-3</v>
      </c>
      <c r="BT93" s="34">
        <f t="shared" ca="1" si="64"/>
        <v>9.3931556256653597</v>
      </c>
      <c r="BU93" s="34">
        <f t="shared" ca="1" si="65"/>
        <v>37380.836667329371</v>
      </c>
      <c r="BV93" s="34">
        <f t="shared" ca="1" si="66"/>
        <v>1.1183509027928583E-10</v>
      </c>
      <c r="BW93" s="34">
        <f t="shared" ca="1" si="67"/>
        <v>1.9707056382587537E-7</v>
      </c>
      <c r="BX93" s="34">
        <f t="shared" ca="1" si="68"/>
        <v>5.0219839803037009E-4</v>
      </c>
      <c r="BY93" s="34">
        <f t="shared" ca="1" si="69"/>
        <v>1.354718874795336</v>
      </c>
    </row>
    <row r="94" spans="1:77" ht="12.75" customHeight="1" x14ac:dyDescent="0.3">
      <c r="A94" s="118"/>
      <c r="B94" s="118"/>
      <c r="C94" s="118"/>
      <c r="D94" s="118"/>
      <c r="E94" s="110"/>
      <c r="F94" s="118"/>
      <c r="G94" s="23"/>
      <c r="H94" s="25">
        <f t="shared" si="35"/>
        <v>2.7171314323376203E-2</v>
      </c>
      <c r="I94" s="25">
        <f t="shared" si="36"/>
        <v>9.9175297280323136</v>
      </c>
      <c r="J94" s="117">
        <v>856874.56850199192</v>
      </c>
      <c r="K94" s="117">
        <v>1.3397067570983488E-2</v>
      </c>
      <c r="L94" s="117">
        <v>0.7963369390877848</v>
      </c>
      <c r="M94" s="117">
        <v>7.3845428867996397</v>
      </c>
      <c r="N94" s="117">
        <v>20440.448288131491</v>
      </c>
      <c r="O94" s="117">
        <v>15.161158151690097</v>
      </c>
      <c r="P94" s="117">
        <v>183.99667079983433</v>
      </c>
      <c r="Q94" s="117">
        <v>23.962489730917987</v>
      </c>
      <c r="R94" s="117">
        <v>3.2502390562742911</v>
      </c>
      <c r="S94" s="117">
        <v>5.3998259160004038E-2</v>
      </c>
      <c r="T94" s="117">
        <v>159.37451958437069</v>
      </c>
      <c r="U94" s="117">
        <v>532.18234184048879</v>
      </c>
      <c r="V94" s="117">
        <v>314.17646232151503</v>
      </c>
      <c r="W94" s="117">
        <v>2749310.3518219632</v>
      </c>
      <c r="X94" s="117">
        <v>1129.5121168214102</v>
      </c>
      <c r="Y94" s="117">
        <v>11013071.194978211</v>
      </c>
      <c r="Z94" s="117">
        <v>1175767.7233235012</v>
      </c>
      <c r="AA94" s="117">
        <v>235440.61220756613</v>
      </c>
      <c r="AB94" s="117">
        <v>104.74646401912982</v>
      </c>
      <c r="AC94" s="117">
        <v>11471.765374339946</v>
      </c>
      <c r="AD94" s="117">
        <v>39226.961664477712</v>
      </c>
      <c r="AE94" s="117">
        <v>27122403.435083572</v>
      </c>
      <c r="AF94" s="117">
        <v>118172.67959964318</v>
      </c>
      <c r="AG94" s="117">
        <v>29028.484358509137</v>
      </c>
      <c r="AH94" s="117">
        <v>2651.436425714322</v>
      </c>
      <c r="AI94" s="117">
        <v>8.7433573008906251E-3</v>
      </c>
      <c r="AJ94" s="117">
        <v>1694.5765378370484</v>
      </c>
      <c r="AK94" s="117">
        <v>1775.5408946041623</v>
      </c>
      <c r="AL94" s="117">
        <v>1694.855087792926</v>
      </c>
      <c r="AM94" s="117">
        <v>186.17016370390621</v>
      </c>
      <c r="AN94" s="117">
        <v>5.266546780965097E-4</v>
      </c>
      <c r="AO94" s="117">
        <v>28.661550260548978</v>
      </c>
      <c r="AP94" s="117">
        <v>2231.6570331958196</v>
      </c>
      <c r="AQ94" s="117">
        <v>100.47000832137036</v>
      </c>
      <c r="AS94" s="34">
        <f t="shared" ca="1" si="37"/>
        <v>0.94451524893151484</v>
      </c>
      <c r="AT94" s="34">
        <f t="shared" ca="1" si="38"/>
        <v>9456590.4778205212</v>
      </c>
      <c r="AU94" s="34">
        <f t="shared" ca="1" si="39"/>
        <v>4.6605496459185158E-2</v>
      </c>
      <c r="AV94" s="34">
        <f t="shared" ca="1" si="40"/>
        <v>23.898003175538012</v>
      </c>
      <c r="AW94" s="34">
        <f t="shared" ca="1" si="41"/>
        <v>1.4930772832841546E-3</v>
      </c>
      <c r="AX94" s="34">
        <f t="shared" ca="1" si="42"/>
        <v>2.3270861521133321E-2</v>
      </c>
      <c r="AY94" s="34">
        <f t="shared" ca="1" si="43"/>
        <v>1.1750597520488162E-3</v>
      </c>
      <c r="AZ94" s="34">
        <f t="shared" ca="1" si="44"/>
        <v>8.3575796056449477E-5</v>
      </c>
      <c r="BA94" s="34">
        <f t="shared" ca="1" si="45"/>
        <v>1.2754203286577314E-6</v>
      </c>
      <c r="BB94" s="34">
        <f t="shared" ca="1" si="46"/>
        <v>565.37835730326151</v>
      </c>
      <c r="BC94" s="34">
        <f t="shared" ca="1" si="47"/>
        <v>130.01677476830665</v>
      </c>
      <c r="BD94" s="34">
        <f t="shared" ca="1" si="48"/>
        <v>1.3504025756632636</v>
      </c>
      <c r="BE94" s="34">
        <f t="shared" ca="1" si="49"/>
        <v>6.3972918026306669</v>
      </c>
      <c r="BF94" s="34">
        <f t="shared" ca="1" si="50"/>
        <v>0.28522365307678593</v>
      </c>
      <c r="BG94" s="34">
        <f t="shared" ca="1" si="51"/>
        <v>137.086515202507</v>
      </c>
      <c r="BH94" s="34">
        <f t="shared" ca="1" si="52"/>
        <v>10.919958086101468</v>
      </c>
      <c r="BI94" s="34">
        <f t="shared" ca="1" si="53"/>
        <v>0.84556045550719272</v>
      </c>
      <c r="BJ94" s="34">
        <f t="shared" ca="1" si="54"/>
        <v>1.3277630700732281E-3</v>
      </c>
      <c r="BK94" s="34">
        <f t="shared" ca="1" si="55"/>
        <v>139914.28237071732</v>
      </c>
      <c r="BL94" s="34">
        <f t="shared" ca="1" si="56"/>
        <v>2.0219121983210072E-2</v>
      </c>
      <c r="BM94" s="34">
        <f t="shared" ca="1" si="57"/>
        <v>0.46600521536246903</v>
      </c>
      <c r="BN94" s="34">
        <f t="shared" ca="1" si="58"/>
        <v>6.4306205834820551E-2</v>
      </c>
      <c r="BO94" s="34">
        <f t="shared" ca="1" si="59"/>
        <v>8.4096664623862463</v>
      </c>
      <c r="BP94" s="34">
        <f t="shared" ca="1" si="60"/>
        <v>962001.1410086453</v>
      </c>
      <c r="BQ94" s="34">
        <f t="shared" ca="1" si="61"/>
        <v>5.5505621207265444E-9</v>
      </c>
      <c r="BR94" s="34">
        <f t="shared" ca="1" si="62"/>
        <v>4.3693169996226172E-5</v>
      </c>
      <c r="BS94" s="34">
        <f t="shared" ca="1" si="63"/>
        <v>1.4499607368413311E-3</v>
      </c>
      <c r="BT94" s="34">
        <f t="shared" ca="1" si="64"/>
        <v>9.4208174057075116</v>
      </c>
      <c r="BU94" s="34">
        <f t="shared" ca="1" si="65"/>
        <v>38245.063692412012</v>
      </c>
      <c r="BV94" s="34">
        <f t="shared" ca="1" si="66"/>
        <v>1.1640682532884577E-10</v>
      </c>
      <c r="BW94" s="34">
        <f t="shared" ca="1" si="67"/>
        <v>1.9662707602085352E-7</v>
      </c>
      <c r="BX94" s="34">
        <f t="shared" ca="1" si="68"/>
        <v>4.8489118971457705E-4</v>
      </c>
      <c r="BY94" s="34">
        <f t="shared" ca="1" si="69"/>
        <v>1.3165915932760095</v>
      </c>
    </row>
    <row r="95" spans="1:77" ht="12.75" customHeight="1" x14ac:dyDescent="0.3">
      <c r="A95" s="118"/>
      <c r="B95" s="118"/>
      <c r="C95" s="118"/>
      <c r="D95" s="118"/>
      <c r="E95" s="110"/>
      <c r="F95" s="118"/>
      <c r="G95" s="23"/>
      <c r="H95" s="25">
        <f t="shared" si="35"/>
        <v>2.7506762648356158E-2</v>
      </c>
      <c r="I95" s="25">
        <f t="shared" si="36"/>
        <v>10.039968366649997</v>
      </c>
      <c r="J95" s="117">
        <v>867453.26687855972</v>
      </c>
      <c r="K95" s="117">
        <v>1.2853097161743827E-2</v>
      </c>
      <c r="L95" s="117">
        <v>0.76397727532150583</v>
      </c>
      <c r="M95" s="117">
        <v>7.3296696212858086</v>
      </c>
      <c r="N95" s="117">
        <v>19846.369791657973</v>
      </c>
      <c r="O95" s="117">
        <v>14.989918269427992</v>
      </c>
      <c r="P95" s="117">
        <v>178.43833667640337</v>
      </c>
      <c r="Q95" s="117">
        <v>23.59775591259606</v>
      </c>
      <c r="R95" s="117">
        <v>3.2688838111374308</v>
      </c>
      <c r="S95" s="117">
        <v>5.4681859150412772E-2</v>
      </c>
      <c r="T95" s="117">
        <v>156.29610334815163</v>
      </c>
      <c r="U95" s="117">
        <v>526.06880842487885</v>
      </c>
      <c r="V95" s="117">
        <v>306.48516239366103</v>
      </c>
      <c r="W95" s="117">
        <v>2671097.7123221331</v>
      </c>
      <c r="X95" s="117">
        <v>1116.7038812188125</v>
      </c>
      <c r="Y95" s="117">
        <v>10636271.030385192</v>
      </c>
      <c r="Z95" s="117">
        <v>1167706.1321756248</v>
      </c>
      <c r="AA95" s="117">
        <v>236434.99051989798</v>
      </c>
      <c r="AB95" s="117">
        <v>106.50666778514835</v>
      </c>
      <c r="AC95" s="117">
        <v>11247.893287741936</v>
      </c>
      <c r="AD95" s="117">
        <v>38767.309046513219</v>
      </c>
      <c r="AE95" s="117">
        <v>26426040.77836515</v>
      </c>
      <c r="AF95" s="117">
        <v>114655.64411617372</v>
      </c>
      <c r="AG95" s="117">
        <v>28960.756026608742</v>
      </c>
      <c r="AH95" s="117">
        <v>2688.0958610274297</v>
      </c>
      <c r="AI95" s="117">
        <v>9.029979163113093E-3</v>
      </c>
      <c r="AJ95" s="117">
        <v>1661.9626640916035</v>
      </c>
      <c r="AK95" s="117">
        <v>1710.829232028829</v>
      </c>
      <c r="AL95" s="117">
        <v>1699.6140018944818</v>
      </c>
      <c r="AM95" s="117">
        <v>190.37690217754832</v>
      </c>
      <c r="AN95" s="117">
        <v>5.4779833576546735E-4</v>
      </c>
      <c r="AO95" s="117">
        <v>28.593607698543902</v>
      </c>
      <c r="AP95" s="117">
        <v>2157.1798566235366</v>
      </c>
      <c r="AQ95" s="117">
        <v>97.636026008480911</v>
      </c>
      <c r="AS95" s="34">
        <f t="shared" ca="1" si="37"/>
        <v>0.90616444240074967</v>
      </c>
      <c r="AT95" s="34">
        <f t="shared" ca="1" si="38"/>
        <v>9072315.8407702688</v>
      </c>
      <c r="AU95" s="34">
        <f t="shared" ca="1" si="39"/>
        <v>4.6259179047151398E-2</v>
      </c>
      <c r="AV95" s="34">
        <f t="shared" ca="1" si="40"/>
        <v>23.203434759272579</v>
      </c>
      <c r="AW95" s="34">
        <f t="shared" ca="1" si="41"/>
        <v>1.4762135070712995E-3</v>
      </c>
      <c r="AX95" s="34">
        <f t="shared" ca="1" si="42"/>
        <v>2.2567874759947485E-2</v>
      </c>
      <c r="AY95" s="34">
        <f t="shared" ca="1" si="43"/>
        <v>1.1571741301900744E-3</v>
      </c>
      <c r="AZ95" s="34">
        <f t="shared" ca="1" si="44"/>
        <v>8.4055222401092098E-5</v>
      </c>
      <c r="BA95" s="34">
        <f t="shared" ca="1" si="45"/>
        <v>1.2915667255601581E-6</v>
      </c>
      <c r="BB95" s="34">
        <f t="shared" ca="1" si="46"/>
        <v>554.4577288410195</v>
      </c>
      <c r="BC95" s="34">
        <f t="shared" ca="1" si="47"/>
        <v>128.52318538240755</v>
      </c>
      <c r="BD95" s="34">
        <f t="shared" ca="1" si="48"/>
        <v>1.3173436025115965</v>
      </c>
      <c r="BE95" s="34">
        <f t="shared" ca="1" si="49"/>
        <v>6.2153010436744101</v>
      </c>
      <c r="BF95" s="34">
        <f t="shared" ca="1" si="50"/>
        <v>0.28198932588929049</v>
      </c>
      <c r="BG95" s="34">
        <f t="shared" ca="1" si="51"/>
        <v>132.39625028209664</v>
      </c>
      <c r="BH95" s="34">
        <f t="shared" ca="1" si="52"/>
        <v>10.845085953029761</v>
      </c>
      <c r="BI95" s="34">
        <f t="shared" ca="1" si="53"/>
        <v>0.84913166172704635</v>
      </c>
      <c r="BJ95" s="34">
        <f t="shared" ca="1" si="54"/>
        <v>1.3500753607859379E-3</v>
      </c>
      <c r="BK95" s="34">
        <f t="shared" ca="1" si="55"/>
        <v>137183.84801148096</v>
      </c>
      <c r="BL95" s="34">
        <f t="shared" ca="1" si="56"/>
        <v>1.9982198908922062E-2</v>
      </c>
      <c r="BM95" s="34">
        <f t="shared" ca="1" si="57"/>
        <v>0.45404061825030129</v>
      </c>
      <c r="BN95" s="34">
        <f t="shared" ca="1" si="58"/>
        <v>6.2392335315047412E-2</v>
      </c>
      <c r="BO95" s="34">
        <f t="shared" ca="1" si="59"/>
        <v>8.3900452973849404</v>
      </c>
      <c r="BP95" s="34">
        <f t="shared" ca="1" si="60"/>
        <v>975302.01379515429</v>
      </c>
      <c r="BQ95" s="34">
        <f t="shared" ca="1" si="61"/>
        <v>5.732518821874063E-9</v>
      </c>
      <c r="BR95" s="34">
        <f t="shared" ca="1" si="62"/>
        <v>4.2852249861916953E-5</v>
      </c>
      <c r="BS95" s="34">
        <f t="shared" ca="1" si="63"/>
        <v>1.3971152235472675E-3</v>
      </c>
      <c r="BT95" s="34">
        <f t="shared" ca="1" si="64"/>
        <v>9.4472697325896799</v>
      </c>
      <c r="BU95" s="34">
        <f t="shared" ca="1" si="65"/>
        <v>39109.256845927441</v>
      </c>
      <c r="BV95" s="34">
        <f t="shared" ca="1" si="66"/>
        <v>1.2108022170686528E-10</v>
      </c>
      <c r="BW95" s="34">
        <f t="shared" ca="1" si="67"/>
        <v>1.9616096908724455E-7</v>
      </c>
      <c r="BX95" s="34">
        <f t="shared" ca="1" si="68"/>
        <v>4.687088972666191E-4</v>
      </c>
      <c r="BY95" s="34">
        <f t="shared" ca="1" si="69"/>
        <v>1.2794541693722683</v>
      </c>
    </row>
    <row r="96" spans="1:77" ht="12.75" customHeight="1" x14ac:dyDescent="0.3">
      <c r="A96" s="118"/>
      <c r="B96" s="118"/>
      <c r="C96" s="118"/>
      <c r="D96" s="118"/>
      <c r="E96" s="110"/>
      <c r="F96" s="118"/>
      <c r="G96" s="23"/>
      <c r="H96" s="25">
        <f t="shared" si="35"/>
        <v>2.7842210973336109E-2</v>
      </c>
      <c r="I96" s="25">
        <f t="shared" si="36"/>
        <v>10.16240700526768</v>
      </c>
      <c r="J96" s="117">
        <v>878031.96525512752</v>
      </c>
      <c r="K96" s="117">
        <v>1.2331480766080941E-2</v>
      </c>
      <c r="L96" s="117">
        <v>0.73294659542227147</v>
      </c>
      <c r="M96" s="117">
        <v>7.2752041080698158</v>
      </c>
      <c r="N96" s="117">
        <v>19273.180953619591</v>
      </c>
      <c r="O96" s="117">
        <v>14.81948368700405</v>
      </c>
      <c r="P96" s="117">
        <v>173.04993683895765</v>
      </c>
      <c r="Q96" s="117">
        <v>23.236781586830993</v>
      </c>
      <c r="R96" s="117">
        <v>3.2866279871693975</v>
      </c>
      <c r="S96" s="117">
        <v>5.5350979614197847E-2</v>
      </c>
      <c r="T96" s="117">
        <v>153.26736403482147</v>
      </c>
      <c r="U96" s="117">
        <v>519.98592826484457</v>
      </c>
      <c r="V96" s="117">
        <v>298.98046639213243</v>
      </c>
      <c r="W96" s="117">
        <v>2595259.7459328738</v>
      </c>
      <c r="X96" s="117">
        <v>1103.9648223906293</v>
      </c>
      <c r="Y96" s="117">
        <v>10272402.726105073</v>
      </c>
      <c r="Z96" s="117">
        <v>1159438.0075107228</v>
      </c>
      <c r="AA96" s="117">
        <v>237369.20785342201</v>
      </c>
      <c r="AB96" s="117">
        <v>108.24791726193639</v>
      </c>
      <c r="AC96" s="117">
        <v>11027.760795531905</v>
      </c>
      <c r="AD96" s="117">
        <v>38310.406193193186</v>
      </c>
      <c r="AE96" s="117">
        <v>25747556.956518222</v>
      </c>
      <c r="AF96" s="117">
        <v>111278.57110752548</v>
      </c>
      <c r="AG96" s="117">
        <v>28889.361918046176</v>
      </c>
      <c r="AH96" s="117">
        <v>2724.0315733103553</v>
      </c>
      <c r="AI96" s="117">
        <v>9.320047274722602E-3</v>
      </c>
      <c r="AJ96" s="117">
        <v>1629.8636480443486</v>
      </c>
      <c r="AK96" s="117">
        <v>1650.6445088232706</v>
      </c>
      <c r="AL96" s="117">
        <v>1704.1667367967832</v>
      </c>
      <c r="AM96" s="117">
        <v>194.58287402974483</v>
      </c>
      <c r="AN96" s="117">
        <v>5.694012366629351E-4</v>
      </c>
      <c r="AO96" s="117">
        <v>28.522652676015252</v>
      </c>
      <c r="AP96" s="117">
        <v>2087.1562281269048</v>
      </c>
      <c r="AQ96" s="117">
        <v>94.876982435555959</v>
      </c>
      <c r="AS96" s="34">
        <f t="shared" ca="1" si="37"/>
        <v>0.86938963051106655</v>
      </c>
      <c r="AT96" s="34">
        <f t="shared" ca="1" si="38"/>
        <v>8703823.0362150259</v>
      </c>
      <c r="AU96" s="34">
        <f t="shared" ca="1" si="39"/>
        <v>4.5915435050773071E-2</v>
      </c>
      <c r="AV96" s="34">
        <f t="shared" ca="1" si="40"/>
        <v>22.533289541392119</v>
      </c>
      <c r="AW96" s="34">
        <f t="shared" ca="1" si="41"/>
        <v>1.4594290371279634E-3</v>
      </c>
      <c r="AX96" s="34">
        <f t="shared" ca="1" si="42"/>
        <v>2.1886380329137332E-2</v>
      </c>
      <c r="AY96" s="34">
        <f t="shared" ca="1" si="43"/>
        <v>1.1394728643160947E-3</v>
      </c>
      <c r="AZ96" s="34">
        <f t="shared" ca="1" si="44"/>
        <v>8.4511491497475834E-5</v>
      </c>
      <c r="BA96" s="34">
        <f t="shared" ca="1" si="45"/>
        <v>1.3073711210186044E-6</v>
      </c>
      <c r="BB96" s="34">
        <f t="shared" ca="1" si="46"/>
        <v>543.71332840526543</v>
      </c>
      <c r="BC96" s="34">
        <f t="shared" ca="1" si="47"/>
        <v>127.03708485345234</v>
      </c>
      <c r="BD96" s="34">
        <f t="shared" ca="1" si="48"/>
        <v>1.2850866958829168</v>
      </c>
      <c r="BE96" s="34">
        <f t="shared" ca="1" si="49"/>
        <v>6.0388358438148622</v>
      </c>
      <c r="BF96" s="34">
        <f t="shared" ca="1" si="50"/>
        <v>0.27877246717514087</v>
      </c>
      <c r="BG96" s="34">
        <f t="shared" ca="1" si="51"/>
        <v>127.86695623293514</v>
      </c>
      <c r="BH96" s="34">
        <f t="shared" ca="1" si="52"/>
        <v>10.768295637221312</v>
      </c>
      <c r="BI96" s="34">
        <f t="shared" ca="1" si="53"/>
        <v>0.85248680605270277</v>
      </c>
      <c r="BJ96" s="34">
        <f t="shared" ca="1" si="54"/>
        <v>1.3721473874907368E-3</v>
      </c>
      <c r="BK96" s="34">
        <f t="shared" ca="1" si="55"/>
        <v>134499.02325530729</v>
      </c>
      <c r="BL96" s="34">
        <f t="shared" ca="1" si="56"/>
        <v>1.9746693171700511E-2</v>
      </c>
      <c r="BM96" s="34">
        <f t="shared" ca="1" si="57"/>
        <v>0.44238320742104026</v>
      </c>
      <c r="BN96" s="34">
        <f t="shared" ca="1" si="58"/>
        <v>6.0554628386939417E-2</v>
      </c>
      <c r="BO96" s="34">
        <f t="shared" ca="1" si="59"/>
        <v>8.3693621424197868</v>
      </c>
      <c r="BP96" s="34">
        <f t="shared" ca="1" si="60"/>
        <v>988340.3034874365</v>
      </c>
      <c r="BQ96" s="34">
        <f t="shared" ca="1" si="61"/>
        <v>5.9166633120650814E-9</v>
      </c>
      <c r="BR96" s="34">
        <f t="shared" ca="1" si="62"/>
        <v>4.2024604881859305E-5</v>
      </c>
      <c r="BS96" s="34">
        <f t="shared" ca="1" si="63"/>
        <v>1.3479665467294477E-3</v>
      </c>
      <c r="BT96" s="34">
        <f t="shared" ca="1" si="64"/>
        <v>9.4725760166018578</v>
      </c>
      <c r="BU96" s="34">
        <f t="shared" ca="1" si="65"/>
        <v>39973.292511876491</v>
      </c>
      <c r="BV96" s="34">
        <f t="shared" ca="1" si="66"/>
        <v>1.2585512491375765E-10</v>
      </c>
      <c r="BW96" s="34">
        <f t="shared" ca="1" si="67"/>
        <v>1.9567419574518962E-7</v>
      </c>
      <c r="BX96" s="34">
        <f t="shared" ca="1" si="68"/>
        <v>4.5349426525784659E-4</v>
      </c>
      <c r="BY96" s="34">
        <f t="shared" ca="1" si="69"/>
        <v>1.2432987670359221</v>
      </c>
    </row>
    <row r="97" spans="1:77" ht="12.75" customHeight="1" x14ac:dyDescent="0.3">
      <c r="A97" s="118"/>
      <c r="B97" s="118"/>
      <c r="C97" s="118"/>
      <c r="D97" s="118"/>
      <c r="E97" s="110"/>
      <c r="F97" s="118"/>
      <c r="G97" s="23"/>
      <c r="H97" s="25">
        <f t="shared" si="35"/>
        <v>2.817765929831606E-2</v>
      </c>
      <c r="I97" s="25">
        <f t="shared" si="36"/>
        <v>10.284845643885362</v>
      </c>
      <c r="J97" s="117">
        <v>888610.66363169532</v>
      </c>
      <c r="K97" s="117">
        <v>1.1831266230526615E-2</v>
      </c>
      <c r="L97" s="117">
        <v>0.70319023338671094</v>
      </c>
      <c r="M97" s="117">
        <v>7.2211433174636523</v>
      </c>
      <c r="N97" s="117">
        <v>18719.376160299649</v>
      </c>
      <c r="O97" s="117">
        <v>14.649905589911189</v>
      </c>
      <c r="P97" s="117">
        <v>167.82633535352329</v>
      </c>
      <c r="Q97" s="117">
        <v>22.879636900682314</v>
      </c>
      <c r="R97" s="117">
        <v>3.3035000703594712</v>
      </c>
      <c r="S97" s="117">
        <v>5.6005791725174371E-2</v>
      </c>
      <c r="T97" s="117">
        <v>150.28803679603007</v>
      </c>
      <c r="U97" s="117">
        <v>513.935475944411</v>
      </c>
      <c r="V97" s="117">
        <v>291.65795838865432</v>
      </c>
      <c r="W97" s="117">
        <v>2521697.5721616591</v>
      </c>
      <c r="X97" s="117">
        <v>1091.2977000074368</v>
      </c>
      <c r="Y97" s="117">
        <v>9921021.7997127473</v>
      </c>
      <c r="Z97" s="117">
        <v>1150977.6272831529</v>
      </c>
      <c r="AA97" s="117">
        <v>238245.40344879081</v>
      </c>
      <c r="AB97" s="117">
        <v>109.96991628715331</v>
      </c>
      <c r="AC97" s="117">
        <v>10811.332462869143</v>
      </c>
      <c r="AD97" s="117">
        <v>37856.345104788925</v>
      </c>
      <c r="AE97" s="117">
        <v>25086493.040979575</v>
      </c>
      <c r="AF97" s="117">
        <v>108028.8659984503</v>
      </c>
      <c r="AG97" s="117">
        <v>28814.387711909396</v>
      </c>
      <c r="AH97" s="117">
        <v>2759.2447862068134</v>
      </c>
      <c r="AI97" s="117">
        <v>9.613468392598877E-3</v>
      </c>
      <c r="AJ97" s="117">
        <v>1598.2787380379118</v>
      </c>
      <c r="AK97" s="117">
        <v>1594.3830997149662</v>
      </c>
      <c r="AL97" s="117">
        <v>1708.5230746357738</v>
      </c>
      <c r="AM97" s="117">
        <v>198.7875101784999</v>
      </c>
      <c r="AN97" s="117">
        <v>5.9146261379282826E-4</v>
      </c>
      <c r="AO97" s="117">
        <v>28.448931476483068</v>
      </c>
      <c r="AP97" s="117">
        <v>2020.9955522893567</v>
      </c>
      <c r="AQ97" s="117">
        <v>92.191977937159521</v>
      </c>
      <c r="AS97" s="34">
        <f t="shared" ca="1" si="37"/>
        <v>0.83412368488043087</v>
      </c>
      <c r="AT97" s="34">
        <f t="shared" ca="1" si="38"/>
        <v>8350462.8992328048</v>
      </c>
      <c r="AU97" s="34">
        <f t="shared" ca="1" si="39"/>
        <v>4.557424534901372E-2</v>
      </c>
      <c r="AV97" s="34">
        <f t="shared" ca="1" si="40"/>
        <v>21.885807229711467</v>
      </c>
      <c r="AW97" s="34">
        <f t="shared" ca="1" si="41"/>
        <v>1.4427289142231916E-3</v>
      </c>
      <c r="AX97" s="34">
        <f t="shared" ca="1" si="42"/>
        <v>2.1225728664731026E-2</v>
      </c>
      <c r="AY97" s="34">
        <f t="shared" ca="1" si="43"/>
        <v>1.1219593942608551E-3</v>
      </c>
      <c r="AZ97" s="34">
        <f t="shared" ca="1" si="44"/>
        <v>8.4945335826870308E-5</v>
      </c>
      <c r="BA97" s="34">
        <f t="shared" ca="1" si="45"/>
        <v>1.3228375580997713E-6</v>
      </c>
      <c r="BB97" s="34">
        <f t="shared" ca="1" si="46"/>
        <v>533.14421645104846</v>
      </c>
      <c r="BC97" s="34">
        <f t="shared" ca="1" si="47"/>
        <v>125.55890672775274</v>
      </c>
      <c r="BD97" s="34">
        <f t="shared" ca="1" si="48"/>
        <v>1.2536128751035218</v>
      </c>
      <c r="BE97" s="34">
        <f t="shared" ca="1" si="49"/>
        <v>5.8676661208556409</v>
      </c>
      <c r="BF97" s="34">
        <f t="shared" ca="1" si="50"/>
        <v>0.2755737738045268</v>
      </c>
      <c r="BG97" s="34">
        <f t="shared" ca="1" si="51"/>
        <v>123.49310030710427</v>
      </c>
      <c r="BH97" s="34">
        <f t="shared" ca="1" si="52"/>
        <v>10.689719745363695</v>
      </c>
      <c r="BI97" s="34">
        <f t="shared" ca="1" si="53"/>
        <v>0.8556335713443266</v>
      </c>
      <c r="BJ97" s="34">
        <f t="shared" ca="1" si="54"/>
        <v>1.3939753960425822E-3</v>
      </c>
      <c r="BK97" s="34">
        <f t="shared" ca="1" si="55"/>
        <v>131859.37592457171</v>
      </c>
      <c r="BL97" s="34">
        <f t="shared" ca="1" si="56"/>
        <v>1.9512652192110989E-2</v>
      </c>
      <c r="BM97" s="34">
        <f t="shared" ca="1" si="57"/>
        <v>0.43102509776581477</v>
      </c>
      <c r="BN97" s="34">
        <f t="shared" ca="1" si="58"/>
        <v>5.878623144143013E-2</v>
      </c>
      <c r="BO97" s="34">
        <f t="shared" ca="1" si="59"/>
        <v>8.3476418190606481</v>
      </c>
      <c r="BP97" s="34">
        <f t="shared" ca="1" si="60"/>
        <v>1001116.4540511245</v>
      </c>
      <c r="BQ97" s="34">
        <f t="shared" ca="1" si="61"/>
        <v>6.1029363975924665E-9</v>
      </c>
      <c r="BR97" s="34">
        <f t="shared" ca="1" si="62"/>
        <v>4.1210215675227047E-5</v>
      </c>
      <c r="BS97" s="34">
        <f t="shared" ca="1" si="63"/>
        <v>1.3020217676177307E-3</v>
      </c>
      <c r="BT97" s="34">
        <f t="shared" ca="1" si="64"/>
        <v>9.4967906315469897</v>
      </c>
      <c r="BU97" s="34">
        <f t="shared" ca="1" si="65"/>
        <v>40837.053783356649</v>
      </c>
      <c r="BV97" s="34">
        <f t="shared" ca="1" si="66"/>
        <v>1.3073136541988045E-10</v>
      </c>
      <c r="BW97" s="34">
        <f t="shared" ca="1" si="67"/>
        <v>1.9516844557560737E-7</v>
      </c>
      <c r="BX97" s="34">
        <f t="shared" ca="1" si="68"/>
        <v>4.3911896997636318E-4</v>
      </c>
      <c r="BY97" s="34">
        <f t="shared" ca="1" si="69"/>
        <v>1.208113596759141</v>
      </c>
    </row>
    <row r="98" spans="1:77" ht="12.75" customHeight="1" x14ac:dyDescent="0.3">
      <c r="A98" s="118"/>
      <c r="B98" s="118"/>
      <c r="C98" s="118"/>
      <c r="D98" s="118"/>
      <c r="E98" s="110"/>
      <c r="F98" s="118"/>
      <c r="G98" s="23"/>
      <c r="H98" s="25">
        <f t="shared" si="35"/>
        <v>2.8513107623296015E-2</v>
      </c>
      <c r="I98" s="25">
        <f t="shared" si="36"/>
        <v>10.407284282503046</v>
      </c>
      <c r="J98" s="117">
        <v>899189.36200826312</v>
      </c>
      <c r="K98" s="117">
        <v>1.1351582058249991E-2</v>
      </c>
      <c r="L98" s="117">
        <v>0.67465575062856475</v>
      </c>
      <c r="M98" s="117">
        <v>7.1674842420871139</v>
      </c>
      <c r="N98" s="117">
        <v>18183.700095993165</v>
      </c>
      <c r="O98" s="117">
        <v>14.481230140477225</v>
      </c>
      <c r="P98" s="117">
        <v>162.7625250798134</v>
      </c>
      <c r="Q98" s="117">
        <v>22.526381023583188</v>
      </c>
      <c r="R98" s="117">
        <v>3.319527687765794</v>
      </c>
      <c r="S98" s="117">
        <v>5.6646468401690075E-2</v>
      </c>
      <c r="T98" s="117">
        <v>147.35779634613081</v>
      </c>
      <c r="U98" s="117">
        <v>507.91904818771002</v>
      </c>
      <c r="V98" s="117">
        <v>284.51330987381476</v>
      </c>
      <c r="W98" s="117">
        <v>2450322.1752988575</v>
      </c>
      <c r="X98" s="117">
        <v>1078.7050809675939</v>
      </c>
      <c r="Y98" s="117">
        <v>9581698.9189235233</v>
      </c>
      <c r="Z98" s="117">
        <v>1142338.66675505</v>
      </c>
      <c r="AA98" s="117">
        <v>239065.64352006413</v>
      </c>
      <c r="AB98" s="117">
        <v>111.67239357588221</v>
      </c>
      <c r="AC98" s="117">
        <v>10598.571361737206</v>
      </c>
      <c r="AD98" s="117">
        <v>37405.210995232374</v>
      </c>
      <c r="AE98" s="117">
        <v>24442401.77290253</v>
      </c>
      <c r="AF98" s="117">
        <v>104896.11474031954</v>
      </c>
      <c r="AG98" s="117">
        <v>28735.915033182671</v>
      </c>
      <c r="AH98" s="117">
        <v>2793.7369206766389</v>
      </c>
      <c r="AI98" s="117">
        <v>9.9101496753012941E-3</v>
      </c>
      <c r="AJ98" s="117">
        <v>1567.2061589761263</v>
      </c>
      <c r="AK98" s="117">
        <v>1541.5374729415789</v>
      </c>
      <c r="AL98" s="117">
        <v>1712.6914895103448</v>
      </c>
      <c r="AM98" s="117">
        <v>202.99026883379</v>
      </c>
      <c r="AN98" s="117">
        <v>6.1398163747125839E-4</v>
      </c>
      <c r="AO98" s="117">
        <v>28.372659416867879</v>
      </c>
      <c r="AP98" s="117">
        <v>1958.2117794446826</v>
      </c>
      <c r="AQ98" s="117">
        <v>89.579893834331699</v>
      </c>
      <c r="AS98" s="34">
        <f t="shared" ca="1" si="37"/>
        <v>0.80030516355210235</v>
      </c>
      <c r="AT98" s="34">
        <f t="shared" ca="1" si="38"/>
        <v>8011612.7157296725</v>
      </c>
      <c r="AU98" s="34">
        <f t="shared" ca="1" si="39"/>
        <v>4.5235590961626417E-2</v>
      </c>
      <c r="AV98" s="34">
        <f t="shared" ca="1" si="40"/>
        <v>21.259520168615595</v>
      </c>
      <c r="AW98" s="34">
        <f t="shared" ca="1" si="41"/>
        <v>1.4261176844426013E-3</v>
      </c>
      <c r="AX98" s="34">
        <f t="shared" ca="1" si="42"/>
        <v>2.058528649185612E-2</v>
      </c>
      <c r="AY98" s="34">
        <f t="shared" ca="1" si="43"/>
        <v>1.1046366215433649E-3</v>
      </c>
      <c r="AZ98" s="34">
        <f t="shared" ca="1" si="44"/>
        <v>8.5357465784214776E-5</v>
      </c>
      <c r="BA98" s="34">
        <f t="shared" ca="1" si="45"/>
        <v>1.3379701210756208E-6</v>
      </c>
      <c r="BB98" s="34">
        <f t="shared" ca="1" si="46"/>
        <v>522.74923903315221</v>
      </c>
      <c r="BC98" s="34">
        <f t="shared" ca="1" si="47"/>
        <v>124.08904109890173</v>
      </c>
      <c r="BD98" s="34">
        <f t="shared" ca="1" si="48"/>
        <v>1.2229035352460549</v>
      </c>
      <c r="BE98" s="34">
        <f t="shared" ca="1" si="49"/>
        <v>5.7015847466821805</v>
      </c>
      <c r="BF98" s="34">
        <f t="shared" ca="1" si="50"/>
        <v>0.27239389396892505</v>
      </c>
      <c r="BG98" s="34">
        <f t="shared" ca="1" si="51"/>
        <v>119.2693383398629</v>
      </c>
      <c r="BH98" s="34">
        <f t="shared" ca="1" si="52"/>
        <v>10.609485286632585</v>
      </c>
      <c r="BI98" s="34">
        <f t="shared" ca="1" si="53"/>
        <v>0.85857937819467445</v>
      </c>
      <c r="BJ98" s="34">
        <f t="shared" ca="1" si="54"/>
        <v>1.4155559476419163E-3</v>
      </c>
      <c r="BK98" s="34">
        <f t="shared" ca="1" si="55"/>
        <v>129264.45563027557</v>
      </c>
      <c r="BL98" s="34">
        <f t="shared" ca="1" si="56"/>
        <v>1.9280119892772323E-2</v>
      </c>
      <c r="BM98" s="34">
        <f t="shared" ca="1" si="57"/>
        <v>0.41995860467969404</v>
      </c>
      <c r="BN98" s="34">
        <f t="shared" ca="1" si="58"/>
        <v>5.7081477449922452E-2</v>
      </c>
      <c r="BO98" s="34">
        <f t="shared" ca="1" si="59"/>
        <v>8.3249079743875534</v>
      </c>
      <c r="BP98" s="34">
        <f t="shared" ca="1" si="60"/>
        <v>1013630.9810426048</v>
      </c>
      <c r="BQ98" s="34">
        <f t="shared" ca="1" si="61"/>
        <v>6.2912791397481439E-9</v>
      </c>
      <c r="BR98" s="34">
        <f t="shared" ca="1" si="62"/>
        <v>4.0409036472722167E-5</v>
      </c>
      <c r="BS98" s="34">
        <f t="shared" ca="1" si="63"/>
        <v>1.2588664203271997E-3</v>
      </c>
      <c r="BT98" s="34">
        <f t="shared" ca="1" si="64"/>
        <v>9.5199606805307688</v>
      </c>
      <c r="BU98" s="34">
        <f t="shared" ca="1" si="65"/>
        <v>41700.429360073904</v>
      </c>
      <c r="BV98" s="34">
        <f t="shared" ca="1" si="66"/>
        <v>1.357087598396653E-10</v>
      </c>
      <c r="BW98" s="34">
        <f t="shared" ca="1" si="67"/>
        <v>1.9464519571899142E-7</v>
      </c>
      <c r="BX98" s="34">
        <f t="shared" ca="1" si="68"/>
        <v>4.2547740325863694E-4</v>
      </c>
      <c r="BY98" s="34">
        <f t="shared" ca="1" si="69"/>
        <v>1.1738839990098044</v>
      </c>
    </row>
    <row r="99" spans="1:77" ht="12.75" customHeight="1" x14ac:dyDescent="0.3">
      <c r="A99" s="118"/>
      <c r="B99" s="118"/>
      <c r="C99" s="118"/>
      <c r="D99" s="118"/>
      <c r="E99" s="110"/>
      <c r="F99" s="118"/>
      <c r="G99" s="23"/>
      <c r="H99" s="25">
        <f t="shared" si="35"/>
        <v>2.8848555948275966E-2</v>
      </c>
      <c r="I99" s="25">
        <f t="shared" si="36"/>
        <v>10.529722921120728</v>
      </c>
      <c r="J99" s="117">
        <v>909768.06038483093</v>
      </c>
      <c r="K99" s="117">
        <v>1.0891617044706313E-2</v>
      </c>
      <c r="L99" s="117">
        <v>0.64729286640717898</v>
      </c>
      <c r="M99" s="117">
        <v>7.114223896894722</v>
      </c>
      <c r="N99" s="117">
        <v>17665.100521767297</v>
      </c>
      <c r="O99" s="117">
        <v>14.313499118307512</v>
      </c>
      <c r="P99" s="117">
        <v>157.85363101438941</v>
      </c>
      <c r="Q99" s="117">
        <v>22.177063455189924</v>
      </c>
      <c r="R99" s="117">
        <v>3.3347376226592735</v>
      </c>
      <c r="S99" s="117">
        <v>5.7273183992734816E-2</v>
      </c>
      <c r="T99" s="117">
        <v>144.47626753592994</v>
      </c>
      <c r="U99" s="117">
        <v>501.93808659785543</v>
      </c>
      <c r="V99" s="117">
        <v>277.5422818716923</v>
      </c>
      <c r="W99" s="117">
        <v>2381052.7441151803</v>
      </c>
      <c r="X99" s="117">
        <v>1066.1893532466001</v>
      </c>
      <c r="Y99" s="117">
        <v>9254019.5255245157</v>
      </c>
      <c r="Z99" s="117">
        <v>1133534.2180080251</v>
      </c>
      <c r="AA99" s="117">
        <v>239831.92306581142</v>
      </c>
      <c r="AB99" s="117">
        <v>113.35510187834056</v>
      </c>
      <c r="AC99" s="117">
        <v>10389.439294538879</v>
      </c>
      <c r="AD99" s="117">
        <v>36957.08278560426</v>
      </c>
      <c r="AE99" s="117">
        <v>23814847.371761665</v>
      </c>
      <c r="AF99" s="117">
        <v>101871.69374495969</v>
      </c>
      <c r="AG99" s="117">
        <v>28654.022391745628</v>
      </c>
      <c r="AH99" s="117">
        <v>2827.5095861875197</v>
      </c>
      <c r="AI99" s="117">
        <v>1.0209998706420613E-2</v>
      </c>
      <c r="AJ99" s="117">
        <v>1536.6432887270828</v>
      </c>
      <c r="AK99" s="117">
        <v>1491.6826805126636</v>
      </c>
      <c r="AL99" s="117">
        <v>1716.6793355467837</v>
      </c>
      <c r="AM99" s="117">
        <v>207.19063251068619</v>
      </c>
      <c r="AN99" s="117">
        <v>6.3695741764117355E-4</v>
      </c>
      <c r="AO99" s="117">
        <v>28.294025201660176</v>
      </c>
      <c r="AP99" s="117">
        <v>1898.406520701215</v>
      </c>
      <c r="AQ99" s="117">
        <v>87.039439931948323</v>
      </c>
      <c r="AS99" s="34">
        <f t="shared" ca="1" si="37"/>
        <v>0.76787687527445347</v>
      </c>
      <c r="AT99" s="34">
        <f t="shared" ca="1" si="38"/>
        <v>7686675.3962703049</v>
      </c>
      <c r="AU99" s="34">
        <f t="shared" ca="1" si="39"/>
        <v>4.4899453049323655E-2</v>
      </c>
      <c r="AV99" s="34">
        <f t="shared" ca="1" si="40"/>
        <v>20.653198130224755</v>
      </c>
      <c r="AW99" s="34">
        <f t="shared" ca="1" si="41"/>
        <v>1.4095994622594422E-3</v>
      </c>
      <c r="AX99" s="34">
        <f t="shared" ca="1" si="42"/>
        <v>1.9964437247563718E-2</v>
      </c>
      <c r="AY99" s="34">
        <f t="shared" ca="1" si="43"/>
        <v>1.0875069735012889E-3</v>
      </c>
      <c r="AZ99" s="34">
        <f t="shared" ca="1" si="44"/>
        <v>8.5748570067524456E-5</v>
      </c>
      <c r="BA99" s="34">
        <f t="shared" ca="1" si="45"/>
        <v>1.3527729280093907E-6</v>
      </c>
      <c r="BB99" s="34">
        <f t="shared" ca="1" si="46"/>
        <v>512.52706531628678</v>
      </c>
      <c r="BC99" s="34">
        <f t="shared" ca="1" si="47"/>
        <v>122.62784016307832</v>
      </c>
      <c r="BD99" s="34">
        <f t="shared" ca="1" si="48"/>
        <v>1.1929404562186601</v>
      </c>
      <c r="BE99" s="34">
        <f t="shared" ca="1" si="49"/>
        <v>5.5404036839510988</v>
      </c>
      <c r="BF99" s="34">
        <f t="shared" ca="1" si="50"/>
        <v>0.26923343067833011</v>
      </c>
      <c r="BG99" s="34">
        <f t="shared" ca="1" si="51"/>
        <v>115.19051006848804</v>
      </c>
      <c r="BH99" s="34">
        <f t="shared" ca="1" si="52"/>
        <v>10.527713853906935</v>
      </c>
      <c r="BI99" s="34">
        <f t="shared" ca="1" si="53"/>
        <v>0.86133139143348092</v>
      </c>
      <c r="BJ99" s="34">
        <f t="shared" ca="1" si="54"/>
        <v>1.4368859081578319E-3</v>
      </c>
      <c r="BK99" s="34">
        <f t="shared" ca="1" si="55"/>
        <v>126713.79649910047</v>
      </c>
      <c r="BL99" s="34">
        <f t="shared" ca="1" si="56"/>
        <v>1.9049136952719807E-2</v>
      </c>
      <c r="BM99" s="34">
        <f t="shared" ca="1" si="57"/>
        <v>0.40917624077321846</v>
      </c>
      <c r="BN99" s="34">
        <f t="shared" ca="1" si="58"/>
        <v>5.5435673701393837E-2</v>
      </c>
      <c r="BO99" s="34">
        <f t="shared" ca="1" si="59"/>
        <v>8.3011833530224202</v>
      </c>
      <c r="BP99" s="34">
        <f t="shared" ca="1" si="60"/>
        <v>1025884.4684131789</v>
      </c>
      <c r="BQ99" s="34">
        <f t="shared" ca="1" si="61"/>
        <v>6.4816328696475167E-9</v>
      </c>
      <c r="BR99" s="34">
        <f t="shared" ca="1" si="62"/>
        <v>3.9620999664972813E-5</v>
      </c>
      <c r="BS99" s="34">
        <f t="shared" ca="1" si="63"/>
        <v>1.2181534793946748E-3</v>
      </c>
      <c r="BT99" s="34">
        <f t="shared" ca="1" si="64"/>
        <v>9.542127041314032</v>
      </c>
      <c r="BU99" s="34">
        <f t="shared" ca="1" si="65"/>
        <v>42563.312934746391</v>
      </c>
      <c r="BV99" s="34">
        <f t="shared" ca="1" si="66"/>
        <v>1.4078711144322434E-10</v>
      </c>
      <c r="BW99" s="34">
        <f t="shared" ca="1" si="67"/>
        <v>1.9410574074635629E-7</v>
      </c>
      <c r="BX99" s="34">
        <f t="shared" ca="1" si="68"/>
        <v>4.1248300374654865E-4</v>
      </c>
      <c r="BY99" s="34">
        <f t="shared" ca="1" si="69"/>
        <v>1.1405930666523145</v>
      </c>
    </row>
    <row r="100" spans="1:77" ht="12.75" customHeight="1" x14ac:dyDescent="0.3">
      <c r="A100" s="118"/>
      <c r="B100" s="118"/>
      <c r="C100" s="118"/>
      <c r="D100" s="118"/>
      <c r="E100" s="110"/>
      <c r="F100" s="118"/>
      <c r="G100" s="23"/>
      <c r="H100" s="25">
        <f t="shared" si="35"/>
        <v>2.9184004273255921E-2</v>
      </c>
      <c r="I100" s="25">
        <f t="shared" si="36"/>
        <v>10.652161559738412</v>
      </c>
      <c r="J100" s="117">
        <v>920346.75876139873</v>
      </c>
      <c r="K100" s="117">
        <v>1.0450516691816824E-2</v>
      </c>
      <c r="L100" s="117">
        <v>0.62105337353980561</v>
      </c>
      <c r="M100" s="117">
        <v>7.0613593190503039</v>
      </c>
      <c r="N100" s="117">
        <v>17162.68254340611</v>
      </c>
      <c r="O100" s="117">
        <v>14.146750557304824</v>
      </c>
      <c r="P100" s="117">
        <v>153.09491230851836</v>
      </c>
      <c r="Q100" s="117">
        <v>21.83172533697077</v>
      </c>
      <c r="R100" s="117">
        <v>3.3491558357772204</v>
      </c>
      <c r="S100" s="117">
        <v>5.7886113962850552E-2</v>
      </c>
      <c r="T100" s="117">
        <v>141.64303570607112</v>
      </c>
      <c r="U100" s="117">
        <v>495.99390027155323</v>
      </c>
      <c r="V100" s="117">
        <v>270.74072621490825</v>
      </c>
      <c r="W100" s="117">
        <v>2313815.0301219882</v>
      </c>
      <c r="X100" s="117">
        <v>1053.7527405352164</v>
      </c>
      <c r="Y100" s="117">
        <v>8937583.3566990737</v>
      </c>
      <c r="Z100" s="117">
        <v>1124576.8133334755</v>
      </c>
      <c r="AA100" s="117">
        <v>240546.16817481516</v>
      </c>
      <c r="AB100" s="117">
        <v>115.01781697174356</v>
      </c>
      <c r="AC100" s="117">
        <v>10183.897018609168</v>
      </c>
      <c r="AD100" s="117">
        <v>36512.03362519748</v>
      </c>
      <c r="AE100" s="117">
        <v>23203405.263399292</v>
      </c>
      <c r="AF100" s="117">
        <v>98948.394436697767</v>
      </c>
      <c r="AG100" s="117">
        <v>28568.786071555092</v>
      </c>
      <c r="AH100" s="117">
        <v>2860.5645711763059</v>
      </c>
      <c r="AI100" s="117">
        <v>1.0512923515365074E-2</v>
      </c>
      <c r="AJ100" s="117">
        <v>1506.5868293256403</v>
      </c>
      <c r="AK100" s="117">
        <v>1444.4632637972643</v>
      </c>
      <c r="AL100" s="117">
        <v>1720.4930294882561</v>
      </c>
      <c r="AM100" s="117">
        <v>211.38810507224258</v>
      </c>
      <c r="AN100" s="117">
        <v>6.6038900649338834E-4</v>
      </c>
      <c r="AO100" s="117">
        <v>28.213195154555159</v>
      </c>
      <c r="AP100" s="117">
        <v>1841.2528914695215</v>
      </c>
      <c r="AQ100" s="117">
        <v>84.569199577432997</v>
      </c>
      <c r="AS100" s="34">
        <f t="shared" ca="1" si="37"/>
        <v>0.73677857653066281</v>
      </c>
      <c r="AT100" s="34">
        <f t="shared" ca="1" si="38"/>
        <v>7375078.4751521088</v>
      </c>
      <c r="AU100" s="34">
        <f t="shared" ca="1" si="39"/>
        <v>4.4565812912985836E-2</v>
      </c>
      <c r="AV100" s="34">
        <f t="shared" ca="1" si="40"/>
        <v>20.065794846643414</v>
      </c>
      <c r="AW100" s="34">
        <f t="shared" ca="1" si="41"/>
        <v>1.3931779932685867E-3</v>
      </c>
      <c r="AX100" s="34">
        <f t="shared" ca="1" si="42"/>
        <v>1.9362581336035717E-2</v>
      </c>
      <c r="AY100" s="34">
        <f t="shared" ca="1" si="43"/>
        <v>1.0705724676079375E-3</v>
      </c>
      <c r="AZ100" s="34">
        <f t="shared" ca="1" si="44"/>
        <v>8.6119316224401069E-5</v>
      </c>
      <c r="BA100" s="34">
        <f t="shared" ca="1" si="45"/>
        <v>1.3672501233132758E-6</v>
      </c>
      <c r="BB100" s="34">
        <f t="shared" ca="1" si="46"/>
        <v>502.47622430354329</v>
      </c>
      <c r="BC100" s="34">
        <f t="shared" ca="1" si="47"/>
        <v>121.17562374399365</v>
      </c>
      <c r="BD100" s="34">
        <f t="shared" ca="1" si="48"/>
        <v>1.1637058082454492</v>
      </c>
      <c r="BE100" s="34">
        <f t="shared" ca="1" si="49"/>
        <v>5.3839501659729558</v>
      </c>
      <c r="BF100" s="34">
        <f t="shared" ca="1" si="50"/>
        <v>0.26609294545766299</v>
      </c>
      <c r="BG100" s="34">
        <f t="shared" ca="1" si="51"/>
        <v>111.2516331739037</v>
      </c>
      <c r="BH100" s="34">
        <f t="shared" ca="1" si="52"/>
        <v>10.444521841006765</v>
      </c>
      <c r="BI100" s="34">
        <f t="shared" ca="1" si="53"/>
        <v>0.86389652840815268</v>
      </c>
      <c r="BJ100" s="34">
        <f t="shared" ca="1" si="54"/>
        <v>1.4579624353489612E-3</v>
      </c>
      <c r="BK100" s="34">
        <f t="shared" ca="1" si="55"/>
        <v>124206.91991165944</v>
      </c>
      <c r="BL100" s="34">
        <f t="shared" ca="1" si="56"/>
        <v>1.8819741075981829E-2</v>
      </c>
      <c r="BM100" s="34">
        <f t="shared" ca="1" si="57"/>
        <v>0.39867071119981357</v>
      </c>
      <c r="BN100" s="34">
        <f t="shared" ca="1" si="58"/>
        <v>5.3844897494314863E-2</v>
      </c>
      <c r="BO100" s="34">
        <f t="shared" ca="1" si="59"/>
        <v>8.2764900547285514</v>
      </c>
      <c r="BP100" s="34">
        <f t="shared" ca="1" si="60"/>
        <v>1037877.565048211</v>
      </c>
      <c r="BQ100" s="34">
        <f t="shared" ca="1" si="61"/>
        <v>6.673939201425149E-9</v>
      </c>
      <c r="BR100" s="34">
        <f t="shared" ca="1" si="62"/>
        <v>3.8846020216839921E-5</v>
      </c>
      <c r="BS100" s="34">
        <f t="shared" ca="1" si="63"/>
        <v>1.1795926664829889E-3</v>
      </c>
      <c r="BT100" s="34">
        <f t="shared" ca="1" si="64"/>
        <v>9.5633253812326675</v>
      </c>
      <c r="BU100" s="34">
        <f t="shared" ca="1" si="65"/>
        <v>43425.602585622968</v>
      </c>
      <c r="BV100" s="34">
        <f t="shared" ca="1" si="66"/>
        <v>1.4596621073567811E-10</v>
      </c>
      <c r="BW100" s="34">
        <f t="shared" ca="1" si="67"/>
        <v>1.9355122168955691E-7</v>
      </c>
      <c r="BX100" s="34">
        <f t="shared" ca="1" si="68"/>
        <v>4.0006474643262122E-4</v>
      </c>
      <c r="BY100" s="34">
        <f t="shared" ca="1" si="69"/>
        <v>1.1082222354115825</v>
      </c>
    </row>
    <row r="101" spans="1:77" ht="12.75" customHeight="1" x14ac:dyDescent="0.3">
      <c r="A101" s="118"/>
      <c r="B101" s="118"/>
      <c r="C101" s="118"/>
      <c r="D101" s="118"/>
      <c r="E101" s="110"/>
      <c r="F101" s="118"/>
      <c r="G101" s="23"/>
      <c r="H101" s="25">
        <f t="shared" si="35"/>
        <v>2.9519452598235872E-2</v>
      </c>
      <c r="I101" s="25">
        <f t="shared" si="36"/>
        <v>10.774600198356094</v>
      </c>
      <c r="J101" s="117">
        <v>930925.45713796653</v>
      </c>
      <c r="K101" s="117">
        <v>1.002748935079867E-2</v>
      </c>
      <c r="L101" s="117">
        <v>0.59589104856749486</v>
      </c>
      <c r="M101" s="117">
        <v>7.0088875677305289</v>
      </c>
      <c r="N101" s="117">
        <v>16675.671319545949</v>
      </c>
      <c r="O101" s="117">
        <v>13.981019281577582</v>
      </c>
      <c r="P101" s="117">
        <v>148.48176254045862</v>
      </c>
      <c r="Q101" s="117">
        <v>21.490400578468151</v>
      </c>
      <c r="R101" s="117">
        <v>3.3628074898572846</v>
      </c>
      <c r="S101" s="117">
        <v>5.8485434604180292E-2</v>
      </c>
      <c r="T101" s="117">
        <v>138.85765527799549</v>
      </c>
      <c r="U101" s="117">
        <v>490.0876848240755</v>
      </c>
      <c r="V101" s="117">
        <v>264.10458583065179</v>
      </c>
      <c r="W101" s="117">
        <v>2248540.0141996644</v>
      </c>
      <c r="X101" s="117">
        <v>1041.3973153733223</v>
      </c>
      <c r="Y101" s="117">
        <v>8632003.9240502436</v>
      </c>
      <c r="Z101" s="117">
        <v>1115478.4495136265</v>
      </c>
      <c r="AA101" s="117">
        <v>241210.23853564958</v>
      </c>
      <c r="AB101" s="117">
        <v>116.66033659160129</v>
      </c>
      <c r="AC101" s="117">
        <v>9981.9044397511134</v>
      </c>
      <c r="AD101" s="117">
        <v>36070.131358914412</v>
      </c>
      <c r="AE101" s="117">
        <v>22607661.7723196</v>
      </c>
      <c r="AF101" s="117">
        <v>96120.109659712762</v>
      </c>
      <c r="AG101" s="117">
        <v>28480.280839195784</v>
      </c>
      <c r="AH101" s="117">
        <v>2892.9038347647274</v>
      </c>
      <c r="AI101" s="117">
        <v>1.0818832596448981E-2</v>
      </c>
      <c r="AJ101" s="117">
        <v>1477.0329508932234</v>
      </c>
      <c r="AK101" s="117">
        <v>1399.5814179685412</v>
      </c>
      <c r="AL101" s="117">
        <v>1724.1382127977101</v>
      </c>
      <c r="AM101" s="117">
        <v>215.58220909270256</v>
      </c>
      <c r="AN101" s="117">
        <v>6.8427540103323519E-4</v>
      </c>
      <c r="AO101" s="117">
        <v>28.130316974712887</v>
      </c>
      <c r="AP101" s="117">
        <v>1786.4814344105384</v>
      </c>
      <c r="AQ101" s="117">
        <v>82.167667769692727</v>
      </c>
      <c r="AS101" s="34">
        <f t="shared" ca="1" si="37"/>
        <v>0.7069544547824087</v>
      </c>
      <c r="AT101" s="34">
        <f t="shared" ca="1" si="38"/>
        <v>7076273.0436151084</v>
      </c>
      <c r="AU101" s="34">
        <f t="shared" ca="1" si="39"/>
        <v>4.4234651992421277E-2</v>
      </c>
      <c r="AV101" s="34">
        <f t="shared" ca="1" si="40"/>
        <v>19.496404410079915</v>
      </c>
      <c r="AW101" s="34">
        <f t="shared" ca="1" si="41"/>
        <v>1.3768567069629978E-3</v>
      </c>
      <c r="AX101" s="34">
        <f t="shared" ca="1" si="42"/>
        <v>1.8779136163021948E-2</v>
      </c>
      <c r="AY101" s="34">
        <f t="shared" ca="1" si="43"/>
        <v>1.0538347667013112E-3</v>
      </c>
      <c r="AZ101" s="34">
        <f t="shared" ca="1" si="44"/>
        <v>8.6470351282891966E-5</v>
      </c>
      <c r="BA101" s="34">
        <f t="shared" ca="1" si="45"/>
        <v>1.3814058709471238E-6</v>
      </c>
      <c r="BB101" s="34">
        <f t="shared" ca="1" si="46"/>
        <v>492.59513531267498</v>
      </c>
      <c r="BC101" s="34">
        <f t="shared" ca="1" si="47"/>
        <v>119.73268394085758</v>
      </c>
      <c r="BD101" s="34">
        <f t="shared" ca="1" si="48"/>
        <v>1.1351821530959041</v>
      </c>
      <c r="BE101" s="34">
        <f t="shared" ca="1" si="49"/>
        <v>5.2320635941278608</v>
      </c>
      <c r="BF101" s="34">
        <f t="shared" ca="1" si="50"/>
        <v>0.26297296166332407</v>
      </c>
      <c r="BG101" s="34">
        <f t="shared" ca="1" si="51"/>
        <v>107.44789679576343</v>
      </c>
      <c r="BH101" s="34">
        <f t="shared" ca="1" si="52"/>
        <v>10.360020668203678</v>
      </c>
      <c r="BI101" s="34">
        <f t="shared" ca="1" si="53"/>
        <v>0.86628146799665895</v>
      </c>
      <c r="BJ101" s="34">
        <f t="shared" ca="1" si="54"/>
        <v>1.4787829653166319E-3</v>
      </c>
      <c r="BK101" s="34">
        <f t="shared" ca="1" si="55"/>
        <v>121743.33686293784</v>
      </c>
      <c r="BL101" s="34">
        <f t="shared" ca="1" si="56"/>
        <v>1.8591967232494854E-2</v>
      </c>
      <c r="BM101" s="34">
        <f t="shared" ca="1" si="57"/>
        <v>0.38843490836892314</v>
      </c>
      <c r="BN101" s="34">
        <f t="shared" ca="1" si="58"/>
        <v>5.2305825488463208E-2</v>
      </c>
      <c r="BO101" s="34">
        <f t="shared" ca="1" si="59"/>
        <v>8.2508497396805627</v>
      </c>
      <c r="BP101" s="34">
        <f t="shared" ca="1" si="60"/>
        <v>1049610.9817614025</v>
      </c>
      <c r="BQ101" s="34">
        <f t="shared" ca="1" si="61"/>
        <v>6.8681400443528006E-9</v>
      </c>
      <c r="BR101" s="34">
        <f t="shared" ca="1" si="62"/>
        <v>3.8083999378262987E-5</v>
      </c>
      <c r="BS101" s="34">
        <f t="shared" ca="1" si="63"/>
        <v>1.1429407851062312E-3</v>
      </c>
      <c r="BT101" s="34">
        <f t="shared" ca="1" si="64"/>
        <v>9.5835870582433067</v>
      </c>
      <c r="BU101" s="34">
        <f t="shared" ca="1" si="65"/>
        <v>44287.200234804855</v>
      </c>
      <c r="BV101" s="34">
        <f t="shared" ca="1" si="66"/>
        <v>1.5124583602446422E-10</v>
      </c>
      <c r="BW101" s="34">
        <f t="shared" ca="1" si="67"/>
        <v>1.9298265181039211E-7</v>
      </c>
      <c r="BX101" s="34">
        <f t="shared" ca="1" si="68"/>
        <v>3.8816408401869335E-4</v>
      </c>
      <c r="BY101" s="34">
        <f t="shared" ca="1" si="69"/>
        <v>1.076751783264887</v>
      </c>
    </row>
    <row r="102" spans="1:77" ht="12.75" customHeight="1" x14ac:dyDescent="0.3">
      <c r="A102" s="118"/>
      <c r="B102" s="118"/>
      <c r="C102" s="118"/>
      <c r="D102" s="118"/>
      <c r="E102" s="110"/>
      <c r="F102" s="118"/>
      <c r="G102" s="23"/>
      <c r="H102" s="25">
        <f t="shared" si="35"/>
        <v>2.985490092321583E-2</v>
      </c>
      <c r="I102" s="25">
        <f t="shared" si="36"/>
        <v>10.897038836973778</v>
      </c>
      <c r="J102" s="117">
        <v>941504.15551453433</v>
      </c>
      <c r="K102" s="117">
        <v>9.621872487146424E-3</v>
      </c>
      <c r="L102" s="117">
        <v>0.57176156819572599</v>
      </c>
      <c r="M102" s="117">
        <v>6.9568057239573138</v>
      </c>
      <c r="N102" s="117">
        <v>16203.386530653177</v>
      </c>
      <c r="O102" s="117">
        <v>13.816337286839907</v>
      </c>
      <c r="P102" s="117">
        <v>144.00970855961307</v>
      </c>
      <c r="Q102" s="117">
        <v>21.153116688415068</v>
      </c>
      <c r="R102" s="117">
        <v>3.3757169733270125</v>
      </c>
      <c r="S102" s="117">
        <v>5.907132279559392E-2</v>
      </c>
      <c r="T102" s="117">
        <v>136.11965579799394</v>
      </c>
      <c r="U102" s="117">
        <v>484.22053593114197</v>
      </c>
      <c r="V102" s="117">
        <v>257.62989428376835</v>
      </c>
      <c r="W102" s="117">
        <v>2185163.0290758996</v>
      </c>
      <c r="X102" s="117">
        <v>1029.1250091926454</v>
      </c>
      <c r="Y102" s="117">
        <v>8336908.0278930794</v>
      </c>
      <c r="Z102" s="117">
        <v>1106250.6096515993</v>
      </c>
      <c r="AA102" s="117">
        <v>241825.92977626174</v>
      </c>
      <c r="AB102" s="117">
        <v>118.28247943661357</v>
      </c>
      <c r="AC102" s="117">
        <v>9783.4207561849908</v>
      </c>
      <c r="AD102" s="117">
        <v>35631.438884864052</v>
      </c>
      <c r="AE102" s="117">
        <v>22027213.835259803</v>
      </c>
      <c r="AF102" s="117">
        <v>93381.606390065324</v>
      </c>
      <c r="AG102" s="117">
        <v>28388.580412792471</v>
      </c>
      <c r="AH102" s="117">
        <v>2924.5295010280606</v>
      </c>
      <c r="AI102" s="117">
        <v>1.1127634927448483E-2</v>
      </c>
      <c r="AJ102" s="117">
        <v>1447.9773965227453</v>
      </c>
      <c r="AK102" s="117">
        <v>1356.7871683184028</v>
      </c>
      <c r="AL102" s="117">
        <v>1727.6198820926327</v>
      </c>
      <c r="AM102" s="117">
        <v>219.77248375637808</v>
      </c>
      <c r="AN102" s="117">
        <v>7.086155452399734E-4</v>
      </c>
      <c r="AO102" s="117">
        <v>28.045522755172936</v>
      </c>
      <c r="AP102" s="117">
        <v>1733.8690152244026</v>
      </c>
      <c r="AQ102" s="117">
        <v>79.833279848089347</v>
      </c>
      <c r="AS102" s="34">
        <f t="shared" ca="1" si="37"/>
        <v>0.6783578002598103</v>
      </c>
      <c r="AT102" s="34">
        <f t="shared" ca="1" si="38"/>
        <v>6789732.757565069</v>
      </c>
      <c r="AU102" s="34">
        <f t="shared" ca="1" si="39"/>
        <v>4.3905951865308553E-2</v>
      </c>
      <c r="AV102" s="34">
        <f t="shared" ca="1" si="40"/>
        <v>18.944231423185531</v>
      </c>
      <c r="AW102" s="34">
        <f t="shared" ca="1" si="41"/>
        <v>1.3606387542941687E-3</v>
      </c>
      <c r="AX102" s="34">
        <f t="shared" ca="1" si="42"/>
        <v>1.8213535989655208E-2</v>
      </c>
      <c r="AY102" s="34">
        <f t="shared" ca="1" si="43"/>
        <v>1.0372952197399423E-3</v>
      </c>
      <c r="AZ102" s="34">
        <f t="shared" ca="1" si="44"/>
        <v>8.680230236063726E-5</v>
      </c>
      <c r="BA102" s="34">
        <f t="shared" ca="1" si="45"/>
        <v>1.3952443487290694E-6</v>
      </c>
      <c r="BB102" s="34">
        <f t="shared" ca="1" si="46"/>
        <v>482.88212941726914</v>
      </c>
      <c r="BC102" s="34">
        <f t="shared" ca="1" si="47"/>
        <v>118.29928843677808</v>
      </c>
      <c r="BD102" s="34">
        <f t="shared" ca="1" si="48"/>
        <v>1.1073524421209653</v>
      </c>
      <c r="BE102" s="34">
        <f t="shared" ca="1" si="49"/>
        <v>5.0845934959852412</v>
      </c>
      <c r="BF102" s="34">
        <f t="shared" ca="1" si="50"/>
        <v>0.25987396701917637</v>
      </c>
      <c r="BG102" s="34">
        <f t="shared" ca="1" si="51"/>
        <v>103.774655486546</v>
      </c>
      <c r="BH102" s="34">
        <f t="shared" ca="1" si="52"/>
        <v>10.274316984967879</v>
      </c>
      <c r="BI102" s="34">
        <f t="shared" ca="1" si="53"/>
        <v>0.86849265900989348</v>
      </c>
      <c r="BJ102" s="34">
        <f t="shared" ca="1" si="54"/>
        <v>1.4993451998909415E-3</v>
      </c>
      <c r="BK102" s="34">
        <f t="shared" ca="1" si="55"/>
        <v>119322.54971795595</v>
      </c>
      <c r="BL102" s="34">
        <f t="shared" ca="1" si="56"/>
        <v>1.8365847842423084E-2</v>
      </c>
      <c r="BM102" s="34">
        <f t="shared" ca="1" si="57"/>
        <v>0.37846190702471472</v>
      </c>
      <c r="BN102" s="34">
        <f t="shared" ca="1" si="58"/>
        <v>5.0815610021285054E-2</v>
      </c>
      <c r="BO102" s="34">
        <f t="shared" ca="1" si="59"/>
        <v>8.2242837643100852</v>
      </c>
      <c r="BP102" s="34">
        <f t="shared" ca="1" si="60"/>
        <v>1061085.4892153342</v>
      </c>
      <c r="BQ102" s="34">
        <f t="shared" ca="1" si="61"/>
        <v>7.0641776146192361E-9</v>
      </c>
      <c r="BR102" s="34">
        <f t="shared" ca="1" si="62"/>
        <v>3.7334827388625785E-5</v>
      </c>
      <c r="BS102" s="34">
        <f t="shared" ca="1" si="63"/>
        <v>1.1079936983092694E-3</v>
      </c>
      <c r="BT102" s="34">
        <f t="shared" ca="1" si="64"/>
        <v>9.6029398459422453</v>
      </c>
      <c r="BU102" s="34">
        <f t="shared" ca="1" si="65"/>
        <v>45148.011216611005</v>
      </c>
      <c r="BV102" s="34">
        <f t="shared" ca="1" si="66"/>
        <v>1.5662575389663298E-10</v>
      </c>
      <c r="BW102" s="34">
        <f t="shared" ca="1" si="67"/>
        <v>1.9240093730786012E-7</v>
      </c>
      <c r="BX102" s="34">
        <f t="shared" ca="1" si="68"/>
        <v>3.7673253420909098E-4</v>
      </c>
      <c r="BY102" s="34">
        <f t="shared" ca="1" si="69"/>
        <v>1.0461612063914665</v>
      </c>
    </row>
    <row r="103" spans="1:77" ht="12.75" customHeight="1" x14ac:dyDescent="0.3">
      <c r="A103" s="118"/>
      <c r="B103" s="118"/>
      <c r="C103" s="118"/>
      <c r="D103" s="118"/>
      <c r="E103" s="110"/>
      <c r="F103" s="118"/>
      <c r="G103" s="23"/>
      <c r="H103" s="25">
        <f t="shared" si="35"/>
        <v>3.0190349248195782E-2</v>
      </c>
      <c r="I103" s="25">
        <f t="shared" si="36"/>
        <v>11.01947747559146</v>
      </c>
      <c r="J103" s="117">
        <v>952082.85389110213</v>
      </c>
      <c r="K103" s="117">
        <v>9.2329357873899946E-3</v>
      </c>
      <c r="L103" s="117">
        <v>0.54862243691593382</v>
      </c>
      <c r="M103" s="117">
        <v>6.9051108904471432</v>
      </c>
      <c r="N103" s="117">
        <v>15745.225462576802</v>
      </c>
      <c r="O103" s="117">
        <v>13.652734007686204</v>
      </c>
      <c r="P103" s="117">
        <v>139.67440867846915</v>
      </c>
      <c r="Q103" s="117">
        <v>20.81989537632743</v>
      </c>
      <c r="R103" s="117">
        <v>3.3879079215251853</v>
      </c>
      <c r="S103" s="117">
        <v>5.9643955811564744E-2</v>
      </c>
      <c r="T103" s="117">
        <v>133.42854610726556</v>
      </c>
      <c r="U103" s="117">
        <v>478.39345881962197</v>
      </c>
      <c r="V103" s="117">
        <v>251.31277494078634</v>
      </c>
      <c r="W103" s="117">
        <v>2123623.1676171273</v>
      </c>
      <c r="X103" s="117">
        <v>1016.9376200286063</v>
      </c>
      <c r="Y103" s="117">
        <v>8051935.3329618685</v>
      </c>
      <c r="Z103" s="117">
        <v>1096904.2818234654</v>
      </c>
      <c r="AA103" s="117">
        <v>242394.97550774514</v>
      </c>
      <c r="AB103" s="117">
        <v>119.88408430499541</v>
      </c>
      <c r="AC103" s="117">
        <v>9588.4045655870232</v>
      </c>
      <c r="AD103" s="117">
        <v>35196.014428998307</v>
      </c>
      <c r="AE103" s="117">
        <v>21461668.748227917</v>
      </c>
      <c r="AF103" s="117">
        <v>90728.371877245416</v>
      </c>
      <c r="AG103" s="117">
        <v>28293.75775034961</v>
      </c>
      <c r="AH103" s="117">
        <v>2955.4438549672423</v>
      </c>
      <c r="AI103" s="117">
        <v>1.1439239985831759E-2</v>
      </c>
      <c r="AJ103" s="117">
        <v>1419.4155547391319</v>
      </c>
      <c r="AK103" s="117">
        <v>1315.8711702183402</v>
      </c>
      <c r="AL103" s="117">
        <v>1730.9424835445657</v>
      </c>
      <c r="AM103" s="117">
        <v>223.95848332464863</v>
      </c>
      <c r="AN103" s="117">
        <v>7.3340833178616653E-4</v>
      </c>
      <c r="AO103" s="117">
        <v>27.958931166205172</v>
      </c>
      <c r="AP103" s="117">
        <v>1683.2310285958577</v>
      </c>
      <c r="AQ103" s="117">
        <v>77.564431020529767</v>
      </c>
      <c r="AS103" s="34">
        <f t="shared" ca="1" si="37"/>
        <v>0.65093712466474962</v>
      </c>
      <c r="AT103" s="34">
        <f t="shared" ca="1" si="38"/>
        <v>6514952.9780710023</v>
      </c>
      <c r="AU103" s="34">
        <f t="shared" ca="1" si="39"/>
        <v>4.3579694246245478E-2</v>
      </c>
      <c r="AV103" s="34">
        <f t="shared" ca="1" si="40"/>
        <v>18.408571221146097</v>
      </c>
      <c r="AW103" s="34">
        <f t="shared" ca="1" si="41"/>
        <v>1.3445270339934368E-3</v>
      </c>
      <c r="AX103" s="34">
        <f t="shared" ca="1" si="42"/>
        <v>1.7665231703778005E-2</v>
      </c>
      <c r="AY103" s="34">
        <f t="shared" ca="1" si="43"/>
        <v>1.0209548913034583E-3</v>
      </c>
      <c r="AZ103" s="34">
        <f t="shared" ca="1" si="44"/>
        <v>8.7115777210549725E-5</v>
      </c>
      <c r="BA103" s="34">
        <f t="shared" ca="1" si="45"/>
        <v>1.4087697438212641E-6</v>
      </c>
      <c r="BB103" s="34">
        <f t="shared" ca="1" si="46"/>
        <v>473.33546423995745</v>
      </c>
      <c r="BC103" s="34">
        <f t="shared" ca="1" si="47"/>
        <v>116.87568281742229</v>
      </c>
      <c r="BD103" s="34">
        <f t="shared" ca="1" si="48"/>
        <v>1.0802000126598261</v>
      </c>
      <c r="BE103" s="34">
        <f t="shared" ca="1" si="49"/>
        <v>4.941398148474061</v>
      </c>
      <c r="BF103" s="34">
        <f t="shared" ca="1" si="50"/>
        <v>0.25679641556393573</v>
      </c>
      <c r="BG103" s="34">
        <f t="shared" ca="1" si="51"/>
        <v>100.22742393012055</v>
      </c>
      <c r="BH103" s="34">
        <f t="shared" ca="1" si="52"/>
        <v>10.187512843199389</v>
      </c>
      <c r="BI103" s="34">
        <f t="shared" ca="1" si="53"/>
        <v>0.87053632753167476</v>
      </c>
      <c r="BJ103" s="34">
        <f t="shared" ca="1" si="54"/>
        <v>1.5196470956828465E-3</v>
      </c>
      <c r="BK103" s="34">
        <f t="shared" ca="1" si="55"/>
        <v>116944.05351725627</v>
      </c>
      <c r="BL103" s="34">
        <f t="shared" ca="1" si="56"/>
        <v>1.8141412917716822E-2</v>
      </c>
      <c r="BM103" s="34">
        <f t="shared" ca="1" si="57"/>
        <v>0.36874495989979378</v>
      </c>
      <c r="BN103" s="34">
        <f t="shared" ca="1" si="58"/>
        <v>4.9371795382508236E-2</v>
      </c>
      <c r="BO103" s="34">
        <f t="shared" ca="1" si="59"/>
        <v>8.1968132648388945</v>
      </c>
      <c r="BP103" s="34">
        <f t="shared" ca="1" si="60"/>
        <v>1072301.9164600589</v>
      </c>
      <c r="BQ103" s="34">
        <f t="shared" ca="1" si="61"/>
        <v>7.2619944456336583E-9</v>
      </c>
      <c r="BR103" s="34">
        <f t="shared" ca="1" si="62"/>
        <v>3.6598385345087508E-5</v>
      </c>
      <c r="BS103" s="34">
        <f t="shared" ca="1" si="63"/>
        <v>1.0745804488966214E-3</v>
      </c>
      <c r="BT103" s="34">
        <f t="shared" ca="1" si="64"/>
        <v>9.6214084582832342</v>
      </c>
      <c r="BU103" s="34">
        <f t="shared" ca="1" si="65"/>
        <v>46007.943962652615</v>
      </c>
      <c r="BV103" s="34">
        <f t="shared" ca="1" si="66"/>
        <v>1.6210571959888234E-10</v>
      </c>
      <c r="BW103" s="34">
        <f t="shared" ca="1" si="67"/>
        <v>1.9180689229661847E-7</v>
      </c>
      <c r="BX103" s="34">
        <f t="shared" ca="1" si="68"/>
        <v>3.6572998622979696E-4</v>
      </c>
      <c r="BY103" s="34">
        <f t="shared" ca="1" si="69"/>
        <v>1.016429475074951</v>
      </c>
    </row>
    <row r="104" spans="1:77" ht="12.75" customHeight="1" x14ac:dyDescent="0.3">
      <c r="A104" s="118"/>
      <c r="B104" s="118"/>
      <c r="C104" s="118"/>
      <c r="D104" s="118"/>
      <c r="E104" s="110"/>
      <c r="F104" s="118"/>
      <c r="G104" s="23"/>
      <c r="H104" s="25">
        <f t="shared" si="35"/>
        <v>3.0525797573175736E-2</v>
      </c>
      <c r="I104" s="25">
        <f t="shared" si="36"/>
        <v>11.141916114209144</v>
      </c>
      <c r="J104" s="117">
        <v>962661.55226766993</v>
      </c>
      <c r="K104" s="117">
        <v>8.8598343345086244E-3</v>
      </c>
      <c r="L104" s="117">
        <v>0.52643290721172109</v>
      </c>
      <c r="M104" s="117">
        <v>6.8538001914416089</v>
      </c>
      <c r="N104" s="117">
        <v>15300.643393667697</v>
      </c>
      <c r="O104" s="117">
        <v>13.490236625864217</v>
      </c>
      <c r="P104" s="117">
        <v>135.47165081733797</v>
      </c>
      <c r="Q104" s="117">
        <v>20.490753240208274</v>
      </c>
      <c r="R104" s="117">
        <v>3.3994032401170844</v>
      </c>
      <c r="S104" s="117">
        <v>6.0203511109311651E-2</v>
      </c>
      <c r="T104" s="117">
        <v>130.78381915837267</v>
      </c>
      <c r="U104" s="117">
        <v>472.60737921357401</v>
      </c>
      <c r="V104" s="117">
        <v>245.14944010966568</v>
      </c>
      <c r="W104" s="117">
        <v>2063862.5796897728</v>
      </c>
      <c r="X104" s="117">
        <v>1004.8368213458829</v>
      </c>
      <c r="Y104" s="117">
        <v>7776737.8991817134</v>
      </c>
      <c r="Z104" s="117">
        <v>1087449.9798082779</v>
      </c>
      <c r="AA104" s="117">
        <v>242919.04958461039</v>
      </c>
      <c r="AB104" s="117">
        <v>121.46500914013498</v>
      </c>
      <c r="AC104" s="117">
        <v>9396.8139879035662</v>
      </c>
      <c r="AD104" s="117">
        <v>34763.911859351167</v>
      </c>
      <c r="AE104" s="117">
        <v>20910643.885521129</v>
      </c>
      <c r="AF104" s="117">
        <v>88156.440717768972</v>
      </c>
      <c r="AG104" s="117">
        <v>28195.885381119886</v>
      </c>
      <c r="AH104" s="117">
        <v>2985.649337730536</v>
      </c>
      <c r="AI104" s="117">
        <v>1.1753557767016967E-2</v>
      </c>
      <c r="AJ104" s="117">
        <v>1391.3425413143261</v>
      </c>
      <c r="AK104" s="117">
        <v>1276.6570639714141</v>
      </c>
      <c r="AL104" s="117">
        <v>1734.1100145153675</v>
      </c>
      <c r="AM104" s="117">
        <v>228.13977546780598</v>
      </c>
      <c r="AN104" s="117">
        <v>7.5865260393504917E-4</v>
      </c>
      <c r="AO104" s="117">
        <v>27.870649807308578</v>
      </c>
      <c r="AP104" s="117">
        <v>1634.4129928704392</v>
      </c>
      <c r="AQ104" s="117">
        <v>75.359497750765499</v>
      </c>
      <c r="AS104" s="34">
        <f t="shared" ca="1" si="37"/>
        <v>0.62463285996071727</v>
      </c>
      <c r="AT104" s="34">
        <f t="shared" ca="1" si="38"/>
        <v>6251449.8238049885</v>
      </c>
      <c r="AU104" s="34">
        <f t="shared" ca="1" si="39"/>
        <v>4.3255860985679614E-2</v>
      </c>
      <c r="AV104" s="34">
        <f t="shared" ca="1" si="40"/>
        <v>17.888786941231547</v>
      </c>
      <c r="AW104" s="34">
        <f t="shared" ca="1" si="41"/>
        <v>1.3285242229308456E-3</v>
      </c>
      <c r="AX104" s="34">
        <f t="shared" ca="1" si="42"/>
        <v>1.7133690585299646E-2</v>
      </c>
      <c r="AY104" s="34">
        <f t="shared" ca="1" si="43"/>
        <v>1.0048145953158519E-3</v>
      </c>
      <c r="AZ104" s="34">
        <f t="shared" ca="1" si="44"/>
        <v>8.7411364822908842E-5</v>
      </c>
      <c r="BA104" s="34">
        <f t="shared" ca="1" si="45"/>
        <v>1.4219862477022474E-6</v>
      </c>
      <c r="BB104" s="34">
        <f t="shared" ca="1" si="46"/>
        <v>463.95334103870658</v>
      </c>
      <c r="BC104" s="34">
        <f t="shared" ca="1" si="47"/>
        <v>115.46209324522916</v>
      </c>
      <c r="BD104" s="34">
        <f t="shared" ca="1" si="48"/>
        <v>1.0537085843423761</v>
      </c>
      <c r="BE104" s="34">
        <f t="shared" ca="1" si="49"/>
        <v>4.8023429417693322</v>
      </c>
      <c r="BF104" s="34">
        <f t="shared" ca="1" si="50"/>
        <v>0.25374072987979635</v>
      </c>
      <c r="BG104" s="34">
        <f t="shared" ca="1" si="51"/>
        <v>96.80187110096999</v>
      </c>
      <c r="BH104" s="34">
        <f t="shared" ca="1" si="52"/>
        <v>10.099705889758479</v>
      </c>
      <c r="BI104" s="34">
        <f t="shared" ca="1" si="53"/>
        <v>0.87241848503627306</v>
      </c>
      <c r="BJ104" s="34">
        <f t="shared" ca="1" si="54"/>
        <v>1.5396868519869501E-3</v>
      </c>
      <c r="BK104" s="34">
        <f t="shared" ca="1" si="55"/>
        <v>114607.33747479497</v>
      </c>
      <c r="BL104" s="34">
        <f t="shared" ca="1" si="56"/>
        <v>1.7918690224083742E-2</v>
      </c>
      <c r="BM104" s="34">
        <f t="shared" ca="1" si="57"/>
        <v>0.35927749288750094</v>
      </c>
      <c r="BN104" s="34">
        <f t="shared" ca="1" si="58"/>
        <v>4.7972223712519801E-2</v>
      </c>
      <c r="BO104" s="34">
        <f t="shared" ca="1" si="59"/>
        <v>8.1684592532776854</v>
      </c>
      <c r="BP104" s="34">
        <f t="shared" ca="1" si="60"/>
        <v>1083261.1491994134</v>
      </c>
      <c r="BQ104" s="34">
        <f t="shared" ca="1" si="61"/>
        <v>7.4615333996164391E-9</v>
      </c>
      <c r="BR104" s="34">
        <f t="shared" ca="1" si="62"/>
        <v>3.5874547312110843E-5</v>
      </c>
      <c r="BS104" s="34">
        <f t="shared" ca="1" si="63"/>
        <v>1.0425570161718891E-3</v>
      </c>
      <c r="BT104" s="34">
        <f t="shared" ca="1" si="64"/>
        <v>9.6390151145205571</v>
      </c>
      <c r="BU104" s="34">
        <f t="shared" ca="1" si="65"/>
        <v>46866.90965914289</v>
      </c>
      <c r="BV104" s="34">
        <f t="shared" ca="1" si="66"/>
        <v>1.6768547745693432E-10</v>
      </c>
      <c r="BW104" s="34">
        <f t="shared" ca="1" si="67"/>
        <v>1.9120125494242142E-7</v>
      </c>
      <c r="BX104" s="34">
        <f t="shared" ca="1" si="68"/>
        <v>3.5512287453193518E-4</v>
      </c>
      <c r="BY104" s="34">
        <f t="shared" ca="1" si="69"/>
        <v>0.98753531396947458</v>
      </c>
    </row>
    <row r="105" spans="1:77" ht="12.75" customHeight="1" x14ac:dyDescent="0.3">
      <c r="A105" s="118"/>
      <c r="B105" s="118"/>
      <c r="C105" s="118"/>
      <c r="D105" s="118"/>
      <c r="E105" s="110"/>
      <c r="F105" s="118"/>
      <c r="G105" s="23"/>
      <c r="H105" s="25">
        <f t="shared" si="35"/>
        <v>3.0861245898155688E-2</v>
      </c>
      <c r="I105" s="25">
        <f t="shared" si="36"/>
        <v>11.264354752826826</v>
      </c>
      <c r="J105" s="117">
        <v>973240.25064423773</v>
      </c>
      <c r="K105" s="117">
        <v>8.5020509179484002E-3</v>
      </c>
      <c r="L105" s="117">
        <v>0.50515390997053944</v>
      </c>
      <c r="M105" s="117">
        <v>6.8028707725512989</v>
      </c>
      <c r="N105" s="117">
        <v>14869.143430745147</v>
      </c>
      <c r="O105" s="117">
        <v>13.32887025138605</v>
      </c>
      <c r="P105" s="117">
        <v>131.39734977822141</v>
      </c>
      <c r="Q105" s="117">
        <v>20.165702201966241</v>
      </c>
      <c r="R105" s="117">
        <v>3.4102251264305439</v>
      </c>
      <c r="S105" s="117">
        <v>6.0750166167440743E-2</v>
      </c>
      <c r="T105" s="117">
        <v>128.18495473711465</v>
      </c>
      <c r="U105" s="117">
        <v>466.86314976653017</v>
      </c>
      <c r="V105" s="117">
        <v>239.13618969058987</v>
      </c>
      <c r="W105" s="117">
        <v>2005826.1245052521</v>
      </c>
      <c r="X105" s="117">
        <v>992.82416816261912</v>
      </c>
      <c r="Y105" s="117">
        <v>7510979.7684806064</v>
      </c>
      <c r="Z105" s="117">
        <v>1077897.760701722</v>
      </c>
      <c r="AA105" s="117">
        <v>243399.76809510699</v>
      </c>
      <c r="AB105" s="117">
        <v>123.02513019762497</v>
      </c>
      <c r="AC105" s="117">
        <v>9208.6067449212496</v>
      </c>
      <c r="AD105" s="117">
        <v>34335.180904174114</v>
      </c>
      <c r="AE105" s="117">
        <v>20373766.44921181</v>
      </c>
      <c r="AF105" s="117">
        <v>85662.295643137681</v>
      </c>
      <c r="AG105" s="117">
        <v>28095.035547224925</v>
      </c>
      <c r="AH105" s="117">
        <v>3015.148543713301</v>
      </c>
      <c r="AI105" s="117">
        <v>1.2070498800330674E-2</v>
      </c>
      <c r="AJ105" s="117">
        <v>1363.7532476004692</v>
      </c>
      <c r="AK105" s="117">
        <v>1238.9960500975187</v>
      </c>
      <c r="AL105" s="117">
        <v>1737.1260929873069</v>
      </c>
      <c r="AM105" s="117">
        <v>232.31594012236349</v>
      </c>
      <c r="AN105" s="117">
        <v>7.8434715702578009E-4</v>
      </c>
      <c r="AO105" s="117">
        <v>27.780776811801601</v>
      </c>
      <c r="AP105" s="117">
        <v>1587.2850461837795</v>
      </c>
      <c r="AQ105" s="117">
        <v>73.216850582921239</v>
      </c>
      <c r="AS105" s="34">
        <f t="shared" ca="1" si="37"/>
        <v>0.59940854195489712</v>
      </c>
      <c r="AT105" s="34">
        <f t="shared" ca="1" si="38"/>
        <v>5998759.3446730822</v>
      </c>
      <c r="AU105" s="34">
        <f t="shared" ca="1" si="39"/>
        <v>4.2934434068923041E-2</v>
      </c>
      <c r="AV105" s="34">
        <f t="shared" ca="1" si="40"/>
        <v>17.384297639489805</v>
      </c>
      <c r="AW105" s="34">
        <f t="shared" ca="1" si="41"/>
        <v>1.312632793951034E-3</v>
      </c>
      <c r="AX105" s="34">
        <f t="shared" ca="1" si="42"/>
        <v>1.6618395961410307E-2</v>
      </c>
      <c r="AY105" s="34">
        <f t="shared" ca="1" si="43"/>
        <v>9.888749163973014E-4</v>
      </c>
      <c r="AZ105" s="34">
        <f t="shared" ca="1" si="44"/>
        <v>8.7689635973990424E-5</v>
      </c>
      <c r="BA105" s="34">
        <f t="shared" ca="1" si="45"/>
        <v>1.4348980523557174E-6</v>
      </c>
      <c r="BB105" s="34">
        <f t="shared" ca="1" si="46"/>
        <v>454.73391436261926</v>
      </c>
      <c r="BC105" s="34">
        <f t="shared" ca="1" si="47"/>
        <v>114.05872803087257</v>
      </c>
      <c r="BD105" s="34">
        <f t="shared" ca="1" si="48"/>
        <v>1.0278622532899939</v>
      </c>
      <c r="BE105" s="34">
        <f t="shared" ca="1" si="49"/>
        <v>4.6672995703436095</v>
      </c>
      <c r="BF105" s="34">
        <f t="shared" ca="1" si="50"/>
        <v>0.25070730263891206</v>
      </c>
      <c r="BG105" s="34">
        <f t="shared" ca="1" si="51"/>
        <v>93.49381512098509</v>
      </c>
      <c r="BH105" s="34">
        <f t="shared" ca="1" si="52"/>
        <v>10.010989530052671</v>
      </c>
      <c r="BI105" s="34">
        <f t="shared" ca="1" si="53"/>
        <v>0.87414493553644379</v>
      </c>
      <c r="BJ105" s="34">
        <f t="shared" ca="1" si="54"/>
        <v>1.559462900222817E-3</v>
      </c>
      <c r="BK105" s="34">
        <f t="shared" ca="1" si="55"/>
        <v>112311.88594841148</v>
      </c>
      <c r="BL105" s="34">
        <f t="shared" ca="1" si="56"/>
        <v>1.7697705393424454E-2</v>
      </c>
      <c r="BM105" s="34">
        <f t="shared" ca="1" si="57"/>
        <v>0.35005310073769058</v>
      </c>
      <c r="BN105" s="34">
        <f t="shared" ca="1" si="58"/>
        <v>4.6614981013999933E-2</v>
      </c>
      <c r="BO105" s="34">
        <f t="shared" ca="1" si="59"/>
        <v>8.1392426584541582</v>
      </c>
      <c r="BP105" s="34">
        <f t="shared" ca="1" si="60"/>
        <v>1093964.1287387488</v>
      </c>
      <c r="BQ105" s="34">
        <f t="shared" ca="1" si="61"/>
        <v>7.6627376777300426E-9</v>
      </c>
      <c r="BR105" s="34">
        <f t="shared" ca="1" si="62"/>
        <v>3.5163181567690701E-5</v>
      </c>
      <c r="BS105" s="34">
        <f t="shared" ca="1" si="63"/>
        <v>1.0118018859505945E-3</v>
      </c>
      <c r="BT105" s="34">
        <f t="shared" ca="1" si="64"/>
        <v>9.6557799251347962</v>
      </c>
      <c r="BU105" s="34">
        <f t="shared" ca="1" si="65"/>
        <v>47724.822012153301</v>
      </c>
      <c r="BV105" s="34">
        <f t="shared" ca="1" si="66"/>
        <v>1.7336476120382124E-10</v>
      </c>
      <c r="BW105" s="34">
        <f t="shared" ca="1" si="67"/>
        <v>1.9058469847010469E-7</v>
      </c>
      <c r="BX105" s="34">
        <f t="shared" ca="1" si="68"/>
        <v>3.4488298291876257E-4</v>
      </c>
      <c r="BY105" s="34">
        <f t="shared" ca="1" si="69"/>
        <v>0.95945737015646149</v>
      </c>
    </row>
    <row r="106" spans="1:77" ht="12.75" customHeight="1" x14ac:dyDescent="0.3">
      <c r="A106" s="118"/>
      <c r="B106" s="118"/>
      <c r="C106" s="118"/>
      <c r="D106" s="118"/>
      <c r="E106" s="110"/>
      <c r="F106" s="118"/>
      <c r="G106" s="23"/>
      <c r="H106" s="25">
        <f t="shared" si="35"/>
        <v>3.1196694223135639E-2</v>
      </c>
      <c r="I106" s="25">
        <f t="shared" si="36"/>
        <v>11.386793391444508</v>
      </c>
      <c r="J106" s="117">
        <v>983818.94902080554</v>
      </c>
      <c r="K106" s="117">
        <v>8.1590666435330927E-3</v>
      </c>
      <c r="L106" s="117">
        <v>0.48474798239215022</v>
      </c>
      <c r="M106" s="117">
        <v>6.7523198005911489</v>
      </c>
      <c r="N106" s="117">
        <v>14450.267503052868</v>
      </c>
      <c r="O106" s="117">
        <v>13.168658092631656</v>
      </c>
      <c r="P106" s="117">
        <v>127.44754416963904</v>
      </c>
      <c r="Q106" s="117">
        <v>19.844749924827791</v>
      </c>
      <c r="R106" s="117">
        <v>3.4203950918829706</v>
      </c>
      <c r="S106" s="117">
        <v>6.1284098324945274E-2</v>
      </c>
      <c r="T106" s="117">
        <v>125.63142197824953</v>
      </c>
      <c r="U106" s="117">
        <v>461.16155610308056</v>
      </c>
      <c r="V106" s="117">
        <v>233.26940963093119</v>
      </c>
      <c r="W106" s="117">
        <v>1949461.0508569246</v>
      </c>
      <c r="X106" s="117">
        <v>980.90110317620872</v>
      </c>
      <c r="Y106" s="117">
        <v>7254336.5340899844</v>
      </c>
      <c r="Z106" s="117">
        <v>1068257.2431642979</v>
      </c>
      <c r="AA106" s="117">
        <v>243838.6914359396</v>
      </c>
      <c r="AB106" s="117">
        <v>124.56434118008274</v>
      </c>
      <c r="AC106" s="117">
        <v>9023.740238096585</v>
      </c>
      <c r="AD106" s="117">
        <v>33909.867370104817</v>
      </c>
      <c r="AE106" s="117">
        <v>19850673.205934711</v>
      </c>
      <c r="AF106" s="117">
        <v>83242.779330185804</v>
      </c>
      <c r="AG106" s="117">
        <v>27991.280312706331</v>
      </c>
      <c r="AH106" s="117">
        <v>3043.9442176819466</v>
      </c>
      <c r="AI106" s="117">
        <v>1.2389974165856812E-2</v>
      </c>
      <c r="AJ106" s="117">
        <v>1336.6423845709924</v>
      </c>
      <c r="AK106" s="117">
        <v>1202.761907656597</v>
      </c>
      <c r="AL106" s="117">
        <v>1739.9940212683839</v>
      </c>
      <c r="AM106" s="117">
        <v>236.48656842666381</v>
      </c>
      <c r="AN106" s="117">
        <v>8.1049073995953633E-4</v>
      </c>
      <c r="AO106" s="117">
        <v>27.68940231926063</v>
      </c>
      <c r="AP106" s="117">
        <v>1541.7370078911051</v>
      </c>
      <c r="AQ106" s="117">
        <v>71.134865373370587</v>
      </c>
      <c r="AS106" s="34">
        <f t="shared" ca="1" si="37"/>
        <v>0.57522758775633676</v>
      </c>
      <c r="AT106" s="34">
        <f t="shared" ca="1" si="38"/>
        <v>5756436.6657202002</v>
      </c>
      <c r="AU106" s="34">
        <f t="shared" ca="1" si="39"/>
        <v>4.2615395615113183E-2</v>
      </c>
      <c r="AV106" s="34">
        <f t="shared" ca="1" si="40"/>
        <v>16.894567761307101</v>
      </c>
      <c r="AW106" s="34">
        <f t="shared" ca="1" si="41"/>
        <v>1.2968550326251005E-3</v>
      </c>
      <c r="AX106" s="34">
        <f t="shared" ca="1" si="42"/>
        <v>1.6118846817650481E-2</v>
      </c>
      <c r="AY106" s="34">
        <f t="shared" ca="1" si="43"/>
        <v>9.7313623033300645E-4</v>
      </c>
      <c r="AZ106" s="34">
        <f t="shared" ca="1" si="44"/>
        <v>8.7951143802749167E-5</v>
      </c>
      <c r="BA106" s="34">
        <f t="shared" ca="1" si="45"/>
        <v>1.4475093464677646E-6</v>
      </c>
      <c r="BB106" s="34">
        <f t="shared" ca="1" si="46"/>
        <v>445.67530097641264</v>
      </c>
      <c r="BC106" s="34">
        <f t="shared" ca="1" si="47"/>
        <v>112.66577910927283</v>
      </c>
      <c r="BD106" s="34">
        <f t="shared" ca="1" si="48"/>
        <v>1.0026454854746336</v>
      </c>
      <c r="BE106" s="34">
        <f t="shared" ca="1" si="49"/>
        <v>4.5361452889194842</v>
      </c>
      <c r="BF106" s="34">
        <f t="shared" ca="1" si="50"/>
        <v>0.24769649815027495</v>
      </c>
      <c r="BG106" s="34">
        <f t="shared" ca="1" si="51"/>
        <v>90.299217898281839</v>
      </c>
      <c r="BH106" s="34">
        <f t="shared" ca="1" si="52"/>
        <v>9.921453097516979</v>
      </c>
      <c r="BI106" s="34">
        <f t="shared" ca="1" si="53"/>
        <v>0.87572128303455499</v>
      </c>
      <c r="BJ106" s="34">
        <f t="shared" ca="1" si="54"/>
        <v>1.5789738929679784E-3</v>
      </c>
      <c r="BK106" s="34">
        <f t="shared" ca="1" si="55"/>
        <v>110057.17938906969</v>
      </c>
      <c r="BL106" s="34">
        <f t="shared" ca="1" si="56"/>
        <v>1.747848203628526E-2</v>
      </c>
      <c r="BM106" s="34">
        <f t="shared" ca="1" si="57"/>
        <v>0.34106554253432425</v>
      </c>
      <c r="BN106" s="34">
        <f t="shared" ca="1" si="58"/>
        <v>4.5298349161624986E-2</v>
      </c>
      <c r="BO106" s="34">
        <f t="shared" ca="1" si="59"/>
        <v>8.1091843576055211</v>
      </c>
      <c r="BP106" s="34">
        <f t="shared" ca="1" si="60"/>
        <v>1104411.8509414364</v>
      </c>
      <c r="BQ106" s="34">
        <f t="shared" ca="1" si="61"/>
        <v>7.8655508307752711E-9</v>
      </c>
      <c r="BR106" s="34">
        <f t="shared" ca="1" si="62"/>
        <v>3.4464151738915128E-5</v>
      </c>
      <c r="BS106" s="34">
        <f t="shared" ca="1" si="63"/>
        <v>9.8221198237128803E-4</v>
      </c>
      <c r="BT106" s="34">
        <f t="shared" ca="1" si="64"/>
        <v>9.671721245937551</v>
      </c>
      <c r="BU106" s="34">
        <f t="shared" ca="1" si="65"/>
        <v>48581.597028954748</v>
      </c>
      <c r="BV106" s="34">
        <f t="shared" ca="1" si="66"/>
        <v>1.7914329430835824E-10</v>
      </c>
      <c r="BW106" s="34">
        <f t="shared" ca="1" si="67"/>
        <v>1.8995784126496773E-7</v>
      </c>
      <c r="BX106" s="34">
        <f t="shared" ca="1" si="68"/>
        <v>3.3498637150026329E-4</v>
      </c>
      <c r="BY106" s="34">
        <f t="shared" ca="1" si="69"/>
        <v>0.93217436033076873</v>
      </c>
    </row>
    <row r="107" spans="1:77" ht="12.75" customHeight="1" x14ac:dyDescent="0.3">
      <c r="A107" s="118"/>
      <c r="B107" s="118"/>
      <c r="C107" s="118"/>
      <c r="D107" s="118"/>
      <c r="E107" s="110"/>
      <c r="F107" s="118"/>
      <c r="G107" s="23"/>
      <c r="H107" s="25">
        <f t="shared" si="35"/>
        <v>3.1532142548115594E-2</v>
      </c>
      <c r="I107" s="25">
        <f t="shared" si="36"/>
        <v>11.509232030062192</v>
      </c>
      <c r="J107" s="117">
        <v>994397.64739737334</v>
      </c>
      <c r="K107" s="117">
        <v>7.8301075279169959E-3</v>
      </c>
      <c r="L107" s="117">
        <v>0.46517920452519451</v>
      </c>
      <c r="M107" s="117">
        <v>6.7021444634225142</v>
      </c>
      <c r="N107" s="117">
        <v>14043.589252752297</v>
      </c>
      <c r="O107" s="117">
        <v>13.009621597625609</v>
      </c>
      <c r="P107" s="117">
        <v>123.61839353660073</v>
      </c>
      <c r="Q107" s="117">
        <v>19.5279001629997</v>
      </c>
      <c r="R107" s="117">
        <v>3.4299339820863652</v>
      </c>
      <c r="S107" s="117">
        <v>6.1805484645206028E-2</v>
      </c>
      <c r="T107" s="117">
        <v>123.12268141866552</v>
      </c>
      <c r="U107" s="117">
        <v>455.50332183630178</v>
      </c>
      <c r="V107" s="117">
        <v>227.54557045116266</v>
      </c>
      <c r="W107" s="117">
        <v>1894716.7287670604</v>
      </c>
      <c r="X107" s="117">
        <v>969.06896210842763</v>
      </c>
      <c r="Y107" s="117">
        <v>7006494.9576022439</v>
      </c>
      <c r="Z107" s="117">
        <v>1058537.6235775996</v>
      </c>
      <c r="AA107" s="117">
        <v>244237.3261570138</v>
      </c>
      <c r="AB107" s="117">
        <v>126.08255247335092</v>
      </c>
      <c r="AC107" s="117">
        <v>8842.1716147369752</v>
      </c>
      <c r="AD107" s="117">
        <v>33488.013332450602</v>
      </c>
      <c r="AE107" s="117">
        <v>19341010.249418329</v>
      </c>
      <c r="AF107" s="117">
        <v>80895.027374978963</v>
      </c>
      <c r="AG107" s="117">
        <v>27884.691635098508</v>
      </c>
      <c r="AH107" s="117">
        <v>3072.0392521249191</v>
      </c>
      <c r="AI107" s="117">
        <v>1.2711895509351293E-2</v>
      </c>
      <c r="AJ107" s="117">
        <v>1310.0045173566555</v>
      </c>
      <c r="AK107" s="117">
        <v>1167.847295412738</v>
      </c>
      <c r="AL107" s="117">
        <v>1742.7168338795304</v>
      </c>
      <c r="AM107" s="117">
        <v>240.65126189516783</v>
      </c>
      <c r="AN107" s="117">
        <v>8.3708205647328314E-4</v>
      </c>
      <c r="AO107" s="117">
        <v>27.596609583441968</v>
      </c>
      <c r="AP107" s="117">
        <v>1497.6747598849695</v>
      </c>
      <c r="AQ107" s="117">
        <v>69.111931376426696</v>
      </c>
      <c r="AS107" s="34">
        <f t="shared" ca="1" si="37"/>
        <v>0.55203543026902335</v>
      </c>
      <c r="AT107" s="34">
        <f t="shared" ca="1" si="38"/>
        <v>5524055.2334947651</v>
      </c>
      <c r="AU107" s="34">
        <f t="shared" ca="1" si="39"/>
        <v>4.2298727876216122E-2</v>
      </c>
      <c r="AV107" s="34">
        <f t="shared" ca="1" si="40"/>
        <v>16.419098829309736</v>
      </c>
      <c r="AW107" s="34">
        <f t="shared" ca="1" si="41"/>
        <v>1.2811930511635989E-3</v>
      </c>
      <c r="AX107" s="34">
        <f t="shared" ca="1" si="42"/>
        <v>1.5634557434926092E-2</v>
      </c>
      <c r="AY107" s="34">
        <f t="shared" ca="1" si="43"/>
        <v>9.5759872121975041E-4</v>
      </c>
      <c r="AZ107" s="34">
        <f t="shared" ca="1" si="44"/>
        <v>8.8196424327793884E-5</v>
      </c>
      <c r="BA107" s="34">
        <f t="shared" ca="1" si="45"/>
        <v>1.4598243122146077E-6</v>
      </c>
      <c r="BB107" s="34">
        <f t="shared" ca="1" si="46"/>
        <v>436.77558714400925</v>
      </c>
      <c r="BC107" s="34">
        <f t="shared" ca="1" si="47"/>
        <v>111.28342326539818</v>
      </c>
      <c r="BD107" s="34">
        <f t="shared" ca="1" si="48"/>
        <v>0.97804311038285574</v>
      </c>
      <c r="BE107" s="34">
        <f t="shared" ca="1" si="49"/>
        <v>4.4087622880465656</v>
      </c>
      <c r="BF107" s="34">
        <f t="shared" ca="1" si="50"/>
        <v>0.24470865370946496</v>
      </c>
      <c r="BG107" s="34">
        <f t="shared" ca="1" si="51"/>
        <v>87.214180360479276</v>
      </c>
      <c r="BH107" s="34">
        <f t="shared" ca="1" si="52"/>
        <v>9.8311820036655675</v>
      </c>
      <c r="BI107" s="34">
        <f t="shared" ca="1" si="53"/>
        <v>0.87715293814779993</v>
      </c>
      <c r="BJ107" s="34">
        <f t="shared" ca="1" si="54"/>
        <v>1.5982186942760344E-3</v>
      </c>
      <c r="BK107" s="34">
        <f t="shared" ca="1" si="55"/>
        <v>107842.6951480284</v>
      </c>
      <c r="BL107" s="34">
        <f t="shared" ca="1" si="56"/>
        <v>1.7261041839937749E-2</v>
      </c>
      <c r="BM107" s="34">
        <f t="shared" ca="1" si="57"/>
        <v>0.33230873761538887</v>
      </c>
      <c r="BN107" s="34">
        <f t="shared" ca="1" si="58"/>
        <v>4.4020769428372582E-2</v>
      </c>
      <c r="BO107" s="34">
        <f t="shared" ca="1" si="59"/>
        <v>8.0783051971134281</v>
      </c>
      <c r="BP107" s="34">
        <f t="shared" ca="1" si="60"/>
        <v>1114605.3652677455</v>
      </c>
      <c r="BQ107" s="34">
        <f t="shared" ca="1" si="61"/>
        <v>8.0699167686595481E-9</v>
      </c>
      <c r="BR107" s="34">
        <f t="shared" ca="1" si="62"/>
        <v>3.3777317692446791E-5</v>
      </c>
      <c r="BS107" s="34">
        <f t="shared" ca="1" si="63"/>
        <v>9.5369964731356963E-4</v>
      </c>
      <c r="BT107" s="34">
        <f t="shared" ca="1" si="64"/>
        <v>9.6868559442514783</v>
      </c>
      <c r="BU107" s="34">
        <f t="shared" ca="1" si="65"/>
        <v>49437.152848391175</v>
      </c>
      <c r="BV107" s="34">
        <f t="shared" ca="1" si="66"/>
        <v>1.8502079025668539E-10</v>
      </c>
      <c r="BW107" s="34">
        <f t="shared" ca="1" si="67"/>
        <v>1.8932125447346005E-7</v>
      </c>
      <c r="BX107" s="34">
        <f t="shared" ca="1" si="68"/>
        <v>3.2541259043113646E-4</v>
      </c>
      <c r="BY107" s="34">
        <f t="shared" ca="1" si="69"/>
        <v>0.90566517675820146</v>
      </c>
    </row>
    <row r="108" spans="1:77" ht="12.75" customHeight="1" x14ac:dyDescent="0.3">
      <c r="A108" s="118"/>
      <c r="B108" s="118"/>
      <c r="C108" s="118"/>
      <c r="D108" s="118"/>
      <c r="E108" s="110"/>
      <c r="F108" s="118"/>
      <c r="G108" s="23"/>
      <c r="H108" s="25">
        <f t="shared" si="35"/>
        <v>3.1867590873095542E-2</v>
      </c>
      <c r="I108" s="25">
        <f t="shared" si="36"/>
        <v>11.631670668679874</v>
      </c>
      <c r="J108" s="117">
        <v>1004976.3457739411</v>
      </c>
      <c r="K108" s="117">
        <v>7.5146209736029835E-3</v>
      </c>
      <c r="L108" s="117">
        <v>0.44641313968771612</v>
      </c>
      <c r="M108" s="117">
        <v>6.65234196987518</v>
      </c>
      <c r="N108" s="117">
        <v>13648.70879671458</v>
      </c>
      <c r="O108" s="117">
        <v>12.851780567739468</v>
      </c>
      <c r="P108" s="117">
        <v>119.90617554543273</v>
      </c>
      <c r="Q108" s="117">
        <v>19.215153060378714</v>
      </c>
      <c r="R108" s="117">
        <v>3.438861995284765</v>
      </c>
      <c r="S108" s="117">
        <v>6.231450178067327E-2</v>
      </c>
      <c r="T108" s="117">
        <v>120.65818665880613</v>
      </c>
      <c r="U108" s="117">
        <v>449.88911260862511</v>
      </c>
      <c r="V108" s="117">
        <v>221.96122588297214</v>
      </c>
      <c r="W108" s="117">
        <v>1841544.4617388058</v>
      </c>
      <c r="X108" s="117">
        <v>957.32897833777633</v>
      </c>
      <c r="Y108" s="117">
        <v>6767152.6156594446</v>
      </c>
      <c r="Z108" s="117">
        <v>1048747.6909611837</v>
      </c>
      <c r="AA108" s="117">
        <v>244597.12666325562</v>
      </c>
      <c r="AB108" s="117">
        <v>127.57969042023515</v>
      </c>
      <c r="AC108" s="117">
        <v>8663.8578272548402</v>
      </c>
      <c r="AD108" s="117">
        <v>33069.657300441766</v>
      </c>
      <c r="AE108" s="117">
        <v>18844432.79035975</v>
      </c>
      <c r="AF108" s="117">
        <v>78616.414496392958</v>
      </c>
      <c r="AG108" s="117">
        <v>27775.341396838641</v>
      </c>
      <c r="AH108" s="117">
        <v>3099.4366854081877</v>
      </c>
      <c r="AI108" s="117">
        <v>1.3036175060503453E-2</v>
      </c>
      <c r="AJ108" s="117">
        <v>1283.8340938996384</v>
      </c>
      <c r="AK108" s="117">
        <v>1134.1603537367332</v>
      </c>
      <c r="AL108" s="117">
        <v>1745.2973405759019</v>
      </c>
      <c r="AM108" s="117">
        <v>244.8096316957047</v>
      </c>
      <c r="AN108" s="117">
        <v>8.641197662270318E-4</v>
      </c>
      <c r="AO108" s="117">
        <v>27.50247596427781</v>
      </c>
      <c r="AP108" s="117">
        <v>1455.0170546998966</v>
      </c>
      <c r="AQ108" s="117">
        <v>67.146458062970609</v>
      </c>
      <c r="AS108" s="34">
        <f t="shared" ca="1" si="37"/>
        <v>0.5297931104625726</v>
      </c>
      <c r="AT108" s="34">
        <f t="shared" ca="1" si="38"/>
        <v>5301206.1085357405</v>
      </c>
      <c r="AU108" s="34">
        <f t="shared" ca="1" si="39"/>
        <v>4.1984413236534374E-2</v>
      </c>
      <c r="AV108" s="34">
        <f t="shared" ca="1" si="40"/>
        <v>15.957423319099584</v>
      </c>
      <c r="AW108" s="34">
        <f t="shared" ca="1" si="41"/>
        <v>1.2656487996139966E-3</v>
      </c>
      <c r="AX108" s="34">
        <f t="shared" ca="1" si="42"/>
        <v>1.5165057033461174E-2</v>
      </c>
      <c r="AY108" s="34">
        <f t="shared" ca="1" si="43"/>
        <v>9.4226239611386493E-4</v>
      </c>
      <c r="AZ108" s="34">
        <f t="shared" ca="1" si="44"/>
        <v>8.842599692148305E-5</v>
      </c>
      <c r="BA108" s="34">
        <f t="shared" ca="1" si="45"/>
        <v>1.4718471220664282E-6</v>
      </c>
      <c r="BB108" s="34">
        <f t="shared" ca="1" si="46"/>
        <v>428.03283452241362</v>
      </c>
      <c r="BC108" s="34">
        <f t="shared" ca="1" si="47"/>
        <v>109.91182312148403</v>
      </c>
      <c r="BD108" s="34">
        <f t="shared" ca="1" si="48"/>
        <v>0.95404031516212928</v>
      </c>
      <c r="BE108" s="34">
        <f t="shared" ca="1" si="49"/>
        <v>4.285037257235941</v>
      </c>
      <c r="BF108" s="34">
        <f t="shared" ca="1" si="50"/>
        <v>0.24174408076840567</v>
      </c>
      <c r="BG108" s="34">
        <f t="shared" ca="1" si="51"/>
        <v>84.234938056815025</v>
      </c>
      <c r="BH108" s="34">
        <f t="shared" ca="1" si="52"/>
        <v>9.740257876632354</v>
      </c>
      <c r="BI108" s="34">
        <f t="shared" ca="1" si="53"/>
        <v>0.87844512422010479</v>
      </c>
      <c r="BJ108" s="34">
        <f t="shared" ca="1" si="54"/>
        <v>1.617196370470575E-3</v>
      </c>
      <c r="BK108" s="34">
        <f t="shared" ca="1" si="55"/>
        <v>105667.90819952851</v>
      </c>
      <c r="BL108" s="34">
        <f t="shared" ca="1" si="56"/>
        <v>1.7045404653556875E-2</v>
      </c>
      <c r="BM108" s="34">
        <f t="shared" ca="1" si="57"/>
        <v>0.32377676196261879</v>
      </c>
      <c r="BN108" s="34">
        <f t="shared" ca="1" si="58"/>
        <v>4.2780813211041727E-2</v>
      </c>
      <c r="BO108" s="34">
        <f t="shared" ca="1" si="59"/>
        <v>8.046626001603574</v>
      </c>
      <c r="BP108" s="34">
        <f t="shared" ca="1" si="60"/>
        <v>1124545.7741056124</v>
      </c>
      <c r="BQ108" s="34">
        <f t="shared" ca="1" si="61"/>
        <v>8.2757797719898646E-9</v>
      </c>
      <c r="BR108" s="34">
        <f t="shared" ca="1" si="62"/>
        <v>3.3102536273343592E-5</v>
      </c>
      <c r="BS108" s="34">
        <f t="shared" ca="1" si="63"/>
        <v>9.2618986540828703E-4</v>
      </c>
      <c r="BT108" s="34">
        <f t="shared" ca="1" si="64"/>
        <v>9.7011996380432457</v>
      </c>
      <c r="BU108" s="34">
        <f t="shared" ca="1" si="65"/>
        <v>50291.409592404547</v>
      </c>
      <c r="BV108" s="34">
        <f t="shared" ca="1" si="66"/>
        <v>1.9099695279258503E-10</v>
      </c>
      <c r="BW108" s="34">
        <f t="shared" ca="1" si="67"/>
        <v>1.8867546880857973E-7</v>
      </c>
      <c r="BX108" s="34">
        <f t="shared" ca="1" si="68"/>
        <v>3.1614398638042223E-4</v>
      </c>
      <c r="BY108" s="34">
        <f t="shared" ca="1" si="69"/>
        <v>0.87990897662903111</v>
      </c>
    </row>
    <row r="109" spans="1:77" ht="12.75" customHeight="1" x14ac:dyDescent="0.3">
      <c r="A109" s="118"/>
      <c r="B109" s="118"/>
      <c r="C109" s="118"/>
      <c r="D109" s="118"/>
      <c r="E109" s="110"/>
      <c r="F109" s="118"/>
      <c r="G109" s="23"/>
      <c r="H109" s="25">
        <f t="shared" si="35"/>
        <v>3.2203039198075503E-2</v>
      </c>
      <c r="I109" s="25">
        <f t="shared" si="36"/>
        <v>11.754109307297558</v>
      </c>
      <c r="J109" s="117">
        <v>1015555.0441505089</v>
      </c>
      <c r="K109" s="117">
        <v>7.2120732232854971E-3</v>
      </c>
      <c r="L109" s="117">
        <v>0.42841676244509935</v>
      </c>
      <c r="M109" s="117">
        <v>6.6029095494284835</v>
      </c>
      <c r="N109" s="117">
        <v>13265.248424359141</v>
      </c>
      <c r="O109" s="117">
        <v>12.695153272423511</v>
      </c>
      <c r="P109" s="117">
        <v>116.30728186807478</v>
      </c>
      <c r="Q109" s="117">
        <v>18.906505449139683</v>
      </c>
      <c r="R109" s="117">
        <v>3.4471987071216961</v>
      </c>
      <c r="S109" s="117">
        <v>6.2811325857690253E-2</v>
      </c>
      <c r="T109" s="117">
        <v>118.23738580736124</v>
      </c>
      <c r="U109" s="117">
        <v>444.3195401630345</v>
      </c>
      <c r="V109" s="117">
        <v>216.51301055048722</v>
      </c>
      <c r="W109" s="117">
        <v>1789897.3100462428</v>
      </c>
      <c r="X109" s="117">
        <v>945.68228826691939</v>
      </c>
      <c r="Y109" s="117">
        <v>6536017.4464632804</v>
      </c>
      <c r="Z109" s="117">
        <v>1038895.8454841287</v>
      </c>
      <c r="AA109" s="117">
        <v>244919.49739962307</v>
      </c>
      <c r="AB109" s="117">
        <v>129.05569646441108</v>
      </c>
      <c r="AC109" s="117">
        <v>8488.7556874632464</v>
      </c>
      <c r="AD109" s="117">
        <v>32654.834407682767</v>
      </c>
      <c r="AE109" s="117">
        <v>18360604.853127573</v>
      </c>
      <c r="AF109" s="117">
        <v>76404.511462056238</v>
      </c>
      <c r="AG109" s="117">
        <v>27663.301412671321</v>
      </c>
      <c r="AH109" s="117">
        <v>3126.1396983016471</v>
      </c>
      <c r="AI109" s="117">
        <v>1.3362725643409677E-2</v>
      </c>
      <c r="AJ109" s="117">
        <v>1258.1254689375617</v>
      </c>
      <c r="AK109" s="117">
        <v>1101.6219283799228</v>
      </c>
      <c r="AL109" s="117">
        <v>1747.738162072817</v>
      </c>
      <c r="AM109" s="117">
        <v>248.96129796298192</v>
      </c>
      <c r="AN109" s="117">
        <v>8.9160248628368055E-4</v>
      </c>
      <c r="AO109" s="117">
        <v>27.407073760284209</v>
      </c>
      <c r="AP109" s="117">
        <v>1413.6929973409362</v>
      </c>
      <c r="AQ109" s="117">
        <v>65.236879706256985</v>
      </c>
      <c r="AS109" s="34">
        <f t="shared" ca="1" si="37"/>
        <v>0.50846299757102342</v>
      </c>
      <c r="AT109" s="34">
        <f t="shared" ca="1" si="38"/>
        <v>5087497.1101025594</v>
      </c>
      <c r="AU109" s="34">
        <f t="shared" ca="1" si="39"/>
        <v>4.1672434210694366E-2</v>
      </c>
      <c r="AV109" s="34">
        <f t="shared" ca="1" si="40"/>
        <v>15.50909962937091</v>
      </c>
      <c r="AW109" s="34">
        <f t="shared" ca="1" si="41"/>
        <v>1.2502240771595037E-3</v>
      </c>
      <c r="AX109" s="34">
        <f t="shared" ca="1" si="42"/>
        <v>1.470988925226698E-2</v>
      </c>
      <c r="AY109" s="34">
        <f t="shared" ca="1" si="43"/>
        <v>9.2712709967323486E-4</v>
      </c>
      <c r="AZ109" s="34">
        <f t="shared" ca="1" si="44"/>
        <v>8.8640364946788682E-5</v>
      </c>
      <c r="BA109" s="34">
        <f t="shared" ca="1" si="45"/>
        <v>1.4835819360669399E-6</v>
      </c>
      <c r="BB109" s="34">
        <f t="shared" ca="1" si="46"/>
        <v>419.44508528672918</v>
      </c>
      <c r="BC109" s="34">
        <f t="shared" ca="1" si="47"/>
        <v>108.55112813166198</v>
      </c>
      <c r="BD109" s="34">
        <f t="shared" ca="1" si="48"/>
        <v>0.93062263465420314</v>
      </c>
      <c r="BE109" s="34">
        <f t="shared" ca="1" si="49"/>
        <v>4.1648609737788558</v>
      </c>
      <c r="BF109" s="34">
        <f t="shared" ca="1" si="50"/>
        <v>0.23880306629074674</v>
      </c>
      <c r="BG109" s="34">
        <f t="shared" ca="1" si="51"/>
        <v>81.357855513274217</v>
      </c>
      <c r="BH109" s="34">
        <f t="shared" ca="1" si="52"/>
        <v>9.6487587330973597</v>
      </c>
      <c r="BI109" s="34">
        <f t="shared" ca="1" si="53"/>
        <v>0.87960288516937013</v>
      </c>
      <c r="BJ109" s="34">
        <f t="shared" ca="1" si="54"/>
        <v>1.63590617929337E-3</v>
      </c>
      <c r="BK109" s="34">
        <f t="shared" ca="1" si="55"/>
        <v>103532.29180300441</v>
      </c>
      <c r="BL109" s="34">
        <f t="shared" ca="1" si="56"/>
        <v>1.6831588586386996E-2</v>
      </c>
      <c r="BM109" s="34">
        <f t="shared" ca="1" si="57"/>
        <v>0.31546384299037855</v>
      </c>
      <c r="BN109" s="34">
        <f t="shared" ca="1" si="58"/>
        <v>4.1577158590577735E-2</v>
      </c>
      <c r="BO109" s="34">
        <f t="shared" ca="1" si="59"/>
        <v>8.0141675760908413</v>
      </c>
      <c r="BP109" s="34">
        <f t="shared" ca="1" si="60"/>
        <v>1134234.23151034</v>
      </c>
      <c r="BQ109" s="34">
        <f t="shared" ca="1" si="61"/>
        <v>8.4830844987217605E-9</v>
      </c>
      <c r="BR109" s="34">
        <f t="shared" ca="1" si="62"/>
        <v>3.2439661923465589E-5</v>
      </c>
      <c r="BS109" s="34">
        <f t="shared" ca="1" si="63"/>
        <v>8.9961799688675925E-4</v>
      </c>
      <c r="BT109" s="34">
        <f t="shared" ca="1" si="64"/>
        <v>9.7147668945054519</v>
      </c>
      <c r="BU109" s="34">
        <f t="shared" ca="1" si="65"/>
        <v>51144.289225008768</v>
      </c>
      <c r="BV109" s="34">
        <f t="shared" ca="1" si="66"/>
        <v>1.9707147624457197E-10</v>
      </c>
      <c r="BW109" s="34">
        <f t="shared" ca="1" si="67"/>
        <v>1.8802098026044886E-7</v>
      </c>
      <c r="BX109" s="34">
        <f t="shared" ca="1" si="68"/>
        <v>3.0716515538687793E-4</v>
      </c>
      <c r="BY109" s="34">
        <f t="shared" ca="1" si="69"/>
        <v>0.85488524215188155</v>
      </c>
    </row>
    <row r="110" spans="1:77" ht="12.75" customHeight="1" x14ac:dyDescent="0.3">
      <c r="A110" s="118"/>
      <c r="B110" s="118"/>
      <c r="C110" s="118"/>
      <c r="D110" s="118"/>
      <c r="E110" s="110"/>
      <c r="F110" s="118"/>
      <c r="G110" s="23"/>
      <c r="H110" s="25">
        <f t="shared" si="35"/>
        <v>3.2538487523055451E-2</v>
      </c>
      <c r="I110" s="25">
        <f t="shared" si="36"/>
        <v>11.87654794591524</v>
      </c>
      <c r="J110" s="117">
        <v>1026133.7425270767</v>
      </c>
      <c r="K110" s="117">
        <v>6.9219268994193933E-3</v>
      </c>
      <c r="L110" s="117">
        <v>0.41115840594026609</v>
      </c>
      <c r="M110" s="117">
        <v>6.5538444521324921</v>
      </c>
      <c r="N110" s="117">
        <v>12892.849531351707</v>
      </c>
      <c r="O110" s="117">
        <v>12.539756531890385</v>
      </c>
      <c r="P110" s="117">
        <v>112.81821539439862</v>
      </c>
      <c r="Q110" s="117">
        <v>18.601951078007939</v>
      </c>
      <c r="R110" s="117">
        <v>3.4549630874810711</v>
      </c>
      <c r="S110" s="117">
        <v>6.3296132365721597E-2</v>
      </c>
      <c r="T110" s="117">
        <v>115.85972262587555</v>
      </c>
      <c r="U110" s="117">
        <v>438.79516528182955</v>
      </c>
      <c r="V110" s="117">
        <v>211.19763857464028</v>
      </c>
      <c r="W110" s="117">
        <v>1739729.9683858096</v>
      </c>
      <c r="X110" s="117">
        <v>934.12993520568921</v>
      </c>
      <c r="Y110" s="117">
        <v>6312807.4321646076</v>
      </c>
      <c r="Z110" s="117">
        <v>1028990.1117345218</v>
      </c>
      <c r="AA110" s="117">
        <v>245205.79438106509</v>
      </c>
      <c r="AB110" s="117">
        <v>130.51052650396616</v>
      </c>
      <c r="AC110" s="117">
        <v>8316.8219133919411</v>
      </c>
      <c r="AD110" s="117">
        <v>32243.576550606333</v>
      </c>
      <c r="AE110" s="117">
        <v>17889199.082389366</v>
      </c>
      <c r="AF110" s="117">
        <v>74257.053444778547</v>
      </c>
      <c r="AG110" s="117">
        <v>27548.643417833282</v>
      </c>
      <c r="AH110" s="117">
        <v>3152.151612207846</v>
      </c>
      <c r="AI110" s="117">
        <v>1.3691460693397521E-2</v>
      </c>
      <c r="AJ110" s="117">
        <v>1232.8729226727569</v>
      </c>
      <c r="AK110" s="117">
        <v>1070.1634117859073</v>
      </c>
      <c r="AL110" s="117">
        <v>1750.0417575715405</v>
      </c>
      <c r="AM110" s="117">
        <v>253.10588930873828</v>
      </c>
      <c r="AN110" s="117">
        <v>9.195287920204802E-4</v>
      </c>
      <c r="AO110" s="117">
        <v>27.310470843929718</v>
      </c>
      <c r="AP110" s="117">
        <v>1373.6401325618756</v>
      </c>
      <c r="AQ110" s="117">
        <v>63.381659008181892</v>
      </c>
      <c r="AS110" s="34">
        <f t="shared" ca="1" si="37"/>
        <v>0.48800720559558303</v>
      </c>
      <c r="AT110" s="34">
        <f t="shared" ca="1" si="38"/>
        <v>4882552.1907153064</v>
      </c>
      <c r="AU110" s="34">
        <f t="shared" ca="1" si="39"/>
        <v>4.1362773443149023E-2</v>
      </c>
      <c r="AV110" s="34">
        <f t="shared" ca="1" si="40"/>
        <v>15.073708496935428</v>
      </c>
      <c r="AW110" s="34">
        <f t="shared" ca="1" si="41"/>
        <v>1.2349205402617932E-3</v>
      </c>
      <c r="AX110" s="34">
        <f t="shared" ca="1" si="42"/>
        <v>1.4268611796571733E-2</v>
      </c>
      <c r="AY110" s="34">
        <f t="shared" ca="1" si="43"/>
        <v>9.1219252535119759E-4</v>
      </c>
      <c r="AZ110" s="34">
        <f t="shared" ca="1" si="44"/>
        <v>8.8840016190338644E-5</v>
      </c>
      <c r="BA110" s="34">
        <f t="shared" ca="1" si="45"/>
        <v>1.4950328992170025E-6</v>
      </c>
      <c r="BB110" s="34">
        <f t="shared" ca="1" si="46"/>
        <v>411.01036619063694</v>
      </c>
      <c r="BC110" s="34">
        <f t="shared" ca="1" si="47"/>
        <v>107.20147529992522</v>
      </c>
      <c r="BD110" s="34">
        <f t="shared" ca="1" si="48"/>
        <v>0.90777594539634754</v>
      </c>
      <c r="BE110" s="34">
        <f t="shared" ca="1" si="49"/>
        <v>4.0481280180572945</v>
      </c>
      <c r="BF110" s="34">
        <f t="shared" ca="1" si="50"/>
        <v>0.23588587373239736</v>
      </c>
      <c r="BG110" s="34">
        <f t="shared" ca="1" si="51"/>
        <v>78.579422279095226</v>
      </c>
      <c r="BH110" s="34">
        <f t="shared" ca="1" si="52"/>
        <v>9.5567591015272519</v>
      </c>
      <c r="BI110" s="34">
        <f t="shared" ca="1" si="53"/>
        <v>0.8806310909821593</v>
      </c>
      <c r="BJ110" s="34">
        <f t="shared" ca="1" si="54"/>
        <v>1.6543475617098839E-3</v>
      </c>
      <c r="BK110" s="34">
        <f t="shared" ca="1" si="55"/>
        <v>101435.31807407127</v>
      </c>
      <c r="BL110" s="34">
        <f t="shared" ca="1" si="56"/>
        <v>1.6619610079106582E-2</v>
      </c>
      <c r="BM110" s="34">
        <f t="shared" ca="1" si="57"/>
        <v>0.307364356223221</v>
      </c>
      <c r="BN110" s="34">
        <f t="shared" ca="1" si="58"/>
        <v>4.0408573112542152E-2</v>
      </c>
      <c r="BO110" s="34">
        <f t="shared" ca="1" si="59"/>
        <v>7.9809507025563722</v>
      </c>
      <c r="BP110" s="34">
        <f t="shared" ca="1" si="60"/>
        <v>1143671.9425619412</v>
      </c>
      <c r="BQ110" s="34">
        <f t="shared" ca="1" si="61"/>
        <v>8.6917759948398264E-9</v>
      </c>
      <c r="BR110" s="34">
        <f t="shared" ca="1" si="62"/>
        <v>3.1788547162845802E-5</v>
      </c>
      <c r="BS110" s="34">
        <f t="shared" ca="1" si="63"/>
        <v>8.7392801473021591E-4</v>
      </c>
      <c r="BT110" s="34">
        <f t="shared" ca="1" si="64"/>
        <v>9.727571383058125</v>
      </c>
      <c r="BU110" s="34">
        <f t="shared" ca="1" si="65"/>
        <v>51995.715451660071</v>
      </c>
      <c r="BV110" s="34">
        <f t="shared" ca="1" si="66"/>
        <v>2.0324404572735526E-10</v>
      </c>
      <c r="BW110" s="34">
        <f t="shared" ca="1" si="67"/>
        <v>1.8735825445513833E-7</v>
      </c>
      <c r="BX110" s="34">
        <f t="shared" ca="1" si="68"/>
        <v>2.9846252726557396E-4</v>
      </c>
      <c r="BY110" s="34">
        <f t="shared" ca="1" si="69"/>
        <v>0.83057382807351954</v>
      </c>
    </row>
    <row r="111" spans="1:77" ht="12.75" customHeight="1" x14ac:dyDescent="0.3">
      <c r="A111" s="118"/>
      <c r="B111" s="118"/>
      <c r="C111" s="118"/>
      <c r="D111" s="118"/>
      <c r="E111" s="110"/>
      <c r="F111" s="118"/>
      <c r="G111" s="23"/>
      <c r="H111" s="25">
        <f>I111/365</f>
        <v>3.2873935848035406E-2</v>
      </c>
      <c r="I111" s="25">
        <f t="shared" si="36"/>
        <v>11.998986584532924</v>
      </c>
      <c r="J111" s="117">
        <v>1036712.4409036445</v>
      </c>
      <c r="K111" s="117">
        <v>6.6436748396802017E-3</v>
      </c>
      <c r="L111" s="117">
        <v>0.39460770907494691</v>
      </c>
      <c r="M111" s="117">
        <v>6.5051439485036457</v>
      </c>
      <c r="N111" s="117">
        <v>12531.17016447772</v>
      </c>
      <c r="O111" s="117">
        <v>12.385605792900602</v>
      </c>
      <c r="P111" s="117">
        <v>109.43558727925854</v>
      </c>
      <c r="Q111" s="117">
        <v>18.301480825010991</v>
      </c>
      <c r="R111" s="117">
        <v>3.4621735177931376</v>
      </c>
      <c r="S111" s="117">
        <v>6.3769096053738789E-2</v>
      </c>
      <c r="T111" s="117">
        <v>113.52463753037112</v>
      </c>
      <c r="U111" s="117">
        <v>433.31650047965735</v>
      </c>
      <c r="V111" s="117">
        <v>206.01190205017826</v>
      </c>
      <c r="W111" s="117">
        <v>1690998.6618023855</v>
      </c>
      <c r="X111" s="117">
        <v>922.67287317756836</v>
      </c>
      <c r="Y111" s="117">
        <v>6097250.276018397</v>
      </c>
      <c r="Z111" s="117">
        <v>1019038.152103563</v>
      </c>
      <c r="AA111" s="117">
        <v>245457.32674779376</v>
      </c>
      <c r="AB111" s="117">
        <v>131.94415024365674</v>
      </c>
      <c r="AC111" s="117">
        <v>8148.0131727751896</v>
      </c>
      <c r="AD111" s="117">
        <v>31835.912524074218</v>
      </c>
      <c r="AE111" s="117">
        <v>17429896.54183057</v>
      </c>
      <c r="AF111" s="117">
        <v>72171.914470723248</v>
      </c>
      <c r="AG111" s="117">
        <v>27431.439043168291</v>
      </c>
      <c r="AH111" s="117">
        <v>3177.4758871751042</v>
      </c>
      <c r="AI111" s="117">
        <v>1.4022294273057748E-2</v>
      </c>
      <c r="AJ111" s="117">
        <v>1208.0706767101506</v>
      </c>
      <c r="AK111" s="117">
        <v>1039.7249226897814</v>
      </c>
      <c r="AL111" s="117">
        <v>1752.2104480937076</v>
      </c>
      <c r="AM111" s="117">
        <v>257.24304238724721</v>
      </c>
      <c r="AN111" s="117">
        <v>9.4789721804921514E-4</v>
      </c>
      <c r="AO111" s="117">
        <v>27.212731201543711</v>
      </c>
      <c r="AP111" s="117">
        <v>1334.8028775657494</v>
      </c>
      <c r="AQ111" s="117">
        <v>61.579289780559975</v>
      </c>
      <c r="AS111" s="34">
        <f t="shared" ca="1" si="37"/>
        <v>0.46838997876010052</v>
      </c>
      <c r="AT111" s="34">
        <f t="shared" ca="1" si="38"/>
        <v>4686010.8089263877</v>
      </c>
      <c r="AU111" s="34">
        <f t="shared" ca="1" si="39"/>
        <v>4.1055413707519077E-2</v>
      </c>
      <c r="AV111" s="34">
        <f t="shared" ca="1" si="40"/>
        <v>14.650850126304691</v>
      </c>
      <c r="AW111" s="34">
        <f t="shared" ca="1" si="41"/>
        <v>1.2197397101243903E-3</v>
      </c>
      <c r="AX111" s="34">
        <f t="shared" ca="1" si="42"/>
        <v>1.3840796064348236E-2</v>
      </c>
      <c r="AY111" s="34">
        <f t="shared" ca="1" si="43"/>
        <v>8.9745822582934596E-4</v>
      </c>
      <c r="AZ111" s="34">
        <f t="shared" ca="1" si="44"/>
        <v>8.902542330741738E-5</v>
      </c>
      <c r="BA111" s="34">
        <f t="shared" ca="1" si="45"/>
        <v>1.5062041390272827E-6</v>
      </c>
      <c r="BB111" s="34">
        <f t="shared" ca="1" si="46"/>
        <v>402.72669211963387</v>
      </c>
      <c r="BC111" s="34">
        <f t="shared" ca="1" si="47"/>
        <v>105.86298983805965</v>
      </c>
      <c r="BD111" s="34">
        <f t="shared" ca="1" si="48"/>
        <v>0.88548645907519163</v>
      </c>
      <c r="BE111" s="34">
        <f t="shared" ca="1" si="49"/>
        <v>3.9347365313773626</v>
      </c>
      <c r="BF111" s="34">
        <f t="shared" ca="1" si="50"/>
        <v>0.23299274400273673</v>
      </c>
      <c r="BG111" s="34">
        <f t="shared" ca="1" si="51"/>
        <v>75.896248908117556</v>
      </c>
      <c r="BH111" s="34">
        <f t="shared" ca="1" si="52"/>
        <v>9.4643301464803677</v>
      </c>
      <c r="BI111" s="34">
        <f t="shared" ca="1" si="53"/>
        <v>0.88153444329929642</v>
      </c>
      <c r="BJ111" s="34">
        <f t="shared" ca="1" si="54"/>
        <v>1.6725201336985076E-3</v>
      </c>
      <c r="BK111" s="34">
        <f t="shared" ca="1" si="55"/>
        <v>99376.458514920261</v>
      </c>
      <c r="BL111" s="34">
        <f t="shared" ca="1" si="56"/>
        <v>1.6409483973722192E-2</v>
      </c>
      <c r="BM111" s="34">
        <f t="shared" ca="1" si="57"/>
        <v>0.29947282183756369</v>
      </c>
      <c r="BN111" s="34">
        <f t="shared" ca="1" si="58"/>
        <v>3.9273899882536024E-2</v>
      </c>
      <c r="BO111" s="34">
        <f t="shared" ca="1" si="59"/>
        <v>7.9469961327382546</v>
      </c>
      <c r="BP111" s="34">
        <f t="shared" ca="1" si="60"/>
        <v>1152860.1626442519</v>
      </c>
      <c r="BQ111" s="34">
        <f t="shared" ca="1" si="61"/>
        <v>8.9017997045353419E-9</v>
      </c>
      <c r="BR111" s="34">
        <f t="shared" ca="1" si="62"/>
        <v>3.1149043000634523E-5</v>
      </c>
      <c r="BS111" s="34">
        <f t="shared" ca="1" si="63"/>
        <v>8.4907101807512339E-4</v>
      </c>
      <c r="BT111" s="34">
        <f t="shared" ca="1" si="64"/>
        <v>9.7396260050526404</v>
      </c>
      <c r="BU111" s="34">
        <f t="shared" ca="1" si="65"/>
        <v>52845.613629998043</v>
      </c>
      <c r="BV111" s="34">
        <f t="shared" ca="1" si="66"/>
        <v>2.0951433734522652E-10</v>
      </c>
      <c r="BW111" s="34">
        <f t="shared" ca="1" si="67"/>
        <v>1.8668773035860552E-7</v>
      </c>
      <c r="BX111" s="34">
        <f t="shared" ca="1" si="68"/>
        <v>2.9002402506734322E-4</v>
      </c>
      <c r="BY111" s="34">
        <f t="shared" ca="1" si="69"/>
        <v>0.80695499681518024</v>
      </c>
    </row>
    <row r="112" spans="1:77" ht="12.75" customHeight="1" x14ac:dyDescent="0.3">
      <c r="A112" s="118"/>
      <c r="B112" s="118"/>
      <c r="C112" s="118"/>
      <c r="D112" s="118"/>
      <c r="E112" s="110"/>
      <c r="F112" s="118"/>
      <c r="G112" s="23"/>
      <c r="H112" s="25"/>
      <c r="I112" s="25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</row>
  </sheetData>
  <printOptions gridLines="1" gridLinesSet="0"/>
  <pageMargins left="0.75" right="0.75" top="1" bottom="1" header="0.5" footer="0.5"/>
  <pageSetup paperSize="9" scale="14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Q1253"/>
  <sheetViews>
    <sheetView zoomScale="85" zoomScaleNormal="85" workbookViewId="0"/>
  </sheetViews>
  <sheetFormatPr defaultColWidth="9.09765625" defaultRowHeight="12.75" customHeight="1" x14ac:dyDescent="0.3"/>
  <cols>
    <col min="1" max="5" width="1.59765625" customWidth="1"/>
    <col min="6" max="6" width="60.59765625" customWidth="1"/>
    <col min="7" max="7" width="22.59765625" style="58" customWidth="1"/>
    <col min="8" max="8" width="10.59765625" style="58" customWidth="1"/>
    <col min="9" max="9" width="9.09765625" style="345" customWidth="1"/>
    <col min="10" max="11" width="9.09765625" style="330" customWidth="1"/>
    <col min="12" max="16" width="9.09765625" style="112" customWidth="1"/>
    <col min="17" max="17" width="3.09765625" customWidth="1"/>
    <col min="18" max="16384" width="9.09765625" style="30"/>
  </cols>
  <sheetData>
    <row r="1" spans="1:17" ht="12.75" customHeight="1" x14ac:dyDescent="0.3">
      <c r="A1" s="267" t="s">
        <v>1210</v>
      </c>
      <c r="B1" s="38"/>
      <c r="C1" s="38"/>
      <c r="D1" s="38"/>
      <c r="E1" s="38"/>
      <c r="F1" s="38"/>
      <c r="G1" s="38"/>
      <c r="H1" s="42"/>
      <c r="I1" s="322"/>
      <c r="J1" s="165"/>
      <c r="K1" s="165"/>
      <c r="L1" s="182"/>
      <c r="M1" s="182"/>
      <c r="N1" s="182"/>
      <c r="O1" s="182"/>
      <c r="P1" s="182"/>
      <c r="Q1" s="104"/>
    </row>
    <row r="2" spans="1:17" ht="12.75" customHeight="1" thickBot="1" x14ac:dyDescent="0.35">
      <c r="A2" s="32"/>
      <c r="B2" s="38"/>
      <c r="C2" s="38"/>
      <c r="D2" s="38"/>
      <c r="E2" s="38"/>
      <c r="F2" s="38"/>
      <c r="G2" s="38"/>
      <c r="H2" s="42"/>
      <c r="I2" s="322"/>
      <c r="J2" s="311"/>
      <c r="K2" s="311"/>
      <c r="L2" s="273"/>
      <c r="M2" s="273"/>
      <c r="N2" s="273"/>
      <c r="O2" s="273"/>
      <c r="P2" s="273"/>
      <c r="Q2" s="104"/>
    </row>
    <row r="3" spans="1:17" ht="26.9" customHeight="1" x14ac:dyDescent="0.3">
      <c r="A3" s="73"/>
      <c r="B3" s="73"/>
      <c r="C3" s="73"/>
      <c r="D3" s="73"/>
      <c r="E3" s="73"/>
      <c r="F3" s="73"/>
      <c r="G3" s="74" t="s">
        <v>969</v>
      </c>
      <c r="H3" s="73" t="s">
        <v>929</v>
      </c>
      <c r="I3" s="339" t="s">
        <v>1778</v>
      </c>
      <c r="J3" s="312" t="s">
        <v>1786</v>
      </c>
      <c r="K3" s="312" t="s">
        <v>1789</v>
      </c>
      <c r="L3" s="298" t="s">
        <v>1793</v>
      </c>
      <c r="M3" s="298" t="s">
        <v>1796</v>
      </c>
      <c r="N3" s="298" t="s">
        <v>1794</v>
      </c>
      <c r="O3" s="298" t="s">
        <v>1795</v>
      </c>
      <c r="P3" s="298" t="s">
        <v>1797</v>
      </c>
      <c r="Q3" s="104"/>
    </row>
    <row r="4" spans="1:17" ht="12.75" customHeight="1" x14ac:dyDescent="0.3">
      <c r="A4" s="61"/>
      <c r="B4" s="61"/>
      <c r="C4" s="61"/>
      <c r="D4" s="61"/>
      <c r="E4" s="61"/>
      <c r="F4" s="61"/>
      <c r="G4" s="62"/>
      <c r="H4" s="75"/>
      <c r="I4" s="322"/>
      <c r="J4" s="313"/>
      <c r="K4" s="333"/>
      <c r="L4" s="274"/>
      <c r="M4" s="274"/>
      <c r="N4" s="274"/>
      <c r="O4" s="274"/>
      <c r="P4" s="274"/>
      <c r="Q4" s="104"/>
    </row>
    <row r="5" spans="1:17" ht="26.9" customHeight="1" x14ac:dyDescent="0.3">
      <c r="A5" s="61" t="s">
        <v>1355</v>
      </c>
      <c r="B5" s="61"/>
      <c r="C5" s="61"/>
      <c r="D5" s="61"/>
      <c r="E5" s="61"/>
      <c r="F5" s="61"/>
      <c r="G5" s="62" t="s">
        <v>688</v>
      </c>
      <c r="H5" s="75"/>
      <c r="I5" s="310"/>
      <c r="J5" s="314"/>
      <c r="K5" s="314"/>
      <c r="L5" s="275"/>
      <c r="M5" s="275"/>
      <c r="N5" s="275"/>
      <c r="O5" s="275"/>
      <c r="P5" s="275"/>
      <c r="Q5" s="104"/>
    </row>
    <row r="6" spans="1:17" ht="12.75" customHeight="1" x14ac:dyDescent="0.3">
      <c r="A6" s="42"/>
      <c r="B6" s="42"/>
      <c r="C6" s="118"/>
      <c r="D6" s="118"/>
      <c r="E6" s="118"/>
      <c r="F6" s="118"/>
      <c r="G6" s="42" t="s">
        <v>1608</v>
      </c>
      <c r="H6" s="240"/>
      <c r="I6" s="310"/>
      <c r="J6" s="315"/>
      <c r="K6" s="315"/>
      <c r="L6" s="276"/>
      <c r="M6" s="276"/>
      <c r="N6" s="276"/>
      <c r="O6" s="276"/>
      <c r="P6" s="276"/>
      <c r="Q6" s="104"/>
    </row>
    <row r="7" spans="1:17" ht="12.75" customHeight="1" x14ac:dyDescent="0.3">
      <c r="A7" s="42"/>
      <c r="B7" s="38"/>
      <c r="C7" s="38"/>
      <c r="D7" s="38"/>
      <c r="E7" s="38"/>
      <c r="F7" s="38"/>
      <c r="G7" s="62"/>
      <c r="H7" s="75"/>
      <c r="I7" s="310"/>
      <c r="J7" s="314"/>
      <c r="K7" s="315"/>
      <c r="L7" s="276"/>
      <c r="M7" s="276"/>
      <c r="N7" s="276"/>
      <c r="O7" s="276"/>
      <c r="P7" s="276"/>
      <c r="Q7" s="104"/>
    </row>
    <row r="8" spans="1:17" ht="26.9" customHeight="1" x14ac:dyDescent="0.3">
      <c r="A8" s="61" t="s">
        <v>804</v>
      </c>
      <c r="B8" s="61"/>
      <c r="C8" s="61"/>
      <c r="D8" s="61"/>
      <c r="E8" s="61"/>
      <c r="F8" s="61"/>
      <c r="G8" s="62" t="s">
        <v>1093</v>
      </c>
      <c r="H8" s="75"/>
      <c r="I8" s="310"/>
      <c r="J8" s="314"/>
      <c r="K8" s="314"/>
      <c r="L8" s="275"/>
      <c r="M8" s="275"/>
      <c r="N8" s="275"/>
      <c r="O8" s="275"/>
      <c r="P8" s="275"/>
      <c r="Q8" s="104"/>
    </row>
    <row r="9" spans="1:17" ht="12.75" customHeight="1" x14ac:dyDescent="0.3">
      <c r="A9" s="61"/>
      <c r="B9" s="61"/>
      <c r="C9" s="61"/>
      <c r="D9" s="61"/>
      <c r="E9" s="61"/>
      <c r="F9" s="61"/>
      <c r="G9" s="62"/>
      <c r="H9" s="75"/>
      <c r="I9" s="310"/>
      <c r="J9" s="314"/>
      <c r="K9" s="334"/>
      <c r="L9" s="277"/>
      <c r="M9" s="277"/>
      <c r="N9" s="277"/>
      <c r="O9" s="277"/>
      <c r="P9" s="277"/>
      <c r="Q9" s="104"/>
    </row>
    <row r="10" spans="1:17" ht="26.9" customHeight="1" x14ac:dyDescent="0.3">
      <c r="A10" s="61" t="s">
        <v>1207</v>
      </c>
      <c r="B10" s="61"/>
      <c r="C10" s="61"/>
      <c r="D10" s="61"/>
      <c r="E10" s="61"/>
      <c r="F10" s="61"/>
      <c r="G10" s="62" t="s">
        <v>1208</v>
      </c>
      <c r="H10" s="75"/>
      <c r="I10" s="310"/>
      <c r="J10" s="314"/>
      <c r="K10" s="314"/>
      <c r="L10" s="275"/>
      <c r="M10" s="275"/>
      <c r="N10" s="275"/>
      <c r="O10" s="275"/>
      <c r="P10" s="275"/>
      <c r="Q10" s="104"/>
    </row>
    <row r="11" spans="1:17" ht="13.5" customHeight="1" x14ac:dyDescent="0.3">
      <c r="A11" s="38"/>
      <c r="B11" s="38"/>
      <c r="C11" s="38"/>
      <c r="D11" s="38"/>
      <c r="E11" s="38"/>
      <c r="F11" s="38"/>
      <c r="G11" s="42"/>
      <c r="H11" s="42"/>
      <c r="I11" s="178"/>
      <c r="J11" s="316"/>
      <c r="K11" s="316"/>
      <c r="L11" s="278"/>
      <c r="M11" s="278"/>
      <c r="N11" s="278"/>
      <c r="O11" s="278"/>
      <c r="P11" s="278"/>
      <c r="Q11" s="104"/>
    </row>
    <row r="12" spans="1:17" ht="12.75" customHeight="1" x14ac:dyDescent="0.3">
      <c r="A12" s="67" t="s">
        <v>1732</v>
      </c>
      <c r="B12" s="66"/>
      <c r="C12" s="66"/>
      <c r="D12" s="66"/>
      <c r="E12" s="66"/>
      <c r="F12" s="66"/>
      <c r="G12" s="67" t="s">
        <v>969</v>
      </c>
      <c r="H12" s="67" t="s">
        <v>929</v>
      </c>
      <c r="I12" s="189" t="s">
        <v>748</v>
      </c>
      <c r="J12" s="317"/>
      <c r="K12" s="317"/>
      <c r="L12" s="279"/>
      <c r="M12" s="279"/>
      <c r="N12" s="279"/>
      <c r="O12" s="279"/>
      <c r="P12" s="279"/>
      <c r="Q12" s="104"/>
    </row>
    <row r="13" spans="1:17" ht="12.75" customHeight="1" x14ac:dyDescent="0.3">
      <c r="A13" s="42"/>
      <c r="B13" s="38"/>
      <c r="C13" s="38"/>
      <c r="D13" s="38"/>
      <c r="E13" s="38"/>
      <c r="F13" s="38"/>
      <c r="G13" s="42"/>
      <c r="H13" s="42"/>
      <c r="I13" s="162"/>
      <c r="J13" s="294"/>
      <c r="K13" s="294"/>
      <c r="L13" s="185"/>
      <c r="M13" s="185"/>
      <c r="N13" s="185"/>
      <c r="O13" s="185"/>
      <c r="P13" s="185"/>
      <c r="Q13" s="104"/>
    </row>
    <row r="14" spans="1:17" ht="12.75" customHeight="1" x14ac:dyDescent="0.3">
      <c r="A14" s="42"/>
      <c r="B14" s="60" t="s">
        <v>588</v>
      </c>
      <c r="C14" s="61"/>
      <c r="D14" s="61"/>
      <c r="E14" s="61"/>
      <c r="F14" s="61"/>
      <c r="G14" s="62" t="s">
        <v>399</v>
      </c>
      <c r="H14" s="60"/>
      <c r="I14" s="340">
        <f>input!I14</f>
        <v>0</v>
      </c>
      <c r="J14" s="315"/>
      <c r="K14" s="315"/>
      <c r="L14" s="276"/>
      <c r="M14" s="276"/>
      <c r="N14" s="276"/>
      <c r="O14" s="276"/>
      <c r="P14" s="276"/>
      <c r="Q14" s="104"/>
    </row>
    <row r="15" spans="1:17" ht="12.75" customHeight="1" x14ac:dyDescent="0.3">
      <c r="A15" s="38"/>
      <c r="B15" s="42" t="s">
        <v>1092</v>
      </c>
      <c r="C15" s="38"/>
      <c r="D15" s="38"/>
      <c r="E15" s="38"/>
      <c r="F15" s="38"/>
      <c r="G15" s="43" t="s">
        <v>689</v>
      </c>
      <c r="H15" s="42" t="s">
        <v>1912</v>
      </c>
      <c r="I15" s="340">
        <f>input!I15</f>
        <v>0</v>
      </c>
      <c r="J15" s="315"/>
      <c r="K15" s="315"/>
      <c r="L15" s="276"/>
      <c r="M15" s="276"/>
      <c r="N15" s="276"/>
      <c r="O15" s="276"/>
      <c r="P15" s="276"/>
      <c r="Q15" s="104"/>
    </row>
    <row r="16" spans="1:17" ht="12.75" customHeight="1" x14ac:dyDescent="0.3">
      <c r="A16" s="38"/>
      <c r="B16" s="42"/>
      <c r="C16" s="38"/>
      <c r="D16" s="38"/>
      <c r="E16" s="38"/>
      <c r="F16" s="38"/>
      <c r="G16" s="42"/>
      <c r="H16" s="42"/>
      <c r="I16" s="337"/>
      <c r="J16" s="318"/>
      <c r="K16" s="318"/>
      <c r="L16" s="280"/>
      <c r="M16" s="280"/>
      <c r="N16" s="280"/>
      <c r="O16" s="280"/>
      <c r="P16" s="280"/>
      <c r="Q16" s="104"/>
    </row>
    <row r="17" spans="1:17" ht="12.75" customHeight="1" x14ac:dyDescent="0.3">
      <c r="A17" s="42"/>
      <c r="B17" s="42" t="s">
        <v>589</v>
      </c>
      <c r="C17" s="38"/>
      <c r="D17" s="38"/>
      <c r="E17" s="38"/>
      <c r="F17" s="38"/>
      <c r="G17" s="63" t="s">
        <v>1913</v>
      </c>
      <c r="H17" s="42" t="s">
        <v>28</v>
      </c>
      <c r="I17" s="340">
        <f>input!I17</f>
        <v>0</v>
      </c>
      <c r="J17" s="315"/>
      <c r="K17" s="315"/>
      <c r="L17" s="276"/>
      <c r="M17" s="276"/>
      <c r="N17" s="276"/>
      <c r="O17" s="276"/>
      <c r="P17" s="276"/>
      <c r="Q17" s="104"/>
    </row>
    <row r="18" spans="1:17" ht="12.75" customHeight="1" x14ac:dyDescent="0.3">
      <c r="A18" s="42"/>
      <c r="B18" s="42" t="s">
        <v>590</v>
      </c>
      <c r="C18" s="38"/>
      <c r="D18" s="38"/>
      <c r="E18" s="38"/>
      <c r="F18" s="38"/>
      <c r="G18" s="63" t="s">
        <v>591</v>
      </c>
      <c r="H18" s="42" t="s">
        <v>28</v>
      </c>
      <c r="I18" s="340">
        <f>input!I18</f>
        <v>0</v>
      </c>
      <c r="J18" s="315"/>
      <c r="K18" s="315"/>
      <c r="L18" s="276"/>
      <c r="M18" s="276"/>
      <c r="N18" s="276"/>
      <c r="O18" s="276"/>
      <c r="P18" s="276"/>
      <c r="Q18" s="104"/>
    </row>
    <row r="19" spans="1:17" ht="12.75" customHeight="1" x14ac:dyDescent="0.3">
      <c r="A19" s="42"/>
      <c r="B19" s="42" t="s">
        <v>1914</v>
      </c>
      <c r="C19" s="64"/>
      <c r="D19" s="38"/>
      <c r="E19" s="38"/>
      <c r="F19" s="38"/>
      <c r="G19" s="63" t="s">
        <v>1915</v>
      </c>
      <c r="H19" s="42" t="s">
        <v>28</v>
      </c>
      <c r="I19" s="340">
        <f>input!I19</f>
        <v>0</v>
      </c>
      <c r="J19" s="315"/>
      <c r="K19" s="315"/>
      <c r="L19" s="276"/>
      <c r="M19" s="276"/>
      <c r="N19" s="276"/>
      <c r="O19" s="276"/>
      <c r="P19" s="276"/>
      <c r="Q19" s="104"/>
    </row>
    <row r="20" spans="1:17" ht="12.75" customHeight="1" x14ac:dyDescent="0.3">
      <c r="A20" s="38"/>
      <c r="B20" s="38"/>
      <c r="C20" s="42" t="s">
        <v>1916</v>
      </c>
      <c r="D20" s="38"/>
      <c r="E20" s="38"/>
      <c r="F20" s="38"/>
      <c r="G20" s="43" t="s">
        <v>476</v>
      </c>
      <c r="H20" s="42" t="s">
        <v>28</v>
      </c>
      <c r="I20" s="340">
        <f>input!I20</f>
        <v>0</v>
      </c>
      <c r="J20" s="315"/>
      <c r="K20" s="315"/>
      <c r="L20" s="276"/>
      <c r="M20" s="276"/>
      <c r="N20" s="276"/>
      <c r="O20" s="276"/>
      <c r="P20" s="276"/>
      <c r="Q20" s="104"/>
    </row>
    <row r="21" spans="1:17" ht="12.75" customHeight="1" x14ac:dyDescent="0.3">
      <c r="A21" s="38"/>
      <c r="B21" s="38"/>
      <c r="C21" s="42" t="s">
        <v>1917</v>
      </c>
      <c r="D21" s="38"/>
      <c r="E21" s="38"/>
      <c r="F21" s="38"/>
      <c r="G21" s="43" t="s">
        <v>1918</v>
      </c>
      <c r="H21" s="42" t="s">
        <v>28</v>
      </c>
      <c r="I21" s="340">
        <f>input!I21</f>
        <v>0</v>
      </c>
      <c r="J21" s="315"/>
      <c r="K21" s="315"/>
      <c r="L21" s="276"/>
      <c r="M21" s="276"/>
      <c r="N21" s="276"/>
      <c r="O21" s="276"/>
      <c r="P21" s="276"/>
      <c r="Q21" s="104"/>
    </row>
    <row r="22" spans="1:17" ht="12.75" customHeight="1" x14ac:dyDescent="0.3">
      <c r="A22" s="38"/>
      <c r="B22" s="38"/>
      <c r="C22" s="42" t="s">
        <v>602</v>
      </c>
      <c r="D22" s="38"/>
      <c r="E22" s="38"/>
      <c r="F22" s="38"/>
      <c r="G22" s="42" t="s">
        <v>1334</v>
      </c>
      <c r="H22" s="42"/>
      <c r="I22" s="340">
        <f>input!I22</f>
        <v>0</v>
      </c>
      <c r="J22" s="315"/>
      <c r="K22" s="315"/>
      <c r="L22" s="276"/>
      <c r="M22" s="276"/>
      <c r="N22" s="276"/>
      <c r="O22" s="276"/>
      <c r="P22" s="276"/>
      <c r="Q22" s="104"/>
    </row>
    <row r="23" spans="1:17" ht="12.75" customHeight="1" x14ac:dyDescent="0.3">
      <c r="A23" s="38"/>
      <c r="B23" s="38"/>
      <c r="C23" s="42" t="s">
        <v>1919</v>
      </c>
      <c r="D23" s="38"/>
      <c r="E23" s="38"/>
      <c r="F23" s="38"/>
      <c r="G23" s="43" t="s">
        <v>601</v>
      </c>
      <c r="H23" s="42" t="s">
        <v>28</v>
      </c>
      <c r="I23" s="340">
        <f>input!I23</f>
        <v>0</v>
      </c>
      <c r="J23" s="315"/>
      <c r="K23" s="315"/>
      <c r="L23" s="276"/>
      <c r="M23" s="276"/>
      <c r="N23" s="276"/>
      <c r="O23" s="276"/>
      <c r="P23" s="276"/>
      <c r="Q23" s="104"/>
    </row>
    <row r="24" spans="1:17" ht="12.75" customHeight="1" x14ac:dyDescent="0.3">
      <c r="A24" s="3"/>
      <c r="B24" s="38"/>
      <c r="C24" s="38" t="s">
        <v>642</v>
      </c>
      <c r="D24" s="38"/>
      <c r="E24" s="38"/>
      <c r="F24" s="38"/>
      <c r="G24" s="42" t="s">
        <v>616</v>
      </c>
      <c r="H24" s="42" t="s">
        <v>28</v>
      </c>
      <c r="I24" s="340">
        <f>input!I24</f>
        <v>0</v>
      </c>
      <c r="J24" s="315"/>
      <c r="K24" s="315">
        <v>1</v>
      </c>
      <c r="L24" s="276">
        <v>1</v>
      </c>
      <c r="M24" s="276">
        <v>1</v>
      </c>
      <c r="N24" s="276">
        <v>1</v>
      </c>
      <c r="O24" s="276">
        <v>1</v>
      </c>
      <c r="P24" s="276"/>
      <c r="Q24" s="104"/>
    </row>
    <row r="25" spans="1:17" ht="12.75" customHeight="1" x14ac:dyDescent="0.3">
      <c r="A25" s="3"/>
      <c r="B25" s="38"/>
      <c r="C25" s="38" t="s">
        <v>596</v>
      </c>
      <c r="D25" s="38"/>
      <c r="E25" s="38"/>
      <c r="F25" s="38"/>
      <c r="G25" s="42" t="s">
        <v>592</v>
      </c>
      <c r="H25" s="42" t="s">
        <v>28</v>
      </c>
      <c r="I25" s="340">
        <f>input!I25</f>
        <v>0</v>
      </c>
      <c r="J25" s="315"/>
      <c r="K25" s="315">
        <v>1</v>
      </c>
      <c r="L25" s="276">
        <v>1</v>
      </c>
      <c r="M25" s="276">
        <v>1</v>
      </c>
      <c r="N25" s="276">
        <v>1</v>
      </c>
      <c r="O25" s="276">
        <v>1</v>
      </c>
      <c r="P25" s="276"/>
      <c r="Q25" s="104"/>
    </row>
    <row r="26" spans="1:17" ht="12.75" customHeight="1" x14ac:dyDescent="0.3">
      <c r="A26" s="3"/>
      <c r="B26" s="38"/>
      <c r="C26" s="38" t="s">
        <v>643</v>
      </c>
      <c r="D26" s="38"/>
      <c r="E26" s="38"/>
      <c r="F26" s="38"/>
      <c r="G26" s="42" t="s">
        <v>594</v>
      </c>
      <c r="H26" s="42" t="s">
        <v>28</v>
      </c>
      <c r="I26" s="340">
        <f>input!I26</f>
        <v>0</v>
      </c>
      <c r="J26" s="315"/>
      <c r="K26" s="315">
        <v>1</v>
      </c>
      <c r="L26" s="276">
        <v>1</v>
      </c>
      <c r="M26" s="276">
        <v>1</v>
      </c>
      <c r="N26" s="276">
        <v>1</v>
      </c>
      <c r="O26" s="276">
        <v>1</v>
      </c>
      <c r="P26" s="276"/>
      <c r="Q26" s="104"/>
    </row>
    <row r="27" spans="1:17" ht="12.75" customHeight="1" x14ac:dyDescent="0.3">
      <c r="A27" s="3"/>
      <c r="B27" s="38"/>
      <c r="C27" s="38" t="s">
        <v>597</v>
      </c>
      <c r="D27" s="38"/>
      <c r="E27" s="38"/>
      <c r="F27" s="38"/>
      <c r="G27" s="42" t="s">
        <v>593</v>
      </c>
      <c r="H27" s="42" t="s">
        <v>28</v>
      </c>
      <c r="I27" s="340">
        <f>input!I27</f>
        <v>0</v>
      </c>
      <c r="J27" s="315"/>
      <c r="K27" s="315">
        <v>1</v>
      </c>
      <c r="L27" s="276">
        <v>1</v>
      </c>
      <c r="M27" s="276">
        <v>1</v>
      </c>
      <c r="N27" s="276">
        <v>1</v>
      </c>
      <c r="O27" s="276">
        <v>1</v>
      </c>
      <c r="P27" s="276"/>
      <c r="Q27" s="104"/>
    </row>
    <row r="28" spans="1:17" ht="12.75" customHeight="1" x14ac:dyDescent="0.3">
      <c r="A28" s="3"/>
      <c r="B28" s="38"/>
      <c r="C28" s="38" t="s">
        <v>644</v>
      </c>
      <c r="D28" s="38"/>
      <c r="E28" s="38"/>
      <c r="F28" s="38"/>
      <c r="G28" s="42" t="s">
        <v>595</v>
      </c>
      <c r="H28" s="42"/>
      <c r="I28" s="340">
        <f>input!I28</f>
        <v>0</v>
      </c>
      <c r="J28" s="315"/>
      <c r="K28" s="315">
        <v>1</v>
      </c>
      <c r="L28" s="276">
        <v>1</v>
      </c>
      <c r="M28" s="276">
        <v>1</v>
      </c>
      <c r="N28" s="276">
        <v>1</v>
      </c>
      <c r="O28" s="276">
        <v>1</v>
      </c>
      <c r="P28" s="276"/>
      <c r="Q28" s="104"/>
    </row>
    <row r="29" spans="1:17" ht="12.75" customHeight="1" x14ac:dyDescent="0.3">
      <c r="A29" s="3"/>
      <c r="B29" s="38"/>
      <c r="C29" s="38" t="s">
        <v>645</v>
      </c>
      <c r="D29" s="38"/>
      <c r="E29" s="38"/>
      <c r="F29" s="38"/>
      <c r="G29" s="42" t="s">
        <v>598</v>
      </c>
      <c r="H29" s="42" t="s">
        <v>28</v>
      </c>
      <c r="I29" s="340">
        <f>input!I29</f>
        <v>0</v>
      </c>
      <c r="J29" s="315"/>
      <c r="K29" s="315">
        <v>1</v>
      </c>
      <c r="L29" s="276">
        <v>1</v>
      </c>
      <c r="M29" s="276">
        <v>1</v>
      </c>
      <c r="N29" s="276">
        <v>1</v>
      </c>
      <c r="O29" s="276">
        <v>1</v>
      </c>
      <c r="P29" s="276"/>
      <c r="Q29" s="104"/>
    </row>
    <row r="30" spans="1:17" ht="12.75" customHeight="1" x14ac:dyDescent="0.3">
      <c r="A30" s="3"/>
      <c r="B30" s="38"/>
      <c r="C30" s="38" t="s">
        <v>646</v>
      </c>
      <c r="D30" s="38"/>
      <c r="E30" s="38"/>
      <c r="F30" s="38"/>
      <c r="G30" s="42" t="s">
        <v>639</v>
      </c>
      <c r="H30" s="42" t="s">
        <v>28</v>
      </c>
      <c r="I30" s="340">
        <f>input!I30</f>
        <v>0</v>
      </c>
      <c r="J30" s="315"/>
      <c r="K30" s="315">
        <v>1</v>
      </c>
      <c r="L30" s="276">
        <v>1</v>
      </c>
      <c r="M30" s="276">
        <v>1</v>
      </c>
      <c r="N30" s="276">
        <v>1</v>
      </c>
      <c r="O30" s="276">
        <v>1</v>
      </c>
      <c r="P30" s="276"/>
      <c r="Q30" s="104"/>
    </row>
    <row r="31" spans="1:17" ht="12.75" customHeight="1" x14ac:dyDescent="0.3">
      <c r="A31" s="3"/>
      <c r="B31" s="38"/>
      <c r="C31" s="38" t="s">
        <v>647</v>
      </c>
      <c r="D31" s="38"/>
      <c r="E31" s="38"/>
      <c r="F31" s="38"/>
      <c r="G31" s="42" t="s">
        <v>599</v>
      </c>
      <c r="H31" s="42" t="s">
        <v>28</v>
      </c>
      <c r="I31" s="340">
        <f>input!I31</f>
        <v>0</v>
      </c>
      <c r="J31" s="315"/>
      <c r="K31" s="315">
        <v>1</v>
      </c>
      <c r="L31" s="276">
        <v>1</v>
      </c>
      <c r="M31" s="276">
        <v>1</v>
      </c>
      <c r="N31" s="276">
        <v>1</v>
      </c>
      <c r="O31" s="276">
        <v>1</v>
      </c>
      <c r="P31" s="276"/>
      <c r="Q31" s="104"/>
    </row>
    <row r="32" spans="1:17" ht="12.75" customHeight="1" x14ac:dyDescent="0.3">
      <c r="A32" s="3"/>
      <c r="B32" s="38"/>
      <c r="C32" s="38" t="s">
        <v>648</v>
      </c>
      <c r="D32" s="38"/>
      <c r="E32" s="38"/>
      <c r="F32" s="38"/>
      <c r="G32" s="42" t="s">
        <v>640</v>
      </c>
      <c r="H32" s="42" t="s">
        <v>28</v>
      </c>
      <c r="I32" s="340">
        <f>input!I32</f>
        <v>0</v>
      </c>
      <c r="J32" s="315"/>
      <c r="K32" s="315">
        <v>1</v>
      </c>
      <c r="L32" s="276">
        <v>1</v>
      </c>
      <c r="M32" s="276">
        <v>1</v>
      </c>
      <c r="N32" s="276">
        <v>1</v>
      </c>
      <c r="O32" s="276">
        <v>1</v>
      </c>
      <c r="P32" s="276"/>
      <c r="Q32" s="104"/>
    </row>
    <row r="33" spans="1:17" ht="12.75" customHeight="1" x14ac:dyDescent="0.3">
      <c r="A33" s="3"/>
      <c r="B33" s="38"/>
      <c r="C33" s="38" t="s">
        <v>649</v>
      </c>
      <c r="D33" s="38"/>
      <c r="E33" s="38"/>
      <c r="F33" s="38"/>
      <c r="G33" s="42" t="s">
        <v>600</v>
      </c>
      <c r="H33" s="42" t="s">
        <v>28</v>
      </c>
      <c r="I33" s="340">
        <f>input!I33</f>
        <v>0</v>
      </c>
      <c r="J33" s="315"/>
      <c r="K33" s="315">
        <v>1</v>
      </c>
      <c r="L33" s="276">
        <v>1</v>
      </c>
      <c r="M33" s="276">
        <v>1</v>
      </c>
      <c r="N33" s="276">
        <v>1</v>
      </c>
      <c r="O33" s="276">
        <v>1</v>
      </c>
      <c r="P33" s="276"/>
      <c r="Q33" s="104"/>
    </row>
    <row r="34" spans="1:17" ht="12.75" customHeight="1" x14ac:dyDescent="0.3">
      <c r="A34" s="3"/>
      <c r="B34" s="38"/>
      <c r="C34" s="38" t="s">
        <v>650</v>
      </c>
      <c r="D34" s="38"/>
      <c r="E34" s="38"/>
      <c r="F34" s="38"/>
      <c r="G34" s="42" t="s">
        <v>641</v>
      </c>
      <c r="H34" s="42" t="s">
        <v>28</v>
      </c>
      <c r="I34" s="340">
        <f>input!I34</f>
        <v>0</v>
      </c>
      <c r="J34" s="315"/>
      <c r="K34" s="315">
        <v>1</v>
      </c>
      <c r="L34" s="276">
        <v>1</v>
      </c>
      <c r="M34" s="276">
        <v>1</v>
      </c>
      <c r="N34" s="276">
        <v>1</v>
      </c>
      <c r="O34" s="276">
        <v>1</v>
      </c>
      <c r="P34" s="276"/>
      <c r="Q34" s="104"/>
    </row>
    <row r="35" spans="1:17" ht="12.75" customHeight="1" x14ac:dyDescent="0.3">
      <c r="A35" s="38"/>
      <c r="B35" s="38"/>
      <c r="C35" s="38" t="s">
        <v>1920</v>
      </c>
      <c r="D35" s="38"/>
      <c r="E35" s="38"/>
      <c r="F35" s="38"/>
      <c r="G35" s="65" t="s">
        <v>690</v>
      </c>
      <c r="H35" s="38" t="s">
        <v>478</v>
      </c>
      <c r="I35" s="340">
        <f>input!I35</f>
        <v>0</v>
      </c>
      <c r="J35" s="315"/>
      <c r="K35" s="315"/>
      <c r="L35" s="276"/>
      <c r="M35" s="276"/>
      <c r="N35" s="276"/>
      <c r="O35" s="276"/>
      <c r="P35" s="276"/>
      <c r="Q35" s="104"/>
    </row>
    <row r="36" spans="1:17" ht="12.75" customHeight="1" x14ac:dyDescent="0.3">
      <c r="A36" s="38"/>
      <c r="B36" s="42"/>
      <c r="C36" s="42" t="s">
        <v>1096</v>
      </c>
      <c r="D36" s="38"/>
      <c r="E36" s="38"/>
      <c r="F36" s="38"/>
      <c r="G36" s="43" t="s">
        <v>691</v>
      </c>
      <c r="H36" s="42" t="s">
        <v>1921</v>
      </c>
      <c r="I36" s="340">
        <f>input!I36</f>
        <v>0</v>
      </c>
      <c r="J36" s="315"/>
      <c r="K36" s="315">
        <v>50</v>
      </c>
      <c r="L36" s="276">
        <v>50</v>
      </c>
      <c r="M36" s="276">
        <v>50</v>
      </c>
      <c r="N36" s="276"/>
      <c r="O36" s="276">
        <v>50</v>
      </c>
      <c r="P36" s="276">
        <v>50</v>
      </c>
      <c r="Q36" s="104"/>
    </row>
    <row r="37" spans="1:17" ht="12.75" customHeight="1" x14ac:dyDescent="0.3">
      <c r="A37" s="38"/>
      <c r="B37" s="42"/>
      <c r="C37" s="42" t="s">
        <v>1922</v>
      </c>
      <c r="D37" s="38"/>
      <c r="E37" s="38"/>
      <c r="F37" s="38"/>
      <c r="G37" s="43" t="s">
        <v>692</v>
      </c>
      <c r="H37" s="42" t="s">
        <v>1923</v>
      </c>
      <c r="I37" s="340">
        <f>input!I37</f>
        <v>0</v>
      </c>
      <c r="J37" s="315"/>
      <c r="K37" s="315"/>
      <c r="L37" s="276"/>
      <c r="M37" s="276"/>
      <c r="N37" s="276"/>
      <c r="O37" s="276"/>
      <c r="P37" s="276"/>
      <c r="Q37" s="104"/>
    </row>
    <row r="38" spans="1:17" ht="12.75" customHeight="1" x14ac:dyDescent="0.3">
      <c r="A38" s="38"/>
      <c r="B38" s="42"/>
      <c r="C38" s="42" t="s">
        <v>1097</v>
      </c>
      <c r="D38" s="38"/>
      <c r="E38" s="38"/>
      <c r="F38" s="38"/>
      <c r="G38" s="43" t="s">
        <v>931</v>
      </c>
      <c r="H38" s="42" t="s">
        <v>1921</v>
      </c>
      <c r="I38" s="340">
        <f>input!I38</f>
        <v>0</v>
      </c>
      <c r="J38" s="315"/>
      <c r="K38" s="315"/>
      <c r="L38" s="276"/>
      <c r="M38" s="276"/>
      <c r="N38" s="276"/>
      <c r="O38" s="276"/>
      <c r="P38" s="276"/>
      <c r="Q38" s="104"/>
    </row>
    <row r="39" spans="1:17" ht="12.75" customHeight="1" x14ac:dyDescent="0.3">
      <c r="A39" s="38"/>
      <c r="B39" s="38"/>
      <c r="C39" s="38" t="s">
        <v>1357</v>
      </c>
      <c r="D39" s="38"/>
      <c r="E39" s="38"/>
      <c r="F39" s="38"/>
      <c r="G39" s="65" t="s">
        <v>1356</v>
      </c>
      <c r="H39" s="38" t="s">
        <v>1924</v>
      </c>
      <c r="I39" s="340">
        <f>input!I39</f>
        <v>0</v>
      </c>
      <c r="J39" s="315"/>
      <c r="K39" s="315"/>
      <c r="L39" s="276"/>
      <c r="M39" s="276"/>
      <c r="N39" s="276"/>
      <c r="O39" s="276"/>
      <c r="P39" s="276"/>
      <c r="Q39" s="104"/>
    </row>
    <row r="40" spans="1:17" ht="12.75" customHeight="1" x14ac:dyDescent="0.3">
      <c r="A40" s="38"/>
      <c r="B40" s="38"/>
      <c r="C40" s="38"/>
      <c r="D40" s="38"/>
      <c r="E40" s="38"/>
      <c r="F40" s="38"/>
      <c r="G40" s="65"/>
      <c r="H40" s="38"/>
      <c r="I40" s="246"/>
      <c r="J40" s="294"/>
      <c r="K40" s="294"/>
      <c r="L40" s="185"/>
      <c r="M40" s="185"/>
      <c r="N40" s="185"/>
      <c r="O40" s="185"/>
      <c r="P40" s="185"/>
      <c r="Q40" s="104"/>
    </row>
    <row r="41" spans="1:17" ht="12.75" customHeight="1" x14ac:dyDescent="0.3">
      <c r="A41" s="38"/>
      <c r="B41" s="149" t="s">
        <v>1734</v>
      </c>
      <c r="C41" s="150"/>
      <c r="D41" s="150"/>
      <c r="E41" s="150"/>
      <c r="F41" s="150"/>
      <c r="G41" s="151"/>
      <c r="H41" s="147"/>
      <c r="I41" s="246"/>
      <c r="J41" s="318"/>
      <c r="K41" s="318"/>
      <c r="L41" s="280"/>
      <c r="M41" s="280"/>
      <c r="N41" s="280"/>
      <c r="O41" s="280"/>
      <c r="P41" s="280"/>
      <c r="Q41" s="104"/>
    </row>
    <row r="42" spans="1:17" ht="12.75" customHeight="1" x14ac:dyDescent="0.3">
      <c r="A42" s="38"/>
      <c r="B42" s="145"/>
      <c r="C42" s="145" t="s">
        <v>614</v>
      </c>
      <c r="D42" s="145"/>
      <c r="E42" s="145"/>
      <c r="F42" s="145"/>
      <c r="G42" s="145"/>
      <c r="H42" s="145"/>
      <c r="I42" s="246"/>
      <c r="J42" s="318"/>
      <c r="K42" s="318"/>
      <c r="L42" s="280"/>
      <c r="M42" s="280"/>
      <c r="N42" s="280"/>
      <c r="O42" s="280"/>
      <c r="P42" s="280"/>
      <c r="Q42" s="104"/>
    </row>
    <row r="43" spans="1:17" ht="12.75" customHeight="1" x14ac:dyDescent="0.3">
      <c r="A43" s="38"/>
      <c r="B43" s="145"/>
      <c r="C43" s="145" t="s">
        <v>612</v>
      </c>
      <c r="D43" s="145"/>
      <c r="E43" s="145"/>
      <c r="F43" s="145"/>
      <c r="G43" s="145"/>
      <c r="H43" s="145"/>
      <c r="I43" s="246"/>
      <c r="J43" s="318"/>
      <c r="K43" s="318"/>
      <c r="L43" s="280"/>
      <c r="M43" s="280"/>
      <c r="N43" s="280"/>
      <c r="O43" s="280"/>
      <c r="P43" s="280"/>
      <c r="Q43" s="104"/>
    </row>
    <row r="44" spans="1:17" ht="12.75" customHeight="1" x14ac:dyDescent="0.3">
      <c r="A44" s="38"/>
      <c r="B44" s="145"/>
      <c r="C44" s="145" t="s">
        <v>613</v>
      </c>
      <c r="D44" s="145"/>
      <c r="E44" s="145"/>
      <c r="F44" s="145"/>
      <c r="G44" s="145"/>
      <c r="H44" s="145"/>
      <c r="I44" s="246"/>
      <c r="J44" s="318"/>
      <c r="K44" s="318"/>
      <c r="L44" s="280"/>
      <c r="M44" s="280"/>
      <c r="N44" s="280"/>
      <c r="O44" s="280"/>
      <c r="P44" s="280"/>
      <c r="Q44" s="104"/>
    </row>
    <row r="45" spans="1:17" ht="12.75" customHeight="1" x14ac:dyDescent="0.3">
      <c r="A45" s="38"/>
      <c r="B45" s="145"/>
      <c r="C45" s="145" t="s">
        <v>1607</v>
      </c>
      <c r="D45" s="145"/>
      <c r="E45" s="145"/>
      <c r="F45" s="145"/>
      <c r="G45" s="145"/>
      <c r="H45" s="145"/>
      <c r="I45" s="246"/>
      <c r="J45" s="318"/>
      <c r="K45" s="318"/>
      <c r="L45" s="280"/>
      <c r="M45" s="280"/>
      <c r="N45" s="280"/>
      <c r="O45" s="280"/>
      <c r="P45" s="280"/>
      <c r="Q45" s="104"/>
    </row>
    <row r="46" spans="1:17" ht="12.75" customHeight="1" x14ac:dyDescent="0.3">
      <c r="A46" s="38"/>
      <c r="B46" s="145"/>
      <c r="C46" s="145" t="s">
        <v>651</v>
      </c>
      <c r="D46" s="145"/>
      <c r="E46" s="145"/>
      <c r="F46" s="145"/>
      <c r="G46" s="145"/>
      <c r="H46" s="145"/>
      <c r="I46" s="246"/>
      <c r="J46" s="318"/>
      <c r="K46" s="318"/>
      <c r="L46" s="280"/>
      <c r="M46" s="280"/>
      <c r="N46" s="280"/>
      <c r="O46" s="280"/>
      <c r="P46" s="280"/>
      <c r="Q46" s="104"/>
    </row>
    <row r="47" spans="1:17" ht="12.75" customHeight="1" x14ac:dyDescent="0.3">
      <c r="A47" s="38"/>
      <c r="B47" s="145"/>
      <c r="C47" s="145" t="s">
        <v>381</v>
      </c>
      <c r="D47" s="145"/>
      <c r="E47" s="145"/>
      <c r="F47" s="145"/>
      <c r="G47" s="145"/>
      <c r="H47" s="145"/>
      <c r="I47" s="246"/>
      <c r="J47" s="318"/>
      <c r="K47" s="318"/>
      <c r="L47" s="280"/>
      <c r="M47" s="280"/>
      <c r="N47" s="280"/>
      <c r="O47" s="280"/>
      <c r="P47" s="280"/>
      <c r="Q47" s="104"/>
    </row>
    <row r="48" spans="1:17" ht="12.75" customHeight="1" x14ac:dyDescent="0.3">
      <c r="A48" s="38"/>
      <c r="B48" s="145"/>
      <c r="C48" s="145" t="s">
        <v>382</v>
      </c>
      <c r="D48" s="145"/>
      <c r="E48" s="145"/>
      <c r="F48" s="145"/>
      <c r="G48" s="145"/>
      <c r="H48" s="145"/>
      <c r="I48" s="246"/>
      <c r="J48" s="318"/>
      <c r="K48" s="318"/>
      <c r="L48" s="280"/>
      <c r="M48" s="280"/>
      <c r="N48" s="280"/>
      <c r="O48" s="280"/>
      <c r="P48" s="280"/>
      <c r="Q48" s="104"/>
    </row>
    <row r="49" spans="1:17" ht="12.75" customHeight="1" x14ac:dyDescent="0.3">
      <c r="A49" s="38"/>
      <c r="B49" s="145"/>
      <c r="C49" s="145" t="s">
        <v>383</v>
      </c>
      <c r="D49" s="145"/>
      <c r="E49" s="145"/>
      <c r="F49" s="145"/>
      <c r="G49" s="145"/>
      <c r="H49" s="145"/>
      <c r="I49" s="246"/>
      <c r="J49" s="318"/>
      <c r="K49" s="318"/>
      <c r="L49" s="280"/>
      <c r="M49" s="280"/>
      <c r="N49" s="280"/>
      <c r="O49" s="280"/>
      <c r="P49" s="280"/>
      <c r="Q49" s="104"/>
    </row>
    <row r="50" spans="1:17" ht="12.75" customHeight="1" x14ac:dyDescent="0.3">
      <c r="A50" s="38"/>
      <c r="B50" s="145"/>
      <c r="C50" s="145" t="s">
        <v>384</v>
      </c>
      <c r="D50" s="145"/>
      <c r="E50" s="145"/>
      <c r="F50" s="145"/>
      <c r="G50" s="145"/>
      <c r="H50" s="145"/>
      <c r="I50" s="246"/>
      <c r="J50" s="318"/>
      <c r="K50" s="318"/>
      <c r="L50" s="280"/>
      <c r="M50" s="280"/>
      <c r="N50" s="280"/>
      <c r="O50" s="280"/>
      <c r="P50" s="280"/>
      <c r="Q50" s="104"/>
    </row>
    <row r="51" spans="1:17" ht="12.75" customHeight="1" x14ac:dyDescent="0.3">
      <c r="A51" s="38"/>
      <c r="B51" s="145"/>
      <c r="C51" s="145" t="s">
        <v>385</v>
      </c>
      <c r="D51" s="145"/>
      <c r="E51" s="145"/>
      <c r="F51" s="145"/>
      <c r="G51" s="145"/>
      <c r="H51" s="145"/>
      <c r="I51" s="246"/>
      <c r="J51" s="318"/>
      <c r="K51" s="318"/>
      <c r="L51" s="280"/>
      <c r="M51" s="280"/>
      <c r="N51" s="280"/>
      <c r="O51" s="280"/>
      <c r="P51" s="280"/>
      <c r="Q51" s="104"/>
    </row>
    <row r="52" spans="1:17" ht="12.75" customHeight="1" x14ac:dyDescent="0.3">
      <c r="A52" s="38"/>
      <c r="B52" s="145"/>
      <c r="C52" s="145" t="s">
        <v>386</v>
      </c>
      <c r="D52" s="145"/>
      <c r="E52" s="145"/>
      <c r="F52" s="145"/>
      <c r="G52" s="145"/>
      <c r="H52" s="145"/>
      <c r="I52" s="246"/>
      <c r="J52" s="318"/>
      <c r="K52" s="318"/>
      <c r="L52" s="280"/>
      <c r="M52" s="280"/>
      <c r="N52" s="280"/>
      <c r="O52" s="280"/>
      <c r="P52" s="280"/>
      <c r="Q52" s="104"/>
    </row>
    <row r="53" spans="1:17" ht="12.75" customHeight="1" x14ac:dyDescent="0.3">
      <c r="A53" s="38"/>
      <c r="B53" s="145"/>
      <c r="C53" s="145" t="s">
        <v>387</v>
      </c>
      <c r="D53" s="145"/>
      <c r="E53" s="145"/>
      <c r="F53" s="145"/>
      <c r="G53" s="145"/>
      <c r="H53" s="145"/>
      <c r="I53" s="246"/>
      <c r="J53" s="318"/>
      <c r="K53" s="318"/>
      <c r="L53" s="280"/>
      <c r="M53" s="280"/>
      <c r="N53" s="280"/>
      <c r="O53" s="280"/>
      <c r="P53" s="280"/>
      <c r="Q53" s="104"/>
    </row>
    <row r="54" spans="1:17" ht="12.75" customHeight="1" x14ac:dyDescent="0.3">
      <c r="A54" s="38"/>
      <c r="B54" s="145"/>
      <c r="C54" s="145" t="s">
        <v>388</v>
      </c>
      <c r="D54" s="145"/>
      <c r="E54" s="145"/>
      <c r="F54" s="145"/>
      <c r="G54" s="145"/>
      <c r="H54" s="145"/>
      <c r="I54" s="246"/>
      <c r="J54" s="318"/>
      <c r="K54" s="318"/>
      <c r="L54" s="280"/>
      <c r="M54" s="280"/>
      <c r="N54" s="280"/>
      <c r="O54" s="280"/>
      <c r="P54" s="280"/>
      <c r="Q54" s="104"/>
    </row>
    <row r="55" spans="1:17" ht="12.75" customHeight="1" x14ac:dyDescent="0.3">
      <c r="A55" s="38"/>
      <c r="B55" s="145"/>
      <c r="C55" s="145" t="s">
        <v>389</v>
      </c>
      <c r="D55" s="145"/>
      <c r="E55" s="145"/>
      <c r="F55" s="145"/>
      <c r="G55" s="145"/>
      <c r="H55" s="145"/>
      <c r="I55" s="246"/>
      <c r="J55" s="318"/>
      <c r="K55" s="318"/>
      <c r="L55" s="280"/>
      <c r="M55" s="280"/>
      <c r="N55" s="280"/>
      <c r="O55" s="280"/>
      <c r="P55" s="280"/>
      <c r="Q55" s="104"/>
    </row>
    <row r="56" spans="1:17" ht="12.75" customHeight="1" x14ac:dyDescent="0.3">
      <c r="A56" s="38"/>
      <c r="B56" s="145"/>
      <c r="C56" s="145" t="s">
        <v>390</v>
      </c>
      <c r="D56" s="145"/>
      <c r="E56" s="145"/>
      <c r="F56" s="145"/>
      <c r="G56" s="145"/>
      <c r="H56" s="145"/>
      <c r="I56" s="246"/>
      <c r="J56" s="318"/>
      <c r="K56" s="318"/>
      <c r="L56" s="280"/>
      <c r="M56" s="280"/>
      <c r="N56" s="280"/>
      <c r="O56" s="280"/>
      <c r="P56" s="280"/>
      <c r="Q56" s="104"/>
    </row>
    <row r="57" spans="1:17" ht="12.75" customHeight="1" x14ac:dyDescent="0.3">
      <c r="A57" s="38"/>
      <c r="B57" s="145"/>
      <c r="C57" s="145" t="s">
        <v>391</v>
      </c>
      <c r="D57" s="145"/>
      <c r="E57" s="145"/>
      <c r="F57" s="145"/>
      <c r="G57" s="145"/>
      <c r="H57" s="145"/>
      <c r="I57" s="246"/>
      <c r="J57" s="318"/>
      <c r="K57" s="318"/>
      <c r="L57" s="280"/>
      <c r="M57" s="280"/>
      <c r="N57" s="280"/>
      <c r="O57" s="280"/>
      <c r="P57" s="280"/>
      <c r="Q57" s="104"/>
    </row>
    <row r="58" spans="1:17" ht="12.75" customHeight="1" x14ac:dyDescent="0.3">
      <c r="A58" s="38"/>
      <c r="B58" s="145"/>
      <c r="C58" s="145" t="s">
        <v>392</v>
      </c>
      <c r="D58" s="145"/>
      <c r="E58" s="145"/>
      <c r="F58" s="145"/>
      <c r="G58" s="145"/>
      <c r="H58" s="145"/>
      <c r="I58" s="246"/>
      <c r="J58" s="318"/>
      <c r="K58" s="318"/>
      <c r="L58" s="280"/>
      <c r="M58" s="280"/>
      <c r="N58" s="280"/>
      <c r="O58" s="280"/>
      <c r="P58" s="280"/>
      <c r="Q58" s="104"/>
    </row>
    <row r="59" spans="1:17" ht="12.75" customHeight="1" x14ac:dyDescent="0.3">
      <c r="A59" s="38"/>
      <c r="B59" s="145"/>
      <c r="C59" s="145" t="s">
        <v>393</v>
      </c>
      <c r="D59" s="145"/>
      <c r="E59" s="145"/>
      <c r="F59" s="145"/>
      <c r="G59" s="145"/>
      <c r="H59" s="145"/>
      <c r="I59" s="246"/>
      <c r="J59" s="318"/>
      <c r="K59" s="318"/>
      <c r="L59" s="280"/>
      <c r="M59" s="280"/>
      <c r="N59" s="280"/>
      <c r="O59" s="280"/>
      <c r="P59" s="280"/>
      <c r="Q59" s="104"/>
    </row>
    <row r="60" spans="1:17" ht="12.75" customHeight="1" x14ac:dyDescent="0.3">
      <c r="A60" s="38"/>
      <c r="B60" s="145"/>
      <c r="C60" s="145" t="s">
        <v>394</v>
      </c>
      <c r="D60" s="145"/>
      <c r="E60" s="145"/>
      <c r="F60" s="145"/>
      <c r="G60" s="145"/>
      <c r="H60" s="145"/>
      <c r="I60" s="246"/>
      <c r="J60" s="318"/>
      <c r="K60" s="318"/>
      <c r="L60" s="280"/>
      <c r="M60" s="280"/>
      <c r="N60" s="280"/>
      <c r="O60" s="280"/>
      <c r="P60" s="280"/>
      <c r="Q60" s="104"/>
    </row>
    <row r="61" spans="1:17" ht="12.75" customHeight="1" x14ac:dyDescent="0.3">
      <c r="A61" s="38"/>
      <c r="B61" s="145"/>
      <c r="C61" s="145" t="s">
        <v>395</v>
      </c>
      <c r="D61" s="145"/>
      <c r="E61" s="145"/>
      <c r="F61" s="145"/>
      <c r="G61" s="145"/>
      <c r="H61" s="145"/>
      <c r="I61" s="246"/>
      <c r="J61" s="318"/>
      <c r="K61" s="318"/>
      <c r="L61" s="280"/>
      <c r="M61" s="280"/>
      <c r="N61" s="280"/>
      <c r="O61" s="280"/>
      <c r="P61" s="280"/>
      <c r="Q61" s="104"/>
    </row>
    <row r="62" spans="1:17" ht="12.75" customHeight="1" x14ac:dyDescent="0.3">
      <c r="A62" s="38"/>
      <c r="B62" s="145"/>
      <c r="C62" s="145" t="s">
        <v>396</v>
      </c>
      <c r="D62" s="145"/>
      <c r="E62" s="145"/>
      <c r="F62" s="145"/>
      <c r="G62" s="145"/>
      <c r="H62" s="145"/>
      <c r="I62" s="246"/>
      <c r="J62" s="318"/>
      <c r="K62" s="318"/>
      <c r="L62" s="280"/>
      <c r="M62" s="280"/>
      <c r="N62" s="280"/>
      <c r="O62" s="280"/>
      <c r="P62" s="280"/>
      <c r="Q62" s="104"/>
    </row>
    <row r="63" spans="1:17" ht="12.75" customHeight="1" x14ac:dyDescent="0.3">
      <c r="A63" s="38"/>
      <c r="B63" s="145"/>
      <c r="C63" s="145" t="s">
        <v>397</v>
      </c>
      <c r="D63" s="145"/>
      <c r="E63" s="145"/>
      <c r="F63" s="145"/>
      <c r="G63" s="145"/>
      <c r="H63" s="145"/>
      <c r="I63" s="246"/>
      <c r="J63" s="318"/>
      <c r="K63" s="318"/>
      <c r="L63" s="280"/>
      <c r="M63" s="280"/>
      <c r="N63" s="280"/>
      <c r="O63" s="280"/>
      <c r="P63" s="280"/>
      <c r="Q63" s="104"/>
    </row>
    <row r="64" spans="1:17" ht="12.75" customHeight="1" x14ac:dyDescent="0.3">
      <c r="A64" s="38"/>
      <c r="B64" s="147"/>
      <c r="C64" s="147" t="s">
        <v>398</v>
      </c>
      <c r="D64" s="147"/>
      <c r="E64" s="147"/>
      <c r="F64" s="147"/>
      <c r="G64" s="147"/>
      <c r="H64" s="147"/>
      <c r="I64" s="246"/>
      <c r="J64" s="318"/>
      <c r="K64" s="318"/>
      <c r="L64" s="280"/>
      <c r="M64" s="280"/>
      <c r="N64" s="280"/>
      <c r="O64" s="280"/>
      <c r="P64" s="280"/>
      <c r="Q64" s="104"/>
    </row>
    <row r="65" spans="1:17" ht="12.75" customHeight="1" x14ac:dyDescent="0.3">
      <c r="A65" s="38"/>
      <c r="B65" s="42"/>
      <c r="C65" s="38"/>
      <c r="D65" s="38"/>
      <c r="E65" s="38"/>
      <c r="F65" s="38"/>
      <c r="G65" s="42"/>
      <c r="H65" s="42"/>
      <c r="I65" s="246"/>
      <c r="J65" s="318"/>
      <c r="K65" s="318"/>
      <c r="L65" s="280"/>
      <c r="M65" s="280"/>
      <c r="N65" s="280"/>
      <c r="O65" s="280"/>
      <c r="P65" s="280"/>
      <c r="Q65" s="104"/>
    </row>
    <row r="66" spans="1:17" ht="12.75" customHeight="1" x14ac:dyDescent="0.3">
      <c r="A66" s="38"/>
      <c r="B66" s="42" t="s">
        <v>1925</v>
      </c>
      <c r="C66" s="38"/>
      <c r="D66" s="64"/>
      <c r="E66" s="38"/>
      <c r="F66" s="38"/>
      <c r="G66" s="63" t="s">
        <v>926</v>
      </c>
      <c r="H66" s="42" t="s">
        <v>1926</v>
      </c>
      <c r="I66" s="340">
        <f>input!I66</f>
        <v>0</v>
      </c>
      <c r="J66" s="315"/>
      <c r="K66" s="315"/>
      <c r="L66" s="276"/>
      <c r="M66" s="276"/>
      <c r="N66" s="276"/>
      <c r="O66" s="276"/>
      <c r="P66" s="276"/>
      <c r="Q66" s="104"/>
    </row>
    <row r="67" spans="1:17" ht="12.75" customHeight="1" x14ac:dyDescent="0.3">
      <c r="A67" s="42"/>
      <c r="B67" s="38"/>
      <c r="C67" s="42" t="s">
        <v>1098</v>
      </c>
      <c r="D67" s="38"/>
      <c r="E67" s="38"/>
      <c r="F67" s="38"/>
      <c r="G67" s="43" t="s">
        <v>1304</v>
      </c>
      <c r="H67" s="42" t="s">
        <v>1927</v>
      </c>
      <c r="I67" s="340">
        <f>input!I67</f>
        <v>0</v>
      </c>
      <c r="J67" s="315"/>
      <c r="K67" s="315"/>
      <c r="L67" s="276"/>
      <c r="M67" s="276"/>
      <c r="N67" s="276"/>
      <c r="O67" s="276"/>
      <c r="P67" s="276"/>
      <c r="Q67" s="104"/>
    </row>
    <row r="68" spans="1:17" ht="12.75" customHeight="1" x14ac:dyDescent="0.3">
      <c r="A68" s="42"/>
      <c r="B68" s="38"/>
      <c r="C68" s="42" t="s">
        <v>1099</v>
      </c>
      <c r="D68" s="38"/>
      <c r="E68" s="38"/>
      <c r="F68" s="38"/>
      <c r="G68" s="43" t="s">
        <v>932</v>
      </c>
      <c r="H68" s="42" t="s">
        <v>1928</v>
      </c>
      <c r="I68" s="340">
        <f>input!I68</f>
        <v>0</v>
      </c>
      <c r="J68" s="315"/>
      <c r="K68" s="315"/>
      <c r="L68" s="276"/>
      <c r="M68" s="276"/>
      <c r="N68" s="276"/>
      <c r="O68" s="276"/>
      <c r="P68" s="276"/>
      <c r="Q68" s="104"/>
    </row>
    <row r="69" spans="1:17" ht="12.75" customHeight="1" x14ac:dyDescent="0.3">
      <c r="A69" s="42"/>
      <c r="B69" s="38"/>
      <c r="C69" s="42" t="s">
        <v>37</v>
      </c>
      <c r="D69" s="38"/>
      <c r="E69" s="38"/>
      <c r="F69" s="38"/>
      <c r="G69" s="43" t="s">
        <v>930</v>
      </c>
      <c r="H69" s="42" t="s">
        <v>1389</v>
      </c>
      <c r="I69" s="340">
        <f>input!I69</f>
        <v>0</v>
      </c>
      <c r="J69" s="315"/>
      <c r="K69" s="315"/>
      <c r="L69" s="276"/>
      <c r="M69" s="276"/>
      <c r="N69" s="276"/>
      <c r="O69" s="276"/>
      <c r="P69" s="276"/>
      <c r="Q69" s="104"/>
    </row>
    <row r="70" spans="1:17" ht="12.75" customHeight="1" x14ac:dyDescent="0.3">
      <c r="A70" s="38"/>
      <c r="B70" s="42" t="s">
        <v>1929</v>
      </c>
      <c r="C70" s="38"/>
      <c r="D70" s="64"/>
      <c r="E70" s="38"/>
      <c r="F70" s="38"/>
      <c r="G70" s="63" t="s">
        <v>188</v>
      </c>
      <c r="H70" s="42" t="s">
        <v>1926</v>
      </c>
      <c r="I70" s="340">
        <f>input!I70</f>
        <v>0</v>
      </c>
      <c r="J70" s="315"/>
      <c r="K70" s="315"/>
      <c r="L70" s="276"/>
      <c r="M70" s="276"/>
      <c r="N70" s="276"/>
      <c r="O70" s="276"/>
      <c r="P70" s="276"/>
      <c r="Q70" s="104"/>
    </row>
    <row r="71" spans="1:17" ht="12.75" customHeight="1" x14ac:dyDescent="0.3">
      <c r="A71" s="38"/>
      <c r="B71" s="38"/>
      <c r="C71" s="42" t="s">
        <v>1105</v>
      </c>
      <c r="D71" s="38"/>
      <c r="E71" s="38"/>
      <c r="F71" s="38"/>
      <c r="G71" s="43" t="s">
        <v>759</v>
      </c>
      <c r="H71" s="42" t="s">
        <v>1290</v>
      </c>
      <c r="I71" s="340">
        <f>input!I71</f>
        <v>0</v>
      </c>
      <c r="J71" s="315"/>
      <c r="K71" s="315"/>
      <c r="L71" s="276"/>
      <c r="M71" s="276"/>
      <c r="N71" s="276"/>
      <c r="O71" s="276"/>
      <c r="P71" s="276"/>
      <c r="Q71" s="104"/>
    </row>
    <row r="72" spans="1:17" ht="12.75" customHeight="1" x14ac:dyDescent="0.3">
      <c r="A72" s="38"/>
      <c r="B72" s="38"/>
      <c r="C72" s="42" t="s">
        <v>758</v>
      </c>
      <c r="D72" s="64"/>
      <c r="E72" s="38"/>
      <c r="F72" s="38"/>
      <c r="G72" s="42" t="s">
        <v>15</v>
      </c>
      <c r="H72" s="42" t="s">
        <v>1930</v>
      </c>
      <c r="I72" s="340">
        <f>input!I72</f>
        <v>0</v>
      </c>
      <c r="J72" s="315"/>
      <c r="K72" s="315"/>
      <c r="L72" s="276"/>
      <c r="M72" s="276"/>
      <c r="N72" s="276"/>
      <c r="O72" s="276"/>
      <c r="P72" s="276"/>
      <c r="Q72" s="104"/>
    </row>
    <row r="73" spans="1:17" ht="12.75" customHeight="1" x14ac:dyDescent="0.3">
      <c r="A73" s="38"/>
      <c r="B73" s="38"/>
      <c r="C73" s="38" t="s">
        <v>1931</v>
      </c>
      <c r="D73" s="38"/>
      <c r="E73" s="38"/>
      <c r="F73" s="38"/>
      <c r="G73" s="42" t="s">
        <v>259</v>
      </c>
      <c r="H73" s="42" t="s">
        <v>28</v>
      </c>
      <c r="I73" s="340">
        <f>input!I73</f>
        <v>0</v>
      </c>
      <c r="J73" s="315"/>
      <c r="K73" s="315"/>
      <c r="L73" s="276"/>
      <c r="M73" s="276"/>
      <c r="N73" s="276"/>
      <c r="O73" s="276"/>
      <c r="P73" s="276"/>
      <c r="Q73" s="104"/>
    </row>
    <row r="74" spans="1:17" ht="12.75" customHeight="1" x14ac:dyDescent="0.3">
      <c r="A74" s="38"/>
      <c r="B74" s="42" t="s">
        <v>1932</v>
      </c>
      <c r="C74" s="64"/>
      <c r="D74" s="64"/>
      <c r="E74" s="38"/>
      <c r="F74" s="38"/>
      <c r="G74" s="63" t="s">
        <v>927</v>
      </c>
      <c r="H74" s="42" t="s">
        <v>1926</v>
      </c>
      <c r="I74" s="340">
        <f>input!I74</f>
        <v>0</v>
      </c>
      <c r="J74" s="315"/>
      <c r="K74" s="315"/>
      <c r="L74" s="276"/>
      <c r="M74" s="276"/>
      <c r="N74" s="276"/>
      <c r="O74" s="276"/>
      <c r="P74" s="276"/>
      <c r="Q74" s="104"/>
    </row>
    <row r="75" spans="1:17" ht="12.75" customHeight="1" x14ac:dyDescent="0.3">
      <c r="A75" s="38"/>
      <c r="B75" s="42" t="s">
        <v>1933</v>
      </c>
      <c r="C75" s="64"/>
      <c r="D75" s="64"/>
      <c r="E75" s="38"/>
      <c r="F75" s="38"/>
      <c r="G75" s="63" t="s">
        <v>928</v>
      </c>
      <c r="H75" s="42" t="s">
        <v>1926</v>
      </c>
      <c r="I75" s="340">
        <f>input!I75</f>
        <v>0</v>
      </c>
      <c r="J75" s="315"/>
      <c r="K75" s="315"/>
      <c r="L75" s="276"/>
      <c r="M75" s="276"/>
      <c r="N75" s="276"/>
      <c r="O75" s="276"/>
      <c r="P75" s="276"/>
      <c r="Q75" s="104"/>
    </row>
    <row r="76" spans="1:17" ht="12.75" customHeight="1" x14ac:dyDescent="0.3">
      <c r="A76" s="38"/>
      <c r="B76" s="38"/>
      <c r="C76" s="38"/>
      <c r="D76" s="38"/>
      <c r="E76" s="38"/>
      <c r="F76" s="38"/>
      <c r="G76" s="42"/>
      <c r="H76" s="42"/>
      <c r="I76" s="178"/>
      <c r="J76" s="294"/>
      <c r="K76" s="294"/>
      <c r="L76" s="185"/>
      <c r="M76" s="185"/>
      <c r="N76" s="185"/>
      <c r="O76" s="185"/>
      <c r="P76" s="185"/>
      <c r="Q76" s="104"/>
    </row>
    <row r="77" spans="1:17" ht="12.75" customHeight="1" x14ac:dyDescent="0.3">
      <c r="A77" s="66" t="s">
        <v>2403</v>
      </c>
      <c r="B77" s="66"/>
      <c r="C77" s="66"/>
      <c r="D77" s="66"/>
      <c r="E77" s="66"/>
      <c r="F77" s="66"/>
      <c r="G77" s="67" t="s">
        <v>969</v>
      </c>
      <c r="H77" s="67" t="s">
        <v>929</v>
      </c>
      <c r="I77" s="189" t="s">
        <v>748</v>
      </c>
      <c r="J77" s="319"/>
      <c r="K77" s="319"/>
      <c r="L77" s="281"/>
      <c r="M77" s="281"/>
      <c r="N77" s="281"/>
      <c r="O77" s="281"/>
      <c r="P77" s="281"/>
      <c r="Q77" s="104"/>
    </row>
    <row r="78" spans="1:17" ht="12.75" customHeight="1" x14ac:dyDescent="0.3">
      <c r="A78" s="38"/>
      <c r="B78" s="38"/>
      <c r="C78" s="38"/>
      <c r="D78" s="38"/>
      <c r="E78" s="38"/>
      <c r="F78" s="38"/>
      <c r="G78" s="42"/>
      <c r="H78" s="42"/>
      <c r="I78" s="162"/>
      <c r="J78" s="320"/>
      <c r="K78" s="320"/>
      <c r="L78" s="283"/>
      <c r="M78" s="283"/>
      <c r="N78" s="283"/>
      <c r="O78" s="283"/>
      <c r="P78" s="283"/>
      <c r="Q78" s="104"/>
    </row>
    <row r="79" spans="1:17" ht="12.75" customHeight="1" x14ac:dyDescent="0.3">
      <c r="A79" s="378" t="s">
        <v>2414</v>
      </c>
      <c r="B79" s="379"/>
      <c r="C79" s="379"/>
      <c r="D79" s="379"/>
      <c r="E79" s="379"/>
      <c r="F79" s="379"/>
      <c r="G79" s="306"/>
      <c r="H79" s="306"/>
      <c r="I79" s="162"/>
      <c r="J79" s="320"/>
      <c r="K79" s="320"/>
      <c r="L79" s="283"/>
      <c r="M79" s="283"/>
      <c r="N79" s="283"/>
      <c r="O79" s="283"/>
      <c r="P79" s="283"/>
      <c r="Q79" s="104"/>
    </row>
    <row r="80" spans="1:17" ht="12.75" customHeight="1" x14ac:dyDescent="0.3">
      <c r="A80" s="380"/>
      <c r="B80" s="380" t="s">
        <v>2209</v>
      </c>
      <c r="C80" s="379"/>
      <c r="D80" s="379"/>
      <c r="E80" s="379"/>
      <c r="F80" s="379"/>
      <c r="G80" s="381" t="s">
        <v>2193</v>
      </c>
      <c r="H80" s="380" t="s">
        <v>2192</v>
      </c>
      <c r="I80" s="340" t="e">
        <f>#REF!</f>
        <v>#REF!</v>
      </c>
      <c r="J80" s="315"/>
      <c r="K80" s="315"/>
      <c r="L80" s="276"/>
      <c r="M80" s="276"/>
      <c r="N80" s="276"/>
      <c r="O80" s="276"/>
      <c r="P80" s="276"/>
      <c r="Q80" s="104"/>
    </row>
    <row r="81" spans="1:17" ht="12.75" customHeight="1" x14ac:dyDescent="0.3">
      <c r="A81" s="380"/>
      <c r="B81" s="380"/>
      <c r="C81" s="380" t="s">
        <v>2210</v>
      </c>
      <c r="D81" s="379"/>
      <c r="E81" s="379"/>
      <c r="F81" s="379"/>
      <c r="G81" s="381" t="s">
        <v>2213</v>
      </c>
      <c r="H81" s="380" t="s">
        <v>2192</v>
      </c>
      <c r="I81" s="340" t="e">
        <f>#REF!</f>
        <v>#REF!</v>
      </c>
      <c r="J81" s="315"/>
      <c r="K81" s="315"/>
      <c r="L81" s="276"/>
      <c r="M81" s="276"/>
      <c r="N81" s="276"/>
      <c r="O81" s="276"/>
      <c r="P81" s="276"/>
      <c r="Q81" s="104"/>
    </row>
    <row r="82" spans="1:17" ht="12.75" customHeight="1" x14ac:dyDescent="0.3">
      <c r="A82" s="379"/>
      <c r="B82" s="379"/>
      <c r="C82" s="379" t="s">
        <v>2211</v>
      </c>
      <c r="D82" s="379"/>
      <c r="E82" s="379"/>
      <c r="F82" s="379"/>
      <c r="G82" s="381" t="s">
        <v>2206</v>
      </c>
      <c r="H82" s="380" t="s">
        <v>2192</v>
      </c>
      <c r="I82" s="340" t="e">
        <f>#REF!</f>
        <v>#REF!</v>
      </c>
      <c r="J82" s="315"/>
      <c r="K82" s="315"/>
      <c r="L82" s="276"/>
      <c r="M82" s="276"/>
      <c r="N82" s="276"/>
      <c r="O82" s="276"/>
      <c r="P82" s="276"/>
      <c r="Q82" s="104"/>
    </row>
    <row r="83" spans="1:17" ht="12.75" customHeight="1" x14ac:dyDescent="0.3">
      <c r="A83" s="379"/>
      <c r="B83" s="379"/>
      <c r="C83" s="379" t="s">
        <v>2212</v>
      </c>
      <c r="D83" s="379"/>
      <c r="E83" s="379"/>
      <c r="F83" s="379"/>
      <c r="G83" s="381" t="s">
        <v>2205</v>
      </c>
      <c r="H83" s="380" t="s">
        <v>2192</v>
      </c>
      <c r="I83" s="340" t="e">
        <f>#REF!</f>
        <v>#REF!</v>
      </c>
      <c r="J83" s="315"/>
      <c r="K83" s="315"/>
      <c r="L83" s="276"/>
      <c r="M83" s="276"/>
      <c r="N83" s="276"/>
      <c r="O83" s="276"/>
      <c r="P83" s="276"/>
      <c r="Q83" s="104"/>
    </row>
    <row r="84" spans="1:17" ht="12.75" customHeight="1" x14ac:dyDescent="0.3">
      <c r="A84" s="380"/>
      <c r="B84" s="380"/>
      <c r="C84" s="380" t="s">
        <v>2291</v>
      </c>
      <c r="D84" s="380"/>
      <c r="E84" s="379"/>
      <c r="F84" s="379"/>
      <c r="G84" s="382" t="s">
        <v>2294</v>
      </c>
      <c r="H84" s="380" t="s">
        <v>477</v>
      </c>
      <c r="I84" s="340" t="e">
        <f>#REF!</f>
        <v>#REF!</v>
      </c>
      <c r="J84" s="315"/>
      <c r="K84" s="315"/>
      <c r="L84" s="276"/>
      <c r="M84" s="276"/>
      <c r="N84" s="276"/>
      <c r="O84" s="276"/>
      <c r="P84" s="276"/>
      <c r="Q84" s="104"/>
    </row>
    <row r="85" spans="1:17" ht="12.75" customHeight="1" x14ac:dyDescent="0.3">
      <c r="A85" s="380"/>
      <c r="B85" s="380"/>
      <c r="C85" s="380" t="s">
        <v>2290</v>
      </c>
      <c r="D85" s="380"/>
      <c r="E85" s="379"/>
      <c r="F85" s="379"/>
      <c r="G85" s="382" t="s">
        <v>2295</v>
      </c>
      <c r="H85" s="380" t="s">
        <v>477</v>
      </c>
      <c r="I85" s="340" t="e">
        <f>#REF!</f>
        <v>#REF!</v>
      </c>
      <c r="J85" s="315"/>
      <c r="K85" s="315"/>
      <c r="L85" s="276"/>
      <c r="M85" s="276"/>
      <c r="N85" s="276"/>
      <c r="O85" s="276"/>
      <c r="P85" s="276"/>
      <c r="Q85" s="104"/>
    </row>
    <row r="86" spans="1:17" ht="12.75" customHeight="1" x14ac:dyDescent="0.3">
      <c r="A86" s="380"/>
      <c r="B86" s="380"/>
      <c r="C86" s="380" t="s">
        <v>2292</v>
      </c>
      <c r="D86" s="380"/>
      <c r="E86" s="379"/>
      <c r="F86" s="379"/>
      <c r="G86" s="382" t="s">
        <v>2296</v>
      </c>
      <c r="H86" s="380" t="s">
        <v>477</v>
      </c>
      <c r="I86" s="340" t="e">
        <f>#REF!</f>
        <v>#REF!</v>
      </c>
      <c r="J86" s="315"/>
      <c r="K86" s="315"/>
      <c r="L86" s="276"/>
      <c r="M86" s="276"/>
      <c r="N86" s="276"/>
      <c r="O86" s="276"/>
      <c r="P86" s="276"/>
      <c r="Q86" s="104"/>
    </row>
    <row r="87" spans="1:17" ht="12.75" customHeight="1" x14ac:dyDescent="0.3">
      <c r="A87" s="380"/>
      <c r="B87" s="380"/>
      <c r="C87" s="380" t="s">
        <v>2293</v>
      </c>
      <c r="D87" s="380"/>
      <c r="E87" s="379"/>
      <c r="F87" s="379"/>
      <c r="G87" s="382" t="s">
        <v>2297</v>
      </c>
      <c r="H87" s="380" t="s">
        <v>477</v>
      </c>
      <c r="I87" s="340" t="e">
        <f>#REF!</f>
        <v>#REF!</v>
      </c>
      <c r="J87" s="315"/>
      <c r="K87" s="315"/>
      <c r="L87" s="276"/>
      <c r="M87" s="276"/>
      <c r="N87" s="276"/>
      <c r="O87" s="276"/>
      <c r="P87" s="276"/>
      <c r="Q87" s="104"/>
    </row>
    <row r="88" spans="1:17" ht="12.75" customHeight="1" x14ac:dyDescent="0.3">
      <c r="A88" s="380"/>
      <c r="B88" s="380"/>
      <c r="C88" s="380" t="s">
        <v>2387</v>
      </c>
      <c r="D88" s="380"/>
      <c r="E88" s="379"/>
      <c r="F88" s="379"/>
      <c r="G88" s="382" t="s">
        <v>2386</v>
      </c>
      <c r="H88" s="380" t="s">
        <v>477</v>
      </c>
      <c r="I88" s="340" t="e">
        <f>#REF!</f>
        <v>#REF!</v>
      </c>
      <c r="J88" s="315"/>
      <c r="K88" s="315"/>
      <c r="L88" s="276"/>
      <c r="M88" s="276"/>
      <c r="N88" s="276"/>
      <c r="O88" s="276"/>
      <c r="P88" s="276"/>
      <c r="Q88" s="104"/>
    </row>
    <row r="89" spans="1:17" ht="12.75" customHeight="1" x14ac:dyDescent="0.3">
      <c r="A89" s="380"/>
      <c r="B89" s="380"/>
      <c r="C89" s="380" t="s">
        <v>2385</v>
      </c>
      <c r="D89" s="380"/>
      <c r="E89" s="380"/>
      <c r="F89" s="379"/>
      <c r="G89" s="382" t="s">
        <v>2383</v>
      </c>
      <c r="H89" s="380" t="s">
        <v>477</v>
      </c>
      <c r="I89" s="340" t="e">
        <f>#REF!</f>
        <v>#REF!</v>
      </c>
      <c r="J89" s="315"/>
      <c r="K89" s="315"/>
      <c r="L89" s="276"/>
      <c r="M89" s="276"/>
      <c r="N89" s="276"/>
      <c r="O89" s="276"/>
      <c r="P89" s="276"/>
      <c r="Q89" s="104"/>
    </row>
    <row r="90" spans="1:17" ht="12.75" customHeight="1" x14ac:dyDescent="0.3">
      <c r="A90" s="380"/>
      <c r="B90" s="380" t="s">
        <v>2231</v>
      </c>
      <c r="C90" s="380"/>
      <c r="D90" s="380"/>
      <c r="E90" s="383"/>
      <c r="F90" s="379"/>
      <c r="G90" s="382" t="s">
        <v>2302</v>
      </c>
      <c r="H90" s="380" t="s">
        <v>2192</v>
      </c>
      <c r="I90" s="340" t="e">
        <f>#REF!</f>
        <v>#REF!</v>
      </c>
      <c r="J90" s="315"/>
      <c r="K90" s="315"/>
      <c r="L90" s="276"/>
      <c r="M90" s="276"/>
      <c r="N90" s="276"/>
      <c r="O90" s="276"/>
      <c r="P90" s="276"/>
      <c r="Q90" s="104"/>
    </row>
    <row r="91" spans="1:17" ht="12.75" customHeight="1" x14ac:dyDescent="0.3">
      <c r="A91" s="380"/>
      <c r="B91" s="380" t="s">
        <v>2214</v>
      </c>
      <c r="C91" s="380"/>
      <c r="D91" s="380"/>
      <c r="E91" s="383"/>
      <c r="F91" s="379"/>
      <c r="G91" s="382" t="s">
        <v>2298</v>
      </c>
      <c r="H91" s="380" t="s">
        <v>2192</v>
      </c>
      <c r="I91" s="340" t="e">
        <f>#REF!</f>
        <v>#REF!</v>
      </c>
      <c r="J91" s="315"/>
      <c r="K91" s="315"/>
      <c r="L91" s="276"/>
      <c r="M91" s="276"/>
      <c r="N91" s="276"/>
      <c r="O91" s="276"/>
      <c r="P91" s="276"/>
      <c r="Q91" s="104"/>
    </row>
    <row r="92" spans="1:17" ht="12.75" customHeight="1" x14ac:dyDescent="0.3">
      <c r="A92" s="380"/>
      <c r="B92" s="380" t="s">
        <v>2215</v>
      </c>
      <c r="C92" s="380"/>
      <c r="D92" s="380"/>
      <c r="E92" s="383"/>
      <c r="F92" s="379"/>
      <c r="G92" s="382" t="s">
        <v>2299</v>
      </c>
      <c r="H92" s="380" t="s">
        <v>2192</v>
      </c>
      <c r="I92" s="340" t="e">
        <f>#REF!</f>
        <v>#REF!</v>
      </c>
      <c r="J92" s="315"/>
      <c r="K92" s="315"/>
      <c r="L92" s="276"/>
      <c r="M92" s="276"/>
      <c r="N92" s="276"/>
      <c r="O92" s="276"/>
      <c r="P92" s="276"/>
      <c r="Q92" s="104"/>
    </row>
    <row r="93" spans="1:17" ht="12.75" customHeight="1" x14ac:dyDescent="0.3">
      <c r="A93" s="380"/>
      <c r="B93" s="380" t="s">
        <v>2216</v>
      </c>
      <c r="C93" s="380"/>
      <c r="D93" s="380"/>
      <c r="E93" s="383"/>
      <c r="F93" s="379"/>
      <c r="G93" s="382" t="s">
        <v>2300</v>
      </c>
      <c r="H93" s="380" t="s">
        <v>2192</v>
      </c>
      <c r="I93" s="340" t="e">
        <f>#REF!</f>
        <v>#REF!</v>
      </c>
      <c r="J93" s="315"/>
      <c r="K93" s="315"/>
      <c r="L93" s="276"/>
      <c r="M93" s="276"/>
      <c r="N93" s="276"/>
      <c r="O93" s="276"/>
      <c r="P93" s="276"/>
      <c r="Q93" s="104"/>
    </row>
    <row r="94" spans="1:17" ht="12.75" customHeight="1" x14ac:dyDescent="0.3">
      <c r="A94" s="380"/>
      <c r="B94" s="380" t="s">
        <v>2217</v>
      </c>
      <c r="C94" s="380"/>
      <c r="D94" s="380"/>
      <c r="E94" s="383"/>
      <c r="F94" s="379"/>
      <c r="G94" s="382" t="s">
        <v>2301</v>
      </c>
      <c r="H94" s="380" t="s">
        <v>2192</v>
      </c>
      <c r="I94" s="340" t="e">
        <f>#REF!</f>
        <v>#REF!</v>
      </c>
      <c r="J94" s="315"/>
      <c r="K94" s="315"/>
      <c r="L94" s="276"/>
      <c r="M94" s="276"/>
      <c r="N94" s="276"/>
      <c r="O94" s="276"/>
      <c r="P94" s="276"/>
      <c r="Q94" s="104"/>
    </row>
    <row r="95" spans="1:17" ht="12.75" customHeight="1" x14ac:dyDescent="0.3">
      <c r="A95" s="380"/>
      <c r="B95" s="380"/>
      <c r="C95" s="380" t="s">
        <v>2207</v>
      </c>
      <c r="D95" s="380"/>
      <c r="E95" s="379"/>
      <c r="F95" s="379"/>
      <c r="G95" s="382" t="s">
        <v>2203</v>
      </c>
      <c r="H95" s="380" t="s">
        <v>2192</v>
      </c>
      <c r="I95" s="340" t="e">
        <f>#REF!</f>
        <v>#REF!</v>
      </c>
      <c r="J95" s="315"/>
      <c r="K95" s="315"/>
      <c r="L95" s="276"/>
      <c r="M95" s="276"/>
      <c r="N95" s="276"/>
      <c r="O95" s="276"/>
      <c r="P95" s="276"/>
      <c r="Q95" s="104"/>
    </row>
    <row r="96" spans="1:17" ht="12.75" customHeight="1" x14ac:dyDescent="0.3">
      <c r="A96" s="380"/>
      <c r="B96" s="380"/>
      <c r="C96" s="380"/>
      <c r="D96" s="380" t="s">
        <v>2194</v>
      </c>
      <c r="E96" s="379"/>
      <c r="F96" s="379"/>
      <c r="G96" s="382" t="s">
        <v>2303</v>
      </c>
      <c r="H96" s="380" t="s">
        <v>477</v>
      </c>
      <c r="I96" s="389" t="e">
        <f>#REF!</f>
        <v>#REF!</v>
      </c>
      <c r="J96" s="315"/>
      <c r="K96" s="315"/>
      <c r="L96" s="276"/>
      <c r="M96" s="276"/>
      <c r="N96" s="276"/>
      <c r="O96" s="276"/>
      <c r="P96" s="276"/>
      <c r="Q96" s="104"/>
    </row>
    <row r="97" spans="1:17" ht="12.75" customHeight="1" x14ac:dyDescent="0.3">
      <c r="A97" s="380"/>
      <c r="B97" s="380"/>
      <c r="C97" s="380"/>
      <c r="D97" s="380" t="s">
        <v>2195</v>
      </c>
      <c r="E97" s="379"/>
      <c r="F97" s="379"/>
      <c r="G97" s="382" t="s">
        <v>2304</v>
      </c>
      <c r="H97" s="380" t="s">
        <v>477</v>
      </c>
      <c r="I97" s="389" t="e">
        <f>#REF!</f>
        <v>#REF!</v>
      </c>
      <c r="J97" s="315"/>
      <c r="K97" s="315"/>
      <c r="L97" s="276"/>
      <c r="M97" s="276"/>
      <c r="N97" s="276"/>
      <c r="O97" s="276"/>
      <c r="P97" s="276"/>
      <c r="Q97" s="104"/>
    </row>
    <row r="98" spans="1:17" ht="12.75" customHeight="1" x14ac:dyDescent="0.3">
      <c r="A98" s="380"/>
      <c r="B98" s="380"/>
      <c r="C98" s="380"/>
      <c r="D98" s="380" t="s">
        <v>2196</v>
      </c>
      <c r="E98" s="379"/>
      <c r="F98" s="379"/>
      <c r="G98" s="382" t="s">
        <v>2307</v>
      </c>
      <c r="H98" s="380" t="s">
        <v>477</v>
      </c>
      <c r="I98" s="389" t="e">
        <f>#REF!</f>
        <v>#REF!</v>
      </c>
      <c r="J98" s="315"/>
      <c r="K98" s="315"/>
      <c r="L98" s="276"/>
      <c r="M98" s="276"/>
      <c r="N98" s="276"/>
      <c r="O98" s="276"/>
      <c r="P98" s="276"/>
      <c r="Q98" s="104"/>
    </row>
    <row r="99" spans="1:17" ht="12.75" customHeight="1" x14ac:dyDescent="0.3">
      <c r="A99" s="380"/>
      <c r="B99" s="380"/>
      <c r="C99" s="380"/>
      <c r="D99" s="380" t="s">
        <v>2305</v>
      </c>
      <c r="E99" s="379"/>
      <c r="F99" s="379"/>
      <c r="G99" s="382" t="s">
        <v>2306</v>
      </c>
      <c r="H99" s="380" t="s">
        <v>477</v>
      </c>
      <c r="I99" s="389" t="e">
        <f>#REF!</f>
        <v>#REF!</v>
      </c>
      <c r="J99" s="315"/>
      <c r="K99" s="315"/>
      <c r="L99" s="276"/>
      <c r="M99" s="276"/>
      <c r="N99" s="276"/>
      <c r="O99" s="276"/>
      <c r="P99" s="276"/>
      <c r="Q99" s="104"/>
    </row>
    <row r="100" spans="1:17" ht="12.75" customHeight="1" x14ac:dyDescent="0.3">
      <c r="A100" s="380"/>
      <c r="B100" s="380"/>
      <c r="C100" s="380"/>
      <c r="D100" s="380" t="s">
        <v>2218</v>
      </c>
      <c r="E100" s="379"/>
      <c r="F100" s="379"/>
      <c r="G100" s="382" t="s">
        <v>2308</v>
      </c>
      <c r="H100" s="380" t="s">
        <v>477</v>
      </c>
      <c r="I100" s="389" t="e">
        <f>#REF!</f>
        <v>#REF!</v>
      </c>
      <c r="J100" s="315"/>
      <c r="K100" s="315"/>
      <c r="L100" s="276"/>
      <c r="M100" s="276"/>
      <c r="N100" s="276"/>
      <c r="O100" s="276"/>
      <c r="P100" s="276"/>
      <c r="Q100" s="104"/>
    </row>
    <row r="101" spans="1:17" ht="12.75" customHeight="1" x14ac:dyDescent="0.3">
      <c r="A101" s="380"/>
      <c r="B101" s="380"/>
      <c r="C101" s="380" t="s">
        <v>2208</v>
      </c>
      <c r="D101" s="380"/>
      <c r="E101" s="379"/>
      <c r="F101" s="379"/>
      <c r="G101" s="382" t="s">
        <v>2204</v>
      </c>
      <c r="H101" s="380" t="s">
        <v>2192</v>
      </c>
      <c r="I101" s="340" t="e">
        <f>#REF!</f>
        <v>#REF!</v>
      </c>
      <c r="J101" s="315"/>
      <c r="K101" s="315"/>
      <c r="L101" s="276"/>
      <c r="M101" s="276"/>
      <c r="N101" s="276"/>
      <c r="O101" s="276"/>
      <c r="P101" s="276"/>
      <c r="Q101" s="104"/>
    </row>
    <row r="102" spans="1:17" ht="12.75" customHeight="1" x14ac:dyDescent="0.3">
      <c r="A102" s="380"/>
      <c r="B102" s="380"/>
      <c r="C102" s="380"/>
      <c r="D102" s="380" t="s">
        <v>2197</v>
      </c>
      <c r="E102" s="379"/>
      <c r="F102" s="379"/>
      <c r="G102" s="382" t="s">
        <v>2311</v>
      </c>
      <c r="H102" s="380" t="s">
        <v>477</v>
      </c>
      <c r="I102" s="389" t="e">
        <f>#REF!</f>
        <v>#REF!</v>
      </c>
      <c r="J102" s="315"/>
      <c r="K102" s="315"/>
      <c r="L102" s="276"/>
      <c r="M102" s="276"/>
      <c r="N102" s="276"/>
      <c r="O102" s="276"/>
      <c r="P102" s="276"/>
      <c r="Q102" s="104"/>
    </row>
    <row r="103" spans="1:17" ht="12.75" customHeight="1" x14ac:dyDescent="0.3">
      <c r="A103" s="380"/>
      <c r="B103" s="380"/>
      <c r="C103" s="380"/>
      <c r="D103" s="380" t="s">
        <v>2198</v>
      </c>
      <c r="E103" s="379"/>
      <c r="F103" s="379"/>
      <c r="G103" s="382" t="s">
        <v>2312</v>
      </c>
      <c r="H103" s="380" t="s">
        <v>477</v>
      </c>
      <c r="I103" s="389" t="e">
        <f>#REF!</f>
        <v>#REF!</v>
      </c>
      <c r="J103" s="315"/>
      <c r="K103" s="315"/>
      <c r="L103" s="276"/>
      <c r="M103" s="276"/>
      <c r="N103" s="276"/>
      <c r="O103" s="276"/>
      <c r="P103" s="276"/>
      <c r="Q103" s="104"/>
    </row>
    <row r="104" spans="1:17" ht="12.75" customHeight="1" x14ac:dyDescent="0.3">
      <c r="A104" s="380"/>
      <c r="B104" s="380"/>
      <c r="C104" s="380"/>
      <c r="D104" s="380" t="s">
        <v>2199</v>
      </c>
      <c r="E104" s="379"/>
      <c r="F104" s="379"/>
      <c r="G104" s="382" t="s">
        <v>2313</v>
      </c>
      <c r="H104" s="380" t="s">
        <v>477</v>
      </c>
      <c r="I104" s="389" t="e">
        <f>#REF!</f>
        <v>#REF!</v>
      </c>
      <c r="J104" s="315"/>
      <c r="K104" s="315"/>
      <c r="L104" s="276"/>
      <c r="M104" s="276"/>
      <c r="N104" s="276"/>
      <c r="O104" s="276"/>
      <c r="P104" s="276"/>
      <c r="Q104" s="104"/>
    </row>
    <row r="105" spans="1:17" ht="12.75" customHeight="1" x14ac:dyDescent="0.3">
      <c r="A105" s="380"/>
      <c r="B105" s="380"/>
      <c r="C105" s="380"/>
      <c r="D105" s="380" t="s">
        <v>2309</v>
      </c>
      <c r="E105" s="379"/>
      <c r="F105" s="379"/>
      <c r="G105" s="382" t="s">
        <v>2314</v>
      </c>
      <c r="H105" s="380" t="s">
        <v>477</v>
      </c>
      <c r="I105" s="389" t="e">
        <f>#REF!</f>
        <v>#REF!</v>
      </c>
      <c r="J105" s="315"/>
      <c r="K105" s="315"/>
      <c r="L105" s="276"/>
      <c r="M105" s="276"/>
      <c r="N105" s="276"/>
      <c r="O105" s="276"/>
      <c r="P105" s="276"/>
      <c r="Q105" s="104"/>
    </row>
    <row r="106" spans="1:17" ht="12.75" customHeight="1" x14ac:dyDescent="0.3">
      <c r="A106" s="380"/>
      <c r="B106" s="380"/>
      <c r="C106" s="380"/>
      <c r="D106" s="380" t="s">
        <v>2223</v>
      </c>
      <c r="E106" s="379"/>
      <c r="F106" s="379"/>
      <c r="G106" s="382" t="s">
        <v>2315</v>
      </c>
      <c r="H106" s="380" t="s">
        <v>477</v>
      </c>
      <c r="I106" s="389" t="e">
        <f>#REF!</f>
        <v>#REF!</v>
      </c>
      <c r="J106" s="315"/>
      <c r="K106" s="315"/>
      <c r="L106" s="276"/>
      <c r="M106" s="276"/>
      <c r="N106" s="276"/>
      <c r="O106" s="276"/>
      <c r="P106" s="276"/>
      <c r="Q106" s="104"/>
    </row>
    <row r="107" spans="1:17" ht="12.75" customHeight="1" x14ac:dyDescent="0.3">
      <c r="A107" s="380"/>
      <c r="B107" s="380"/>
      <c r="C107" s="380" t="s">
        <v>2224</v>
      </c>
      <c r="D107" s="380"/>
      <c r="E107" s="379"/>
      <c r="F107" s="379"/>
      <c r="G107" s="382" t="s">
        <v>2225</v>
      </c>
      <c r="H107" s="380" t="s">
        <v>2192</v>
      </c>
      <c r="I107" s="340" t="e">
        <f>#REF!</f>
        <v>#REF!</v>
      </c>
      <c r="J107" s="315"/>
      <c r="K107" s="315"/>
      <c r="L107" s="276"/>
      <c r="M107" s="276"/>
      <c r="N107" s="276"/>
      <c r="O107" s="276"/>
      <c r="P107" s="276"/>
      <c r="Q107" s="104"/>
    </row>
    <row r="108" spans="1:17" ht="12.75" customHeight="1" x14ac:dyDescent="0.3">
      <c r="A108" s="380"/>
      <c r="B108" s="380"/>
      <c r="C108" s="380"/>
      <c r="D108" s="380" t="s">
        <v>2200</v>
      </c>
      <c r="E108" s="379"/>
      <c r="F108" s="379"/>
      <c r="G108" s="382" t="s">
        <v>2316</v>
      </c>
      <c r="H108" s="380" t="s">
        <v>477</v>
      </c>
      <c r="I108" s="389" t="e">
        <f>#REF!</f>
        <v>#REF!</v>
      </c>
      <c r="J108" s="315"/>
      <c r="K108" s="315"/>
      <c r="L108" s="276"/>
      <c r="M108" s="276"/>
      <c r="N108" s="276"/>
      <c r="O108" s="276"/>
      <c r="P108" s="276"/>
      <c r="Q108" s="104"/>
    </row>
    <row r="109" spans="1:17" ht="12.75" customHeight="1" x14ac:dyDescent="0.3">
      <c r="A109" s="380"/>
      <c r="B109" s="380"/>
      <c r="C109" s="380"/>
      <c r="D109" s="380" t="s">
        <v>2201</v>
      </c>
      <c r="E109" s="379"/>
      <c r="F109" s="379"/>
      <c r="G109" s="382" t="s">
        <v>2317</v>
      </c>
      <c r="H109" s="380" t="s">
        <v>477</v>
      </c>
      <c r="I109" s="389" t="e">
        <f>#REF!</f>
        <v>#REF!</v>
      </c>
      <c r="J109" s="315"/>
      <c r="K109" s="315"/>
      <c r="L109" s="276"/>
      <c r="M109" s="276"/>
      <c r="N109" s="276"/>
      <c r="O109" s="276"/>
      <c r="P109" s="276"/>
      <c r="Q109" s="104"/>
    </row>
    <row r="110" spans="1:17" ht="12.75" customHeight="1" x14ac:dyDescent="0.3">
      <c r="A110" s="380"/>
      <c r="B110" s="380"/>
      <c r="C110" s="380"/>
      <c r="D110" s="380" t="s">
        <v>2202</v>
      </c>
      <c r="E110" s="379"/>
      <c r="F110" s="379"/>
      <c r="G110" s="382" t="s">
        <v>2318</v>
      </c>
      <c r="H110" s="380" t="s">
        <v>477</v>
      </c>
      <c r="I110" s="389" t="e">
        <f>#REF!</f>
        <v>#REF!</v>
      </c>
      <c r="J110" s="315"/>
      <c r="K110" s="315"/>
      <c r="L110" s="276"/>
      <c r="M110" s="276"/>
      <c r="N110" s="276"/>
      <c r="O110" s="276"/>
      <c r="P110" s="276"/>
      <c r="Q110" s="104"/>
    </row>
    <row r="111" spans="1:17" ht="12.75" customHeight="1" x14ac:dyDescent="0.3">
      <c r="A111" s="380"/>
      <c r="B111" s="380"/>
      <c r="C111" s="380"/>
      <c r="D111" s="380" t="s">
        <v>2310</v>
      </c>
      <c r="E111" s="379"/>
      <c r="F111" s="379"/>
      <c r="G111" s="382" t="s">
        <v>2319</v>
      </c>
      <c r="H111" s="380" t="s">
        <v>477</v>
      </c>
      <c r="I111" s="389" t="e">
        <f>#REF!</f>
        <v>#REF!</v>
      </c>
      <c r="J111" s="315"/>
      <c r="K111" s="315"/>
      <c r="L111" s="276"/>
      <c r="M111" s="276"/>
      <c r="N111" s="276"/>
      <c r="O111" s="276"/>
      <c r="P111" s="276"/>
      <c r="Q111" s="104"/>
    </row>
    <row r="112" spans="1:17" ht="12.75" customHeight="1" x14ac:dyDescent="0.3">
      <c r="A112" s="380"/>
      <c r="B112" s="380"/>
      <c r="C112" s="380"/>
      <c r="D112" s="380" t="s">
        <v>2226</v>
      </c>
      <c r="E112" s="379"/>
      <c r="F112" s="379"/>
      <c r="G112" s="382" t="s">
        <v>2320</v>
      </c>
      <c r="H112" s="380" t="s">
        <v>477</v>
      </c>
      <c r="I112" s="389" t="e">
        <f>#REF!</f>
        <v>#REF!</v>
      </c>
      <c r="J112" s="315"/>
      <c r="K112" s="315"/>
      <c r="L112" s="276"/>
      <c r="M112" s="276"/>
      <c r="N112" s="276"/>
      <c r="O112" s="276"/>
      <c r="P112" s="276"/>
      <c r="Q112" s="104"/>
    </row>
    <row r="113" spans="1:17" ht="12.75" customHeight="1" x14ac:dyDescent="0.3">
      <c r="A113" s="380"/>
      <c r="B113" s="380" t="s">
        <v>2232</v>
      </c>
      <c r="C113" s="380"/>
      <c r="D113" s="383"/>
      <c r="E113" s="383"/>
      <c r="F113" s="379"/>
      <c r="G113" s="382" t="s">
        <v>2325</v>
      </c>
      <c r="H113" s="380" t="s">
        <v>2192</v>
      </c>
      <c r="I113" s="340" t="e">
        <f>#REF!</f>
        <v>#REF!</v>
      </c>
      <c r="J113" s="315"/>
      <c r="K113" s="315"/>
      <c r="L113" s="276"/>
      <c r="M113" s="276"/>
      <c r="N113" s="276"/>
      <c r="O113" s="276"/>
      <c r="P113" s="276"/>
      <c r="Q113" s="104"/>
    </row>
    <row r="114" spans="1:17" ht="12.75" customHeight="1" x14ac:dyDescent="0.3">
      <c r="A114" s="380"/>
      <c r="B114" s="380" t="s">
        <v>2219</v>
      </c>
      <c r="C114" s="380"/>
      <c r="D114" s="380"/>
      <c r="E114" s="383"/>
      <c r="F114" s="379"/>
      <c r="G114" s="382" t="s">
        <v>2321</v>
      </c>
      <c r="H114" s="380" t="s">
        <v>2192</v>
      </c>
      <c r="I114" s="340" t="e">
        <f>#REF!</f>
        <v>#REF!</v>
      </c>
      <c r="J114" s="315"/>
      <c r="K114" s="315"/>
      <c r="L114" s="276"/>
      <c r="M114" s="276"/>
      <c r="N114" s="276"/>
      <c r="O114" s="276"/>
      <c r="P114" s="276"/>
      <c r="Q114" s="104"/>
    </row>
    <row r="115" spans="1:17" ht="12.75" customHeight="1" x14ac:dyDescent="0.3">
      <c r="A115" s="380"/>
      <c r="B115" s="380" t="s">
        <v>2220</v>
      </c>
      <c r="C115" s="380"/>
      <c r="D115" s="380"/>
      <c r="E115" s="383"/>
      <c r="F115" s="379"/>
      <c r="G115" s="382" t="s">
        <v>2322</v>
      </c>
      <c r="H115" s="380" t="s">
        <v>2192</v>
      </c>
      <c r="I115" s="340" t="e">
        <f>#REF!</f>
        <v>#REF!</v>
      </c>
      <c r="J115" s="315"/>
      <c r="K115" s="315"/>
      <c r="L115" s="276"/>
      <c r="M115" s="276"/>
      <c r="N115" s="276"/>
      <c r="O115" s="276"/>
      <c r="P115" s="276"/>
      <c r="Q115" s="104"/>
    </row>
    <row r="116" spans="1:17" ht="12.75" customHeight="1" x14ac:dyDescent="0.3">
      <c r="A116" s="380"/>
      <c r="B116" s="380" t="s">
        <v>2221</v>
      </c>
      <c r="C116" s="380"/>
      <c r="D116" s="380"/>
      <c r="E116" s="383"/>
      <c r="F116" s="379"/>
      <c r="G116" s="382" t="s">
        <v>2323</v>
      </c>
      <c r="H116" s="380" t="s">
        <v>2192</v>
      </c>
      <c r="I116" s="340" t="e">
        <f>#REF!</f>
        <v>#REF!</v>
      </c>
      <c r="J116" s="315"/>
      <c r="K116" s="315"/>
      <c r="L116" s="276"/>
      <c r="M116" s="276"/>
      <c r="N116" s="276"/>
      <c r="O116" s="276"/>
      <c r="P116" s="276"/>
      <c r="Q116" s="104"/>
    </row>
    <row r="117" spans="1:17" ht="12.75" customHeight="1" x14ac:dyDescent="0.3">
      <c r="A117" s="380"/>
      <c r="B117" s="380" t="s">
        <v>2222</v>
      </c>
      <c r="C117" s="380"/>
      <c r="D117" s="380"/>
      <c r="E117" s="383"/>
      <c r="F117" s="379"/>
      <c r="G117" s="382" t="s">
        <v>2324</v>
      </c>
      <c r="H117" s="380" t="s">
        <v>2192</v>
      </c>
      <c r="I117" s="340" t="e">
        <f>#REF!</f>
        <v>#REF!</v>
      </c>
      <c r="J117" s="315"/>
      <c r="K117" s="315"/>
      <c r="L117" s="276"/>
      <c r="M117" s="276"/>
      <c r="N117" s="276"/>
      <c r="O117" s="276"/>
      <c r="P117" s="276"/>
      <c r="Q117" s="104"/>
    </row>
    <row r="118" spans="1:17" ht="12.75" customHeight="1" x14ac:dyDescent="0.3">
      <c r="A118" s="380"/>
      <c r="B118" s="380"/>
      <c r="C118" s="380" t="s">
        <v>2233</v>
      </c>
      <c r="D118" s="380"/>
      <c r="E118" s="380"/>
      <c r="F118" s="379"/>
      <c r="G118" s="382" t="s">
        <v>2255</v>
      </c>
      <c r="H118" s="380" t="s">
        <v>2192</v>
      </c>
      <c r="I118" s="340" t="e">
        <f>#REF!</f>
        <v>#REF!</v>
      </c>
      <c r="J118" s="315"/>
      <c r="K118" s="315"/>
      <c r="L118" s="276"/>
      <c r="M118" s="276"/>
      <c r="N118" s="276"/>
      <c r="O118" s="276"/>
      <c r="P118" s="276"/>
      <c r="Q118" s="104"/>
    </row>
    <row r="119" spans="1:17" ht="12.75" customHeight="1" x14ac:dyDescent="0.3">
      <c r="A119" s="380"/>
      <c r="B119" s="380"/>
      <c r="C119" s="380"/>
      <c r="D119" s="380" t="s">
        <v>2234</v>
      </c>
      <c r="E119" s="379"/>
      <c r="F119" s="379"/>
      <c r="G119" s="382" t="s">
        <v>2333</v>
      </c>
      <c r="H119" s="380" t="s">
        <v>477</v>
      </c>
      <c r="I119" s="389" t="e">
        <f>#REF!</f>
        <v>#REF!</v>
      </c>
      <c r="J119" s="315"/>
      <c r="K119" s="315"/>
      <c r="L119" s="276"/>
      <c r="M119" s="276"/>
      <c r="N119" s="276"/>
      <c r="O119" s="276"/>
      <c r="P119" s="276"/>
      <c r="Q119" s="104"/>
    </row>
    <row r="120" spans="1:17" ht="12.75" customHeight="1" x14ac:dyDescent="0.3">
      <c r="A120" s="380"/>
      <c r="B120" s="380"/>
      <c r="C120" s="380"/>
      <c r="D120" s="380" t="s">
        <v>2235</v>
      </c>
      <c r="E120" s="379"/>
      <c r="F120" s="379"/>
      <c r="G120" s="382" t="s">
        <v>2334</v>
      </c>
      <c r="H120" s="380" t="s">
        <v>477</v>
      </c>
      <c r="I120" s="389" t="e">
        <f>#REF!</f>
        <v>#REF!</v>
      </c>
      <c r="J120" s="315"/>
      <c r="K120" s="315"/>
      <c r="L120" s="276"/>
      <c r="M120" s="276"/>
      <c r="N120" s="276"/>
      <c r="O120" s="276"/>
      <c r="P120" s="276"/>
      <c r="Q120" s="104"/>
    </row>
    <row r="121" spans="1:17" ht="12.75" customHeight="1" x14ac:dyDescent="0.3">
      <c r="A121" s="380"/>
      <c r="B121" s="380"/>
      <c r="C121" s="380"/>
      <c r="D121" s="380" t="s">
        <v>2236</v>
      </c>
      <c r="E121" s="379"/>
      <c r="F121" s="379"/>
      <c r="G121" s="382" t="s">
        <v>2335</v>
      </c>
      <c r="H121" s="380" t="s">
        <v>477</v>
      </c>
      <c r="I121" s="389" t="e">
        <f>#REF!</f>
        <v>#REF!</v>
      </c>
      <c r="J121" s="315"/>
      <c r="K121" s="315"/>
      <c r="L121" s="276"/>
      <c r="M121" s="276"/>
      <c r="N121" s="276"/>
      <c r="O121" s="276"/>
      <c r="P121" s="276"/>
      <c r="Q121" s="104"/>
    </row>
    <row r="122" spans="1:17" ht="12.75" customHeight="1" x14ac:dyDescent="0.3">
      <c r="A122" s="380"/>
      <c r="B122" s="380"/>
      <c r="C122" s="380"/>
      <c r="D122" s="380" t="s">
        <v>2327</v>
      </c>
      <c r="E122" s="379"/>
      <c r="F122" s="379"/>
      <c r="G122" s="382" t="s">
        <v>2336</v>
      </c>
      <c r="H122" s="380" t="s">
        <v>477</v>
      </c>
      <c r="I122" s="389" t="e">
        <f>#REF!</f>
        <v>#REF!</v>
      </c>
      <c r="J122" s="315"/>
      <c r="K122" s="315"/>
      <c r="L122" s="276"/>
      <c r="M122" s="276"/>
      <c r="N122" s="276"/>
      <c r="O122" s="276"/>
      <c r="P122" s="276"/>
      <c r="Q122" s="104"/>
    </row>
    <row r="123" spans="1:17" ht="12.75" customHeight="1" x14ac:dyDescent="0.3">
      <c r="A123" s="380"/>
      <c r="B123" s="380"/>
      <c r="C123" s="380"/>
      <c r="D123" s="380" t="s">
        <v>2237</v>
      </c>
      <c r="E123" s="379"/>
      <c r="F123" s="379"/>
      <c r="G123" s="382" t="s">
        <v>2337</v>
      </c>
      <c r="H123" s="380" t="s">
        <v>477</v>
      </c>
      <c r="I123" s="389" t="e">
        <f>#REF!</f>
        <v>#REF!</v>
      </c>
      <c r="J123" s="315"/>
      <c r="K123" s="315"/>
      <c r="L123" s="276"/>
      <c r="M123" s="276"/>
      <c r="N123" s="276"/>
      <c r="O123" s="276"/>
      <c r="P123" s="276"/>
      <c r="Q123" s="104"/>
    </row>
    <row r="124" spans="1:17" ht="12.75" customHeight="1" x14ac:dyDescent="0.3">
      <c r="A124" s="380"/>
      <c r="B124" s="380"/>
      <c r="C124" s="380" t="s">
        <v>2238</v>
      </c>
      <c r="D124" s="380"/>
      <c r="E124" s="380"/>
      <c r="F124" s="379"/>
      <c r="G124" s="382" t="s">
        <v>2256</v>
      </c>
      <c r="H124" s="380" t="s">
        <v>2192</v>
      </c>
      <c r="I124" s="340" t="e">
        <f>#REF!</f>
        <v>#REF!</v>
      </c>
      <c r="J124" s="315"/>
      <c r="K124" s="315"/>
      <c r="L124" s="276"/>
      <c r="M124" s="276"/>
      <c r="N124" s="276"/>
      <c r="O124" s="276"/>
      <c r="P124" s="276"/>
      <c r="Q124" s="104"/>
    </row>
    <row r="125" spans="1:17" ht="12.75" customHeight="1" x14ac:dyDescent="0.3">
      <c r="A125" s="380"/>
      <c r="B125" s="380"/>
      <c r="C125" s="380"/>
      <c r="D125" s="380" t="s">
        <v>2239</v>
      </c>
      <c r="E125" s="379"/>
      <c r="F125" s="379"/>
      <c r="G125" s="382" t="s">
        <v>2338</v>
      </c>
      <c r="H125" s="380" t="s">
        <v>477</v>
      </c>
      <c r="I125" s="389" t="e">
        <f>#REF!</f>
        <v>#REF!</v>
      </c>
      <c r="J125" s="315"/>
      <c r="K125" s="315"/>
      <c r="L125" s="276"/>
      <c r="M125" s="276"/>
      <c r="N125" s="276"/>
      <c r="O125" s="276"/>
      <c r="P125" s="276"/>
      <c r="Q125" s="104"/>
    </row>
    <row r="126" spans="1:17" ht="12.75" customHeight="1" x14ac:dyDescent="0.3">
      <c r="A126" s="380"/>
      <c r="B126" s="380"/>
      <c r="C126" s="380"/>
      <c r="D126" s="380" t="s">
        <v>2240</v>
      </c>
      <c r="E126" s="379"/>
      <c r="F126" s="379"/>
      <c r="G126" s="382" t="s">
        <v>2339</v>
      </c>
      <c r="H126" s="380" t="s">
        <v>477</v>
      </c>
      <c r="I126" s="389" t="e">
        <f>#REF!</f>
        <v>#REF!</v>
      </c>
      <c r="J126" s="315"/>
      <c r="K126" s="315"/>
      <c r="L126" s="276"/>
      <c r="M126" s="276"/>
      <c r="N126" s="276"/>
      <c r="O126" s="276"/>
      <c r="P126" s="276"/>
      <c r="Q126" s="104"/>
    </row>
    <row r="127" spans="1:17" ht="12.75" customHeight="1" x14ac:dyDescent="0.3">
      <c r="A127" s="380"/>
      <c r="B127" s="380"/>
      <c r="C127" s="380"/>
      <c r="D127" s="380" t="s">
        <v>2241</v>
      </c>
      <c r="E127" s="379"/>
      <c r="F127" s="379"/>
      <c r="G127" s="382" t="s">
        <v>2340</v>
      </c>
      <c r="H127" s="380" t="s">
        <v>477</v>
      </c>
      <c r="I127" s="389" t="e">
        <f>#REF!</f>
        <v>#REF!</v>
      </c>
      <c r="J127" s="315"/>
      <c r="K127" s="315"/>
      <c r="L127" s="276"/>
      <c r="M127" s="276"/>
      <c r="N127" s="276"/>
      <c r="O127" s="276"/>
      <c r="P127" s="276"/>
      <c r="Q127" s="104"/>
    </row>
    <row r="128" spans="1:17" ht="12.75" customHeight="1" x14ac:dyDescent="0.3">
      <c r="A128" s="380"/>
      <c r="B128" s="380"/>
      <c r="C128" s="380"/>
      <c r="D128" s="380" t="s">
        <v>2326</v>
      </c>
      <c r="E128" s="379"/>
      <c r="F128" s="379"/>
      <c r="G128" s="382" t="s">
        <v>2341</v>
      </c>
      <c r="H128" s="380" t="s">
        <v>477</v>
      </c>
      <c r="I128" s="389" t="e">
        <f>#REF!</f>
        <v>#REF!</v>
      </c>
      <c r="J128" s="315"/>
      <c r="K128" s="315"/>
      <c r="L128" s="276"/>
      <c r="M128" s="276"/>
      <c r="N128" s="276"/>
      <c r="O128" s="276"/>
      <c r="P128" s="276"/>
      <c r="Q128" s="104"/>
    </row>
    <row r="129" spans="1:17" ht="12.75" customHeight="1" x14ac:dyDescent="0.3">
      <c r="A129" s="380"/>
      <c r="B129" s="380"/>
      <c r="C129" s="380"/>
      <c r="D129" s="380" t="s">
        <v>2242</v>
      </c>
      <c r="E129" s="379"/>
      <c r="F129" s="379"/>
      <c r="G129" s="382" t="s">
        <v>2342</v>
      </c>
      <c r="H129" s="380" t="s">
        <v>477</v>
      </c>
      <c r="I129" s="389" t="e">
        <f>#REF!</f>
        <v>#REF!</v>
      </c>
      <c r="J129" s="315"/>
      <c r="K129" s="315"/>
      <c r="L129" s="276"/>
      <c r="M129" s="276"/>
      <c r="N129" s="276"/>
      <c r="O129" s="276"/>
      <c r="P129" s="276"/>
      <c r="Q129" s="104"/>
    </row>
    <row r="130" spans="1:17" ht="12.75" customHeight="1" x14ac:dyDescent="0.3">
      <c r="A130" s="380"/>
      <c r="B130" s="380"/>
      <c r="C130" s="380" t="s">
        <v>2277</v>
      </c>
      <c r="D130" s="380"/>
      <c r="E130" s="380"/>
      <c r="F130" s="379"/>
      <c r="G130" s="382" t="s">
        <v>2257</v>
      </c>
      <c r="H130" s="380" t="s">
        <v>2192</v>
      </c>
      <c r="I130" s="340" t="e">
        <f>#REF!</f>
        <v>#REF!</v>
      </c>
      <c r="J130" s="315"/>
      <c r="K130" s="315"/>
      <c r="L130" s="276"/>
      <c r="M130" s="276"/>
      <c r="N130" s="276"/>
      <c r="O130" s="276"/>
      <c r="P130" s="276"/>
      <c r="Q130" s="104"/>
    </row>
    <row r="131" spans="1:17" ht="12.75" customHeight="1" x14ac:dyDescent="0.3">
      <c r="A131" s="380"/>
      <c r="B131" s="380"/>
      <c r="C131" s="380"/>
      <c r="D131" s="380" t="s">
        <v>2243</v>
      </c>
      <c r="E131" s="379"/>
      <c r="F131" s="379"/>
      <c r="G131" s="382" t="s">
        <v>2343</v>
      </c>
      <c r="H131" s="380" t="s">
        <v>477</v>
      </c>
      <c r="I131" s="389" t="e">
        <f>#REF!</f>
        <v>#REF!</v>
      </c>
      <c r="J131" s="315"/>
      <c r="K131" s="315"/>
      <c r="L131" s="276"/>
      <c r="M131" s="276"/>
      <c r="N131" s="276"/>
      <c r="O131" s="276"/>
      <c r="P131" s="276"/>
      <c r="Q131" s="104"/>
    </row>
    <row r="132" spans="1:17" ht="12.75" customHeight="1" x14ac:dyDescent="0.3">
      <c r="A132" s="380"/>
      <c r="B132" s="380"/>
      <c r="C132" s="380"/>
      <c r="D132" s="380" t="s">
        <v>2244</v>
      </c>
      <c r="E132" s="379"/>
      <c r="F132" s="379"/>
      <c r="G132" s="382" t="s">
        <v>2344</v>
      </c>
      <c r="H132" s="380" t="s">
        <v>477</v>
      </c>
      <c r="I132" s="389" t="e">
        <f>#REF!</f>
        <v>#REF!</v>
      </c>
      <c r="J132" s="315"/>
      <c r="K132" s="315"/>
      <c r="L132" s="276"/>
      <c r="M132" s="276"/>
      <c r="N132" s="276"/>
      <c r="O132" s="276"/>
      <c r="P132" s="276"/>
      <c r="Q132" s="104"/>
    </row>
    <row r="133" spans="1:17" ht="12.75" customHeight="1" x14ac:dyDescent="0.3">
      <c r="A133" s="380"/>
      <c r="B133" s="380"/>
      <c r="C133" s="380"/>
      <c r="D133" s="380" t="s">
        <v>2245</v>
      </c>
      <c r="E133" s="379"/>
      <c r="F133" s="379"/>
      <c r="G133" s="382" t="s">
        <v>2345</v>
      </c>
      <c r="H133" s="380" t="s">
        <v>477</v>
      </c>
      <c r="I133" s="389" t="e">
        <f>#REF!</f>
        <v>#REF!</v>
      </c>
      <c r="J133" s="315"/>
      <c r="K133" s="315"/>
      <c r="L133" s="276"/>
      <c r="M133" s="276"/>
      <c r="N133" s="276"/>
      <c r="O133" s="276"/>
      <c r="P133" s="276"/>
      <c r="Q133" s="104"/>
    </row>
    <row r="134" spans="1:17" ht="12.75" customHeight="1" x14ac:dyDescent="0.3">
      <c r="A134" s="380"/>
      <c r="B134" s="380"/>
      <c r="C134" s="380"/>
      <c r="D134" s="380" t="s">
        <v>2328</v>
      </c>
      <c r="E134" s="379"/>
      <c r="F134" s="379"/>
      <c r="G134" s="382" t="s">
        <v>2346</v>
      </c>
      <c r="H134" s="380" t="s">
        <v>477</v>
      </c>
      <c r="I134" s="389" t="e">
        <f>#REF!</f>
        <v>#REF!</v>
      </c>
      <c r="J134" s="315"/>
      <c r="K134" s="315"/>
      <c r="L134" s="276"/>
      <c r="M134" s="276"/>
      <c r="N134" s="276"/>
      <c r="O134" s="276"/>
      <c r="P134" s="276"/>
      <c r="Q134" s="104"/>
    </row>
    <row r="135" spans="1:17" ht="12.75" customHeight="1" x14ac:dyDescent="0.3">
      <c r="A135" s="380"/>
      <c r="B135" s="380"/>
      <c r="C135" s="380"/>
      <c r="D135" s="380" t="s">
        <v>2246</v>
      </c>
      <c r="E135" s="379"/>
      <c r="F135" s="379"/>
      <c r="G135" s="382" t="s">
        <v>2347</v>
      </c>
      <c r="H135" s="380" t="s">
        <v>477</v>
      </c>
      <c r="I135" s="389" t="e">
        <f>#REF!</f>
        <v>#REF!</v>
      </c>
      <c r="J135" s="315"/>
      <c r="K135" s="315"/>
      <c r="L135" s="276"/>
      <c r="M135" s="276"/>
      <c r="N135" s="276"/>
      <c r="O135" s="276"/>
      <c r="P135" s="276"/>
      <c r="Q135" s="104"/>
    </row>
    <row r="136" spans="1:17" ht="12.75" customHeight="1" x14ac:dyDescent="0.3">
      <c r="A136" s="380"/>
      <c r="B136" s="380"/>
      <c r="C136" s="380" t="s">
        <v>2278</v>
      </c>
      <c r="D136" s="380"/>
      <c r="E136" s="380"/>
      <c r="F136" s="379"/>
      <c r="G136" s="382" t="s">
        <v>2258</v>
      </c>
      <c r="H136" s="380" t="s">
        <v>2192</v>
      </c>
      <c r="I136" s="340" t="e">
        <f>#REF!</f>
        <v>#REF!</v>
      </c>
      <c r="J136" s="315"/>
      <c r="K136" s="315"/>
      <c r="L136" s="276"/>
      <c r="M136" s="276"/>
      <c r="N136" s="276"/>
      <c r="O136" s="276"/>
      <c r="P136" s="276"/>
      <c r="Q136" s="104"/>
    </row>
    <row r="137" spans="1:17" ht="12.75" customHeight="1" x14ac:dyDescent="0.3">
      <c r="A137" s="380"/>
      <c r="B137" s="380"/>
      <c r="C137" s="380"/>
      <c r="D137" s="380" t="s">
        <v>2247</v>
      </c>
      <c r="E137" s="379"/>
      <c r="F137" s="379"/>
      <c r="G137" s="382" t="s">
        <v>2348</v>
      </c>
      <c r="H137" s="380" t="s">
        <v>477</v>
      </c>
      <c r="I137" s="389" t="e">
        <f>#REF!</f>
        <v>#REF!</v>
      </c>
      <c r="J137" s="315"/>
      <c r="K137" s="315"/>
      <c r="L137" s="276"/>
      <c r="M137" s="276"/>
      <c r="N137" s="276"/>
      <c r="O137" s="276"/>
      <c r="P137" s="276"/>
      <c r="Q137" s="104"/>
    </row>
    <row r="138" spans="1:17" ht="12.75" customHeight="1" x14ac:dyDescent="0.3">
      <c r="A138" s="380"/>
      <c r="B138" s="380"/>
      <c r="C138" s="380"/>
      <c r="D138" s="380" t="s">
        <v>2248</v>
      </c>
      <c r="E138" s="379"/>
      <c r="F138" s="379"/>
      <c r="G138" s="382" t="s">
        <v>2349</v>
      </c>
      <c r="H138" s="380" t="s">
        <v>477</v>
      </c>
      <c r="I138" s="389" t="e">
        <f>#REF!</f>
        <v>#REF!</v>
      </c>
      <c r="J138" s="315"/>
      <c r="K138" s="315"/>
      <c r="L138" s="276"/>
      <c r="M138" s="276"/>
      <c r="N138" s="276"/>
      <c r="O138" s="276"/>
      <c r="P138" s="276"/>
      <c r="Q138" s="104"/>
    </row>
    <row r="139" spans="1:17" ht="12.75" customHeight="1" x14ac:dyDescent="0.3">
      <c r="A139" s="380"/>
      <c r="B139" s="380"/>
      <c r="C139" s="380"/>
      <c r="D139" s="380" t="s">
        <v>2249</v>
      </c>
      <c r="E139" s="379"/>
      <c r="F139" s="379"/>
      <c r="G139" s="382" t="s">
        <v>2350</v>
      </c>
      <c r="H139" s="380" t="s">
        <v>477</v>
      </c>
      <c r="I139" s="389" t="e">
        <f>#REF!</f>
        <v>#REF!</v>
      </c>
      <c r="J139" s="315"/>
      <c r="K139" s="315"/>
      <c r="L139" s="276"/>
      <c r="M139" s="276"/>
      <c r="N139" s="276"/>
      <c r="O139" s="276"/>
      <c r="P139" s="276"/>
      <c r="Q139" s="104"/>
    </row>
    <row r="140" spans="1:17" ht="12.75" customHeight="1" x14ac:dyDescent="0.3">
      <c r="A140" s="380"/>
      <c r="B140" s="380"/>
      <c r="C140" s="380"/>
      <c r="D140" s="380" t="s">
        <v>2329</v>
      </c>
      <c r="E140" s="379"/>
      <c r="F140" s="379"/>
      <c r="G140" s="382" t="s">
        <v>2351</v>
      </c>
      <c r="H140" s="380" t="s">
        <v>477</v>
      </c>
      <c r="I140" s="389" t="e">
        <f>#REF!</f>
        <v>#REF!</v>
      </c>
      <c r="J140" s="315"/>
      <c r="K140" s="315"/>
      <c r="L140" s="276"/>
      <c r="M140" s="276"/>
      <c r="N140" s="276"/>
      <c r="O140" s="276"/>
      <c r="P140" s="276"/>
      <c r="Q140" s="104"/>
    </row>
    <row r="141" spans="1:17" ht="12.75" customHeight="1" x14ac:dyDescent="0.3">
      <c r="A141" s="380"/>
      <c r="B141" s="380"/>
      <c r="C141" s="380"/>
      <c r="D141" s="380" t="s">
        <v>2250</v>
      </c>
      <c r="E141" s="379"/>
      <c r="F141" s="379"/>
      <c r="G141" s="382" t="s">
        <v>2352</v>
      </c>
      <c r="H141" s="380" t="s">
        <v>477</v>
      </c>
      <c r="I141" s="389" t="e">
        <f>#REF!</f>
        <v>#REF!</v>
      </c>
      <c r="J141" s="315"/>
      <c r="K141" s="315"/>
      <c r="L141" s="276"/>
      <c r="M141" s="276"/>
      <c r="N141" s="276"/>
      <c r="O141" s="276"/>
      <c r="P141" s="276"/>
      <c r="Q141" s="104"/>
    </row>
    <row r="142" spans="1:17" ht="12.75" customHeight="1" x14ac:dyDescent="0.3">
      <c r="A142" s="380"/>
      <c r="B142" s="380"/>
      <c r="C142" s="380" t="s">
        <v>2282</v>
      </c>
      <c r="D142" s="380"/>
      <c r="E142" s="380"/>
      <c r="F142" s="379"/>
      <c r="G142" s="382" t="s">
        <v>2259</v>
      </c>
      <c r="H142" s="380" t="s">
        <v>2192</v>
      </c>
      <c r="I142" s="340" t="e">
        <f>#REF!</f>
        <v>#REF!</v>
      </c>
      <c r="J142" s="315"/>
      <c r="K142" s="315"/>
      <c r="L142" s="276"/>
      <c r="M142" s="276"/>
      <c r="N142" s="276"/>
      <c r="O142" s="276"/>
      <c r="P142" s="276"/>
      <c r="Q142" s="104"/>
    </row>
    <row r="143" spans="1:17" ht="12.75" customHeight="1" x14ac:dyDescent="0.3">
      <c r="A143" s="380"/>
      <c r="B143" s="380"/>
      <c r="C143" s="380"/>
      <c r="D143" s="380" t="s">
        <v>2251</v>
      </c>
      <c r="E143" s="379"/>
      <c r="F143" s="379"/>
      <c r="G143" s="382" t="s">
        <v>2353</v>
      </c>
      <c r="H143" s="380" t="s">
        <v>477</v>
      </c>
      <c r="I143" s="389" t="e">
        <f>#REF!</f>
        <v>#REF!</v>
      </c>
      <c r="J143" s="315"/>
      <c r="K143" s="315"/>
      <c r="L143" s="276"/>
      <c r="M143" s="276"/>
      <c r="N143" s="276"/>
      <c r="O143" s="276"/>
      <c r="P143" s="276"/>
      <c r="Q143" s="104"/>
    </row>
    <row r="144" spans="1:17" ht="12.75" customHeight="1" x14ac:dyDescent="0.3">
      <c r="A144" s="380"/>
      <c r="B144" s="380"/>
      <c r="C144" s="380"/>
      <c r="D144" s="380" t="s">
        <v>2252</v>
      </c>
      <c r="E144" s="379"/>
      <c r="F144" s="379"/>
      <c r="G144" s="382" t="s">
        <v>2354</v>
      </c>
      <c r="H144" s="380" t="s">
        <v>477</v>
      </c>
      <c r="I144" s="389" t="e">
        <f>#REF!</f>
        <v>#REF!</v>
      </c>
      <c r="J144" s="315"/>
      <c r="K144" s="315"/>
      <c r="L144" s="276"/>
      <c r="M144" s="276"/>
      <c r="N144" s="276"/>
      <c r="O144" s="276"/>
      <c r="P144" s="276"/>
      <c r="Q144" s="104"/>
    </row>
    <row r="145" spans="1:17" ht="12.75" customHeight="1" x14ac:dyDescent="0.3">
      <c r="A145" s="380"/>
      <c r="B145" s="380"/>
      <c r="C145" s="380"/>
      <c r="D145" s="380" t="s">
        <v>2253</v>
      </c>
      <c r="E145" s="379"/>
      <c r="F145" s="379"/>
      <c r="G145" s="382" t="s">
        <v>2355</v>
      </c>
      <c r="H145" s="380" t="s">
        <v>477</v>
      </c>
      <c r="I145" s="389" t="e">
        <f>#REF!</f>
        <v>#REF!</v>
      </c>
      <c r="J145" s="315"/>
      <c r="K145" s="315"/>
      <c r="L145" s="276"/>
      <c r="M145" s="276"/>
      <c r="N145" s="276"/>
      <c r="O145" s="276"/>
      <c r="P145" s="276"/>
      <c r="Q145" s="104"/>
    </row>
    <row r="146" spans="1:17" ht="12.75" customHeight="1" x14ac:dyDescent="0.3">
      <c r="A146" s="380"/>
      <c r="B146" s="380"/>
      <c r="C146" s="380"/>
      <c r="D146" s="380" t="s">
        <v>2330</v>
      </c>
      <c r="E146" s="379"/>
      <c r="F146" s="379"/>
      <c r="G146" s="382" t="s">
        <v>2356</v>
      </c>
      <c r="H146" s="380" t="s">
        <v>477</v>
      </c>
      <c r="I146" s="389" t="e">
        <f>#REF!</f>
        <v>#REF!</v>
      </c>
      <c r="J146" s="315"/>
      <c r="K146" s="315"/>
      <c r="L146" s="276"/>
      <c r="M146" s="276"/>
      <c r="N146" s="276"/>
      <c r="O146" s="276"/>
      <c r="P146" s="276"/>
      <c r="Q146" s="104"/>
    </row>
    <row r="147" spans="1:17" ht="12.75" customHeight="1" x14ac:dyDescent="0.3">
      <c r="A147" s="380"/>
      <c r="B147" s="380"/>
      <c r="C147" s="380"/>
      <c r="D147" s="380" t="s">
        <v>2254</v>
      </c>
      <c r="E147" s="379"/>
      <c r="F147" s="379"/>
      <c r="G147" s="382" t="s">
        <v>2357</v>
      </c>
      <c r="H147" s="380" t="s">
        <v>477</v>
      </c>
      <c r="I147" s="389" t="e">
        <f>#REF!</f>
        <v>#REF!</v>
      </c>
      <c r="J147" s="315"/>
      <c r="K147" s="315"/>
      <c r="L147" s="276"/>
      <c r="M147" s="276"/>
      <c r="N147" s="276"/>
      <c r="O147" s="276"/>
      <c r="P147" s="276"/>
      <c r="Q147" s="104"/>
    </row>
    <row r="148" spans="1:17" ht="12.75" customHeight="1" x14ac:dyDescent="0.3">
      <c r="A148" s="380"/>
      <c r="B148" s="380"/>
      <c r="C148" s="380" t="s">
        <v>2283</v>
      </c>
      <c r="D148" s="380"/>
      <c r="E148" s="380"/>
      <c r="F148" s="379"/>
      <c r="G148" s="382" t="s">
        <v>2279</v>
      </c>
      <c r="H148" s="380" t="s">
        <v>2192</v>
      </c>
      <c r="I148" s="340" t="e">
        <f>#REF!</f>
        <v>#REF!</v>
      </c>
      <c r="J148" s="315"/>
      <c r="K148" s="315"/>
      <c r="L148" s="276"/>
      <c r="M148" s="276"/>
      <c r="N148" s="276"/>
      <c r="O148" s="276"/>
      <c r="P148" s="276"/>
      <c r="Q148" s="104"/>
    </row>
    <row r="149" spans="1:17" ht="12.75" customHeight="1" x14ac:dyDescent="0.3">
      <c r="A149" s="380"/>
      <c r="B149" s="380"/>
      <c r="C149" s="380"/>
      <c r="D149" s="380" t="s">
        <v>2260</v>
      </c>
      <c r="E149" s="379"/>
      <c r="F149" s="379"/>
      <c r="G149" s="382" t="s">
        <v>2358</v>
      </c>
      <c r="H149" s="380" t="s">
        <v>477</v>
      </c>
      <c r="I149" s="389" t="e">
        <f>#REF!</f>
        <v>#REF!</v>
      </c>
      <c r="J149" s="315"/>
      <c r="K149" s="315"/>
      <c r="L149" s="276"/>
      <c r="M149" s="276"/>
      <c r="N149" s="276"/>
      <c r="O149" s="276"/>
      <c r="P149" s="276"/>
      <c r="Q149" s="104"/>
    </row>
    <row r="150" spans="1:17" ht="12.75" customHeight="1" x14ac:dyDescent="0.3">
      <c r="A150" s="380"/>
      <c r="B150" s="380"/>
      <c r="C150" s="380"/>
      <c r="D150" s="380" t="s">
        <v>2261</v>
      </c>
      <c r="E150" s="379"/>
      <c r="F150" s="379"/>
      <c r="G150" s="382" t="s">
        <v>2359</v>
      </c>
      <c r="H150" s="380" t="s">
        <v>477</v>
      </c>
      <c r="I150" s="389" t="e">
        <f>#REF!</f>
        <v>#REF!</v>
      </c>
      <c r="J150" s="315"/>
      <c r="K150" s="315"/>
      <c r="L150" s="276"/>
      <c r="M150" s="276"/>
      <c r="N150" s="276"/>
      <c r="O150" s="276"/>
      <c r="P150" s="276"/>
      <c r="Q150" s="104"/>
    </row>
    <row r="151" spans="1:17" ht="12.75" customHeight="1" x14ac:dyDescent="0.3">
      <c r="A151" s="380"/>
      <c r="B151" s="380"/>
      <c r="C151" s="380"/>
      <c r="D151" s="380" t="s">
        <v>2262</v>
      </c>
      <c r="E151" s="379"/>
      <c r="F151" s="379"/>
      <c r="G151" s="382" t="s">
        <v>2360</v>
      </c>
      <c r="H151" s="380" t="s">
        <v>477</v>
      </c>
      <c r="I151" s="389" t="e">
        <f>#REF!</f>
        <v>#REF!</v>
      </c>
      <c r="J151" s="315"/>
      <c r="K151" s="315"/>
      <c r="L151" s="276"/>
      <c r="M151" s="276"/>
      <c r="N151" s="276"/>
      <c r="O151" s="276"/>
      <c r="P151" s="276"/>
      <c r="Q151" s="104"/>
    </row>
    <row r="152" spans="1:17" ht="12.75" customHeight="1" x14ac:dyDescent="0.3">
      <c r="A152" s="380"/>
      <c r="B152" s="380"/>
      <c r="C152" s="380"/>
      <c r="D152" s="380" t="s">
        <v>2331</v>
      </c>
      <c r="E152" s="379"/>
      <c r="F152" s="379"/>
      <c r="G152" s="382" t="s">
        <v>2361</v>
      </c>
      <c r="H152" s="380" t="s">
        <v>477</v>
      </c>
      <c r="I152" s="389" t="e">
        <f>#REF!</f>
        <v>#REF!</v>
      </c>
      <c r="J152" s="315"/>
      <c r="K152" s="315"/>
      <c r="L152" s="276"/>
      <c r="M152" s="276"/>
      <c r="N152" s="276"/>
      <c r="O152" s="276"/>
      <c r="P152" s="276"/>
      <c r="Q152" s="104"/>
    </row>
    <row r="153" spans="1:17" ht="12.75" customHeight="1" x14ac:dyDescent="0.3">
      <c r="A153" s="380"/>
      <c r="B153" s="380"/>
      <c r="C153" s="380"/>
      <c r="D153" s="380" t="s">
        <v>2263</v>
      </c>
      <c r="E153" s="379"/>
      <c r="F153" s="379"/>
      <c r="G153" s="382" t="s">
        <v>2362</v>
      </c>
      <c r="H153" s="380" t="s">
        <v>477</v>
      </c>
      <c r="I153" s="389" t="e">
        <f>#REF!</f>
        <v>#REF!</v>
      </c>
      <c r="J153" s="315"/>
      <c r="K153" s="315"/>
      <c r="L153" s="276"/>
      <c r="M153" s="276"/>
      <c r="N153" s="276"/>
      <c r="O153" s="276"/>
      <c r="P153" s="276"/>
      <c r="Q153" s="104"/>
    </row>
    <row r="154" spans="1:17" ht="12.75" customHeight="1" x14ac:dyDescent="0.3">
      <c r="A154" s="380"/>
      <c r="B154" s="380"/>
      <c r="C154" s="380" t="s">
        <v>2284</v>
      </c>
      <c r="D154" s="380"/>
      <c r="E154" s="380"/>
      <c r="F154" s="379"/>
      <c r="G154" s="382" t="s">
        <v>2280</v>
      </c>
      <c r="H154" s="380" t="s">
        <v>2192</v>
      </c>
      <c r="I154" s="340" t="e">
        <f>#REF!</f>
        <v>#REF!</v>
      </c>
      <c r="J154" s="315"/>
      <c r="K154" s="315"/>
      <c r="L154" s="276"/>
      <c r="M154" s="276"/>
      <c r="N154" s="276"/>
      <c r="O154" s="276"/>
      <c r="P154" s="276"/>
      <c r="Q154" s="104"/>
    </row>
    <row r="155" spans="1:17" ht="12.75" customHeight="1" x14ac:dyDescent="0.3">
      <c r="A155" s="380"/>
      <c r="B155" s="380"/>
      <c r="C155" s="380"/>
      <c r="D155" s="380" t="s">
        <v>2264</v>
      </c>
      <c r="E155" s="379"/>
      <c r="F155" s="379"/>
      <c r="G155" s="382" t="s">
        <v>2363</v>
      </c>
      <c r="H155" s="380" t="s">
        <v>477</v>
      </c>
      <c r="I155" s="389" t="e">
        <f>#REF!</f>
        <v>#REF!</v>
      </c>
      <c r="J155" s="315"/>
      <c r="K155" s="315"/>
      <c r="L155" s="276"/>
      <c r="M155" s="276"/>
      <c r="N155" s="276"/>
      <c r="O155" s="276"/>
      <c r="P155" s="276"/>
      <c r="Q155" s="104"/>
    </row>
    <row r="156" spans="1:17" ht="12.75" customHeight="1" x14ac:dyDescent="0.3">
      <c r="A156" s="380"/>
      <c r="B156" s="380"/>
      <c r="C156" s="380"/>
      <c r="D156" s="380" t="s">
        <v>2289</v>
      </c>
      <c r="E156" s="379"/>
      <c r="F156" s="379"/>
      <c r="G156" s="382" t="s">
        <v>2364</v>
      </c>
      <c r="H156" s="380" t="s">
        <v>477</v>
      </c>
      <c r="I156" s="389" t="e">
        <f>#REF!</f>
        <v>#REF!</v>
      </c>
      <c r="J156" s="315"/>
      <c r="K156" s="315"/>
      <c r="L156" s="276"/>
      <c r="M156" s="276"/>
      <c r="N156" s="276"/>
      <c r="O156" s="276"/>
      <c r="P156" s="276"/>
      <c r="Q156" s="104"/>
    </row>
    <row r="157" spans="1:17" ht="12.75" customHeight="1" x14ac:dyDescent="0.3">
      <c r="A157" s="380"/>
      <c r="B157" s="380"/>
      <c r="C157" s="380"/>
      <c r="D157" s="380" t="s">
        <v>2265</v>
      </c>
      <c r="E157" s="379"/>
      <c r="F157" s="379"/>
      <c r="G157" s="382" t="s">
        <v>2365</v>
      </c>
      <c r="H157" s="380" t="s">
        <v>477</v>
      </c>
      <c r="I157" s="389" t="e">
        <f>#REF!</f>
        <v>#REF!</v>
      </c>
      <c r="J157" s="315"/>
      <c r="K157" s="315"/>
      <c r="L157" s="276"/>
      <c r="M157" s="276"/>
      <c r="N157" s="276"/>
      <c r="O157" s="276"/>
      <c r="P157" s="276"/>
      <c r="Q157" s="104"/>
    </row>
    <row r="158" spans="1:17" ht="12.75" customHeight="1" x14ac:dyDescent="0.3">
      <c r="A158" s="380"/>
      <c r="B158" s="380"/>
      <c r="C158" s="380"/>
      <c r="D158" s="380" t="s">
        <v>2332</v>
      </c>
      <c r="E158" s="379"/>
      <c r="F158" s="379"/>
      <c r="G158" s="382" t="s">
        <v>2366</v>
      </c>
      <c r="H158" s="380" t="s">
        <v>477</v>
      </c>
      <c r="I158" s="389" t="e">
        <f>#REF!</f>
        <v>#REF!</v>
      </c>
      <c r="J158" s="315"/>
      <c r="K158" s="315"/>
      <c r="L158" s="276"/>
      <c r="M158" s="276"/>
      <c r="N158" s="276"/>
      <c r="O158" s="276"/>
      <c r="P158" s="276"/>
      <c r="Q158" s="104"/>
    </row>
    <row r="159" spans="1:17" ht="12.75" customHeight="1" x14ac:dyDescent="0.3">
      <c r="A159" s="380"/>
      <c r="B159" s="380"/>
      <c r="C159" s="380"/>
      <c r="D159" s="380" t="s">
        <v>2266</v>
      </c>
      <c r="E159" s="379"/>
      <c r="F159" s="379"/>
      <c r="G159" s="382" t="s">
        <v>2367</v>
      </c>
      <c r="H159" s="380" t="s">
        <v>477</v>
      </c>
      <c r="I159" s="389" t="e">
        <f>#REF!</f>
        <v>#REF!</v>
      </c>
      <c r="J159" s="315"/>
      <c r="K159" s="315"/>
      <c r="L159" s="276"/>
      <c r="M159" s="276"/>
      <c r="N159" s="276"/>
      <c r="O159" s="276"/>
      <c r="P159" s="276"/>
      <c r="Q159" s="104"/>
    </row>
    <row r="160" spans="1:17" ht="12.75" customHeight="1" x14ac:dyDescent="0.3">
      <c r="A160" s="380"/>
      <c r="B160" s="380" t="s">
        <v>2285</v>
      </c>
      <c r="C160" s="380"/>
      <c r="D160" s="383"/>
      <c r="E160" s="383"/>
      <c r="F160" s="379"/>
      <c r="G160" s="382" t="s">
        <v>2378</v>
      </c>
      <c r="H160" s="380" t="s">
        <v>2192</v>
      </c>
      <c r="I160" s="340" t="e">
        <f>#REF!</f>
        <v>#REF!</v>
      </c>
      <c r="J160" s="315"/>
      <c r="K160" s="315"/>
      <c r="L160" s="276"/>
      <c r="M160" s="276"/>
      <c r="N160" s="276"/>
      <c r="O160" s="276"/>
      <c r="P160" s="276"/>
      <c r="Q160" s="104"/>
    </row>
    <row r="161" spans="1:17" ht="12.75" customHeight="1" x14ac:dyDescent="0.3">
      <c r="A161" s="380"/>
      <c r="B161" s="380" t="s">
        <v>2227</v>
      </c>
      <c r="C161" s="380"/>
      <c r="D161" s="380"/>
      <c r="E161" s="383"/>
      <c r="F161" s="379"/>
      <c r="G161" s="382" t="s">
        <v>2379</v>
      </c>
      <c r="H161" s="380" t="s">
        <v>2192</v>
      </c>
      <c r="I161" s="340" t="e">
        <f>#REF!</f>
        <v>#REF!</v>
      </c>
      <c r="J161" s="315"/>
      <c r="K161" s="315"/>
      <c r="L161" s="276"/>
      <c r="M161" s="276"/>
      <c r="N161" s="276"/>
      <c r="O161" s="276"/>
      <c r="P161" s="276"/>
      <c r="Q161" s="104"/>
    </row>
    <row r="162" spans="1:17" ht="12.75" customHeight="1" x14ac:dyDescent="0.3">
      <c r="A162" s="380"/>
      <c r="B162" s="380" t="s">
        <v>2228</v>
      </c>
      <c r="C162" s="380"/>
      <c r="D162" s="380"/>
      <c r="E162" s="383"/>
      <c r="F162" s="379"/>
      <c r="G162" s="382" t="s">
        <v>2380</v>
      </c>
      <c r="H162" s="380" t="s">
        <v>2192</v>
      </c>
      <c r="I162" s="340" t="e">
        <f>#REF!</f>
        <v>#REF!</v>
      </c>
      <c r="J162" s="315"/>
      <c r="K162" s="315"/>
      <c r="L162" s="276"/>
      <c r="M162" s="276"/>
      <c r="N162" s="276"/>
      <c r="O162" s="276"/>
      <c r="P162" s="276"/>
      <c r="Q162" s="104"/>
    </row>
    <row r="163" spans="1:17" ht="12.75" customHeight="1" x14ac:dyDescent="0.3">
      <c r="A163" s="380"/>
      <c r="B163" s="380" t="s">
        <v>2229</v>
      </c>
      <c r="C163" s="380"/>
      <c r="D163" s="380"/>
      <c r="E163" s="383"/>
      <c r="F163" s="379"/>
      <c r="G163" s="382" t="s">
        <v>2381</v>
      </c>
      <c r="H163" s="380" t="s">
        <v>2192</v>
      </c>
      <c r="I163" s="340" t="e">
        <f>#REF!</f>
        <v>#REF!</v>
      </c>
      <c r="J163" s="315"/>
      <c r="K163" s="315"/>
      <c r="L163" s="276"/>
      <c r="M163" s="276"/>
      <c r="N163" s="276"/>
      <c r="O163" s="276"/>
      <c r="P163" s="276"/>
      <c r="Q163" s="104"/>
    </row>
    <row r="164" spans="1:17" ht="12.75" customHeight="1" x14ac:dyDescent="0.3">
      <c r="A164" s="380"/>
      <c r="B164" s="380" t="s">
        <v>2230</v>
      </c>
      <c r="C164" s="380"/>
      <c r="D164" s="380"/>
      <c r="E164" s="383"/>
      <c r="F164" s="379"/>
      <c r="G164" s="382" t="s">
        <v>2382</v>
      </c>
      <c r="H164" s="380" t="s">
        <v>2192</v>
      </c>
      <c r="I164" s="340" t="e">
        <f>#REF!</f>
        <v>#REF!</v>
      </c>
      <c r="J164" s="315"/>
      <c r="K164" s="315"/>
      <c r="L164" s="276"/>
      <c r="M164" s="276"/>
      <c r="N164" s="276"/>
      <c r="O164" s="276"/>
      <c r="P164" s="276"/>
      <c r="Q164" s="104"/>
    </row>
    <row r="165" spans="1:17" ht="12.75" customHeight="1" x14ac:dyDescent="0.3">
      <c r="A165" s="380"/>
      <c r="B165" s="380"/>
      <c r="C165" s="380" t="s">
        <v>2286</v>
      </c>
      <c r="D165" s="383"/>
      <c r="E165" s="379"/>
      <c r="F165" s="379"/>
      <c r="G165" s="382" t="s">
        <v>2287</v>
      </c>
      <c r="H165" s="380" t="s">
        <v>2192</v>
      </c>
      <c r="I165" s="340" t="e">
        <f>#REF!</f>
        <v>#REF!</v>
      </c>
      <c r="J165" s="315"/>
      <c r="K165" s="315"/>
      <c r="L165" s="276"/>
      <c r="M165" s="276"/>
      <c r="N165" s="276"/>
      <c r="O165" s="276"/>
      <c r="P165" s="276"/>
      <c r="Q165" s="104"/>
    </row>
    <row r="166" spans="1:17" ht="12.75" customHeight="1" x14ac:dyDescent="0.3">
      <c r="A166" s="380"/>
      <c r="B166" s="380"/>
      <c r="C166" s="380"/>
      <c r="D166" s="380" t="s">
        <v>2267</v>
      </c>
      <c r="E166" s="379"/>
      <c r="F166" s="379"/>
      <c r="G166" s="382" t="s">
        <v>2368</v>
      </c>
      <c r="H166" s="380" t="s">
        <v>477</v>
      </c>
      <c r="I166" s="389" t="e">
        <f>#REF!</f>
        <v>#REF!</v>
      </c>
      <c r="J166" s="315"/>
      <c r="K166" s="315"/>
      <c r="L166" s="276"/>
      <c r="M166" s="276"/>
      <c r="N166" s="276"/>
      <c r="O166" s="276"/>
      <c r="P166" s="276"/>
      <c r="Q166" s="104"/>
    </row>
    <row r="167" spans="1:17" ht="12.75" customHeight="1" x14ac:dyDescent="0.3">
      <c r="A167" s="380"/>
      <c r="B167" s="380"/>
      <c r="C167" s="380"/>
      <c r="D167" s="380" t="s">
        <v>2268</v>
      </c>
      <c r="E167" s="379"/>
      <c r="F167" s="379"/>
      <c r="G167" s="382" t="s">
        <v>2369</v>
      </c>
      <c r="H167" s="380" t="s">
        <v>477</v>
      </c>
      <c r="I167" s="389" t="e">
        <f>#REF!</f>
        <v>#REF!</v>
      </c>
      <c r="J167" s="315"/>
      <c r="K167" s="315"/>
      <c r="L167" s="276"/>
      <c r="M167" s="276"/>
      <c r="N167" s="276"/>
      <c r="O167" s="276"/>
      <c r="P167" s="276"/>
      <c r="Q167" s="104"/>
    </row>
    <row r="168" spans="1:17" ht="12.75" customHeight="1" x14ac:dyDescent="0.3">
      <c r="A168" s="380"/>
      <c r="B168" s="380"/>
      <c r="C168" s="380"/>
      <c r="D168" s="380" t="s">
        <v>2269</v>
      </c>
      <c r="E168" s="379"/>
      <c r="F168" s="379"/>
      <c r="G168" s="382" t="s">
        <v>2370</v>
      </c>
      <c r="H168" s="380" t="s">
        <v>477</v>
      </c>
      <c r="I168" s="389" t="e">
        <f>#REF!</f>
        <v>#REF!</v>
      </c>
      <c r="J168" s="315"/>
      <c r="K168" s="315"/>
      <c r="L168" s="276"/>
      <c r="M168" s="276"/>
      <c r="N168" s="276"/>
      <c r="O168" s="276"/>
      <c r="P168" s="276"/>
      <c r="Q168" s="104"/>
    </row>
    <row r="169" spans="1:17" ht="12.75" customHeight="1" x14ac:dyDescent="0.3">
      <c r="A169" s="380"/>
      <c r="B169" s="380"/>
      <c r="C169" s="380"/>
      <c r="D169" s="380" t="s">
        <v>2270</v>
      </c>
      <c r="E169" s="379"/>
      <c r="F169" s="379"/>
      <c r="G169" s="382" t="s">
        <v>2371</v>
      </c>
      <c r="H169" s="380" t="s">
        <v>477</v>
      </c>
      <c r="I169" s="389" t="e">
        <f>#REF!</f>
        <v>#REF!</v>
      </c>
      <c r="J169" s="315"/>
      <c r="K169" s="315"/>
      <c r="L169" s="276"/>
      <c r="M169" s="276"/>
      <c r="N169" s="276"/>
      <c r="O169" s="276"/>
      <c r="P169" s="276"/>
      <c r="Q169" s="104"/>
    </row>
    <row r="170" spans="1:17" ht="12.75" customHeight="1" x14ac:dyDescent="0.3">
      <c r="A170" s="380"/>
      <c r="B170" s="380"/>
      <c r="C170" s="380"/>
      <c r="D170" s="380" t="s">
        <v>2271</v>
      </c>
      <c r="E170" s="379"/>
      <c r="F170" s="379"/>
      <c r="G170" s="382" t="s">
        <v>2372</v>
      </c>
      <c r="H170" s="380" t="s">
        <v>477</v>
      </c>
      <c r="I170" s="389" t="e">
        <f>#REF!</f>
        <v>#REF!</v>
      </c>
      <c r="J170" s="315"/>
      <c r="K170" s="315"/>
      <c r="L170" s="276"/>
      <c r="M170" s="276"/>
      <c r="N170" s="276"/>
      <c r="O170" s="276"/>
      <c r="P170" s="276"/>
      <c r="Q170" s="104"/>
    </row>
    <row r="171" spans="1:17" ht="12.75" customHeight="1" x14ac:dyDescent="0.3">
      <c r="A171" s="380"/>
      <c r="B171" s="380"/>
      <c r="C171" s="380" t="s">
        <v>2288</v>
      </c>
      <c r="D171" s="383"/>
      <c r="E171" s="379"/>
      <c r="F171" s="379"/>
      <c r="G171" s="382" t="s">
        <v>2281</v>
      </c>
      <c r="H171" s="380" t="s">
        <v>2192</v>
      </c>
      <c r="I171" s="340" t="e">
        <f>#REF!</f>
        <v>#REF!</v>
      </c>
      <c r="J171" s="315"/>
      <c r="K171" s="315"/>
      <c r="L171" s="276"/>
      <c r="M171" s="276"/>
      <c r="N171" s="276"/>
      <c r="O171" s="276"/>
      <c r="P171" s="276"/>
      <c r="Q171" s="104"/>
    </row>
    <row r="172" spans="1:17" ht="12.75" customHeight="1" x14ac:dyDescent="0.3">
      <c r="A172" s="380"/>
      <c r="B172" s="380"/>
      <c r="C172" s="380"/>
      <c r="D172" s="380" t="s">
        <v>2272</v>
      </c>
      <c r="E172" s="379"/>
      <c r="F172" s="379"/>
      <c r="G172" s="382" t="s">
        <v>2373</v>
      </c>
      <c r="H172" s="380" t="s">
        <v>477</v>
      </c>
      <c r="I172" s="389" t="e">
        <f>#REF!</f>
        <v>#REF!</v>
      </c>
      <c r="J172" s="315"/>
      <c r="K172" s="315"/>
      <c r="L172" s="276"/>
      <c r="M172" s="276"/>
      <c r="N172" s="276"/>
      <c r="O172" s="276"/>
      <c r="P172" s="276"/>
      <c r="Q172" s="104"/>
    </row>
    <row r="173" spans="1:17" ht="12.75" customHeight="1" x14ac:dyDescent="0.3">
      <c r="A173" s="380"/>
      <c r="B173" s="380"/>
      <c r="C173" s="380"/>
      <c r="D173" s="380" t="s">
        <v>2273</v>
      </c>
      <c r="E173" s="379"/>
      <c r="F173" s="379"/>
      <c r="G173" s="382" t="s">
        <v>2374</v>
      </c>
      <c r="H173" s="380" t="s">
        <v>477</v>
      </c>
      <c r="I173" s="389" t="e">
        <f>#REF!</f>
        <v>#REF!</v>
      </c>
      <c r="J173" s="315"/>
      <c r="K173" s="315"/>
      <c r="L173" s="276"/>
      <c r="M173" s="276"/>
      <c r="N173" s="276"/>
      <c r="O173" s="276"/>
      <c r="P173" s="276"/>
      <c r="Q173" s="104"/>
    </row>
    <row r="174" spans="1:17" ht="12.75" customHeight="1" x14ac:dyDescent="0.3">
      <c r="A174" s="380"/>
      <c r="B174" s="380"/>
      <c r="C174" s="380"/>
      <c r="D174" s="380" t="s">
        <v>2274</v>
      </c>
      <c r="E174" s="379"/>
      <c r="F174" s="379"/>
      <c r="G174" s="382" t="s">
        <v>2375</v>
      </c>
      <c r="H174" s="380" t="s">
        <v>477</v>
      </c>
      <c r="I174" s="389" t="e">
        <f>#REF!</f>
        <v>#REF!</v>
      </c>
      <c r="J174" s="315"/>
      <c r="K174" s="315"/>
      <c r="L174" s="276"/>
      <c r="M174" s="276"/>
      <c r="N174" s="276"/>
      <c r="O174" s="276"/>
      <c r="P174" s="276"/>
      <c r="Q174" s="104"/>
    </row>
    <row r="175" spans="1:17" ht="12.75" customHeight="1" x14ac:dyDescent="0.3">
      <c r="A175" s="380"/>
      <c r="B175" s="380"/>
      <c r="C175" s="380"/>
      <c r="D175" s="380" t="s">
        <v>2275</v>
      </c>
      <c r="E175" s="379"/>
      <c r="F175" s="379"/>
      <c r="G175" s="382" t="s">
        <v>2376</v>
      </c>
      <c r="H175" s="380" t="s">
        <v>477</v>
      </c>
      <c r="I175" s="389" t="e">
        <f>#REF!</f>
        <v>#REF!</v>
      </c>
      <c r="J175" s="315"/>
      <c r="K175" s="315"/>
      <c r="L175" s="276"/>
      <c r="M175" s="276"/>
      <c r="N175" s="276"/>
      <c r="O175" s="276"/>
      <c r="P175" s="276"/>
      <c r="Q175" s="104"/>
    </row>
    <row r="176" spans="1:17" ht="12.75" customHeight="1" x14ac:dyDescent="0.3">
      <c r="A176" s="380"/>
      <c r="B176" s="380"/>
      <c r="C176" s="380"/>
      <c r="D176" s="380" t="s">
        <v>2276</v>
      </c>
      <c r="E176" s="379"/>
      <c r="F176" s="379"/>
      <c r="G176" s="382" t="s">
        <v>2377</v>
      </c>
      <c r="H176" s="380" t="s">
        <v>477</v>
      </c>
      <c r="I176" s="389" t="e">
        <f>#REF!</f>
        <v>#REF!</v>
      </c>
      <c r="J176" s="315"/>
      <c r="K176" s="315"/>
      <c r="L176" s="276"/>
      <c r="M176" s="276"/>
      <c r="N176" s="276"/>
      <c r="O176" s="276"/>
      <c r="P176" s="276"/>
      <c r="Q176" s="104"/>
    </row>
    <row r="177" spans="1:17" ht="12.75" customHeight="1" x14ac:dyDescent="0.3">
      <c r="A177" s="380"/>
      <c r="B177" s="380"/>
      <c r="C177" s="380"/>
      <c r="D177" s="380"/>
      <c r="E177" s="379"/>
      <c r="F177" s="379"/>
      <c r="G177" s="382"/>
      <c r="H177" s="381"/>
      <c r="I177" s="162"/>
      <c r="J177" s="320"/>
      <c r="K177" s="320"/>
      <c r="L177" s="283"/>
      <c r="M177" s="283"/>
      <c r="N177" s="283"/>
      <c r="O177" s="283"/>
      <c r="P177" s="283"/>
      <c r="Q177" s="104"/>
    </row>
    <row r="178" spans="1:17" ht="12.75" customHeight="1" x14ac:dyDescent="0.3">
      <c r="A178" s="398" t="s">
        <v>2428</v>
      </c>
      <c r="B178" s="384"/>
      <c r="C178" s="384"/>
      <c r="D178" s="384"/>
      <c r="E178" s="384"/>
      <c r="F178" s="384"/>
      <c r="G178" s="306"/>
      <c r="H178" s="306"/>
      <c r="I178" s="162"/>
      <c r="J178" s="320"/>
      <c r="K178" s="320"/>
      <c r="L178" s="283"/>
      <c r="M178" s="283"/>
      <c r="N178" s="283"/>
      <c r="O178" s="283"/>
      <c r="P178" s="283"/>
      <c r="Q178" s="104"/>
    </row>
    <row r="179" spans="1:17" ht="12.75" customHeight="1" x14ac:dyDescent="0.3">
      <c r="A179" s="306"/>
      <c r="B179" s="306" t="s">
        <v>968</v>
      </c>
      <c r="C179" s="384"/>
      <c r="D179" s="384"/>
      <c r="E179" s="384"/>
      <c r="F179" s="384"/>
      <c r="G179" s="399" t="s">
        <v>2429</v>
      </c>
      <c r="H179" s="380" t="s">
        <v>2192</v>
      </c>
      <c r="I179" s="389" t="e">
        <f>#REF!</f>
        <v>#REF!</v>
      </c>
      <c r="J179" s="315"/>
      <c r="K179" s="315"/>
      <c r="L179" s="276"/>
      <c r="M179" s="276"/>
      <c r="N179" s="276"/>
      <c r="O179" s="276"/>
      <c r="P179" s="276"/>
      <c r="Q179" s="104"/>
    </row>
    <row r="180" spans="1:17" ht="12.75" customHeight="1" x14ac:dyDescent="0.3">
      <c r="A180" s="306"/>
      <c r="B180" s="306" t="s">
        <v>2404</v>
      </c>
      <c r="C180" s="384"/>
      <c r="D180" s="384"/>
      <c r="E180" s="384"/>
      <c r="F180" s="384"/>
      <c r="G180" s="399" t="s">
        <v>2430</v>
      </c>
      <c r="H180" s="380" t="s">
        <v>2192</v>
      </c>
      <c r="I180" s="389" t="e">
        <f>#REF!</f>
        <v>#REF!</v>
      </c>
      <c r="J180" s="315"/>
      <c r="K180" s="315"/>
      <c r="L180" s="276"/>
      <c r="M180" s="276"/>
      <c r="N180" s="276"/>
      <c r="O180" s="276"/>
      <c r="P180" s="276"/>
      <c r="Q180" s="104"/>
    </row>
    <row r="181" spans="1:17" ht="12.75" customHeight="1" x14ac:dyDescent="0.3">
      <c r="A181" s="306"/>
      <c r="B181" s="306" t="s">
        <v>1087</v>
      </c>
      <c r="C181" s="384"/>
      <c r="D181" s="384"/>
      <c r="E181" s="384"/>
      <c r="F181" s="384"/>
      <c r="G181" s="399" t="s">
        <v>2431</v>
      </c>
      <c r="H181" s="380" t="s">
        <v>2192</v>
      </c>
      <c r="I181" s="389" t="e">
        <f>#REF!</f>
        <v>#REF!</v>
      </c>
      <c r="J181" s="315"/>
      <c r="K181" s="315"/>
      <c r="L181" s="276"/>
      <c r="M181" s="276"/>
      <c r="N181" s="276"/>
      <c r="O181" s="276"/>
      <c r="P181" s="276"/>
      <c r="Q181" s="104"/>
    </row>
    <row r="182" spans="1:17" ht="12.75" customHeight="1" x14ac:dyDescent="0.3">
      <c r="A182" s="380"/>
      <c r="B182" s="380"/>
      <c r="C182" s="380" t="s">
        <v>2395</v>
      </c>
      <c r="D182" s="380"/>
      <c r="E182" s="379"/>
      <c r="F182" s="379"/>
      <c r="G182" s="382" t="s">
        <v>2432</v>
      </c>
      <c r="H182" s="380" t="s">
        <v>477</v>
      </c>
      <c r="I182" s="389" t="e">
        <f>#REF!</f>
        <v>#REF!</v>
      </c>
      <c r="J182" s="315"/>
      <c r="K182" s="315"/>
      <c r="L182" s="276"/>
      <c r="M182" s="276"/>
      <c r="N182" s="276"/>
      <c r="O182" s="276"/>
      <c r="P182" s="276"/>
      <c r="Q182" s="104"/>
    </row>
    <row r="183" spans="1:17" ht="12.75" customHeight="1" x14ac:dyDescent="0.3">
      <c r="A183" s="380"/>
      <c r="B183" s="380"/>
      <c r="C183" s="380" t="s">
        <v>2396</v>
      </c>
      <c r="D183" s="380"/>
      <c r="E183" s="379"/>
      <c r="F183" s="379"/>
      <c r="G183" s="380" t="s">
        <v>2433</v>
      </c>
      <c r="H183" s="380" t="s">
        <v>477</v>
      </c>
      <c r="I183" s="389" t="e">
        <f>#REF!</f>
        <v>#REF!</v>
      </c>
      <c r="J183" s="315"/>
      <c r="K183" s="315"/>
      <c r="L183" s="276"/>
      <c r="M183" s="276"/>
      <c r="N183" s="276"/>
      <c r="O183" s="276"/>
      <c r="P183" s="276"/>
      <c r="Q183" s="104"/>
    </row>
    <row r="184" spans="1:17" ht="12.75" customHeight="1" x14ac:dyDescent="0.3">
      <c r="A184" s="380"/>
      <c r="B184" s="380"/>
      <c r="C184" s="380" t="s">
        <v>2397</v>
      </c>
      <c r="D184" s="380"/>
      <c r="E184" s="379"/>
      <c r="F184" s="379"/>
      <c r="G184" s="382" t="s">
        <v>2434</v>
      </c>
      <c r="H184" s="380" t="s">
        <v>477</v>
      </c>
      <c r="I184" s="389" t="e">
        <f>#REF!</f>
        <v>#REF!</v>
      </c>
      <c r="J184" s="315"/>
      <c r="K184" s="315"/>
      <c r="L184" s="276"/>
      <c r="M184" s="276"/>
      <c r="N184" s="276"/>
      <c r="O184" s="276"/>
      <c r="P184" s="276"/>
      <c r="Q184" s="104"/>
    </row>
    <row r="185" spans="1:17" ht="12.75" customHeight="1" x14ac:dyDescent="0.3">
      <c r="A185" s="50" t="s">
        <v>2405</v>
      </c>
      <c r="B185" s="38"/>
      <c r="C185" s="38"/>
      <c r="D185" s="38"/>
      <c r="E185" s="38"/>
      <c r="F185" s="38"/>
      <c r="G185" s="42"/>
      <c r="H185" s="42"/>
      <c r="I185" s="162"/>
      <c r="J185" s="320"/>
      <c r="K185" s="320"/>
      <c r="L185" s="283"/>
      <c r="M185" s="283"/>
      <c r="N185" s="283"/>
      <c r="O185" s="283"/>
      <c r="P185" s="283"/>
      <c r="Q185" s="104"/>
    </row>
    <row r="186" spans="1:17" ht="12.75" customHeight="1" x14ac:dyDescent="0.3">
      <c r="A186" s="42"/>
      <c r="B186" s="42" t="s">
        <v>968</v>
      </c>
      <c r="C186" s="38"/>
      <c r="D186" s="38"/>
      <c r="E186" s="38"/>
      <c r="F186" s="38"/>
      <c r="G186" s="43" t="s">
        <v>694</v>
      </c>
      <c r="H186" s="380" t="s">
        <v>2192</v>
      </c>
      <c r="I186" s="340" t="e">
        <f>#REF!</f>
        <v>#REF!</v>
      </c>
      <c r="J186" s="315"/>
      <c r="K186" s="315"/>
      <c r="L186" s="276"/>
      <c r="M186" s="276"/>
      <c r="N186" s="276"/>
      <c r="O186" s="276"/>
      <c r="P186" s="276"/>
      <c r="Q186" s="104"/>
    </row>
    <row r="187" spans="1:17" ht="12.75" customHeight="1" x14ac:dyDescent="0.3">
      <c r="A187" s="42"/>
      <c r="B187" s="42" t="s">
        <v>1696</v>
      </c>
      <c r="C187" s="38"/>
      <c r="D187" s="38"/>
      <c r="E187" s="38"/>
      <c r="F187" s="38"/>
      <c r="G187" s="43" t="s">
        <v>1695</v>
      </c>
      <c r="H187" s="380" t="s">
        <v>2192</v>
      </c>
      <c r="I187" s="340" t="e">
        <f>#REF!</f>
        <v>#REF!</v>
      </c>
      <c r="J187" s="315"/>
      <c r="K187" s="315"/>
      <c r="L187" s="276"/>
      <c r="M187" s="276"/>
      <c r="N187" s="276"/>
      <c r="O187" s="276"/>
      <c r="P187" s="276"/>
      <c r="Q187" s="104"/>
    </row>
    <row r="188" spans="1:17" ht="12.75" customHeight="1" x14ac:dyDescent="0.3">
      <c r="A188" s="42"/>
      <c r="B188" s="42" t="s">
        <v>1598</v>
      </c>
      <c r="C188" s="38"/>
      <c r="D188" s="38"/>
      <c r="E188" s="38"/>
      <c r="F188" s="38"/>
      <c r="G188" s="43" t="s">
        <v>693</v>
      </c>
      <c r="H188" s="380" t="s">
        <v>2192</v>
      </c>
      <c r="I188" s="340" t="e">
        <f>#REF!</f>
        <v>#REF!</v>
      </c>
      <c r="J188" s="315"/>
      <c r="K188" s="315"/>
      <c r="L188" s="276"/>
      <c r="M188" s="276"/>
      <c r="N188" s="276"/>
      <c r="O188" s="276"/>
      <c r="P188" s="276"/>
      <c r="Q188" s="104"/>
    </row>
    <row r="189" spans="1:17" ht="12.75" customHeight="1" x14ac:dyDescent="0.3">
      <c r="A189" s="42"/>
      <c r="B189" s="42" t="s">
        <v>1599</v>
      </c>
      <c r="C189" s="38"/>
      <c r="D189" s="38"/>
      <c r="E189" s="38"/>
      <c r="F189" s="38"/>
      <c r="G189" s="43" t="s">
        <v>695</v>
      </c>
      <c r="H189" s="380" t="s">
        <v>2192</v>
      </c>
      <c r="I189" s="340" t="e">
        <f>#REF!</f>
        <v>#REF!</v>
      </c>
      <c r="J189" s="315"/>
      <c r="K189" s="315"/>
      <c r="L189" s="276"/>
      <c r="M189" s="276"/>
      <c r="N189" s="276"/>
      <c r="O189" s="276"/>
      <c r="P189" s="276"/>
      <c r="Q189" s="104"/>
    </row>
    <row r="190" spans="1:17" ht="12.75" customHeight="1" x14ac:dyDescent="0.3">
      <c r="A190" s="42"/>
      <c r="B190" s="42" t="s">
        <v>1194</v>
      </c>
      <c r="C190" s="38"/>
      <c r="D190" s="38"/>
      <c r="E190" s="38"/>
      <c r="F190" s="38"/>
      <c r="G190" s="43" t="s">
        <v>696</v>
      </c>
      <c r="H190" s="380" t="s">
        <v>2192</v>
      </c>
      <c r="I190" s="340" t="e">
        <f>#REF!</f>
        <v>#REF!</v>
      </c>
      <c r="J190" s="315"/>
      <c r="K190" s="315"/>
      <c r="L190" s="276"/>
      <c r="M190" s="276"/>
      <c r="N190" s="276"/>
      <c r="O190" s="276"/>
      <c r="P190" s="276"/>
      <c r="Q190" s="104"/>
    </row>
    <row r="191" spans="1:17" ht="12.75" customHeight="1" x14ac:dyDescent="0.3">
      <c r="A191" s="42"/>
      <c r="B191" s="42" t="s">
        <v>966</v>
      </c>
      <c r="C191" s="38"/>
      <c r="D191" s="38"/>
      <c r="E191" s="38"/>
      <c r="F191" s="38"/>
      <c r="G191" s="43" t="s">
        <v>1168</v>
      </c>
      <c r="H191" s="380" t="s">
        <v>2192</v>
      </c>
      <c r="I191" s="340" t="e">
        <f>#REF!</f>
        <v>#REF!</v>
      </c>
      <c r="J191" s="315"/>
      <c r="K191" s="315"/>
      <c r="L191" s="276"/>
      <c r="M191" s="276"/>
      <c r="N191" s="276"/>
      <c r="O191" s="276"/>
      <c r="P191" s="276"/>
      <c r="Q191" s="104"/>
    </row>
    <row r="192" spans="1:17" ht="12.75" customHeight="1" x14ac:dyDescent="0.3">
      <c r="A192" s="42"/>
      <c r="B192" s="42" t="s">
        <v>967</v>
      </c>
      <c r="C192" s="38"/>
      <c r="D192" s="38"/>
      <c r="E192" s="38"/>
      <c r="F192" s="38"/>
      <c r="G192" s="43" t="s">
        <v>1169</v>
      </c>
      <c r="H192" s="380" t="s">
        <v>2192</v>
      </c>
      <c r="I192" s="340" t="e">
        <f>#REF!</f>
        <v>#REF!</v>
      </c>
      <c r="J192" s="315"/>
      <c r="K192" s="315"/>
      <c r="L192" s="276"/>
      <c r="M192" s="276"/>
      <c r="N192" s="276"/>
      <c r="O192" s="276"/>
      <c r="P192" s="276"/>
      <c r="Q192" s="104"/>
    </row>
    <row r="193" spans="1:17" ht="12.75" customHeight="1" x14ac:dyDescent="0.3">
      <c r="A193" s="380"/>
      <c r="B193" s="380"/>
      <c r="C193" s="380" t="s">
        <v>2390</v>
      </c>
      <c r="D193" s="380"/>
      <c r="E193" s="379"/>
      <c r="F193" s="379"/>
      <c r="G193" s="380" t="s">
        <v>2398</v>
      </c>
      <c r="H193" s="380" t="s">
        <v>477</v>
      </c>
      <c r="I193" s="340" t="e">
        <f>#REF!</f>
        <v>#REF!</v>
      </c>
      <c r="J193" s="315"/>
      <c r="K193" s="315"/>
      <c r="L193" s="276"/>
      <c r="M193" s="276"/>
      <c r="N193" s="276"/>
      <c r="O193" s="276"/>
      <c r="P193" s="276"/>
      <c r="Q193" s="104"/>
    </row>
    <row r="194" spans="1:17" ht="12.75" customHeight="1" x14ac:dyDescent="0.3">
      <c r="A194" s="380"/>
      <c r="B194" s="380"/>
      <c r="C194" s="380" t="s">
        <v>2391</v>
      </c>
      <c r="D194" s="380"/>
      <c r="E194" s="379"/>
      <c r="F194" s="379"/>
      <c r="G194" s="380" t="s">
        <v>2399</v>
      </c>
      <c r="H194" s="380" t="s">
        <v>477</v>
      </c>
      <c r="I194" s="340" t="e">
        <f>#REF!</f>
        <v>#REF!</v>
      </c>
      <c r="J194" s="315"/>
      <c r="K194" s="315"/>
      <c r="L194" s="276"/>
      <c r="M194" s="276"/>
      <c r="N194" s="276"/>
      <c r="O194" s="276"/>
      <c r="P194" s="276"/>
      <c r="Q194" s="104"/>
    </row>
    <row r="195" spans="1:17" ht="12.75" customHeight="1" x14ac:dyDescent="0.3">
      <c r="A195" s="380"/>
      <c r="B195" s="380"/>
      <c r="C195" s="380" t="s">
        <v>2392</v>
      </c>
      <c r="D195" s="380"/>
      <c r="E195" s="379"/>
      <c r="F195" s="379"/>
      <c r="G195" s="382" t="s">
        <v>2400</v>
      </c>
      <c r="H195" s="380" t="s">
        <v>477</v>
      </c>
      <c r="I195" s="340" t="e">
        <f>#REF!</f>
        <v>#REF!</v>
      </c>
      <c r="J195" s="315"/>
      <c r="K195" s="315"/>
      <c r="L195" s="276"/>
      <c r="M195" s="276"/>
      <c r="N195" s="276"/>
      <c r="O195" s="276"/>
      <c r="P195" s="276"/>
      <c r="Q195" s="104"/>
    </row>
    <row r="196" spans="1:17" ht="12.75" customHeight="1" x14ac:dyDescent="0.3">
      <c r="A196" s="380"/>
      <c r="B196" s="380"/>
      <c r="C196" s="380" t="s">
        <v>2384</v>
      </c>
      <c r="D196" s="380"/>
      <c r="E196" s="379"/>
      <c r="F196" s="379"/>
      <c r="G196" s="380" t="s">
        <v>2401</v>
      </c>
      <c r="H196" s="380" t="s">
        <v>477</v>
      </c>
      <c r="I196" s="340" t="e">
        <f>#REF!</f>
        <v>#REF!</v>
      </c>
      <c r="J196" s="315"/>
      <c r="K196" s="315"/>
      <c r="L196" s="276"/>
      <c r="M196" s="276"/>
      <c r="N196" s="276"/>
      <c r="O196" s="276"/>
      <c r="P196" s="276"/>
      <c r="Q196" s="104"/>
    </row>
    <row r="197" spans="1:17" ht="12.75" customHeight="1" x14ac:dyDescent="0.3">
      <c r="A197" s="380"/>
      <c r="B197" s="380"/>
      <c r="C197" s="380" t="s">
        <v>2393</v>
      </c>
      <c r="D197" s="380"/>
      <c r="E197" s="379"/>
      <c r="F197" s="379"/>
      <c r="G197" s="382" t="s">
        <v>2402</v>
      </c>
      <c r="H197" s="380" t="s">
        <v>477</v>
      </c>
      <c r="I197" s="340" t="e">
        <f>#REF!</f>
        <v>#REF!</v>
      </c>
      <c r="J197" s="315"/>
      <c r="K197" s="315"/>
      <c r="L197" s="276"/>
      <c r="M197" s="276"/>
      <c r="N197" s="276"/>
      <c r="O197" s="276"/>
      <c r="P197" s="276"/>
      <c r="Q197" s="104"/>
    </row>
    <row r="198" spans="1:17" ht="12.75" customHeight="1" x14ac:dyDescent="0.3">
      <c r="A198" s="50" t="s">
        <v>2406</v>
      </c>
      <c r="B198" s="38"/>
      <c r="C198" s="38"/>
      <c r="D198" s="38"/>
      <c r="E198" s="38"/>
      <c r="F198" s="38"/>
      <c r="G198" s="68"/>
      <c r="H198" s="42"/>
      <c r="I198" s="337"/>
      <c r="J198" s="321"/>
      <c r="K198" s="321"/>
      <c r="L198" s="284"/>
      <c r="M198" s="284"/>
      <c r="N198" s="284"/>
      <c r="O198" s="284"/>
      <c r="P198" s="284"/>
      <c r="Q198" s="104"/>
    </row>
    <row r="199" spans="1:17" ht="12.75" customHeight="1" x14ac:dyDescent="0.3">
      <c r="A199" s="42"/>
      <c r="B199" s="42" t="s">
        <v>968</v>
      </c>
      <c r="C199" s="38"/>
      <c r="D199" s="38"/>
      <c r="E199" s="38"/>
      <c r="F199" s="38"/>
      <c r="G199" s="43" t="s">
        <v>1175</v>
      </c>
      <c r="H199" s="380" t="s">
        <v>2192</v>
      </c>
      <c r="I199" s="340" t="e">
        <f>#REF!</f>
        <v>#REF!</v>
      </c>
      <c r="J199" s="315"/>
      <c r="K199" s="315"/>
      <c r="L199" s="276"/>
      <c r="M199" s="276"/>
      <c r="N199" s="276"/>
      <c r="O199" s="276"/>
      <c r="P199" s="276"/>
      <c r="Q199" s="104"/>
    </row>
    <row r="200" spans="1:17" ht="12.75" customHeight="1" x14ac:dyDescent="0.3">
      <c r="A200" s="42"/>
      <c r="B200" s="42" t="s">
        <v>1696</v>
      </c>
      <c r="C200" s="38"/>
      <c r="D200" s="38"/>
      <c r="E200" s="38"/>
      <c r="F200" s="38"/>
      <c r="G200" s="43" t="s">
        <v>1697</v>
      </c>
      <c r="H200" s="380" t="s">
        <v>2192</v>
      </c>
      <c r="I200" s="340" t="e">
        <f>#REF!</f>
        <v>#REF!</v>
      </c>
      <c r="J200" s="315"/>
      <c r="K200" s="315"/>
      <c r="L200" s="276"/>
      <c r="M200" s="276"/>
      <c r="N200" s="276"/>
      <c r="O200" s="276"/>
      <c r="P200" s="276"/>
      <c r="Q200" s="104"/>
    </row>
    <row r="201" spans="1:17" ht="12.75" customHeight="1" x14ac:dyDescent="0.3">
      <c r="A201" s="42"/>
      <c r="B201" s="42" t="s">
        <v>1598</v>
      </c>
      <c r="C201" s="38"/>
      <c r="D201" s="38"/>
      <c r="E201" s="38"/>
      <c r="F201" s="38"/>
      <c r="G201" s="43" t="s">
        <v>1170</v>
      </c>
      <c r="H201" s="380" t="s">
        <v>2192</v>
      </c>
      <c r="I201" s="340" t="e">
        <f>#REF!</f>
        <v>#REF!</v>
      </c>
      <c r="J201" s="315"/>
      <c r="K201" s="315"/>
      <c r="L201" s="276"/>
      <c r="M201" s="276"/>
      <c r="N201" s="276"/>
      <c r="O201" s="276"/>
      <c r="P201" s="276"/>
      <c r="Q201" s="104"/>
    </row>
    <row r="202" spans="1:17" ht="12.75" customHeight="1" x14ac:dyDescent="0.3">
      <c r="A202" s="42"/>
      <c r="B202" s="42" t="s">
        <v>1599</v>
      </c>
      <c r="C202" s="38"/>
      <c r="D202" s="38"/>
      <c r="E202" s="38"/>
      <c r="F202" s="38"/>
      <c r="G202" s="43" t="s">
        <v>1171</v>
      </c>
      <c r="H202" s="380" t="s">
        <v>2192</v>
      </c>
      <c r="I202" s="340" t="e">
        <f>#REF!</f>
        <v>#REF!</v>
      </c>
      <c r="J202" s="315"/>
      <c r="K202" s="315"/>
      <c r="L202" s="276"/>
      <c r="M202" s="276"/>
      <c r="N202" s="276"/>
      <c r="O202" s="276"/>
      <c r="P202" s="276"/>
      <c r="Q202" s="104"/>
    </row>
    <row r="203" spans="1:17" ht="12.75" customHeight="1" x14ac:dyDescent="0.3">
      <c r="A203" s="42"/>
      <c r="B203" s="42" t="s">
        <v>1194</v>
      </c>
      <c r="C203" s="38"/>
      <c r="D203" s="38"/>
      <c r="E203" s="38"/>
      <c r="F203" s="38"/>
      <c r="G203" s="43" t="s">
        <v>1172</v>
      </c>
      <c r="H203" s="380" t="s">
        <v>2192</v>
      </c>
      <c r="I203" s="340" t="e">
        <f>#REF!</f>
        <v>#REF!</v>
      </c>
      <c r="J203" s="315"/>
      <c r="K203" s="315"/>
      <c r="L203" s="276"/>
      <c r="M203" s="276"/>
      <c r="N203" s="276"/>
      <c r="O203" s="276"/>
      <c r="P203" s="276"/>
      <c r="Q203" s="104"/>
    </row>
    <row r="204" spans="1:17" ht="12.75" customHeight="1" x14ac:dyDescent="0.3">
      <c r="A204" s="42"/>
      <c r="B204" s="42" t="s">
        <v>966</v>
      </c>
      <c r="C204" s="38"/>
      <c r="D204" s="38"/>
      <c r="E204" s="38"/>
      <c r="F204" s="38"/>
      <c r="G204" s="43" t="s">
        <v>1173</v>
      </c>
      <c r="H204" s="380" t="s">
        <v>2192</v>
      </c>
      <c r="I204" s="340" t="e">
        <f>#REF!</f>
        <v>#REF!</v>
      </c>
      <c r="J204" s="315"/>
      <c r="K204" s="315"/>
      <c r="L204" s="276"/>
      <c r="M204" s="276"/>
      <c r="N204" s="276"/>
      <c r="O204" s="276"/>
      <c r="P204" s="276"/>
      <c r="Q204" s="104"/>
    </row>
    <row r="205" spans="1:17" ht="12.75" customHeight="1" x14ac:dyDescent="0.3">
      <c r="A205" s="42"/>
      <c r="B205" s="42" t="s">
        <v>967</v>
      </c>
      <c r="C205" s="38"/>
      <c r="D205" s="38"/>
      <c r="E205" s="38"/>
      <c r="F205" s="38"/>
      <c r="G205" s="43" t="s">
        <v>1174</v>
      </c>
      <c r="H205" s="380" t="s">
        <v>2192</v>
      </c>
      <c r="I205" s="340" t="e">
        <f>#REF!</f>
        <v>#REF!</v>
      </c>
      <c r="J205" s="315"/>
      <c r="K205" s="315"/>
      <c r="L205" s="276"/>
      <c r="M205" s="276"/>
      <c r="N205" s="276"/>
      <c r="O205" s="276"/>
      <c r="P205" s="276"/>
      <c r="Q205" s="104"/>
    </row>
    <row r="206" spans="1:17" ht="12.75" customHeight="1" x14ac:dyDescent="0.3">
      <c r="A206" s="50" t="s">
        <v>2407</v>
      </c>
      <c r="B206" s="38"/>
      <c r="C206" s="38"/>
      <c r="D206" s="38"/>
      <c r="E206" s="38"/>
      <c r="F206" s="38"/>
      <c r="G206" s="68"/>
      <c r="H206" s="42"/>
      <c r="I206" s="337"/>
      <c r="J206" s="320"/>
      <c r="K206" s="320"/>
      <c r="L206" s="283"/>
      <c r="M206" s="283"/>
      <c r="N206" s="283"/>
      <c r="O206" s="283"/>
      <c r="P206" s="283"/>
      <c r="Q206" s="104"/>
    </row>
    <row r="207" spans="1:17" ht="12.75" customHeight="1" x14ac:dyDescent="0.3">
      <c r="A207" s="42"/>
      <c r="B207" s="42" t="s">
        <v>968</v>
      </c>
      <c r="C207" s="38"/>
      <c r="D207" s="38"/>
      <c r="E207" s="38"/>
      <c r="F207" s="38"/>
      <c r="G207" s="43" t="s">
        <v>1176</v>
      </c>
      <c r="H207" s="380" t="s">
        <v>2192</v>
      </c>
      <c r="I207" s="340" t="e">
        <f>#REF!</f>
        <v>#REF!</v>
      </c>
      <c r="J207" s="315"/>
      <c r="K207" s="315"/>
      <c r="L207" s="276"/>
      <c r="M207" s="276"/>
      <c r="N207" s="276"/>
      <c r="O207" s="276"/>
      <c r="P207" s="276"/>
      <c r="Q207" s="104"/>
    </row>
    <row r="208" spans="1:17" ht="12.75" customHeight="1" x14ac:dyDescent="0.3">
      <c r="A208" s="42"/>
      <c r="B208" s="42" t="s">
        <v>1242</v>
      </c>
      <c r="C208" s="38"/>
      <c r="D208" s="38"/>
      <c r="E208" s="38"/>
      <c r="F208" s="38"/>
      <c r="G208" s="43" t="s">
        <v>684</v>
      </c>
      <c r="H208" s="380" t="s">
        <v>2192</v>
      </c>
      <c r="I208" s="340" t="e">
        <f>#REF!</f>
        <v>#REF!</v>
      </c>
      <c r="J208" s="315"/>
      <c r="K208" s="315"/>
      <c r="L208" s="276"/>
      <c r="M208" s="276"/>
      <c r="N208" s="276"/>
      <c r="O208" s="276"/>
      <c r="P208" s="276"/>
      <c r="Q208" s="104"/>
    </row>
    <row r="209" spans="1:17" ht="12.75" customHeight="1" x14ac:dyDescent="0.3">
      <c r="A209" s="42"/>
      <c r="B209" s="42" t="s">
        <v>1087</v>
      </c>
      <c r="C209" s="38"/>
      <c r="D209" s="38"/>
      <c r="E209" s="38"/>
      <c r="F209" s="38"/>
      <c r="G209" s="43" t="s">
        <v>1382</v>
      </c>
      <c r="H209" s="380" t="s">
        <v>2192</v>
      </c>
      <c r="I209" s="340" t="e">
        <f>#REF!</f>
        <v>#REF!</v>
      </c>
      <c r="J209" s="315"/>
      <c r="K209" s="315"/>
      <c r="L209" s="276"/>
      <c r="M209" s="276"/>
      <c r="N209" s="276"/>
      <c r="O209" s="276"/>
      <c r="P209" s="276"/>
      <c r="Q209" s="104"/>
    </row>
    <row r="210" spans="1:17" ht="12.75" customHeight="1" x14ac:dyDescent="0.3">
      <c r="A210" s="3" t="s">
        <v>2408</v>
      </c>
      <c r="B210" s="42"/>
      <c r="C210" s="38"/>
      <c r="D210" s="38"/>
      <c r="E210" s="38"/>
      <c r="F210" s="38"/>
      <c r="G210" s="68"/>
      <c r="H210" s="42"/>
      <c r="I210" s="337"/>
      <c r="J210" s="320"/>
      <c r="K210" s="320"/>
      <c r="L210" s="283"/>
      <c r="M210" s="283"/>
      <c r="N210" s="283"/>
      <c r="O210" s="283"/>
      <c r="P210" s="283"/>
      <c r="Q210" s="104"/>
    </row>
    <row r="211" spans="1:17" ht="12.75" customHeight="1" x14ac:dyDescent="0.3">
      <c r="A211" s="42"/>
      <c r="B211" s="42" t="s">
        <v>968</v>
      </c>
      <c r="C211" s="38"/>
      <c r="D211" s="38"/>
      <c r="E211" s="38"/>
      <c r="F211" s="38"/>
      <c r="G211" s="43" t="s">
        <v>1177</v>
      </c>
      <c r="H211" s="380" t="s">
        <v>2192</v>
      </c>
      <c r="I211" s="340" t="e">
        <f>#REF!</f>
        <v>#REF!</v>
      </c>
      <c r="J211" s="315"/>
      <c r="K211" s="315"/>
      <c r="L211" s="276"/>
      <c r="M211" s="276"/>
      <c r="N211" s="276"/>
      <c r="O211" s="276"/>
      <c r="P211" s="276"/>
      <c r="Q211" s="104"/>
    </row>
    <row r="212" spans="1:17" ht="12.75" customHeight="1" x14ac:dyDescent="0.3">
      <c r="A212" s="42"/>
      <c r="B212" s="42" t="s">
        <v>1242</v>
      </c>
      <c r="C212" s="38"/>
      <c r="D212" s="38"/>
      <c r="E212" s="38"/>
      <c r="F212" s="38"/>
      <c r="G212" s="43" t="s">
        <v>685</v>
      </c>
      <c r="H212" s="380" t="s">
        <v>2192</v>
      </c>
      <c r="I212" s="340" t="e">
        <f>#REF!</f>
        <v>#REF!</v>
      </c>
      <c r="J212" s="315"/>
      <c r="K212" s="315"/>
      <c r="L212" s="276"/>
      <c r="M212" s="276"/>
      <c r="N212" s="276"/>
      <c r="O212" s="276"/>
      <c r="P212" s="276"/>
      <c r="Q212" s="104"/>
    </row>
    <row r="213" spans="1:17" ht="12.75" customHeight="1" x14ac:dyDescent="0.3">
      <c r="A213" s="42"/>
      <c r="B213" s="42" t="s">
        <v>1087</v>
      </c>
      <c r="C213" s="38"/>
      <c r="D213" s="38"/>
      <c r="E213" s="38"/>
      <c r="F213" s="38"/>
      <c r="G213" s="43" t="s">
        <v>1381</v>
      </c>
      <c r="H213" s="380" t="s">
        <v>2192</v>
      </c>
      <c r="I213" s="340" t="e">
        <f>#REF!</f>
        <v>#REF!</v>
      </c>
      <c r="J213" s="315"/>
      <c r="K213" s="315"/>
      <c r="L213" s="276"/>
      <c r="M213" s="276"/>
      <c r="N213" s="276"/>
      <c r="O213" s="276"/>
      <c r="P213" s="276"/>
      <c r="Q213" s="104"/>
    </row>
    <row r="214" spans="1:17" ht="12.75" customHeight="1" x14ac:dyDescent="0.3">
      <c r="A214" s="50" t="s">
        <v>2409</v>
      </c>
      <c r="B214" s="38"/>
      <c r="C214" s="38"/>
      <c r="D214" s="38"/>
      <c r="E214" s="38"/>
      <c r="F214" s="38"/>
      <c r="G214" s="68"/>
      <c r="H214" s="42"/>
      <c r="I214" s="337"/>
      <c r="J214" s="320"/>
      <c r="K214" s="320"/>
      <c r="L214" s="283"/>
      <c r="M214" s="283"/>
      <c r="N214" s="283"/>
      <c r="O214" s="283"/>
      <c r="P214" s="283"/>
      <c r="Q214" s="104"/>
    </row>
    <row r="215" spans="1:17" ht="12.75" customHeight="1" x14ac:dyDescent="0.3">
      <c r="A215" s="42"/>
      <c r="B215" s="42" t="s">
        <v>968</v>
      </c>
      <c r="C215" s="38"/>
      <c r="D215" s="38"/>
      <c r="E215" s="38"/>
      <c r="F215" s="38"/>
      <c r="G215" s="43" t="s">
        <v>1383</v>
      </c>
      <c r="H215" s="380" t="s">
        <v>2192</v>
      </c>
      <c r="I215" s="340" t="e">
        <f>#REF!</f>
        <v>#REF!</v>
      </c>
      <c r="J215" s="315"/>
      <c r="K215" s="315"/>
      <c r="L215" s="276"/>
      <c r="M215" s="276"/>
      <c r="N215" s="276"/>
      <c r="O215" s="276"/>
      <c r="P215" s="276"/>
      <c r="Q215" s="104"/>
    </row>
    <row r="216" spans="1:17" ht="12.75" customHeight="1" x14ac:dyDescent="0.3">
      <c r="A216" s="42"/>
      <c r="B216" s="42" t="s">
        <v>1242</v>
      </c>
      <c r="C216" s="38"/>
      <c r="D216" s="38"/>
      <c r="E216" s="38"/>
      <c r="F216" s="38"/>
      <c r="G216" s="43" t="s">
        <v>686</v>
      </c>
      <c r="H216" s="380" t="s">
        <v>2192</v>
      </c>
      <c r="I216" s="340" t="e">
        <f>#REF!</f>
        <v>#REF!</v>
      </c>
      <c r="J216" s="315"/>
      <c r="K216" s="315"/>
      <c r="L216" s="276"/>
      <c r="M216" s="276"/>
      <c r="N216" s="276"/>
      <c r="O216" s="276"/>
      <c r="P216" s="276"/>
      <c r="Q216" s="104"/>
    </row>
    <row r="217" spans="1:17" ht="12.75" customHeight="1" x14ac:dyDescent="0.3">
      <c r="A217" s="42"/>
      <c r="B217" s="42" t="s">
        <v>1087</v>
      </c>
      <c r="C217" s="38"/>
      <c r="D217" s="38"/>
      <c r="E217" s="38"/>
      <c r="F217" s="38"/>
      <c r="G217" s="43" t="s">
        <v>1384</v>
      </c>
      <c r="H217" s="380" t="s">
        <v>2192</v>
      </c>
      <c r="I217" s="340" t="e">
        <f>#REF!</f>
        <v>#REF!</v>
      </c>
      <c r="J217" s="315"/>
      <c r="K217" s="315"/>
      <c r="L217" s="276"/>
      <c r="M217" s="276"/>
      <c r="N217" s="276"/>
      <c r="O217" s="276"/>
      <c r="P217" s="276"/>
      <c r="Q217" s="104"/>
    </row>
    <row r="218" spans="1:17" ht="12.75" customHeight="1" x14ac:dyDescent="0.3">
      <c r="A218" s="38"/>
      <c r="B218" s="38"/>
      <c r="C218" s="38"/>
      <c r="D218" s="38"/>
      <c r="E218" s="38"/>
      <c r="F218" s="38"/>
      <c r="G218" s="42"/>
      <c r="H218" s="42"/>
      <c r="I218" s="178"/>
      <c r="J218" s="320"/>
      <c r="K218" s="320"/>
      <c r="L218" s="283"/>
      <c r="M218" s="283"/>
      <c r="N218" s="283"/>
      <c r="O218" s="283"/>
      <c r="P218" s="283"/>
      <c r="Q218" s="104"/>
    </row>
    <row r="219" spans="1:17" ht="12.75" customHeight="1" x14ac:dyDescent="0.3">
      <c r="A219" s="401" t="s">
        <v>1733</v>
      </c>
      <c r="B219" s="402"/>
      <c r="C219" s="402"/>
      <c r="D219" s="402"/>
      <c r="E219" s="402"/>
      <c r="F219" s="402"/>
      <c r="G219" s="66"/>
      <c r="H219" s="66"/>
      <c r="I219" s="189" t="s">
        <v>748</v>
      </c>
      <c r="J219" s="319"/>
      <c r="K219" s="335"/>
      <c r="L219" s="282"/>
      <c r="M219" s="282"/>
      <c r="N219" s="282"/>
      <c r="O219" s="282"/>
      <c r="P219" s="282"/>
      <c r="Q219" s="104"/>
    </row>
    <row r="220" spans="1:17" ht="12.75" customHeight="1" x14ac:dyDescent="0.3">
      <c r="A220" s="42"/>
      <c r="B220" s="38"/>
      <c r="C220" s="38"/>
      <c r="D220" s="38"/>
      <c r="E220" s="38"/>
      <c r="F220" s="38"/>
      <c r="G220" s="42"/>
      <c r="H220" s="42"/>
      <c r="I220" s="162"/>
      <c r="J220" s="320"/>
      <c r="K220" s="320"/>
      <c r="L220" s="283"/>
      <c r="M220" s="283"/>
      <c r="N220" s="283"/>
      <c r="O220" s="283"/>
      <c r="P220" s="283"/>
      <c r="Q220" s="104"/>
    </row>
    <row r="221" spans="1:17" ht="12.75" customHeight="1" x14ac:dyDescent="0.3">
      <c r="A221" s="400" t="s">
        <v>2435</v>
      </c>
      <c r="B221" s="38"/>
      <c r="C221" s="38"/>
      <c r="D221" s="38"/>
      <c r="E221" s="38"/>
      <c r="F221" s="38"/>
      <c r="G221" s="38"/>
      <c r="H221" s="38"/>
      <c r="I221" s="162"/>
      <c r="J221" s="320"/>
      <c r="K221" s="320"/>
      <c r="L221" s="283"/>
      <c r="M221" s="283"/>
      <c r="N221" s="283"/>
      <c r="O221" s="283"/>
      <c r="P221" s="283"/>
      <c r="Q221" s="104"/>
    </row>
    <row r="222" spans="1:17" ht="12.75" customHeight="1" x14ac:dyDescent="0.3">
      <c r="A222" s="384"/>
      <c r="B222" s="384" t="s">
        <v>669</v>
      </c>
      <c r="C222" s="384"/>
      <c r="D222" s="384"/>
      <c r="E222" s="384"/>
      <c r="F222" s="384"/>
      <c r="G222" s="384" t="s">
        <v>2436</v>
      </c>
      <c r="H222" s="397" t="s">
        <v>2394</v>
      </c>
      <c r="I222" s="340">
        <f>input!I115</f>
        <v>16</v>
      </c>
      <c r="J222" s="315"/>
      <c r="K222" s="315"/>
      <c r="L222" s="276"/>
      <c r="M222" s="276"/>
      <c r="N222" s="276"/>
      <c r="O222" s="276"/>
      <c r="P222" s="276"/>
      <c r="Q222" s="104"/>
    </row>
    <row r="223" spans="1:17" ht="12.75" customHeight="1" x14ac:dyDescent="0.3">
      <c r="A223" s="384"/>
      <c r="B223" s="384" t="s">
        <v>2410</v>
      </c>
      <c r="C223" s="384"/>
      <c r="D223" s="384"/>
      <c r="E223" s="384"/>
      <c r="F223" s="384"/>
      <c r="G223" s="384" t="s">
        <v>2437</v>
      </c>
      <c r="H223" s="384" t="s">
        <v>477</v>
      </c>
      <c r="I223" s="340">
        <f>input!I116</f>
        <v>0.08</v>
      </c>
      <c r="J223" s="315"/>
      <c r="K223" s="315"/>
      <c r="L223" s="276"/>
      <c r="M223" s="276"/>
      <c r="N223" s="276"/>
      <c r="O223" s="276"/>
      <c r="P223" s="276"/>
      <c r="Q223" s="104"/>
    </row>
    <row r="224" spans="1:17" ht="12.75" customHeight="1" x14ac:dyDescent="0.3">
      <c r="A224" s="384"/>
      <c r="B224" s="384" t="s">
        <v>674</v>
      </c>
      <c r="C224" s="384"/>
      <c r="D224" s="384"/>
      <c r="E224" s="384"/>
      <c r="F224" s="384"/>
      <c r="G224" s="384" t="s">
        <v>2438</v>
      </c>
      <c r="H224" s="384" t="s">
        <v>477</v>
      </c>
      <c r="I224" s="340">
        <f>input!I117</f>
        <v>0.92</v>
      </c>
      <c r="J224" s="315"/>
      <c r="K224" s="315"/>
      <c r="L224" s="276"/>
      <c r="M224" s="276"/>
      <c r="N224" s="276"/>
      <c r="O224" s="276"/>
      <c r="P224" s="276"/>
      <c r="Q224" s="104"/>
    </row>
    <row r="225" spans="1:17" ht="12.75" customHeight="1" x14ac:dyDescent="0.3">
      <c r="A225" s="384"/>
      <c r="B225" s="384" t="s">
        <v>2411</v>
      </c>
      <c r="C225" s="384"/>
      <c r="D225" s="384"/>
      <c r="E225" s="384"/>
      <c r="F225" s="384"/>
      <c r="G225" s="384" t="s">
        <v>2439</v>
      </c>
      <c r="H225" s="384" t="s">
        <v>714</v>
      </c>
      <c r="I225" s="340">
        <f ca="1">input!I119</f>
        <v>2.4994320664324232</v>
      </c>
      <c r="J225" s="315"/>
      <c r="K225" s="315"/>
      <c r="L225" s="276"/>
      <c r="M225" s="276"/>
      <c r="N225" s="276"/>
      <c r="O225" s="276"/>
      <c r="P225" s="276"/>
      <c r="Q225" s="104"/>
    </row>
    <row r="226" spans="1:17" ht="12.75" customHeight="1" x14ac:dyDescent="0.3">
      <c r="A226" s="384"/>
      <c r="B226" s="384" t="s">
        <v>952</v>
      </c>
      <c r="C226" s="384"/>
      <c r="D226" s="384"/>
      <c r="E226" s="384"/>
      <c r="F226" s="384"/>
      <c r="G226" s="384" t="s">
        <v>2440</v>
      </c>
      <c r="H226" s="384" t="s">
        <v>477</v>
      </c>
      <c r="I226" s="340">
        <f>input!I120</f>
        <v>0</v>
      </c>
      <c r="J226" s="315"/>
      <c r="K226" s="315"/>
      <c r="L226" s="276"/>
      <c r="M226" s="276"/>
      <c r="N226" s="276"/>
      <c r="O226" s="276"/>
      <c r="P226" s="276"/>
      <c r="Q226" s="104"/>
    </row>
    <row r="227" spans="1:17" ht="12.75" customHeight="1" x14ac:dyDescent="0.3">
      <c r="A227" s="42"/>
      <c r="B227" s="38"/>
      <c r="C227" s="38"/>
      <c r="D227" s="38"/>
      <c r="E227" s="38"/>
      <c r="F227" s="38"/>
      <c r="G227" s="42"/>
      <c r="H227" s="42"/>
      <c r="I227" s="162"/>
      <c r="J227" s="320"/>
      <c r="K227" s="320"/>
      <c r="L227" s="283"/>
      <c r="M227" s="283"/>
      <c r="N227" s="283"/>
      <c r="O227" s="283"/>
      <c r="P227" s="283"/>
      <c r="Q227" s="104"/>
    </row>
    <row r="228" spans="1:17" ht="12.75" customHeight="1" x14ac:dyDescent="0.3">
      <c r="A228" s="3" t="s">
        <v>1372</v>
      </c>
      <c r="B228" s="38"/>
      <c r="C228" s="38"/>
      <c r="D228" s="38"/>
      <c r="E228" s="38"/>
      <c r="F228" s="38"/>
      <c r="G228" s="38"/>
      <c r="H228" s="38"/>
      <c r="I228" s="162"/>
      <c r="J228" s="322"/>
      <c r="K228" s="322"/>
      <c r="L228" s="285"/>
      <c r="M228" s="285"/>
      <c r="N228" s="285"/>
      <c r="O228" s="285"/>
      <c r="P228" s="285"/>
      <c r="Q228" s="104"/>
    </row>
    <row r="229" spans="1:17" ht="12.75" customHeight="1" x14ac:dyDescent="0.3">
      <c r="A229" s="38"/>
      <c r="B229" s="38" t="s">
        <v>669</v>
      </c>
      <c r="C229" s="38"/>
      <c r="D229" s="38"/>
      <c r="E229" s="38"/>
      <c r="F229" s="38"/>
      <c r="G229" s="38" t="s">
        <v>1393</v>
      </c>
      <c r="H229" s="64" t="s">
        <v>1934</v>
      </c>
      <c r="I229" s="340">
        <f>input!I123</f>
        <v>220</v>
      </c>
      <c r="J229" s="315"/>
      <c r="K229" s="315"/>
      <c r="L229" s="276"/>
      <c r="M229" s="276"/>
      <c r="N229" s="276"/>
      <c r="O229" s="276"/>
      <c r="P229" s="276"/>
      <c r="Q229" s="104"/>
    </row>
    <row r="230" spans="1:17" ht="12.75" customHeight="1" x14ac:dyDescent="0.3">
      <c r="A230" s="38"/>
      <c r="B230" s="38" t="s">
        <v>670</v>
      </c>
      <c r="C230" s="38"/>
      <c r="D230" s="38"/>
      <c r="E230" s="38"/>
      <c r="F230" s="38"/>
      <c r="G230" s="38" t="s">
        <v>1394</v>
      </c>
      <c r="H230" s="64" t="s">
        <v>1934</v>
      </c>
      <c r="I230" s="340">
        <f>input!I124</f>
        <v>9.9999999999999995E-21</v>
      </c>
      <c r="J230" s="315"/>
      <c r="K230" s="315"/>
      <c r="L230" s="276"/>
      <c r="M230" s="276"/>
      <c r="N230" s="276"/>
      <c r="O230" s="276"/>
      <c r="P230" s="276"/>
      <c r="Q230" s="104"/>
    </row>
    <row r="231" spans="1:17" ht="12.75" customHeight="1" x14ac:dyDescent="0.3">
      <c r="A231" s="38"/>
      <c r="B231" s="38" t="s">
        <v>302</v>
      </c>
      <c r="C231" s="38"/>
      <c r="D231" s="38"/>
      <c r="E231" s="38"/>
      <c r="F231" s="38"/>
      <c r="G231" s="38" t="s">
        <v>303</v>
      </c>
      <c r="H231" s="38" t="s">
        <v>477</v>
      </c>
      <c r="I231" s="340">
        <f>input!I125</f>
        <v>9.9999999999999995E-21</v>
      </c>
      <c r="J231" s="315"/>
      <c r="K231" s="315">
        <v>9.9999999999999995E-21</v>
      </c>
      <c r="L231" s="276"/>
      <c r="M231" s="276">
        <v>9.9999999999999995E-21</v>
      </c>
      <c r="N231" s="276">
        <v>9.9999999999999995E-21</v>
      </c>
      <c r="O231" s="276">
        <v>9.9999999999999995E-21</v>
      </c>
      <c r="P231" s="276">
        <v>9.9999999999999995E-21</v>
      </c>
      <c r="Q231" s="104"/>
    </row>
    <row r="232" spans="1:17" ht="12.75" customHeight="1" x14ac:dyDescent="0.3">
      <c r="A232" s="38"/>
      <c r="B232" s="38" t="s">
        <v>671</v>
      </c>
      <c r="C232" s="38"/>
      <c r="D232" s="38"/>
      <c r="E232" s="38"/>
      <c r="F232" s="38"/>
      <c r="G232" s="38" t="s">
        <v>675</v>
      </c>
      <c r="H232" s="38" t="s">
        <v>477</v>
      </c>
      <c r="I232" s="340">
        <f>input!I126</f>
        <v>0.24</v>
      </c>
      <c r="J232" s="315"/>
      <c r="K232" s="315">
        <v>0.03</v>
      </c>
      <c r="L232" s="276"/>
      <c r="M232" s="276">
        <v>0.03</v>
      </c>
      <c r="N232" s="276">
        <v>0.03</v>
      </c>
      <c r="O232" s="276">
        <v>0.03</v>
      </c>
      <c r="P232" s="276">
        <v>0.03</v>
      </c>
      <c r="Q232" s="104"/>
    </row>
    <row r="233" spans="1:17" ht="12.75" customHeight="1" x14ac:dyDescent="0.3">
      <c r="A233" s="38"/>
      <c r="B233" s="38" t="s">
        <v>672</v>
      </c>
      <c r="C233" s="38"/>
      <c r="D233" s="38"/>
      <c r="E233" s="38"/>
      <c r="F233" s="38"/>
      <c r="G233" s="38" t="s">
        <v>676</v>
      </c>
      <c r="H233" s="38" t="s">
        <v>477</v>
      </c>
      <c r="I233" s="340">
        <f>input!I127</f>
        <v>9.9999999999999995E-21</v>
      </c>
      <c r="J233" s="315"/>
      <c r="K233" s="315"/>
      <c r="L233" s="276"/>
      <c r="M233" s="276"/>
      <c r="N233" s="276"/>
      <c r="O233" s="276"/>
      <c r="P233" s="276"/>
      <c r="Q233" s="104"/>
    </row>
    <row r="234" spans="1:17" ht="12.75" customHeight="1" x14ac:dyDescent="0.3">
      <c r="A234" s="38"/>
      <c r="B234" s="38" t="s">
        <v>673</v>
      </c>
      <c r="C234" s="38"/>
      <c r="D234" s="38"/>
      <c r="E234" s="38"/>
      <c r="F234" s="38"/>
      <c r="G234" s="38" t="s">
        <v>1411</v>
      </c>
      <c r="H234" s="38" t="s">
        <v>477</v>
      </c>
      <c r="I234" s="340">
        <f>input!I128</f>
        <v>0.18</v>
      </c>
      <c r="J234" s="315"/>
      <c r="K234" s="315"/>
      <c r="L234" s="276"/>
      <c r="M234" s="276"/>
      <c r="N234" s="276"/>
      <c r="O234" s="276"/>
      <c r="P234" s="276"/>
      <c r="Q234" s="104"/>
    </row>
    <row r="235" spans="1:17" ht="12.75" customHeight="1" x14ac:dyDescent="0.3">
      <c r="A235" s="38"/>
      <c r="B235" s="38" t="s">
        <v>674</v>
      </c>
      <c r="C235" s="38"/>
      <c r="D235" s="38"/>
      <c r="E235" s="38"/>
      <c r="F235" s="38"/>
      <c r="G235" s="38" t="s">
        <v>1412</v>
      </c>
      <c r="H235" s="38" t="s">
        <v>477</v>
      </c>
      <c r="I235" s="340">
        <f>input!I129</f>
        <v>0.57999999999999996</v>
      </c>
      <c r="J235" s="315"/>
      <c r="K235" s="315"/>
      <c r="L235" s="276"/>
      <c r="M235" s="276"/>
      <c r="N235" s="276"/>
      <c r="O235" s="276"/>
      <c r="P235" s="276"/>
      <c r="Q235" s="104"/>
    </row>
    <row r="236" spans="1:17" ht="12.75" customHeight="1" x14ac:dyDescent="0.3">
      <c r="A236" s="38"/>
      <c r="B236" s="38" t="s">
        <v>949</v>
      </c>
      <c r="C236" s="38"/>
      <c r="D236" s="38"/>
      <c r="E236" s="38"/>
      <c r="F236" s="38"/>
      <c r="G236" s="38" t="s">
        <v>102</v>
      </c>
      <c r="H236" s="38" t="s">
        <v>1924</v>
      </c>
      <c r="I236" s="340">
        <f ca="1">input!I130</f>
        <v>26.144339001823425</v>
      </c>
      <c r="J236" s="315"/>
      <c r="K236" s="315"/>
      <c r="L236" s="276"/>
      <c r="M236" s="276"/>
      <c r="N236" s="276"/>
      <c r="O236" s="276"/>
      <c r="P236" s="276"/>
      <c r="Q236" s="104"/>
    </row>
    <row r="237" spans="1:17" ht="12.75" customHeight="1" x14ac:dyDescent="0.3">
      <c r="A237" s="38"/>
      <c r="B237" s="38" t="s">
        <v>950</v>
      </c>
      <c r="C237" s="38"/>
      <c r="D237" s="38"/>
      <c r="E237" s="38"/>
      <c r="F237" s="38"/>
      <c r="G237" s="38" t="s">
        <v>101</v>
      </c>
      <c r="H237" s="38" t="s">
        <v>1517</v>
      </c>
      <c r="I237" s="340">
        <f ca="1">input!I131</f>
        <v>1.3489437362390282</v>
      </c>
      <c r="J237" s="315"/>
      <c r="K237" s="315"/>
      <c r="L237" s="276"/>
      <c r="M237" s="276"/>
      <c r="N237" s="276"/>
      <c r="O237" s="276"/>
      <c r="P237" s="276"/>
      <c r="Q237" s="104"/>
    </row>
    <row r="238" spans="1:17" ht="12.75" customHeight="1" x14ac:dyDescent="0.3">
      <c r="A238" s="38"/>
      <c r="B238" s="38" t="s">
        <v>953</v>
      </c>
      <c r="C238" s="38"/>
      <c r="D238" s="38"/>
      <c r="E238" s="38"/>
      <c r="F238" s="38"/>
      <c r="G238" s="38" t="s">
        <v>114</v>
      </c>
      <c r="H238" s="38" t="s">
        <v>1518</v>
      </c>
      <c r="I238" s="340">
        <f ca="1">input!I132</f>
        <v>1510.6734618231249</v>
      </c>
      <c r="J238" s="315"/>
      <c r="K238" s="315"/>
      <c r="L238" s="276"/>
      <c r="M238" s="276"/>
      <c r="N238" s="276"/>
      <c r="O238" s="276"/>
      <c r="P238" s="276"/>
      <c r="Q238" s="104"/>
    </row>
    <row r="239" spans="1:17" ht="12.75" customHeight="1" x14ac:dyDescent="0.3">
      <c r="A239" s="38"/>
      <c r="B239" s="38" t="s">
        <v>305</v>
      </c>
      <c r="C239" s="38"/>
      <c r="D239" s="38"/>
      <c r="E239" s="38"/>
      <c r="F239" s="38"/>
      <c r="G239" s="38" t="s">
        <v>306</v>
      </c>
      <c r="H239" s="38" t="s">
        <v>714</v>
      </c>
      <c r="I239" s="340">
        <f>input!I133</f>
        <v>0</v>
      </c>
      <c r="J239" s="315"/>
      <c r="K239" s="315"/>
      <c r="L239" s="276"/>
      <c r="M239" s="276"/>
      <c r="N239" s="276"/>
      <c r="O239" s="276"/>
      <c r="P239" s="276"/>
      <c r="Q239" s="104"/>
    </row>
    <row r="240" spans="1:17" ht="12.75" customHeight="1" x14ac:dyDescent="0.3">
      <c r="A240" s="38"/>
      <c r="B240" s="38" t="s">
        <v>954</v>
      </c>
      <c r="C240" s="38"/>
      <c r="D240" s="38"/>
      <c r="E240" s="38"/>
      <c r="F240" s="38"/>
      <c r="G240" s="38" t="s">
        <v>1413</v>
      </c>
      <c r="H240" s="38" t="s">
        <v>714</v>
      </c>
      <c r="I240" s="340">
        <f ca="1">input!I134</f>
        <v>2.216512663873031</v>
      </c>
      <c r="J240" s="315"/>
      <c r="K240" s="315"/>
      <c r="L240" s="276"/>
      <c r="M240" s="276"/>
      <c r="N240" s="276"/>
      <c r="O240" s="276"/>
      <c r="P240" s="276"/>
      <c r="Q240" s="104"/>
    </row>
    <row r="241" spans="1:17" ht="12.75" customHeight="1" x14ac:dyDescent="0.3">
      <c r="A241" s="38"/>
      <c r="B241" s="38" t="s">
        <v>4</v>
      </c>
      <c r="C241" s="38"/>
      <c r="D241" s="38"/>
      <c r="E241" s="38"/>
      <c r="F241" s="38"/>
      <c r="G241" s="38" t="s">
        <v>5</v>
      </c>
      <c r="H241" s="38" t="s">
        <v>477</v>
      </c>
      <c r="I241" s="340">
        <f>input!I135</f>
        <v>0</v>
      </c>
      <c r="J241" s="315"/>
      <c r="K241" s="315"/>
      <c r="L241" s="276"/>
      <c r="M241" s="276"/>
      <c r="N241" s="276"/>
      <c r="O241" s="276"/>
      <c r="P241" s="276"/>
      <c r="Q241" s="104"/>
    </row>
    <row r="242" spans="1:17" ht="12.75" customHeight="1" x14ac:dyDescent="0.3">
      <c r="A242" s="38"/>
      <c r="B242" s="38" t="s">
        <v>952</v>
      </c>
      <c r="C242" s="38"/>
      <c r="D242" s="38"/>
      <c r="E242" s="38"/>
      <c r="F242" s="38"/>
      <c r="G242" s="38" t="s">
        <v>1415</v>
      </c>
      <c r="H242" s="38" t="s">
        <v>477</v>
      </c>
      <c r="I242" s="340">
        <f>input!I136</f>
        <v>0</v>
      </c>
      <c r="J242" s="315"/>
      <c r="K242" s="315"/>
      <c r="L242" s="276"/>
      <c r="M242" s="276"/>
      <c r="N242" s="276"/>
      <c r="O242" s="276"/>
      <c r="P242" s="276"/>
      <c r="Q242" s="104"/>
    </row>
    <row r="243" spans="1:17" ht="12.75" customHeight="1" x14ac:dyDescent="0.3">
      <c r="A243" s="38"/>
      <c r="B243" s="38" t="s">
        <v>951</v>
      </c>
      <c r="C243" s="38"/>
      <c r="D243" s="38"/>
      <c r="E243" s="38"/>
      <c r="F243" s="38"/>
      <c r="G243" s="38" t="s">
        <v>1414</v>
      </c>
      <c r="H243" s="38" t="s">
        <v>477</v>
      </c>
      <c r="I243" s="340">
        <f>input!I137</f>
        <v>0</v>
      </c>
      <c r="J243" s="315"/>
      <c r="K243" s="315"/>
      <c r="L243" s="276"/>
      <c r="M243" s="276"/>
      <c r="N243" s="276"/>
      <c r="O243" s="276"/>
      <c r="P243" s="276"/>
      <c r="Q243" s="104"/>
    </row>
    <row r="244" spans="1:17" ht="12.75" customHeight="1" x14ac:dyDescent="0.3">
      <c r="A244" s="38"/>
      <c r="B244" s="38" t="s">
        <v>955</v>
      </c>
      <c r="C244" s="38"/>
      <c r="D244" s="38"/>
      <c r="E244" s="38"/>
      <c r="F244" s="38"/>
      <c r="G244" s="38" t="s">
        <v>1416</v>
      </c>
      <c r="H244" s="38" t="s">
        <v>1518</v>
      </c>
      <c r="I244" s="340">
        <f>input!I138</f>
        <v>0</v>
      </c>
      <c r="J244" s="315"/>
      <c r="K244" s="315"/>
      <c r="L244" s="276"/>
      <c r="M244" s="276"/>
      <c r="N244" s="276"/>
      <c r="O244" s="276"/>
      <c r="P244" s="276"/>
      <c r="Q244" s="104"/>
    </row>
    <row r="245" spans="1:17" ht="12.75" customHeight="1" x14ac:dyDescent="0.3">
      <c r="A245" s="38"/>
      <c r="B245" s="38"/>
      <c r="C245" s="38"/>
      <c r="D245" s="38"/>
      <c r="E245" s="38"/>
      <c r="F245" s="38"/>
      <c r="G245" s="38"/>
      <c r="H245" s="38"/>
      <c r="I245" s="337"/>
      <c r="J245" s="322"/>
      <c r="K245" s="322"/>
      <c r="L245" s="285"/>
      <c r="M245" s="285"/>
      <c r="N245" s="285"/>
      <c r="O245" s="285"/>
      <c r="P245" s="285"/>
      <c r="Q245" s="104"/>
    </row>
    <row r="246" spans="1:17" ht="12.75" customHeight="1" x14ac:dyDescent="0.3">
      <c r="A246" s="3" t="s">
        <v>1322</v>
      </c>
      <c r="B246" s="38"/>
      <c r="C246" s="38"/>
      <c r="D246" s="38"/>
      <c r="E246" s="38"/>
      <c r="F246" s="38"/>
      <c r="G246" s="38"/>
      <c r="H246" s="38"/>
      <c r="I246" s="162"/>
      <c r="J246" s="38"/>
      <c r="K246" s="38"/>
      <c r="L246" s="285"/>
      <c r="M246" s="285"/>
      <c r="N246" s="285"/>
      <c r="O246" s="285"/>
      <c r="P246" s="285"/>
      <c r="Q246" s="104"/>
    </row>
    <row r="247" spans="1:17" ht="12.75" customHeight="1" x14ac:dyDescent="0.3">
      <c r="A247" s="38"/>
      <c r="B247" s="38" t="s">
        <v>669</v>
      </c>
      <c r="C247" s="38"/>
      <c r="D247" s="38"/>
      <c r="E247" s="38"/>
      <c r="F247" s="38"/>
      <c r="G247" s="38" t="s">
        <v>1440</v>
      </c>
      <c r="H247" s="64" t="s">
        <v>1934</v>
      </c>
      <c r="I247" s="340">
        <f>input!I141</f>
        <v>4233255</v>
      </c>
      <c r="J247" s="315"/>
      <c r="K247" s="315"/>
      <c r="L247" s="276"/>
      <c r="M247" s="276"/>
      <c r="N247" s="276"/>
      <c r="O247" s="276"/>
      <c r="P247" s="276"/>
      <c r="Q247" s="104"/>
    </row>
    <row r="248" spans="1:17" ht="12.75" customHeight="1" x14ac:dyDescent="0.3">
      <c r="A248" s="38"/>
      <c r="B248" s="38" t="s">
        <v>670</v>
      </c>
      <c r="C248" s="38"/>
      <c r="D248" s="38"/>
      <c r="E248" s="38"/>
      <c r="F248" s="38"/>
      <c r="G248" s="38" t="s">
        <v>1441</v>
      </c>
      <c r="H248" s="64" t="s">
        <v>1934</v>
      </c>
      <c r="I248" s="340">
        <f>input!I142</f>
        <v>4233255</v>
      </c>
      <c r="J248" s="315"/>
      <c r="K248" s="315"/>
      <c r="L248" s="276"/>
      <c r="M248" s="276"/>
      <c r="N248" s="276"/>
      <c r="O248" s="276"/>
      <c r="P248" s="276"/>
      <c r="Q248" s="104"/>
    </row>
    <row r="249" spans="1:17" ht="12.75" customHeight="1" x14ac:dyDescent="0.3">
      <c r="A249" s="38"/>
      <c r="B249" s="38" t="s">
        <v>671</v>
      </c>
      <c r="C249" s="38"/>
      <c r="D249" s="38"/>
      <c r="E249" s="38"/>
      <c r="F249" s="38"/>
      <c r="G249" s="38" t="s">
        <v>304</v>
      </c>
      <c r="H249" s="38" t="s">
        <v>477</v>
      </c>
      <c r="I249" s="340">
        <f>input!I143</f>
        <v>0</v>
      </c>
      <c r="J249" s="315"/>
      <c r="K249" s="315">
        <v>9.9999999999999995E-21</v>
      </c>
      <c r="L249" s="276"/>
      <c r="M249" s="276">
        <v>9.9999999999999995E-21</v>
      </c>
      <c r="N249" s="276">
        <v>9.9999999999999995E-21</v>
      </c>
      <c r="O249" s="276">
        <v>9.9999999999999995E-21</v>
      </c>
      <c r="P249" s="276">
        <v>9.9999999999999995E-21</v>
      </c>
      <c r="Q249" s="104"/>
    </row>
    <row r="250" spans="1:17" ht="12.75" customHeight="1" x14ac:dyDescent="0.3">
      <c r="A250" s="38"/>
      <c r="B250" s="38" t="s">
        <v>671</v>
      </c>
      <c r="C250" s="38"/>
      <c r="D250" s="38"/>
      <c r="E250" s="38"/>
      <c r="F250" s="38"/>
      <c r="G250" s="38" t="s">
        <v>1417</v>
      </c>
      <c r="H250" s="38" t="s">
        <v>477</v>
      </c>
      <c r="I250" s="340">
        <f>input!I144</f>
        <v>0</v>
      </c>
      <c r="J250" s="315"/>
      <c r="K250" s="315">
        <v>0.03</v>
      </c>
      <c r="L250" s="276"/>
      <c r="M250" s="276">
        <v>0.03</v>
      </c>
      <c r="N250" s="276">
        <v>0.03</v>
      </c>
      <c r="O250" s="276">
        <v>0.03</v>
      </c>
      <c r="P250" s="276">
        <v>0.03</v>
      </c>
      <c r="Q250" s="104"/>
    </row>
    <row r="251" spans="1:17" ht="12.75" customHeight="1" x14ac:dyDescent="0.3">
      <c r="A251" s="38"/>
      <c r="B251" s="38" t="s">
        <v>672</v>
      </c>
      <c r="C251" s="38"/>
      <c r="D251" s="38"/>
      <c r="E251" s="38"/>
      <c r="F251" s="38"/>
      <c r="G251" s="38" t="s">
        <v>1418</v>
      </c>
      <c r="H251" s="38" t="s">
        <v>477</v>
      </c>
      <c r="I251" s="340">
        <f>input!I145</f>
        <v>0</v>
      </c>
      <c r="J251" s="315"/>
      <c r="K251" s="315"/>
      <c r="L251" s="276"/>
      <c r="M251" s="276"/>
      <c r="N251" s="276"/>
      <c r="O251" s="276"/>
      <c r="P251" s="276"/>
      <c r="Q251" s="104"/>
    </row>
    <row r="252" spans="1:17" ht="12.75" customHeight="1" x14ac:dyDescent="0.3">
      <c r="A252" s="38"/>
      <c r="B252" s="38" t="s">
        <v>673</v>
      </c>
      <c r="C252" s="38"/>
      <c r="D252" s="38"/>
      <c r="E252" s="38"/>
      <c r="F252" s="38"/>
      <c r="G252" s="38" t="s">
        <v>1335</v>
      </c>
      <c r="H252" s="38" t="s">
        <v>477</v>
      </c>
      <c r="I252" s="340">
        <f>input!I146</f>
        <v>0</v>
      </c>
      <c r="J252" s="315"/>
      <c r="K252" s="315"/>
      <c r="L252" s="276"/>
      <c r="M252" s="276"/>
      <c r="N252" s="276"/>
      <c r="O252" s="276"/>
      <c r="P252" s="276"/>
      <c r="Q252" s="104"/>
    </row>
    <row r="253" spans="1:17" ht="12.75" customHeight="1" x14ac:dyDescent="0.3">
      <c r="A253" s="38"/>
      <c r="B253" s="38" t="s">
        <v>674</v>
      </c>
      <c r="C253" s="38"/>
      <c r="D253" s="38"/>
      <c r="E253" s="38"/>
      <c r="F253" s="38"/>
      <c r="G253" s="38" t="s">
        <v>1336</v>
      </c>
      <c r="H253" s="38" t="s">
        <v>477</v>
      </c>
      <c r="I253" s="340">
        <f>input!I147</f>
        <v>0</v>
      </c>
      <c r="J253" s="315"/>
      <c r="K253" s="315"/>
      <c r="L253" s="276"/>
      <c r="M253" s="276"/>
      <c r="N253" s="276"/>
      <c r="O253" s="276"/>
      <c r="P253" s="276"/>
      <c r="Q253" s="104"/>
    </row>
    <row r="254" spans="1:17" ht="12.75" customHeight="1" x14ac:dyDescent="0.3">
      <c r="A254" s="38"/>
      <c r="B254" s="38" t="s">
        <v>949</v>
      </c>
      <c r="C254" s="38"/>
      <c r="D254" s="38"/>
      <c r="E254" s="38"/>
      <c r="F254" s="38"/>
      <c r="G254" s="38" t="s">
        <v>1101</v>
      </c>
      <c r="H254" s="38" t="s">
        <v>1924</v>
      </c>
      <c r="I254" s="340">
        <f ca="1">input!I148</f>
        <v>9.0992948237771145</v>
      </c>
      <c r="J254" s="315"/>
      <c r="K254" s="315"/>
      <c r="L254" s="276"/>
      <c r="M254" s="276"/>
      <c r="N254" s="276"/>
      <c r="O254" s="276"/>
      <c r="P254" s="276"/>
      <c r="Q254" s="104"/>
    </row>
    <row r="255" spans="1:17" ht="12.75" customHeight="1" x14ac:dyDescent="0.3">
      <c r="A255" s="38"/>
      <c r="B255" s="38" t="s">
        <v>950</v>
      </c>
      <c r="C255" s="38"/>
      <c r="D255" s="38"/>
      <c r="E255" s="38"/>
      <c r="F255" s="38"/>
      <c r="G255" s="38" t="s">
        <v>782</v>
      </c>
      <c r="H255" s="38" t="s">
        <v>1517</v>
      </c>
      <c r="I255" s="340">
        <f ca="1">input!I149</f>
        <v>6.6166749111169691</v>
      </c>
      <c r="J255" s="315"/>
      <c r="K255" s="315"/>
      <c r="L255" s="276"/>
      <c r="M255" s="276"/>
      <c r="N255" s="276"/>
      <c r="O255" s="276"/>
      <c r="P255" s="276"/>
      <c r="Q255" s="104"/>
    </row>
    <row r="256" spans="1:17" ht="12.75" customHeight="1" x14ac:dyDescent="0.3">
      <c r="A256" s="38"/>
      <c r="B256" s="38" t="s">
        <v>953</v>
      </c>
      <c r="C256" s="38"/>
      <c r="D256" s="38"/>
      <c r="E256" s="38"/>
      <c r="F256" s="38"/>
      <c r="G256" s="38" t="s">
        <v>1056</v>
      </c>
      <c r="H256" s="38" t="s">
        <v>1518</v>
      </c>
      <c r="I256" s="340">
        <f ca="1">input!I150</f>
        <v>753.19346583795152</v>
      </c>
      <c r="J256" s="315"/>
      <c r="K256" s="315"/>
      <c r="L256" s="276"/>
      <c r="M256" s="276"/>
      <c r="N256" s="276"/>
      <c r="O256" s="276"/>
      <c r="P256" s="276"/>
      <c r="Q256" s="104"/>
    </row>
    <row r="257" spans="1:17" ht="12.75" customHeight="1" x14ac:dyDescent="0.3">
      <c r="A257" s="38"/>
      <c r="B257" s="38" t="s">
        <v>954</v>
      </c>
      <c r="C257" s="38"/>
      <c r="D257" s="38"/>
      <c r="E257" s="38"/>
      <c r="F257" s="38"/>
      <c r="G257" s="38" t="s">
        <v>307</v>
      </c>
      <c r="H257" s="38" t="s">
        <v>714</v>
      </c>
      <c r="I257" s="340">
        <f>input!I151</f>
        <v>0</v>
      </c>
      <c r="J257" s="315"/>
      <c r="K257" s="315"/>
      <c r="L257" s="276"/>
      <c r="M257" s="276"/>
      <c r="N257" s="276"/>
      <c r="O257" s="276"/>
      <c r="P257" s="276"/>
      <c r="Q257" s="104"/>
    </row>
    <row r="258" spans="1:17" ht="12.75" customHeight="1" x14ac:dyDescent="0.3">
      <c r="A258" s="38"/>
      <c r="B258" s="38" t="s">
        <v>954</v>
      </c>
      <c r="C258" s="38"/>
      <c r="D258" s="38"/>
      <c r="E258" s="38"/>
      <c r="F258" s="38"/>
      <c r="G258" s="38" t="s">
        <v>1337</v>
      </c>
      <c r="H258" s="38" t="s">
        <v>714</v>
      </c>
      <c r="I258" s="340">
        <f ca="1">input!I152</f>
        <v>3.0887298632747657</v>
      </c>
      <c r="J258" s="315"/>
      <c r="K258" s="315"/>
      <c r="L258" s="276"/>
      <c r="M258" s="276"/>
      <c r="N258" s="276"/>
      <c r="O258" s="276"/>
      <c r="P258" s="276"/>
      <c r="Q258" s="104"/>
    </row>
    <row r="259" spans="1:17" ht="12.75" customHeight="1" x14ac:dyDescent="0.3">
      <c r="A259" s="38"/>
      <c r="B259" s="38" t="s">
        <v>3</v>
      </c>
      <c r="C259" s="38"/>
      <c r="D259" s="38"/>
      <c r="E259" s="38"/>
      <c r="F259" s="38"/>
      <c r="G259" s="38" t="s">
        <v>1229</v>
      </c>
      <c r="H259" s="38" t="s">
        <v>477</v>
      </c>
      <c r="I259" s="340">
        <f>input!I153</f>
        <v>0</v>
      </c>
      <c r="J259" s="315"/>
      <c r="K259" s="315"/>
      <c r="L259" s="276"/>
      <c r="M259" s="276"/>
      <c r="N259" s="276"/>
      <c r="O259" s="276"/>
      <c r="P259" s="276"/>
      <c r="Q259" s="104"/>
    </row>
    <row r="260" spans="1:17" ht="12.75" customHeight="1" x14ac:dyDescent="0.3">
      <c r="A260" s="38"/>
      <c r="B260" s="38" t="s">
        <v>951</v>
      </c>
      <c r="C260" s="38"/>
      <c r="D260" s="38"/>
      <c r="E260" s="38"/>
      <c r="F260" s="38"/>
      <c r="G260" s="38" t="s">
        <v>1338</v>
      </c>
      <c r="H260" s="38" t="s">
        <v>477</v>
      </c>
      <c r="I260" s="340">
        <f>input!I154</f>
        <v>0</v>
      </c>
      <c r="J260" s="315"/>
      <c r="K260" s="315"/>
      <c r="L260" s="276"/>
      <c r="M260" s="276"/>
      <c r="N260" s="276"/>
      <c r="O260" s="276"/>
      <c r="P260" s="276"/>
      <c r="Q260" s="104"/>
    </row>
    <row r="261" spans="1:17" ht="12.75" customHeight="1" x14ac:dyDescent="0.3">
      <c r="A261" s="38"/>
      <c r="B261" s="38" t="s">
        <v>952</v>
      </c>
      <c r="C261" s="38"/>
      <c r="D261" s="38"/>
      <c r="E261" s="38"/>
      <c r="F261" s="38"/>
      <c r="G261" s="38" t="s">
        <v>1339</v>
      </c>
      <c r="H261" s="38" t="s">
        <v>477</v>
      </c>
      <c r="I261" s="340">
        <f>input!I155</f>
        <v>0</v>
      </c>
      <c r="J261" s="315"/>
      <c r="K261" s="315"/>
      <c r="L261" s="276"/>
      <c r="M261" s="276"/>
      <c r="N261" s="276"/>
      <c r="O261" s="276"/>
      <c r="P261" s="276"/>
      <c r="Q261" s="104"/>
    </row>
    <row r="262" spans="1:17" ht="12.75" customHeight="1" x14ac:dyDescent="0.3">
      <c r="A262" s="38"/>
      <c r="B262" s="38" t="s">
        <v>955</v>
      </c>
      <c r="C262" s="38"/>
      <c r="D262" s="38"/>
      <c r="E262" s="38"/>
      <c r="F262" s="38"/>
      <c r="G262" s="38" t="s">
        <v>1340</v>
      </c>
      <c r="H262" s="38" t="s">
        <v>1518</v>
      </c>
      <c r="I262" s="340">
        <f>input!I156</f>
        <v>0</v>
      </c>
      <c r="J262" s="315"/>
      <c r="K262" s="315"/>
      <c r="L262" s="276"/>
      <c r="M262" s="276"/>
      <c r="N262" s="276"/>
      <c r="O262" s="276"/>
      <c r="P262" s="276"/>
      <c r="Q262" s="104"/>
    </row>
    <row r="263" spans="1:17" ht="12.75" customHeight="1" x14ac:dyDescent="0.3">
      <c r="A263" s="38"/>
      <c r="B263" s="38"/>
      <c r="C263" s="38"/>
      <c r="D263" s="38"/>
      <c r="E263" s="38"/>
      <c r="F263" s="38"/>
      <c r="G263" s="38"/>
      <c r="H263" s="38"/>
      <c r="I263" s="337"/>
      <c r="J263" s="322"/>
      <c r="K263" s="322"/>
      <c r="L263" s="285"/>
      <c r="M263" s="285"/>
      <c r="N263" s="285"/>
      <c r="O263" s="285"/>
      <c r="P263" s="285"/>
      <c r="Q263" s="104"/>
    </row>
    <row r="264" spans="1:17" ht="12.75" customHeight="1" x14ac:dyDescent="0.3">
      <c r="A264" s="3" t="s">
        <v>587</v>
      </c>
      <c r="B264" s="38"/>
      <c r="C264" s="38"/>
      <c r="D264" s="38"/>
      <c r="E264" s="38"/>
      <c r="F264" s="38"/>
      <c r="G264" s="43"/>
      <c r="H264" s="69"/>
      <c r="I264" s="337"/>
      <c r="J264" s="321"/>
      <c r="K264" s="321"/>
      <c r="L264" s="284"/>
      <c r="M264" s="284"/>
      <c r="N264" s="284"/>
      <c r="O264" s="284"/>
      <c r="P264" s="284"/>
      <c r="Q264" s="104"/>
    </row>
    <row r="265" spans="1:17" ht="12.75" customHeight="1" x14ac:dyDescent="0.3">
      <c r="A265" s="38"/>
      <c r="B265" s="38" t="s">
        <v>551</v>
      </c>
      <c r="C265" s="38"/>
      <c r="D265" s="38"/>
      <c r="E265" s="38"/>
      <c r="F265" s="38"/>
      <c r="G265" s="42" t="s">
        <v>638</v>
      </c>
      <c r="H265" s="42" t="s">
        <v>28</v>
      </c>
      <c r="I265" s="340">
        <f>input!I159</f>
        <v>0</v>
      </c>
      <c r="J265" s="315"/>
      <c r="K265" s="315"/>
      <c r="L265" s="276"/>
      <c r="M265" s="276"/>
      <c r="N265" s="276"/>
      <c r="O265" s="276"/>
      <c r="P265" s="276"/>
      <c r="Q265" s="104"/>
    </row>
    <row r="266" spans="1:17" ht="12.75" customHeight="1" x14ac:dyDescent="0.3">
      <c r="A266" s="38"/>
      <c r="B266" s="38" t="s">
        <v>552</v>
      </c>
      <c r="C266" s="38"/>
      <c r="D266" s="38"/>
      <c r="E266" s="38"/>
      <c r="F266" s="38"/>
      <c r="G266" s="42" t="s">
        <v>210</v>
      </c>
      <c r="H266" s="42" t="s">
        <v>28</v>
      </c>
      <c r="I266" s="340">
        <f>input!I160</f>
        <v>0</v>
      </c>
      <c r="J266" s="315"/>
      <c r="K266" s="315"/>
      <c r="L266" s="276"/>
      <c r="M266" s="276"/>
      <c r="N266" s="276"/>
      <c r="O266" s="276"/>
      <c r="P266" s="276"/>
      <c r="Q266" s="104"/>
    </row>
    <row r="267" spans="1:17" ht="12.75" customHeight="1" x14ac:dyDescent="0.3">
      <c r="A267" s="38"/>
      <c r="B267" s="38" t="s">
        <v>556</v>
      </c>
      <c r="C267" s="38"/>
      <c r="D267" s="38"/>
      <c r="E267" s="38"/>
      <c r="F267" s="38"/>
      <c r="G267" s="42" t="s">
        <v>214</v>
      </c>
      <c r="H267" s="42" t="s">
        <v>28</v>
      </c>
      <c r="I267" s="340">
        <f>input!I161</f>
        <v>0</v>
      </c>
      <c r="J267" s="315"/>
      <c r="K267" s="315"/>
      <c r="L267" s="276"/>
      <c r="M267" s="276"/>
      <c r="N267" s="276"/>
      <c r="O267" s="276"/>
      <c r="P267" s="276"/>
      <c r="Q267" s="104"/>
    </row>
    <row r="268" spans="1:17" ht="12.75" customHeight="1" x14ac:dyDescent="0.3">
      <c r="A268" s="38"/>
      <c r="B268" s="38" t="s">
        <v>553</v>
      </c>
      <c r="C268" s="38"/>
      <c r="D268" s="38"/>
      <c r="E268" s="38"/>
      <c r="F268" s="38"/>
      <c r="G268" s="42" t="s">
        <v>211</v>
      </c>
      <c r="H268" s="42" t="s">
        <v>28</v>
      </c>
      <c r="I268" s="340">
        <f>input!I162</f>
        <v>0</v>
      </c>
      <c r="J268" s="315"/>
      <c r="K268" s="315"/>
      <c r="L268" s="276"/>
      <c r="M268" s="276"/>
      <c r="N268" s="276"/>
      <c r="O268" s="276"/>
      <c r="P268" s="276"/>
      <c r="Q268" s="104"/>
    </row>
    <row r="269" spans="1:17" ht="12.75" customHeight="1" x14ac:dyDescent="0.3">
      <c r="A269" s="38"/>
      <c r="B269" s="38" t="s">
        <v>554</v>
      </c>
      <c r="C269" s="38"/>
      <c r="D269" s="38"/>
      <c r="E269" s="38"/>
      <c r="F269" s="38"/>
      <c r="G269" s="42" t="s">
        <v>212</v>
      </c>
      <c r="H269" s="42" t="s">
        <v>28</v>
      </c>
      <c r="I269" s="340">
        <f>input!I163</f>
        <v>0</v>
      </c>
      <c r="J269" s="315"/>
      <c r="K269" s="315"/>
      <c r="L269" s="276"/>
      <c r="M269" s="276"/>
      <c r="N269" s="276"/>
      <c r="O269" s="276"/>
      <c r="P269" s="276"/>
      <c r="Q269" s="104"/>
    </row>
    <row r="270" spans="1:17" ht="12.75" customHeight="1" x14ac:dyDescent="0.3">
      <c r="A270" s="38"/>
      <c r="B270" s="38" t="s">
        <v>555</v>
      </c>
      <c r="C270" s="38"/>
      <c r="D270" s="38"/>
      <c r="E270" s="38"/>
      <c r="F270" s="38"/>
      <c r="G270" s="42" t="s">
        <v>213</v>
      </c>
      <c r="H270" s="42" t="s">
        <v>28</v>
      </c>
      <c r="I270" s="340">
        <f>input!I164</f>
        <v>0</v>
      </c>
      <c r="J270" s="315"/>
      <c r="K270" s="315"/>
      <c r="L270" s="276"/>
      <c r="M270" s="276"/>
      <c r="N270" s="276"/>
      <c r="O270" s="276"/>
      <c r="P270" s="276"/>
      <c r="Q270" s="104"/>
    </row>
    <row r="271" spans="1:17" ht="12.75" customHeight="1" x14ac:dyDescent="0.3">
      <c r="A271" s="38"/>
      <c r="B271" s="38" t="s">
        <v>261</v>
      </c>
      <c r="C271" s="38"/>
      <c r="D271" s="38"/>
      <c r="E271" s="38"/>
      <c r="F271" s="38"/>
      <c r="G271" s="42" t="s">
        <v>1167</v>
      </c>
      <c r="H271" s="64" t="s">
        <v>1935</v>
      </c>
      <c r="I271" s="340">
        <f>input!I165</f>
        <v>0</v>
      </c>
      <c r="J271" s="315"/>
      <c r="K271" s="315"/>
      <c r="L271" s="276"/>
      <c r="M271" s="276"/>
      <c r="N271" s="276"/>
      <c r="O271" s="276"/>
      <c r="P271" s="276"/>
      <c r="Q271" s="104"/>
    </row>
    <row r="272" spans="1:17" ht="12.75" customHeight="1" x14ac:dyDescent="0.3">
      <c r="A272" s="38"/>
      <c r="B272" s="38" t="s">
        <v>262</v>
      </c>
      <c r="C272" s="38"/>
      <c r="D272" s="38"/>
      <c r="E272" s="38"/>
      <c r="F272" s="38"/>
      <c r="G272" s="42" t="s">
        <v>849</v>
      </c>
      <c r="H272" s="64" t="s">
        <v>1935</v>
      </c>
      <c r="I272" s="340">
        <f>input!I166</f>
        <v>0</v>
      </c>
      <c r="J272" s="315"/>
      <c r="K272" s="315"/>
      <c r="L272" s="276"/>
      <c r="M272" s="276"/>
      <c r="N272" s="276"/>
      <c r="O272" s="276"/>
      <c r="P272" s="276"/>
      <c r="Q272" s="104"/>
    </row>
    <row r="273" spans="1:17" ht="12.75" customHeight="1" x14ac:dyDescent="0.3">
      <c r="A273" s="38"/>
      <c r="B273" s="38" t="s">
        <v>195</v>
      </c>
      <c r="C273" s="38"/>
      <c r="D273" s="38"/>
      <c r="E273" s="38"/>
      <c r="F273" s="38"/>
      <c r="G273" s="38" t="s">
        <v>1563</v>
      </c>
      <c r="H273" s="38" t="s">
        <v>28</v>
      </c>
      <c r="I273" s="340">
        <f>input!I167</f>
        <v>0</v>
      </c>
      <c r="J273" s="315"/>
      <c r="K273" s="315"/>
      <c r="L273" s="276"/>
      <c r="M273" s="276"/>
      <c r="N273" s="276"/>
      <c r="O273" s="276"/>
      <c r="P273" s="276"/>
      <c r="Q273" s="104"/>
    </row>
    <row r="274" spans="1:17" ht="12.75" customHeight="1" x14ac:dyDescent="0.3">
      <c r="A274" s="42"/>
      <c r="B274" s="42" t="s">
        <v>1068</v>
      </c>
      <c r="C274" s="38"/>
      <c r="D274" s="38"/>
      <c r="E274" s="63"/>
      <c r="F274" s="63"/>
      <c r="G274" s="63" t="s">
        <v>944</v>
      </c>
      <c r="H274" s="42" t="s">
        <v>28</v>
      </c>
      <c r="I274" s="340">
        <f>input!I168</f>
        <v>0</v>
      </c>
      <c r="J274" s="315"/>
      <c r="K274" s="315"/>
      <c r="L274" s="276"/>
      <c r="M274" s="276"/>
      <c r="N274" s="276"/>
      <c r="O274" s="276"/>
      <c r="P274" s="276"/>
      <c r="Q274" s="104"/>
    </row>
    <row r="275" spans="1:17" ht="12.75" customHeight="1" x14ac:dyDescent="0.3">
      <c r="A275" s="38"/>
      <c r="B275" s="38" t="s">
        <v>196</v>
      </c>
      <c r="C275" s="38"/>
      <c r="D275" s="38"/>
      <c r="E275" s="38"/>
      <c r="F275" s="38"/>
      <c r="G275" s="38" t="s">
        <v>1561</v>
      </c>
      <c r="H275" s="42" t="s">
        <v>1936</v>
      </c>
      <c r="I275" s="340">
        <f>input!I169</f>
        <v>0</v>
      </c>
      <c r="J275" s="315"/>
      <c r="K275" s="315"/>
      <c r="L275" s="276"/>
      <c r="M275" s="276"/>
      <c r="N275" s="276"/>
      <c r="O275" s="276"/>
      <c r="P275" s="276"/>
      <c r="Q275" s="104"/>
    </row>
    <row r="276" spans="1:17" ht="12.75" customHeight="1" x14ac:dyDescent="0.3">
      <c r="A276" s="42"/>
      <c r="B276" s="42" t="s">
        <v>945</v>
      </c>
      <c r="C276" s="64"/>
      <c r="D276" s="64"/>
      <c r="E276" s="38"/>
      <c r="F276" s="38"/>
      <c r="G276" s="63" t="s">
        <v>946</v>
      </c>
      <c r="H276" s="42" t="s">
        <v>1936</v>
      </c>
      <c r="I276" s="340">
        <f ca="1">input!I170</f>
        <v>2542.1294335105295</v>
      </c>
      <c r="J276" s="315"/>
      <c r="K276" s="315"/>
      <c r="L276" s="276"/>
      <c r="M276" s="276"/>
      <c r="N276" s="276"/>
      <c r="O276" s="276"/>
      <c r="P276" s="276"/>
      <c r="Q276" s="104"/>
    </row>
    <row r="277" spans="1:17" ht="12.75" customHeight="1" x14ac:dyDescent="0.3">
      <c r="A277" s="76"/>
      <c r="B277" s="76"/>
      <c r="C277" s="76"/>
      <c r="D277" s="76"/>
      <c r="E277" s="76"/>
      <c r="F277" s="76"/>
      <c r="G277" s="71"/>
      <c r="H277" s="71"/>
      <c r="I277" s="178"/>
      <c r="J277" s="323"/>
      <c r="K277" s="323"/>
      <c r="L277" s="286"/>
      <c r="M277" s="286"/>
      <c r="N277" s="286"/>
      <c r="O277" s="286"/>
      <c r="P277" s="286"/>
      <c r="Q277" s="104"/>
    </row>
    <row r="278" spans="1:17" ht="12.75" customHeight="1" x14ac:dyDescent="0.3">
      <c r="A278" s="38"/>
      <c r="B278" s="38"/>
      <c r="C278" s="38"/>
      <c r="D278" s="38"/>
      <c r="E278" s="38"/>
      <c r="F278" s="38"/>
      <c r="G278" s="42"/>
      <c r="H278" s="42"/>
      <c r="I278" s="162"/>
      <c r="J278" s="320"/>
      <c r="K278" s="320"/>
      <c r="L278" s="283"/>
      <c r="M278" s="283"/>
      <c r="N278" s="283"/>
      <c r="O278" s="283"/>
      <c r="P278" s="283"/>
      <c r="Q278" s="104"/>
    </row>
    <row r="279" spans="1:17" ht="12.75" customHeight="1" x14ac:dyDescent="0.3">
      <c r="A279" s="403" t="s">
        <v>2415</v>
      </c>
      <c r="B279" s="379"/>
      <c r="C279" s="379"/>
      <c r="D279" s="379"/>
      <c r="E279" s="379"/>
      <c r="F279" s="379"/>
      <c r="G279" s="380"/>
      <c r="H279" s="380"/>
      <c r="I279" s="162"/>
      <c r="J279" s="320"/>
      <c r="K279" s="320"/>
      <c r="L279" s="283"/>
      <c r="M279" s="283"/>
      <c r="N279" s="283"/>
      <c r="O279" s="283"/>
      <c r="P279" s="283"/>
      <c r="Q279" s="104"/>
    </row>
    <row r="280" spans="1:17" ht="12.75" customHeight="1" x14ac:dyDescent="0.3">
      <c r="A280" s="379"/>
      <c r="B280" s="379"/>
      <c r="C280" s="379"/>
      <c r="D280" s="379"/>
      <c r="E280" s="379"/>
      <c r="F280" s="379"/>
      <c r="G280" s="380"/>
      <c r="H280" s="380"/>
      <c r="I280" s="162"/>
      <c r="J280" s="320"/>
      <c r="K280" s="320"/>
      <c r="L280" s="283"/>
      <c r="M280" s="283"/>
      <c r="N280" s="283"/>
      <c r="O280" s="283"/>
      <c r="P280" s="283"/>
      <c r="Q280" s="104"/>
    </row>
    <row r="281" spans="1:17" ht="12.75" customHeight="1" x14ac:dyDescent="0.3">
      <c r="A281" s="404" t="s">
        <v>1305</v>
      </c>
      <c r="B281" s="404"/>
      <c r="C281" s="404"/>
      <c r="D281" s="404"/>
      <c r="E281" s="404"/>
      <c r="F281" s="404"/>
      <c r="G281" s="405" t="s">
        <v>969</v>
      </c>
      <c r="H281" s="405" t="s">
        <v>929</v>
      </c>
      <c r="I281" s="162"/>
      <c r="J281" s="320"/>
      <c r="K281" s="320"/>
      <c r="L281" s="283"/>
      <c r="M281" s="283"/>
      <c r="N281" s="283"/>
      <c r="O281" s="283"/>
      <c r="P281" s="283"/>
      <c r="Q281" s="104"/>
    </row>
    <row r="282" spans="1:17" ht="12.75" customHeight="1" x14ac:dyDescent="0.3">
      <c r="A282" s="379"/>
      <c r="B282" s="379"/>
      <c r="C282" s="379"/>
      <c r="D282" s="379"/>
      <c r="E282" s="379"/>
      <c r="F282" s="379"/>
      <c r="G282" s="380"/>
      <c r="H282" s="381"/>
      <c r="I282" s="162"/>
      <c r="J282" s="320"/>
      <c r="K282" s="320"/>
      <c r="L282" s="283"/>
      <c r="M282" s="283"/>
      <c r="N282" s="283"/>
      <c r="O282" s="283"/>
      <c r="P282" s="283"/>
      <c r="Q282" s="104"/>
    </row>
    <row r="283" spans="1:17" ht="12.75" customHeight="1" x14ac:dyDescent="0.3">
      <c r="A283" s="380" t="s">
        <v>1082</v>
      </c>
      <c r="B283" s="379"/>
      <c r="C283" s="379"/>
      <c r="D283" s="379"/>
      <c r="E283" s="379"/>
      <c r="F283" s="379"/>
      <c r="G283" s="381" t="s">
        <v>2025</v>
      </c>
      <c r="H283" s="380" t="s">
        <v>2416</v>
      </c>
      <c r="I283" s="162"/>
      <c r="J283" s="320"/>
      <c r="K283" s="320"/>
      <c r="L283" s="283"/>
      <c r="M283" s="283"/>
      <c r="N283" s="283"/>
      <c r="O283" s="283"/>
      <c r="P283" s="283"/>
      <c r="Q283" s="104"/>
    </row>
    <row r="284" spans="1:17" ht="12.75" customHeight="1" x14ac:dyDescent="0.3">
      <c r="A284" s="380" t="s">
        <v>2027</v>
      </c>
      <c r="B284" s="379"/>
      <c r="C284" s="379"/>
      <c r="D284" s="379"/>
      <c r="E284" s="379"/>
      <c r="F284" s="379"/>
      <c r="G284" s="381" t="s">
        <v>2028</v>
      </c>
      <c r="H284" s="380" t="s">
        <v>2416</v>
      </c>
      <c r="I284" s="162"/>
      <c r="J284" s="320"/>
      <c r="K284" s="320"/>
      <c r="L284" s="283"/>
      <c r="M284" s="283"/>
      <c r="N284" s="283"/>
      <c r="O284" s="283"/>
      <c r="P284" s="283"/>
      <c r="Q284" s="104"/>
    </row>
    <row r="285" spans="1:17" ht="12.75" customHeight="1" x14ac:dyDescent="0.3">
      <c r="A285" s="380" t="s">
        <v>2029</v>
      </c>
      <c r="B285" s="379"/>
      <c r="C285" s="379"/>
      <c r="D285" s="379"/>
      <c r="E285" s="379"/>
      <c r="F285" s="379"/>
      <c r="G285" s="381" t="s">
        <v>2030</v>
      </c>
      <c r="H285" s="380" t="s">
        <v>2416</v>
      </c>
      <c r="I285" s="162"/>
      <c r="J285" s="320"/>
      <c r="K285" s="320"/>
      <c r="L285" s="283"/>
      <c r="M285" s="283"/>
      <c r="N285" s="283"/>
      <c r="O285" s="283"/>
      <c r="P285" s="283"/>
      <c r="Q285" s="104"/>
    </row>
    <row r="286" spans="1:17" ht="12.75" customHeight="1" x14ac:dyDescent="0.3">
      <c r="A286" s="380"/>
      <c r="B286" s="380" t="s">
        <v>2031</v>
      </c>
      <c r="C286" s="379"/>
      <c r="D286" s="379"/>
      <c r="E286" s="379"/>
      <c r="F286" s="379"/>
      <c r="G286" s="381" t="s">
        <v>2032</v>
      </c>
      <c r="H286" s="380" t="s">
        <v>2417</v>
      </c>
      <c r="I286" s="162"/>
      <c r="J286" s="320"/>
      <c r="K286" s="320"/>
      <c r="L286" s="283"/>
      <c r="M286" s="283"/>
      <c r="N286" s="283"/>
      <c r="O286" s="283"/>
      <c r="P286" s="283"/>
      <c r="Q286" s="104"/>
    </row>
    <row r="287" spans="1:17" ht="12.75" customHeight="1" x14ac:dyDescent="0.3">
      <c r="A287" s="380"/>
      <c r="B287" s="380"/>
      <c r="C287" s="379" t="s">
        <v>2034</v>
      </c>
      <c r="D287" s="379"/>
      <c r="E287" s="379"/>
      <c r="F287" s="379"/>
      <c r="G287" s="381" t="s">
        <v>2035</v>
      </c>
      <c r="H287" s="380" t="s">
        <v>28</v>
      </c>
      <c r="I287" s="162"/>
      <c r="J287" s="320"/>
      <c r="K287" s="320"/>
      <c r="L287" s="283"/>
      <c r="M287" s="283"/>
      <c r="N287" s="283"/>
      <c r="O287" s="283"/>
      <c r="P287" s="283"/>
      <c r="Q287" s="104"/>
    </row>
    <row r="288" spans="1:17" ht="12.75" customHeight="1" x14ac:dyDescent="0.3">
      <c r="A288" s="380"/>
      <c r="B288" s="380" t="s">
        <v>2036</v>
      </c>
      <c r="C288" s="379"/>
      <c r="D288" s="379"/>
      <c r="E288" s="379"/>
      <c r="F288" s="379"/>
      <c r="G288" s="382" t="s">
        <v>2037</v>
      </c>
      <c r="H288" s="380" t="s">
        <v>28</v>
      </c>
      <c r="I288" s="162"/>
      <c r="J288" s="320"/>
      <c r="K288" s="320"/>
      <c r="L288" s="283"/>
      <c r="M288" s="283"/>
      <c r="N288" s="283"/>
      <c r="O288" s="283"/>
      <c r="P288" s="283"/>
      <c r="Q288" s="104"/>
    </row>
    <row r="289" spans="1:17" ht="12.75" customHeight="1" x14ac:dyDescent="0.3">
      <c r="A289" s="380"/>
      <c r="B289" s="380" t="s">
        <v>2038</v>
      </c>
      <c r="C289" s="379"/>
      <c r="D289" s="379"/>
      <c r="E289" s="379"/>
      <c r="F289" s="379"/>
      <c r="G289" s="382" t="s">
        <v>2039</v>
      </c>
      <c r="H289" s="380" t="s">
        <v>28</v>
      </c>
      <c r="I289" s="162"/>
      <c r="J289" s="320"/>
      <c r="K289" s="320"/>
      <c r="L289" s="283"/>
      <c r="M289" s="283"/>
      <c r="N289" s="283"/>
      <c r="O289" s="283"/>
      <c r="P289" s="283"/>
      <c r="Q289" s="104"/>
    </row>
    <row r="290" spans="1:17" ht="12.75" customHeight="1" x14ac:dyDescent="0.3">
      <c r="A290" s="380"/>
      <c r="B290" s="380" t="s">
        <v>761</v>
      </c>
      <c r="C290" s="383"/>
      <c r="D290" s="383"/>
      <c r="E290" s="380"/>
      <c r="F290" s="379"/>
      <c r="G290" s="382" t="s">
        <v>2040</v>
      </c>
      <c r="H290" s="380" t="s">
        <v>713</v>
      </c>
      <c r="I290" s="162"/>
      <c r="J290" s="320"/>
      <c r="K290" s="320"/>
      <c r="L290" s="283"/>
      <c r="M290" s="283"/>
      <c r="N290" s="283"/>
      <c r="O290" s="283"/>
      <c r="P290" s="283"/>
      <c r="Q290" s="104"/>
    </row>
    <row r="291" spans="1:17" ht="12.75" customHeight="1" x14ac:dyDescent="0.3">
      <c r="A291" s="380"/>
      <c r="B291" s="380" t="s">
        <v>2041</v>
      </c>
      <c r="C291" s="383"/>
      <c r="D291" s="383"/>
      <c r="E291" s="380"/>
      <c r="F291" s="379"/>
      <c r="G291" s="382" t="s">
        <v>2042</v>
      </c>
      <c r="H291" s="380" t="s">
        <v>713</v>
      </c>
      <c r="I291" s="162"/>
      <c r="J291" s="320"/>
      <c r="K291" s="320"/>
      <c r="L291" s="283"/>
      <c r="M291" s="283"/>
      <c r="N291" s="283"/>
      <c r="O291" s="283"/>
      <c r="P291" s="283"/>
      <c r="Q291" s="104"/>
    </row>
    <row r="292" spans="1:17" ht="12.75" customHeight="1" x14ac:dyDescent="0.3">
      <c r="A292" s="380"/>
      <c r="B292" s="380" t="s">
        <v>2043</v>
      </c>
      <c r="C292" s="383"/>
      <c r="D292" s="383"/>
      <c r="E292" s="380"/>
      <c r="F292" s="379"/>
      <c r="G292" s="382" t="s">
        <v>2044</v>
      </c>
      <c r="H292" s="380" t="s">
        <v>713</v>
      </c>
      <c r="I292" s="162"/>
      <c r="J292" s="320"/>
      <c r="K292" s="320"/>
      <c r="L292" s="283"/>
      <c r="M292" s="283"/>
      <c r="N292" s="283"/>
      <c r="O292" s="283"/>
      <c r="P292" s="283"/>
      <c r="Q292" s="104"/>
    </row>
    <row r="293" spans="1:17" ht="12.75" customHeight="1" x14ac:dyDescent="0.3">
      <c r="A293" s="384"/>
      <c r="B293" s="384" t="s">
        <v>208</v>
      </c>
      <c r="C293" s="384"/>
      <c r="D293" s="384"/>
      <c r="E293" s="384"/>
      <c r="F293" s="384"/>
      <c r="G293" s="306" t="s">
        <v>2045</v>
      </c>
      <c r="H293" s="306" t="s">
        <v>716</v>
      </c>
      <c r="I293" s="162"/>
      <c r="J293" s="320"/>
      <c r="K293" s="320"/>
      <c r="L293" s="283"/>
      <c r="M293" s="283"/>
      <c r="N293" s="283"/>
      <c r="O293" s="283"/>
      <c r="P293" s="283"/>
      <c r="Q293" s="104"/>
    </row>
    <row r="294" spans="1:17" ht="12.75" customHeight="1" x14ac:dyDescent="0.3">
      <c r="A294" s="384"/>
      <c r="B294" s="384" t="s">
        <v>209</v>
      </c>
      <c r="C294" s="384"/>
      <c r="D294" s="384"/>
      <c r="E294" s="384"/>
      <c r="F294" s="384"/>
      <c r="G294" s="306" t="s">
        <v>2046</v>
      </c>
      <c r="H294" s="306" t="s">
        <v>716</v>
      </c>
      <c r="I294" s="162"/>
      <c r="J294" s="320"/>
      <c r="K294" s="320"/>
      <c r="L294" s="283"/>
      <c r="M294" s="283"/>
      <c r="N294" s="283"/>
      <c r="O294" s="283"/>
      <c r="P294" s="283"/>
      <c r="Q294" s="104"/>
    </row>
    <row r="295" spans="1:17" ht="12.75" customHeight="1" x14ac:dyDescent="0.3">
      <c r="A295" s="380"/>
      <c r="B295" s="380" t="s">
        <v>2047</v>
      </c>
      <c r="C295" s="383"/>
      <c r="D295" s="383"/>
      <c r="E295" s="380"/>
      <c r="F295" s="379"/>
      <c r="G295" s="382" t="s">
        <v>2048</v>
      </c>
      <c r="H295" s="380" t="s">
        <v>716</v>
      </c>
      <c r="I295" s="162"/>
      <c r="J295" s="320"/>
      <c r="K295" s="320"/>
      <c r="L295" s="283"/>
      <c r="M295" s="283"/>
      <c r="N295" s="283"/>
      <c r="O295" s="283"/>
      <c r="P295" s="283"/>
      <c r="Q295" s="104"/>
    </row>
    <row r="296" spans="1:17" ht="12.75" customHeight="1" x14ac:dyDescent="0.3">
      <c r="A296" s="380"/>
      <c r="B296" s="380" t="s">
        <v>2049</v>
      </c>
      <c r="C296" s="383"/>
      <c r="D296" s="383"/>
      <c r="E296" s="380"/>
      <c r="F296" s="379"/>
      <c r="G296" s="382" t="s">
        <v>2050</v>
      </c>
      <c r="H296" s="380" t="s">
        <v>716</v>
      </c>
      <c r="I296" s="162"/>
      <c r="J296" s="320"/>
      <c r="K296" s="320"/>
      <c r="L296" s="283"/>
      <c r="M296" s="283"/>
      <c r="N296" s="283"/>
      <c r="O296" s="283"/>
      <c r="P296" s="283"/>
      <c r="Q296" s="104"/>
    </row>
    <row r="297" spans="1:17" ht="12.75" customHeight="1" x14ac:dyDescent="0.3">
      <c r="A297" s="380"/>
      <c r="B297" s="380" t="s">
        <v>2051</v>
      </c>
      <c r="C297" s="383"/>
      <c r="D297" s="383"/>
      <c r="E297" s="380"/>
      <c r="F297" s="379"/>
      <c r="G297" s="382" t="s">
        <v>2052</v>
      </c>
      <c r="H297" s="380" t="s">
        <v>716</v>
      </c>
      <c r="I297" s="162"/>
      <c r="J297" s="320"/>
      <c r="K297" s="320"/>
      <c r="L297" s="283"/>
      <c r="M297" s="283"/>
      <c r="N297" s="283"/>
      <c r="O297" s="283"/>
      <c r="P297" s="283"/>
      <c r="Q297" s="104"/>
    </row>
    <row r="298" spans="1:17" ht="12.75" customHeight="1" x14ac:dyDescent="0.3">
      <c r="A298" s="306"/>
      <c r="B298" s="384"/>
      <c r="C298" s="384"/>
      <c r="D298" s="384"/>
      <c r="E298" s="384"/>
      <c r="F298" s="384"/>
      <c r="G298" s="406"/>
      <c r="H298" s="306"/>
      <c r="I298" s="162"/>
      <c r="J298" s="320"/>
      <c r="K298" s="320"/>
      <c r="L298" s="283"/>
      <c r="M298" s="283"/>
      <c r="N298" s="283"/>
      <c r="O298" s="283"/>
      <c r="P298" s="283"/>
      <c r="Q298" s="104"/>
    </row>
    <row r="299" spans="1:17" ht="12.75" customHeight="1" x14ac:dyDescent="0.3">
      <c r="A299" s="306" t="s">
        <v>2053</v>
      </c>
      <c r="B299" s="384"/>
      <c r="C299" s="384"/>
      <c r="D299" s="384"/>
      <c r="E299" s="384"/>
      <c r="F299" s="384"/>
      <c r="G299" s="306" t="s">
        <v>2054</v>
      </c>
      <c r="H299" s="306" t="s">
        <v>2418</v>
      </c>
      <c r="I299" s="162"/>
      <c r="J299" s="320"/>
      <c r="K299" s="320"/>
      <c r="L299" s="283"/>
      <c r="M299" s="283"/>
      <c r="N299" s="283"/>
      <c r="O299" s="283"/>
      <c r="P299" s="283"/>
      <c r="Q299" s="104"/>
    </row>
    <row r="300" spans="1:17" ht="12.75" customHeight="1" x14ac:dyDescent="0.3">
      <c r="A300" s="380"/>
      <c r="B300" s="379" t="s">
        <v>2055</v>
      </c>
      <c r="C300" s="383"/>
      <c r="D300" s="383"/>
      <c r="E300" s="383"/>
      <c r="F300" s="379"/>
      <c r="G300" s="381" t="s">
        <v>2056</v>
      </c>
      <c r="H300" s="380" t="s">
        <v>2419</v>
      </c>
      <c r="I300" s="162"/>
      <c r="J300" s="320"/>
      <c r="K300" s="320"/>
      <c r="L300" s="283"/>
      <c r="M300" s="283"/>
      <c r="N300" s="283"/>
      <c r="O300" s="283"/>
      <c r="P300" s="283"/>
      <c r="Q300" s="104"/>
    </row>
    <row r="301" spans="1:17" ht="12.75" customHeight="1" x14ac:dyDescent="0.3">
      <c r="A301" s="380"/>
      <c r="B301" s="380"/>
      <c r="C301" s="380" t="s">
        <v>2058</v>
      </c>
      <c r="D301" s="379"/>
      <c r="E301" s="379"/>
      <c r="F301" s="379"/>
      <c r="G301" s="381" t="s">
        <v>2059</v>
      </c>
      <c r="H301" s="380" t="s">
        <v>717</v>
      </c>
      <c r="I301" s="162"/>
      <c r="J301" s="320"/>
      <c r="K301" s="320"/>
      <c r="L301" s="283"/>
      <c r="M301" s="283"/>
      <c r="N301" s="283"/>
      <c r="O301" s="283"/>
      <c r="P301" s="283"/>
      <c r="Q301" s="104"/>
    </row>
    <row r="302" spans="1:17" ht="12.75" customHeight="1" x14ac:dyDescent="0.3">
      <c r="A302" s="380"/>
      <c r="B302" s="380"/>
      <c r="C302" s="380"/>
      <c r="D302" s="383" t="s">
        <v>699</v>
      </c>
      <c r="E302" s="383"/>
      <c r="F302" s="379"/>
      <c r="G302" s="381" t="s">
        <v>2060</v>
      </c>
      <c r="H302" s="383" t="s">
        <v>2420</v>
      </c>
      <c r="I302" s="162"/>
      <c r="J302" s="320"/>
      <c r="K302" s="320"/>
      <c r="L302" s="283"/>
      <c r="M302" s="283"/>
      <c r="N302" s="283"/>
      <c r="O302" s="283"/>
      <c r="P302" s="283"/>
      <c r="Q302" s="104"/>
    </row>
    <row r="303" spans="1:17" ht="12.75" customHeight="1" x14ac:dyDescent="0.3">
      <c r="A303" s="306"/>
      <c r="B303" s="384"/>
      <c r="C303" s="384"/>
      <c r="D303" s="384"/>
      <c r="E303" s="384"/>
      <c r="F303" s="384"/>
      <c r="G303" s="406"/>
      <c r="H303" s="306"/>
      <c r="I303" s="162"/>
      <c r="J303" s="320"/>
      <c r="K303" s="320"/>
      <c r="L303" s="283"/>
      <c r="M303" s="283"/>
      <c r="N303" s="283"/>
      <c r="O303" s="283"/>
      <c r="P303" s="283"/>
      <c r="Q303" s="104"/>
    </row>
    <row r="304" spans="1:17" ht="12.75" customHeight="1" x14ac:dyDescent="0.3">
      <c r="A304" s="306" t="s">
        <v>2062</v>
      </c>
      <c r="B304" s="384"/>
      <c r="C304" s="384"/>
      <c r="D304" s="384"/>
      <c r="E304" s="384"/>
      <c r="F304" s="384"/>
      <c r="G304" s="306" t="s">
        <v>2063</v>
      </c>
      <c r="H304" s="306" t="s">
        <v>2418</v>
      </c>
      <c r="I304" s="162"/>
      <c r="J304" s="320"/>
      <c r="K304" s="320"/>
      <c r="L304" s="283"/>
      <c r="M304" s="283"/>
      <c r="N304" s="283"/>
      <c r="O304" s="283"/>
      <c r="P304" s="283"/>
      <c r="Q304" s="104"/>
    </row>
    <row r="305" spans="1:17" ht="12.75" customHeight="1" x14ac:dyDescent="0.3">
      <c r="A305" s="306" t="s">
        <v>2064</v>
      </c>
      <c r="B305" s="384"/>
      <c r="C305" s="384"/>
      <c r="D305" s="384"/>
      <c r="E305" s="384"/>
      <c r="F305" s="384"/>
      <c r="G305" s="306" t="s">
        <v>2065</v>
      </c>
      <c r="H305" s="306" t="s">
        <v>2418</v>
      </c>
      <c r="I305" s="162"/>
      <c r="J305" s="320"/>
      <c r="K305" s="320"/>
      <c r="L305" s="283"/>
      <c r="M305" s="283"/>
      <c r="N305" s="283"/>
      <c r="O305" s="283"/>
      <c r="P305" s="283"/>
      <c r="Q305" s="104"/>
    </row>
    <row r="306" spans="1:17" ht="12.75" customHeight="1" x14ac:dyDescent="0.3">
      <c r="A306" s="380"/>
      <c r="B306" s="380" t="s">
        <v>2066</v>
      </c>
      <c r="C306" s="379"/>
      <c r="D306" s="383"/>
      <c r="E306" s="383"/>
      <c r="F306" s="379"/>
      <c r="G306" s="381" t="s">
        <v>2067</v>
      </c>
      <c r="H306" s="380" t="s">
        <v>2419</v>
      </c>
      <c r="I306" s="162"/>
      <c r="J306" s="320"/>
      <c r="K306" s="320"/>
      <c r="L306" s="283"/>
      <c r="M306" s="283"/>
      <c r="N306" s="283"/>
      <c r="O306" s="283"/>
      <c r="P306" s="283"/>
      <c r="Q306" s="104"/>
    </row>
    <row r="307" spans="1:17" ht="12.75" customHeight="1" x14ac:dyDescent="0.3">
      <c r="A307" s="380"/>
      <c r="B307" s="380" t="s">
        <v>2068</v>
      </c>
      <c r="C307" s="379"/>
      <c r="D307" s="383"/>
      <c r="E307" s="383"/>
      <c r="F307" s="379"/>
      <c r="G307" s="382" t="s">
        <v>2069</v>
      </c>
      <c r="H307" s="380" t="s">
        <v>2419</v>
      </c>
      <c r="I307" s="162"/>
      <c r="J307" s="320"/>
      <c r="K307" s="320"/>
      <c r="L307" s="283"/>
      <c r="M307" s="283"/>
      <c r="N307" s="283"/>
      <c r="O307" s="283"/>
      <c r="P307" s="283"/>
      <c r="Q307" s="104"/>
    </row>
    <row r="308" spans="1:17" ht="12.75" customHeight="1" x14ac:dyDescent="0.3">
      <c r="A308" s="306"/>
      <c r="B308" s="306"/>
      <c r="C308" s="306" t="s">
        <v>2070</v>
      </c>
      <c r="D308" s="384"/>
      <c r="E308" s="397"/>
      <c r="F308" s="397"/>
      <c r="G308" s="406" t="s">
        <v>2071</v>
      </c>
      <c r="H308" s="306" t="s">
        <v>2421</v>
      </c>
      <c r="I308" s="162"/>
      <c r="J308" s="320"/>
      <c r="K308" s="320"/>
      <c r="L308" s="283"/>
      <c r="M308" s="283"/>
      <c r="N308" s="283"/>
      <c r="O308" s="283"/>
      <c r="P308" s="283"/>
      <c r="Q308" s="104"/>
    </row>
    <row r="309" spans="1:17" ht="12.75" customHeight="1" x14ac:dyDescent="0.3">
      <c r="A309" s="380"/>
      <c r="B309" s="380"/>
      <c r="C309" s="379" t="s">
        <v>2072</v>
      </c>
      <c r="D309" s="383"/>
      <c r="E309" s="383"/>
      <c r="F309" s="379"/>
      <c r="G309" s="379" t="s">
        <v>2073</v>
      </c>
      <c r="H309" s="380" t="s">
        <v>2419</v>
      </c>
      <c r="I309" s="162"/>
      <c r="J309" s="320"/>
      <c r="K309" s="320"/>
      <c r="L309" s="283"/>
      <c r="M309" s="283"/>
      <c r="N309" s="283"/>
      <c r="O309" s="283"/>
      <c r="P309" s="283"/>
      <c r="Q309" s="104"/>
    </row>
    <row r="310" spans="1:17" ht="12.75" customHeight="1" x14ac:dyDescent="0.3">
      <c r="A310" s="380"/>
      <c r="B310" s="380"/>
      <c r="C310" s="380" t="s">
        <v>2074</v>
      </c>
      <c r="D310" s="383"/>
      <c r="E310" s="383"/>
      <c r="F310" s="379"/>
      <c r="G310" s="379" t="s">
        <v>2075</v>
      </c>
      <c r="H310" s="380" t="s">
        <v>2419</v>
      </c>
      <c r="I310" s="162"/>
      <c r="J310" s="320"/>
      <c r="K310" s="320"/>
      <c r="L310" s="283"/>
      <c r="M310" s="283"/>
      <c r="N310" s="283"/>
      <c r="O310" s="283"/>
      <c r="P310" s="283"/>
      <c r="Q310" s="104"/>
    </row>
    <row r="311" spans="1:17" ht="12.75" customHeight="1" x14ac:dyDescent="0.3">
      <c r="A311" s="380"/>
      <c r="B311" s="380"/>
      <c r="C311" s="379" t="s">
        <v>2076</v>
      </c>
      <c r="D311" s="383"/>
      <c r="E311" s="383"/>
      <c r="F311" s="379"/>
      <c r="G311" s="381" t="s">
        <v>2077</v>
      </c>
      <c r="H311" s="380" t="s">
        <v>28</v>
      </c>
      <c r="I311" s="162"/>
      <c r="J311" s="320"/>
      <c r="K311" s="320"/>
      <c r="L311" s="283"/>
      <c r="M311" s="283"/>
      <c r="N311" s="283"/>
      <c r="O311" s="283"/>
      <c r="P311" s="283"/>
      <c r="Q311" s="104"/>
    </row>
    <row r="312" spans="1:17" ht="12.75" customHeight="1" x14ac:dyDescent="0.3">
      <c r="A312" s="379"/>
      <c r="B312" s="379"/>
      <c r="C312" s="379"/>
      <c r="D312" s="379"/>
      <c r="E312" s="379"/>
      <c r="F312" s="379"/>
      <c r="G312" s="380"/>
      <c r="H312" s="381"/>
      <c r="I312" s="162"/>
      <c r="J312" s="320"/>
      <c r="K312" s="320"/>
      <c r="L312" s="283"/>
      <c r="M312" s="283"/>
      <c r="N312" s="283"/>
      <c r="O312" s="283"/>
      <c r="P312" s="283"/>
      <c r="Q312" s="104"/>
    </row>
    <row r="313" spans="1:17" ht="12.75" customHeight="1" x14ac:dyDescent="0.3">
      <c r="A313" s="405" t="s">
        <v>201</v>
      </c>
      <c r="B313" s="404"/>
      <c r="C313" s="404"/>
      <c r="D313" s="404"/>
      <c r="E313" s="404"/>
      <c r="F313" s="404"/>
      <c r="G313" s="405" t="s">
        <v>969</v>
      </c>
      <c r="H313" s="405" t="s">
        <v>929</v>
      </c>
      <c r="I313" s="162"/>
      <c r="J313" s="320"/>
      <c r="K313" s="320"/>
      <c r="L313" s="283"/>
      <c r="M313" s="283"/>
      <c r="N313" s="283"/>
      <c r="O313" s="283"/>
      <c r="P313" s="283"/>
      <c r="Q313" s="104"/>
    </row>
    <row r="314" spans="1:17" ht="12.75" customHeight="1" x14ac:dyDescent="0.3">
      <c r="A314" s="379"/>
      <c r="B314" s="379"/>
      <c r="C314" s="379"/>
      <c r="D314" s="379"/>
      <c r="E314" s="379"/>
      <c r="F314" s="379"/>
      <c r="G314" s="380"/>
      <c r="H314" s="381"/>
      <c r="I314" s="162"/>
      <c r="J314" s="320"/>
      <c r="K314" s="320"/>
      <c r="L314" s="283"/>
      <c r="M314" s="283"/>
      <c r="N314" s="283"/>
      <c r="O314" s="283"/>
      <c r="P314" s="283"/>
      <c r="Q314" s="104"/>
    </row>
    <row r="315" spans="1:17" ht="12.75" customHeight="1" x14ac:dyDescent="0.3">
      <c r="A315" s="379"/>
      <c r="B315" s="380" t="s">
        <v>947</v>
      </c>
      <c r="C315" s="380"/>
      <c r="D315" s="380"/>
      <c r="E315" s="380"/>
      <c r="F315" s="380"/>
      <c r="G315" s="380" t="s">
        <v>2078</v>
      </c>
      <c r="H315" s="380" t="s">
        <v>28</v>
      </c>
      <c r="I315" s="162"/>
      <c r="J315" s="320"/>
      <c r="K315" s="320"/>
      <c r="L315" s="283"/>
      <c r="M315" s="283"/>
      <c r="N315" s="283"/>
      <c r="O315" s="283"/>
      <c r="P315" s="283"/>
      <c r="Q315" s="104"/>
    </row>
    <row r="316" spans="1:17" ht="12.75" customHeight="1" x14ac:dyDescent="0.3">
      <c r="A316" s="384"/>
      <c r="B316" s="384" t="s">
        <v>609</v>
      </c>
      <c r="C316" s="384"/>
      <c r="D316" s="384"/>
      <c r="E316" s="384"/>
      <c r="F316" s="384"/>
      <c r="G316" s="384" t="s">
        <v>2079</v>
      </c>
      <c r="H316" s="384" t="s">
        <v>28</v>
      </c>
      <c r="I316" s="162"/>
      <c r="J316" s="320"/>
      <c r="K316" s="320"/>
      <c r="L316" s="283"/>
      <c r="M316" s="283"/>
      <c r="N316" s="283"/>
      <c r="O316" s="283"/>
      <c r="P316" s="283"/>
      <c r="Q316" s="104"/>
    </row>
    <row r="317" spans="1:17" ht="12.75" customHeight="1" x14ac:dyDescent="0.3">
      <c r="A317" s="384"/>
      <c r="B317" s="384" t="s">
        <v>610</v>
      </c>
      <c r="C317" s="384"/>
      <c r="D317" s="384"/>
      <c r="E317" s="384"/>
      <c r="F317" s="384"/>
      <c r="G317" s="384" t="s">
        <v>2080</v>
      </c>
      <c r="H317" s="384" t="s">
        <v>28</v>
      </c>
      <c r="I317" s="162"/>
      <c r="J317" s="320"/>
      <c r="K317" s="320"/>
      <c r="L317" s="283"/>
      <c r="M317" s="283"/>
      <c r="N317" s="283"/>
      <c r="O317" s="283"/>
      <c r="P317" s="283"/>
      <c r="Q317" s="104"/>
    </row>
    <row r="318" spans="1:17" ht="12.75" customHeight="1" x14ac:dyDescent="0.3">
      <c r="A318" s="379"/>
      <c r="B318" s="379"/>
      <c r="C318" s="380" t="s">
        <v>1004</v>
      </c>
      <c r="D318" s="380"/>
      <c r="E318" s="380"/>
      <c r="F318" s="380"/>
      <c r="G318" s="380" t="s">
        <v>2081</v>
      </c>
      <c r="H318" s="380" t="s">
        <v>28</v>
      </c>
      <c r="I318" s="162"/>
      <c r="J318" s="320"/>
      <c r="K318" s="320"/>
      <c r="L318" s="283"/>
      <c r="M318" s="283"/>
      <c r="N318" s="283"/>
      <c r="O318" s="283"/>
      <c r="P318" s="283"/>
      <c r="Q318" s="104"/>
    </row>
    <row r="319" spans="1:17" ht="12.75" customHeight="1" x14ac:dyDescent="0.3">
      <c r="A319" s="407"/>
      <c r="B319" s="380"/>
      <c r="C319" s="380" t="s">
        <v>2082</v>
      </c>
      <c r="D319" s="380"/>
      <c r="E319" s="380"/>
      <c r="F319" s="380"/>
      <c r="G319" s="380" t="s">
        <v>2083</v>
      </c>
      <c r="H319" s="380" t="s">
        <v>478</v>
      </c>
      <c r="I319" s="162"/>
      <c r="J319" s="320"/>
      <c r="K319" s="320"/>
      <c r="L319" s="283"/>
      <c r="M319" s="283"/>
      <c r="N319" s="283"/>
      <c r="O319" s="283"/>
      <c r="P319" s="283"/>
      <c r="Q319" s="104"/>
    </row>
    <row r="320" spans="1:17" ht="12.75" customHeight="1" x14ac:dyDescent="0.3">
      <c r="A320" s="379"/>
      <c r="B320" s="383"/>
      <c r="C320" s="379" t="s">
        <v>2084</v>
      </c>
      <c r="D320" s="379"/>
      <c r="E320" s="379"/>
      <c r="F320" s="379"/>
      <c r="G320" s="379" t="s">
        <v>2085</v>
      </c>
      <c r="H320" s="380" t="s">
        <v>2086</v>
      </c>
      <c r="I320" s="162"/>
      <c r="J320" s="320"/>
      <c r="K320" s="320"/>
      <c r="L320" s="283"/>
      <c r="M320" s="283"/>
      <c r="N320" s="283"/>
      <c r="O320" s="283"/>
      <c r="P320" s="283"/>
      <c r="Q320" s="104"/>
    </row>
    <row r="321" spans="1:17" ht="12.75" customHeight="1" x14ac:dyDescent="0.4">
      <c r="A321" s="384"/>
      <c r="B321" s="384"/>
      <c r="C321" s="384" t="s">
        <v>606</v>
      </c>
      <c r="D321" s="384"/>
      <c r="E321" s="384"/>
      <c r="F321" s="384"/>
      <c r="G321" s="384" t="s">
        <v>2088</v>
      </c>
      <c r="H321" s="384" t="s">
        <v>2422</v>
      </c>
      <c r="I321" s="162"/>
      <c r="J321" s="320"/>
      <c r="K321" s="320"/>
      <c r="L321" s="283"/>
      <c r="M321" s="283"/>
      <c r="N321" s="283"/>
      <c r="O321" s="283"/>
      <c r="P321" s="283"/>
      <c r="Q321" s="104"/>
    </row>
    <row r="322" spans="1:17" ht="12.75" customHeight="1" x14ac:dyDescent="0.4">
      <c r="A322" s="384"/>
      <c r="B322" s="384"/>
      <c r="C322" s="384" t="s">
        <v>607</v>
      </c>
      <c r="D322" s="384"/>
      <c r="E322" s="384"/>
      <c r="F322" s="384"/>
      <c r="G322" s="384" t="s">
        <v>2089</v>
      </c>
      <c r="H322" s="384" t="s">
        <v>2423</v>
      </c>
      <c r="I322" s="162"/>
      <c r="J322" s="320"/>
      <c r="K322" s="320"/>
      <c r="L322" s="283"/>
      <c r="M322" s="283"/>
      <c r="N322" s="283"/>
      <c r="O322" s="283"/>
      <c r="P322" s="283"/>
      <c r="Q322" s="104"/>
    </row>
    <row r="323" spans="1:17" ht="12.75" customHeight="1" x14ac:dyDescent="0.3">
      <c r="A323" s="380"/>
      <c r="B323" s="380" t="s">
        <v>2090</v>
      </c>
      <c r="C323" s="383"/>
      <c r="D323" s="379"/>
      <c r="E323" s="379"/>
      <c r="F323" s="379"/>
      <c r="G323" s="382" t="s">
        <v>2091</v>
      </c>
      <c r="H323" s="380" t="s">
        <v>28</v>
      </c>
      <c r="I323" s="162"/>
      <c r="J323" s="320"/>
      <c r="K323" s="320"/>
      <c r="L323" s="283"/>
      <c r="M323" s="283"/>
      <c r="N323" s="283"/>
      <c r="O323" s="283"/>
      <c r="P323" s="283"/>
      <c r="Q323" s="104"/>
    </row>
    <row r="324" spans="1:17" ht="12.75" customHeight="1" x14ac:dyDescent="0.3">
      <c r="A324" s="380"/>
      <c r="B324" s="379"/>
      <c r="C324" s="380" t="s">
        <v>700</v>
      </c>
      <c r="D324" s="379"/>
      <c r="E324" s="379"/>
      <c r="F324" s="379"/>
      <c r="G324" s="382" t="s">
        <v>2092</v>
      </c>
      <c r="H324" s="380" t="s">
        <v>1000</v>
      </c>
      <c r="I324" s="162"/>
      <c r="J324" s="320"/>
      <c r="K324" s="320"/>
      <c r="L324" s="283"/>
      <c r="M324" s="283"/>
      <c r="N324" s="283"/>
      <c r="O324" s="283"/>
      <c r="P324" s="283"/>
      <c r="Q324" s="104"/>
    </row>
    <row r="325" spans="1:17" ht="12.75" customHeight="1" x14ac:dyDescent="0.3">
      <c r="A325" s="380"/>
      <c r="B325" s="379"/>
      <c r="C325" s="380" t="s">
        <v>1091</v>
      </c>
      <c r="D325" s="379"/>
      <c r="E325" s="379"/>
      <c r="F325" s="379"/>
      <c r="G325" s="382" t="s">
        <v>2094</v>
      </c>
      <c r="H325" s="380" t="s">
        <v>28</v>
      </c>
      <c r="I325" s="162"/>
      <c r="J325" s="320"/>
      <c r="K325" s="320"/>
      <c r="L325" s="283"/>
      <c r="M325" s="283"/>
      <c r="N325" s="283"/>
      <c r="O325" s="283"/>
      <c r="P325" s="283"/>
      <c r="Q325" s="104"/>
    </row>
    <row r="326" spans="1:17" ht="12.75" customHeight="1" x14ac:dyDescent="0.3">
      <c r="A326" s="380"/>
      <c r="B326" s="379"/>
      <c r="C326" s="380" t="s">
        <v>2095</v>
      </c>
      <c r="D326" s="379"/>
      <c r="E326" s="379"/>
      <c r="F326" s="379"/>
      <c r="G326" s="382" t="s">
        <v>2096</v>
      </c>
      <c r="H326" s="380" t="s">
        <v>999</v>
      </c>
      <c r="I326" s="162"/>
      <c r="J326" s="320"/>
      <c r="K326" s="320"/>
      <c r="L326" s="283"/>
      <c r="M326" s="283"/>
      <c r="N326" s="283"/>
      <c r="O326" s="283"/>
      <c r="P326" s="283"/>
      <c r="Q326" s="104"/>
    </row>
    <row r="327" spans="1:17" ht="12.75" customHeight="1" x14ac:dyDescent="0.3">
      <c r="A327" s="306"/>
      <c r="B327" s="384"/>
      <c r="C327" s="306" t="s">
        <v>541</v>
      </c>
      <c r="D327" s="384"/>
      <c r="E327" s="384"/>
      <c r="F327" s="384"/>
      <c r="G327" s="406" t="s">
        <v>2098</v>
      </c>
      <c r="H327" s="306" t="s">
        <v>1000</v>
      </c>
      <c r="I327" s="162"/>
      <c r="J327" s="320"/>
      <c r="K327" s="320"/>
      <c r="L327" s="283"/>
      <c r="M327" s="283"/>
      <c r="N327" s="283"/>
      <c r="O327" s="283"/>
      <c r="P327" s="283"/>
      <c r="Q327" s="104"/>
    </row>
    <row r="328" spans="1:17" ht="12.75" customHeight="1" x14ac:dyDescent="0.3">
      <c r="A328" s="306"/>
      <c r="B328" s="384"/>
      <c r="C328" s="306" t="s">
        <v>543</v>
      </c>
      <c r="D328" s="384"/>
      <c r="E328" s="384"/>
      <c r="F328" s="384"/>
      <c r="G328" s="406" t="s">
        <v>2099</v>
      </c>
      <c r="H328" s="306" t="s">
        <v>999</v>
      </c>
      <c r="I328" s="162"/>
      <c r="J328" s="320"/>
      <c r="K328" s="320"/>
      <c r="L328" s="283"/>
      <c r="M328" s="283"/>
      <c r="N328" s="283"/>
      <c r="O328" s="283"/>
      <c r="P328" s="283"/>
      <c r="Q328" s="104"/>
    </row>
    <row r="329" spans="1:17" ht="12.75" customHeight="1" x14ac:dyDescent="0.3">
      <c r="A329" s="380"/>
      <c r="B329" s="380" t="s">
        <v>2100</v>
      </c>
      <c r="C329" s="379"/>
      <c r="D329" s="380"/>
      <c r="E329" s="379"/>
      <c r="F329" s="379"/>
      <c r="G329" s="382" t="s">
        <v>2101</v>
      </c>
      <c r="H329" s="380" t="s">
        <v>28</v>
      </c>
      <c r="I329" s="162"/>
      <c r="J329" s="320"/>
      <c r="K329" s="320"/>
      <c r="L329" s="283"/>
      <c r="M329" s="283"/>
      <c r="N329" s="283"/>
      <c r="O329" s="283"/>
      <c r="P329" s="283"/>
      <c r="Q329" s="104"/>
    </row>
    <row r="330" spans="1:17" ht="12.75" customHeight="1" x14ac:dyDescent="0.3">
      <c r="A330" s="380"/>
      <c r="B330" s="380" t="s">
        <v>2102</v>
      </c>
      <c r="C330" s="383"/>
      <c r="D330" s="379"/>
      <c r="E330" s="379"/>
      <c r="F330" s="379"/>
      <c r="G330" s="382" t="s">
        <v>2103</v>
      </c>
      <c r="H330" s="380" t="s">
        <v>28</v>
      </c>
      <c r="I330" s="162"/>
      <c r="J330" s="320"/>
      <c r="K330" s="320"/>
      <c r="L330" s="283"/>
      <c r="M330" s="283"/>
      <c r="N330" s="283"/>
      <c r="O330" s="283"/>
      <c r="P330" s="283"/>
      <c r="Q330" s="104"/>
    </row>
    <row r="331" spans="1:17" ht="12.75" customHeight="1" x14ac:dyDescent="0.3">
      <c r="A331" s="380"/>
      <c r="B331" s="380" t="s">
        <v>2104</v>
      </c>
      <c r="C331" s="383"/>
      <c r="D331" s="379"/>
      <c r="E331" s="379"/>
      <c r="F331" s="379"/>
      <c r="G331" s="382" t="s">
        <v>2105</v>
      </c>
      <c r="H331" s="380" t="s">
        <v>28</v>
      </c>
      <c r="I331" s="162"/>
      <c r="J331" s="320"/>
      <c r="K331" s="320"/>
      <c r="L331" s="283"/>
      <c r="M331" s="283"/>
      <c r="N331" s="283"/>
      <c r="O331" s="283"/>
      <c r="P331" s="283"/>
      <c r="Q331" s="104"/>
    </row>
    <row r="332" spans="1:17" ht="12.75" customHeight="1" x14ac:dyDescent="0.3">
      <c r="A332" s="380"/>
      <c r="B332" s="379"/>
      <c r="C332" s="380" t="s">
        <v>2106</v>
      </c>
      <c r="D332" s="379"/>
      <c r="E332" s="379"/>
      <c r="F332" s="379"/>
      <c r="G332" s="382" t="s">
        <v>2107</v>
      </c>
      <c r="H332" s="380" t="s">
        <v>1000</v>
      </c>
      <c r="I332" s="162"/>
      <c r="J332" s="320"/>
      <c r="K332" s="320"/>
      <c r="L332" s="283"/>
      <c r="M332" s="283"/>
      <c r="N332" s="283"/>
      <c r="O332" s="283"/>
      <c r="P332" s="283"/>
      <c r="Q332" s="104"/>
    </row>
    <row r="333" spans="1:17" ht="12.75" customHeight="1" x14ac:dyDescent="0.3">
      <c r="A333" s="380"/>
      <c r="B333" s="379"/>
      <c r="C333" s="380" t="s">
        <v>2108</v>
      </c>
      <c r="D333" s="379"/>
      <c r="E333" s="379"/>
      <c r="F333" s="379"/>
      <c r="G333" s="382" t="s">
        <v>2109</v>
      </c>
      <c r="H333" s="380" t="s">
        <v>28</v>
      </c>
      <c r="I333" s="162"/>
      <c r="J333" s="320"/>
      <c r="K333" s="320"/>
      <c r="L333" s="283"/>
      <c r="M333" s="283"/>
      <c r="N333" s="283"/>
      <c r="O333" s="283"/>
      <c r="P333" s="283"/>
      <c r="Q333" s="104"/>
    </row>
    <row r="334" spans="1:17" ht="12.75" customHeight="1" x14ac:dyDescent="0.3">
      <c r="A334" s="379"/>
      <c r="B334" s="379"/>
      <c r="C334" s="379"/>
      <c r="D334" s="379"/>
      <c r="E334" s="379"/>
      <c r="F334" s="379"/>
      <c r="G334" s="380"/>
      <c r="H334" s="381"/>
      <c r="I334" s="162"/>
      <c r="J334" s="320"/>
      <c r="K334" s="320"/>
      <c r="L334" s="283"/>
      <c r="M334" s="283"/>
      <c r="N334" s="283"/>
      <c r="O334" s="283"/>
      <c r="P334" s="283"/>
      <c r="Q334" s="104"/>
    </row>
    <row r="335" spans="1:17" ht="12.75" customHeight="1" x14ac:dyDescent="0.3">
      <c r="A335" s="405" t="s">
        <v>1306</v>
      </c>
      <c r="B335" s="404"/>
      <c r="C335" s="404"/>
      <c r="D335" s="404"/>
      <c r="E335" s="404"/>
      <c r="F335" s="404"/>
      <c r="G335" s="405" t="s">
        <v>969</v>
      </c>
      <c r="H335" s="405" t="s">
        <v>929</v>
      </c>
      <c r="I335" s="162"/>
      <c r="J335" s="320"/>
      <c r="K335" s="320"/>
      <c r="L335" s="283"/>
      <c r="M335" s="283"/>
      <c r="N335" s="283"/>
      <c r="O335" s="283"/>
      <c r="P335" s="283"/>
      <c r="Q335" s="104"/>
    </row>
    <row r="336" spans="1:17" ht="12.75" customHeight="1" x14ac:dyDescent="0.3">
      <c r="A336" s="379"/>
      <c r="B336" s="379"/>
      <c r="C336" s="379"/>
      <c r="D336" s="379"/>
      <c r="E336" s="379"/>
      <c r="F336" s="379"/>
      <c r="G336" s="380"/>
      <c r="H336" s="381"/>
      <c r="I336" s="162"/>
      <c r="J336" s="320"/>
      <c r="K336" s="320"/>
      <c r="L336" s="283"/>
      <c r="M336" s="283"/>
      <c r="N336" s="283"/>
      <c r="O336" s="283"/>
      <c r="P336" s="283"/>
      <c r="Q336" s="104"/>
    </row>
    <row r="337" spans="1:17" ht="12.75" customHeight="1" x14ac:dyDescent="0.3">
      <c r="A337" s="306" t="s">
        <v>2110</v>
      </c>
      <c r="B337" s="384"/>
      <c r="C337" s="384"/>
      <c r="D337" s="384"/>
      <c r="E337" s="384"/>
      <c r="F337" s="384"/>
      <c r="G337" s="306" t="s">
        <v>2111</v>
      </c>
      <c r="H337" s="306" t="s">
        <v>2418</v>
      </c>
      <c r="I337" s="162"/>
      <c r="J337" s="320"/>
      <c r="K337" s="320"/>
      <c r="L337" s="283"/>
      <c r="M337" s="283"/>
      <c r="N337" s="283"/>
      <c r="O337" s="283"/>
      <c r="P337" s="283"/>
      <c r="Q337" s="104"/>
    </row>
    <row r="338" spans="1:17" ht="12.75" customHeight="1" x14ac:dyDescent="0.3">
      <c r="A338" s="306" t="s">
        <v>2112</v>
      </c>
      <c r="B338" s="384"/>
      <c r="C338" s="384"/>
      <c r="D338" s="384"/>
      <c r="E338" s="384"/>
      <c r="F338" s="384"/>
      <c r="G338" s="306" t="s">
        <v>2113</v>
      </c>
      <c r="H338" s="306" t="s">
        <v>2418</v>
      </c>
      <c r="I338" s="162"/>
      <c r="J338" s="320"/>
      <c r="K338" s="320"/>
      <c r="L338" s="283"/>
      <c r="M338" s="283"/>
      <c r="N338" s="283"/>
      <c r="O338" s="283"/>
      <c r="P338" s="283"/>
      <c r="Q338" s="104"/>
    </row>
    <row r="339" spans="1:17" ht="12.75" customHeight="1" x14ac:dyDescent="0.3">
      <c r="A339" s="306" t="s">
        <v>2114</v>
      </c>
      <c r="B339" s="384"/>
      <c r="C339" s="384"/>
      <c r="D339" s="384"/>
      <c r="E339" s="384"/>
      <c r="F339" s="384"/>
      <c r="G339" s="306" t="s">
        <v>2115</v>
      </c>
      <c r="H339" s="306" t="s">
        <v>2418</v>
      </c>
      <c r="I339" s="162"/>
      <c r="J339" s="320"/>
      <c r="K339" s="320"/>
      <c r="L339" s="283"/>
      <c r="M339" s="283"/>
      <c r="N339" s="283"/>
      <c r="O339" s="283"/>
      <c r="P339" s="283"/>
      <c r="Q339" s="104"/>
    </row>
    <row r="340" spans="1:17" ht="12.75" customHeight="1" x14ac:dyDescent="0.3">
      <c r="A340" s="306" t="s">
        <v>2116</v>
      </c>
      <c r="B340" s="384"/>
      <c r="C340" s="384"/>
      <c r="D340" s="384"/>
      <c r="E340" s="384"/>
      <c r="F340" s="384"/>
      <c r="G340" s="306" t="s">
        <v>2117</v>
      </c>
      <c r="H340" s="306" t="s">
        <v>2418</v>
      </c>
      <c r="I340" s="162"/>
      <c r="J340" s="320"/>
      <c r="K340" s="320"/>
      <c r="L340" s="283"/>
      <c r="M340" s="283"/>
      <c r="N340" s="283"/>
      <c r="O340" s="283"/>
      <c r="P340" s="283"/>
      <c r="Q340" s="104"/>
    </row>
    <row r="341" spans="1:17" ht="12.75" customHeight="1" x14ac:dyDescent="0.3">
      <c r="A341" s="379"/>
      <c r="B341" s="380" t="s">
        <v>2118</v>
      </c>
      <c r="C341" s="379"/>
      <c r="D341" s="379"/>
      <c r="E341" s="379"/>
      <c r="F341" s="379"/>
      <c r="G341" s="381" t="s">
        <v>2119</v>
      </c>
      <c r="H341" s="380" t="s">
        <v>2419</v>
      </c>
      <c r="I341" s="162"/>
      <c r="J341" s="320"/>
      <c r="K341" s="320"/>
      <c r="L341" s="283"/>
      <c r="M341" s="283"/>
      <c r="N341" s="283"/>
      <c r="O341" s="283"/>
      <c r="P341" s="283"/>
      <c r="Q341" s="104"/>
    </row>
    <row r="342" spans="1:17" ht="12.75" customHeight="1" x14ac:dyDescent="0.3">
      <c r="A342" s="379"/>
      <c r="B342" s="380" t="s">
        <v>2120</v>
      </c>
      <c r="C342" s="379"/>
      <c r="D342" s="379"/>
      <c r="E342" s="379"/>
      <c r="F342" s="379"/>
      <c r="G342" s="381" t="s">
        <v>2121</v>
      </c>
      <c r="H342" s="380" t="s">
        <v>2419</v>
      </c>
      <c r="I342" s="162"/>
      <c r="J342" s="320"/>
      <c r="K342" s="320"/>
      <c r="L342" s="283"/>
      <c r="M342" s="283"/>
      <c r="N342" s="283"/>
      <c r="O342" s="283"/>
      <c r="P342" s="283"/>
      <c r="Q342" s="104"/>
    </row>
    <row r="343" spans="1:17" ht="12.75" customHeight="1" x14ac:dyDescent="0.3">
      <c r="A343" s="379"/>
      <c r="B343" s="380"/>
      <c r="C343" s="306" t="s">
        <v>1874</v>
      </c>
      <c r="D343" s="384"/>
      <c r="E343" s="384"/>
      <c r="F343" s="384"/>
      <c r="G343" s="399" t="s">
        <v>2122</v>
      </c>
      <c r="H343" s="306" t="s">
        <v>2418</v>
      </c>
      <c r="I343" s="162"/>
      <c r="J343" s="320"/>
      <c r="K343" s="320"/>
      <c r="L343" s="283"/>
      <c r="M343" s="283"/>
      <c r="N343" s="283"/>
      <c r="O343" s="283"/>
      <c r="P343" s="283"/>
      <c r="Q343" s="104"/>
    </row>
    <row r="344" spans="1:17" ht="12.75" customHeight="1" x14ac:dyDescent="0.3">
      <c r="A344" s="379"/>
      <c r="B344" s="380"/>
      <c r="C344" s="306"/>
      <c r="D344" s="384" t="s">
        <v>1875</v>
      </c>
      <c r="E344" s="384"/>
      <c r="F344" s="384"/>
      <c r="G344" s="399" t="s">
        <v>2123</v>
      </c>
      <c r="H344" s="306" t="s">
        <v>2418</v>
      </c>
      <c r="I344" s="162"/>
      <c r="J344" s="320"/>
      <c r="K344" s="320"/>
      <c r="L344" s="283"/>
      <c r="M344" s="283"/>
      <c r="N344" s="283"/>
      <c r="O344" s="283"/>
      <c r="P344" s="283"/>
      <c r="Q344" s="104"/>
    </row>
    <row r="345" spans="1:17" ht="12.75" customHeight="1" x14ac:dyDescent="0.3">
      <c r="A345" s="379"/>
      <c r="B345" s="380"/>
      <c r="C345" s="306"/>
      <c r="D345" s="306"/>
      <c r="E345" s="306" t="s">
        <v>2124</v>
      </c>
      <c r="F345" s="384"/>
      <c r="G345" s="399" t="s">
        <v>2125</v>
      </c>
      <c r="H345" s="306" t="s">
        <v>2418</v>
      </c>
      <c r="I345" s="162"/>
      <c r="J345" s="320"/>
      <c r="K345" s="320"/>
      <c r="L345" s="283"/>
      <c r="M345" s="283"/>
      <c r="N345" s="283"/>
      <c r="O345" s="283"/>
      <c r="P345" s="283"/>
      <c r="Q345" s="104"/>
    </row>
    <row r="346" spans="1:17" ht="12.75" customHeight="1" x14ac:dyDescent="0.3">
      <c r="A346" s="379"/>
      <c r="B346" s="380"/>
      <c r="C346" s="306"/>
      <c r="D346" s="306"/>
      <c r="E346" s="306" t="s">
        <v>2126</v>
      </c>
      <c r="F346" s="384"/>
      <c r="G346" s="399" t="s">
        <v>2127</v>
      </c>
      <c r="H346" s="306" t="s">
        <v>2418</v>
      </c>
      <c r="I346" s="162"/>
      <c r="J346" s="320"/>
      <c r="K346" s="320"/>
      <c r="L346" s="283"/>
      <c r="M346" s="283"/>
      <c r="N346" s="283"/>
      <c r="O346" s="283"/>
      <c r="P346" s="283"/>
      <c r="Q346" s="104"/>
    </row>
    <row r="347" spans="1:17" ht="12.75" customHeight="1" x14ac:dyDescent="0.3">
      <c r="A347" s="306"/>
      <c r="B347" s="306"/>
      <c r="C347" s="384" t="s">
        <v>2128</v>
      </c>
      <c r="D347" s="384"/>
      <c r="E347" s="384"/>
      <c r="F347" s="384"/>
      <c r="G347" s="384" t="s">
        <v>2129</v>
      </c>
      <c r="H347" s="384" t="s">
        <v>1779</v>
      </c>
      <c r="I347" s="162"/>
      <c r="J347" s="320"/>
      <c r="K347" s="320"/>
      <c r="L347" s="283"/>
      <c r="M347" s="283"/>
      <c r="N347" s="283"/>
      <c r="O347" s="283"/>
      <c r="P347" s="283"/>
      <c r="Q347" s="104"/>
    </row>
    <row r="348" spans="1:17" ht="12.75" customHeight="1" x14ac:dyDescent="0.3">
      <c r="A348" s="306"/>
      <c r="B348" s="306"/>
      <c r="C348" s="384" t="s">
        <v>2130</v>
      </c>
      <c r="D348" s="384"/>
      <c r="E348" s="384"/>
      <c r="F348" s="384"/>
      <c r="G348" s="384" t="s">
        <v>2131</v>
      </c>
      <c r="H348" s="384" t="s">
        <v>1779</v>
      </c>
      <c r="I348" s="162"/>
      <c r="J348" s="320"/>
      <c r="K348" s="320"/>
      <c r="L348" s="283"/>
      <c r="M348" s="283"/>
      <c r="N348" s="283"/>
      <c r="O348" s="283"/>
      <c r="P348" s="283"/>
      <c r="Q348" s="104"/>
    </row>
    <row r="349" spans="1:17" ht="12.75" customHeight="1" x14ac:dyDescent="0.3">
      <c r="A349" s="379"/>
      <c r="B349" s="379"/>
      <c r="C349" s="380" t="s">
        <v>484</v>
      </c>
      <c r="D349" s="379"/>
      <c r="E349" s="379"/>
      <c r="F349" s="379"/>
      <c r="G349" s="382" t="s">
        <v>2132</v>
      </c>
      <c r="H349" s="383" t="s">
        <v>2420</v>
      </c>
      <c r="I349" s="162"/>
      <c r="J349" s="320"/>
      <c r="K349" s="320"/>
      <c r="L349" s="283"/>
      <c r="M349" s="283"/>
      <c r="N349" s="283"/>
      <c r="O349" s="283"/>
      <c r="P349" s="283"/>
      <c r="Q349" s="104"/>
    </row>
    <row r="350" spans="1:17" ht="12.75" customHeight="1" x14ac:dyDescent="0.3">
      <c r="A350" s="380"/>
      <c r="B350" s="380"/>
      <c r="C350" s="380" t="s">
        <v>739</v>
      </c>
      <c r="D350" s="379"/>
      <c r="E350" s="379"/>
      <c r="F350" s="379"/>
      <c r="G350" s="381" t="s">
        <v>2133</v>
      </c>
      <c r="H350" s="383" t="s">
        <v>2420</v>
      </c>
      <c r="I350" s="162"/>
      <c r="J350" s="320"/>
      <c r="K350" s="320"/>
      <c r="L350" s="283"/>
      <c r="M350" s="283"/>
      <c r="N350" s="283"/>
      <c r="O350" s="283"/>
      <c r="P350" s="283"/>
      <c r="Q350" s="104"/>
    </row>
    <row r="351" spans="1:17" ht="12.75" customHeight="1" x14ac:dyDescent="0.3">
      <c r="A351" s="380"/>
      <c r="B351" s="380"/>
      <c r="C351" s="380" t="s">
        <v>740</v>
      </c>
      <c r="D351" s="379"/>
      <c r="E351" s="379"/>
      <c r="F351" s="379"/>
      <c r="G351" s="381" t="s">
        <v>2134</v>
      </c>
      <c r="H351" s="383" t="s">
        <v>2420</v>
      </c>
      <c r="I351" s="162"/>
      <c r="J351" s="320"/>
      <c r="K351" s="320"/>
      <c r="L351" s="283"/>
      <c r="M351" s="283"/>
      <c r="N351" s="283"/>
      <c r="O351" s="283"/>
      <c r="P351" s="283"/>
      <c r="Q351" s="104"/>
    </row>
    <row r="352" spans="1:17" ht="12.75" customHeight="1" x14ac:dyDescent="0.3">
      <c r="A352" s="380"/>
      <c r="B352" s="380"/>
      <c r="C352" s="379"/>
      <c r="D352" s="383" t="s">
        <v>741</v>
      </c>
      <c r="E352" s="383"/>
      <c r="F352" s="379"/>
      <c r="G352" s="382" t="s">
        <v>2135</v>
      </c>
      <c r="H352" s="383" t="s">
        <v>2420</v>
      </c>
      <c r="I352" s="162"/>
      <c r="J352" s="320"/>
      <c r="K352" s="320"/>
      <c r="L352" s="283"/>
      <c r="M352" s="283"/>
      <c r="N352" s="283"/>
      <c r="O352" s="283"/>
      <c r="P352" s="283"/>
      <c r="Q352" s="104"/>
    </row>
    <row r="353" spans="1:17" ht="12.75" customHeight="1" x14ac:dyDescent="0.3">
      <c r="A353" s="380"/>
      <c r="B353" s="380"/>
      <c r="C353" s="379"/>
      <c r="D353" s="380" t="s">
        <v>742</v>
      </c>
      <c r="E353" s="383"/>
      <c r="F353" s="379"/>
      <c r="G353" s="382" t="s">
        <v>2136</v>
      </c>
      <c r="H353" s="383" t="s">
        <v>2424</v>
      </c>
      <c r="I353" s="162"/>
      <c r="J353" s="320"/>
      <c r="K353" s="320"/>
      <c r="L353" s="283"/>
      <c r="M353" s="283"/>
      <c r="N353" s="283"/>
      <c r="O353" s="283"/>
      <c r="P353" s="283"/>
      <c r="Q353" s="104"/>
    </row>
    <row r="354" spans="1:17" ht="12.75" customHeight="1" x14ac:dyDescent="0.3">
      <c r="A354" s="380"/>
      <c r="B354" s="380"/>
      <c r="C354" s="379"/>
      <c r="D354" s="380" t="s">
        <v>440</v>
      </c>
      <c r="E354" s="379"/>
      <c r="F354" s="379"/>
      <c r="G354" s="382" t="s">
        <v>2137</v>
      </c>
      <c r="H354" s="380" t="s">
        <v>28</v>
      </c>
      <c r="I354" s="162"/>
      <c r="J354" s="320"/>
      <c r="K354" s="320"/>
      <c r="L354" s="283"/>
      <c r="M354" s="283"/>
      <c r="N354" s="283"/>
      <c r="O354" s="283"/>
      <c r="P354" s="283"/>
      <c r="Q354" s="104"/>
    </row>
    <row r="355" spans="1:17" ht="12.75" customHeight="1" x14ac:dyDescent="0.3">
      <c r="A355" s="306"/>
      <c r="B355" s="380" t="s">
        <v>2138</v>
      </c>
      <c r="C355" s="379"/>
      <c r="D355" s="379"/>
      <c r="E355" s="383"/>
      <c r="F355" s="379"/>
      <c r="G355" s="381" t="s">
        <v>2139</v>
      </c>
      <c r="H355" s="380" t="s">
        <v>2419</v>
      </c>
      <c r="I355" s="162"/>
      <c r="J355" s="320"/>
      <c r="K355" s="320"/>
      <c r="L355" s="283"/>
      <c r="M355" s="283"/>
      <c r="N355" s="283"/>
      <c r="O355" s="283"/>
      <c r="P355" s="283"/>
      <c r="Q355" s="104"/>
    </row>
    <row r="356" spans="1:17" ht="12.75" customHeight="1" x14ac:dyDescent="0.3">
      <c r="A356" s="306"/>
      <c r="B356" s="380" t="s">
        <v>2140</v>
      </c>
      <c r="C356" s="379"/>
      <c r="D356" s="379"/>
      <c r="E356" s="383"/>
      <c r="F356" s="379"/>
      <c r="G356" s="381" t="s">
        <v>2141</v>
      </c>
      <c r="H356" s="380" t="s">
        <v>2419</v>
      </c>
      <c r="I356" s="162"/>
      <c r="J356" s="320"/>
      <c r="K356" s="320"/>
      <c r="L356" s="283"/>
      <c r="M356" s="283"/>
      <c r="N356" s="283"/>
      <c r="O356" s="283"/>
      <c r="P356" s="283"/>
      <c r="Q356" s="104"/>
    </row>
    <row r="357" spans="1:17" ht="12.75" customHeight="1" x14ac:dyDescent="0.3">
      <c r="A357" s="306"/>
      <c r="B357" s="380"/>
      <c r="C357" s="379" t="s">
        <v>1070</v>
      </c>
      <c r="D357" s="379"/>
      <c r="E357" s="383"/>
      <c r="F357" s="379"/>
      <c r="G357" s="381" t="s">
        <v>2142</v>
      </c>
      <c r="H357" s="383" t="s">
        <v>2420</v>
      </c>
      <c r="I357" s="162"/>
      <c r="J357" s="320"/>
      <c r="K357" s="320"/>
      <c r="L357" s="283"/>
      <c r="M357" s="283"/>
      <c r="N357" s="283"/>
      <c r="O357" s="283"/>
      <c r="P357" s="283"/>
      <c r="Q357" s="104"/>
    </row>
    <row r="358" spans="1:17" ht="12.75" customHeight="1" x14ac:dyDescent="0.3">
      <c r="A358" s="306"/>
      <c r="B358" s="380"/>
      <c r="C358" s="379" t="s">
        <v>1009</v>
      </c>
      <c r="D358" s="379"/>
      <c r="E358" s="383"/>
      <c r="F358" s="379"/>
      <c r="G358" s="381" t="s">
        <v>2143</v>
      </c>
      <c r="H358" s="383" t="s">
        <v>2420</v>
      </c>
      <c r="I358" s="162"/>
      <c r="J358" s="320"/>
      <c r="K358" s="320"/>
      <c r="L358" s="283"/>
      <c r="M358" s="283"/>
      <c r="N358" s="283"/>
      <c r="O358" s="283"/>
      <c r="P358" s="283"/>
      <c r="Q358" s="104"/>
    </row>
    <row r="359" spans="1:17" ht="12.75" customHeight="1" x14ac:dyDescent="0.3">
      <c r="A359" s="306"/>
      <c r="B359" s="380" t="s">
        <v>2144</v>
      </c>
      <c r="C359" s="379"/>
      <c r="D359" s="379"/>
      <c r="E359" s="383"/>
      <c r="F359" s="379"/>
      <c r="G359" s="381" t="s">
        <v>2145</v>
      </c>
      <c r="H359" s="380" t="s">
        <v>2419</v>
      </c>
      <c r="I359" s="162"/>
      <c r="J359" s="320"/>
      <c r="K359" s="320"/>
      <c r="L359" s="283"/>
      <c r="M359" s="283"/>
      <c r="N359" s="283"/>
      <c r="O359" s="283"/>
      <c r="P359" s="283"/>
      <c r="Q359" s="104"/>
    </row>
    <row r="360" spans="1:17" ht="12.75" customHeight="1" x14ac:dyDescent="0.3">
      <c r="A360" s="306"/>
      <c r="B360" s="380" t="s">
        <v>2146</v>
      </c>
      <c r="C360" s="379"/>
      <c r="D360" s="379"/>
      <c r="E360" s="383"/>
      <c r="F360" s="379"/>
      <c r="G360" s="381" t="s">
        <v>2147</v>
      </c>
      <c r="H360" s="380" t="s">
        <v>2419</v>
      </c>
      <c r="I360" s="162"/>
      <c r="J360" s="320"/>
      <c r="K360" s="320"/>
      <c r="L360" s="283"/>
      <c r="M360" s="283"/>
      <c r="N360" s="283"/>
      <c r="O360" s="283"/>
      <c r="P360" s="283"/>
      <c r="Q360" s="104"/>
    </row>
    <row r="361" spans="1:17" ht="12.75" customHeight="1" x14ac:dyDescent="0.3">
      <c r="A361" s="306"/>
      <c r="B361" s="306"/>
      <c r="C361" s="384" t="s">
        <v>177</v>
      </c>
      <c r="D361" s="384"/>
      <c r="E361" s="397"/>
      <c r="F361" s="397"/>
      <c r="G361" s="399" t="s">
        <v>2148</v>
      </c>
      <c r="H361" s="384" t="s">
        <v>28</v>
      </c>
      <c r="I361" s="162"/>
      <c r="J361" s="320"/>
      <c r="K361" s="320"/>
      <c r="L361" s="283"/>
      <c r="M361" s="283"/>
      <c r="N361" s="283"/>
      <c r="O361" s="283"/>
      <c r="P361" s="283"/>
      <c r="Q361" s="104"/>
    </row>
    <row r="362" spans="1:17" ht="12.75" customHeight="1" x14ac:dyDescent="0.3">
      <c r="A362" s="306"/>
      <c r="B362" s="380"/>
      <c r="C362" s="379" t="s">
        <v>1010</v>
      </c>
      <c r="D362" s="379"/>
      <c r="E362" s="383"/>
      <c r="F362" s="379"/>
      <c r="G362" s="381" t="s">
        <v>2149</v>
      </c>
      <c r="H362" s="383" t="s">
        <v>2420</v>
      </c>
      <c r="I362" s="162"/>
      <c r="J362" s="320"/>
      <c r="K362" s="320"/>
      <c r="L362" s="283"/>
      <c r="M362" s="283"/>
      <c r="N362" s="283"/>
      <c r="O362" s="283"/>
      <c r="P362" s="283"/>
      <c r="Q362" s="104"/>
    </row>
    <row r="363" spans="1:17" ht="12.75" customHeight="1" x14ac:dyDescent="0.3">
      <c r="A363" s="306"/>
      <c r="B363" s="380"/>
      <c r="C363" s="379" t="s">
        <v>850</v>
      </c>
      <c r="D363" s="379"/>
      <c r="E363" s="379"/>
      <c r="F363" s="379"/>
      <c r="G363" s="381" t="s">
        <v>2150</v>
      </c>
      <c r="H363" s="383" t="s">
        <v>2420</v>
      </c>
      <c r="I363" s="162"/>
      <c r="J363" s="320"/>
      <c r="K363" s="320"/>
      <c r="L363" s="283"/>
      <c r="M363" s="283"/>
      <c r="N363" s="283"/>
      <c r="O363" s="283"/>
      <c r="P363" s="283"/>
      <c r="Q363" s="104"/>
    </row>
    <row r="364" spans="1:17" ht="12.75" customHeight="1" x14ac:dyDescent="0.3">
      <c r="A364" s="306"/>
      <c r="B364" s="379"/>
      <c r="C364" s="379"/>
      <c r="D364" s="379" t="s">
        <v>2151</v>
      </c>
      <c r="E364" s="379"/>
      <c r="F364" s="379"/>
      <c r="G364" s="382" t="s">
        <v>2152</v>
      </c>
      <c r="H364" s="380" t="s">
        <v>713</v>
      </c>
      <c r="I364" s="162"/>
      <c r="J364" s="320"/>
      <c r="K364" s="320"/>
      <c r="L364" s="283"/>
      <c r="M364" s="283"/>
      <c r="N364" s="283"/>
      <c r="O364" s="283"/>
      <c r="P364" s="283"/>
      <c r="Q364" s="104"/>
    </row>
    <row r="365" spans="1:17" ht="12.75" customHeight="1" x14ac:dyDescent="0.3">
      <c r="A365" s="306"/>
      <c r="B365" s="379"/>
      <c r="C365" s="379"/>
      <c r="D365" s="380" t="s">
        <v>2153</v>
      </c>
      <c r="E365" s="379"/>
      <c r="F365" s="379"/>
      <c r="G365" s="382" t="s">
        <v>2154</v>
      </c>
      <c r="H365" s="383" t="s">
        <v>2420</v>
      </c>
      <c r="I365" s="162"/>
      <c r="J365" s="320"/>
      <c r="K365" s="320"/>
      <c r="L365" s="283"/>
      <c r="M365" s="283"/>
      <c r="N365" s="283"/>
      <c r="O365" s="283"/>
      <c r="P365" s="283"/>
      <c r="Q365" s="104"/>
    </row>
    <row r="366" spans="1:17" ht="12.75" customHeight="1" x14ac:dyDescent="0.3">
      <c r="A366" s="306"/>
      <c r="B366" s="379"/>
      <c r="C366" s="379"/>
      <c r="D366" s="379" t="s">
        <v>2155</v>
      </c>
      <c r="E366" s="379"/>
      <c r="F366" s="379"/>
      <c r="G366" s="382" t="s">
        <v>2156</v>
      </c>
      <c r="H366" s="383" t="s">
        <v>2425</v>
      </c>
      <c r="I366" s="162"/>
      <c r="J366" s="320"/>
      <c r="K366" s="320"/>
      <c r="L366" s="283"/>
      <c r="M366" s="283"/>
      <c r="N366" s="283"/>
      <c r="O366" s="283"/>
      <c r="P366" s="283"/>
      <c r="Q366" s="104"/>
    </row>
    <row r="367" spans="1:17" ht="12.75" customHeight="1" x14ac:dyDescent="0.3">
      <c r="A367" s="306"/>
      <c r="B367" s="379"/>
      <c r="C367" s="379"/>
      <c r="D367" s="379"/>
      <c r="E367" s="379" t="s">
        <v>2158</v>
      </c>
      <c r="F367" s="379"/>
      <c r="G367" s="380" t="s">
        <v>2159</v>
      </c>
      <c r="H367" s="383" t="s">
        <v>2420</v>
      </c>
      <c r="I367" s="162"/>
      <c r="J367" s="320"/>
      <c r="K367" s="320"/>
      <c r="L367" s="283"/>
      <c r="M367" s="283"/>
      <c r="N367" s="283"/>
      <c r="O367" s="283"/>
      <c r="P367" s="283"/>
      <c r="Q367" s="104"/>
    </row>
    <row r="368" spans="1:17" ht="12.75" customHeight="1" x14ac:dyDescent="0.3">
      <c r="A368" s="306"/>
      <c r="B368" s="379"/>
      <c r="C368" s="379"/>
      <c r="D368" s="379"/>
      <c r="E368" s="379" t="s">
        <v>2160</v>
      </c>
      <c r="F368" s="379"/>
      <c r="G368" s="380" t="s">
        <v>2161</v>
      </c>
      <c r="H368" s="383" t="s">
        <v>2425</v>
      </c>
      <c r="I368" s="162"/>
      <c r="J368" s="320"/>
      <c r="K368" s="320"/>
      <c r="L368" s="283"/>
      <c r="M368" s="283"/>
      <c r="N368" s="283"/>
      <c r="O368" s="283"/>
      <c r="P368" s="283"/>
      <c r="Q368" s="104"/>
    </row>
    <row r="369" spans="1:17" ht="12.75" customHeight="1" x14ac:dyDescent="0.3">
      <c r="A369" s="306"/>
      <c r="B369" s="379"/>
      <c r="C369" s="379"/>
      <c r="D369" s="379"/>
      <c r="E369" s="379"/>
      <c r="F369" s="379"/>
      <c r="G369" s="380"/>
      <c r="H369" s="383"/>
      <c r="I369" s="162"/>
      <c r="J369" s="320"/>
      <c r="K369" s="320"/>
      <c r="L369" s="283"/>
      <c r="M369" s="283"/>
      <c r="N369" s="283"/>
      <c r="O369" s="283"/>
      <c r="P369" s="283"/>
      <c r="Q369" s="104"/>
    </row>
    <row r="370" spans="1:17" ht="12.75" customHeight="1" x14ac:dyDescent="0.3">
      <c r="A370" s="306" t="s">
        <v>73</v>
      </c>
      <c r="B370" s="384"/>
      <c r="C370" s="384"/>
      <c r="D370" s="384"/>
      <c r="E370" s="384"/>
      <c r="F370" s="384"/>
      <c r="G370" s="399" t="s">
        <v>2162</v>
      </c>
      <c r="H370" s="306" t="s">
        <v>2418</v>
      </c>
      <c r="I370" s="162"/>
      <c r="J370" s="320"/>
      <c r="K370" s="320"/>
      <c r="L370" s="283"/>
      <c r="M370" s="283"/>
      <c r="N370" s="283"/>
      <c r="O370" s="283"/>
      <c r="P370" s="283"/>
      <c r="Q370" s="104"/>
    </row>
    <row r="371" spans="1:17" ht="12.75" customHeight="1" x14ac:dyDescent="0.3">
      <c r="A371" s="306"/>
      <c r="B371" s="380" t="s">
        <v>2163</v>
      </c>
      <c r="C371" s="379"/>
      <c r="D371" s="379"/>
      <c r="E371" s="379"/>
      <c r="F371" s="379"/>
      <c r="G371" s="381" t="s">
        <v>2164</v>
      </c>
      <c r="H371" s="380" t="s">
        <v>2419</v>
      </c>
      <c r="I371" s="162"/>
      <c r="J371" s="320"/>
      <c r="K371" s="320"/>
      <c r="L371" s="283"/>
      <c r="M371" s="283"/>
      <c r="N371" s="283"/>
      <c r="O371" s="283"/>
      <c r="P371" s="283"/>
      <c r="Q371" s="104"/>
    </row>
    <row r="372" spans="1:17" ht="12.75" customHeight="1" x14ac:dyDescent="0.3">
      <c r="A372" s="306"/>
      <c r="B372" s="306"/>
      <c r="C372" s="384" t="s">
        <v>177</v>
      </c>
      <c r="D372" s="384"/>
      <c r="E372" s="397"/>
      <c r="F372" s="397"/>
      <c r="G372" s="399" t="s">
        <v>2165</v>
      </c>
      <c r="H372" s="384" t="s">
        <v>28</v>
      </c>
      <c r="I372" s="162"/>
      <c r="J372" s="320"/>
      <c r="K372" s="320"/>
      <c r="L372" s="283"/>
      <c r="M372" s="283"/>
      <c r="N372" s="283"/>
      <c r="O372" s="283"/>
      <c r="P372" s="283"/>
      <c r="Q372" s="104"/>
    </row>
    <row r="373" spans="1:17" ht="12.75" customHeight="1" x14ac:dyDescent="0.3">
      <c r="A373" s="306"/>
      <c r="B373" s="380"/>
      <c r="C373" s="383" t="s">
        <v>1081</v>
      </c>
      <c r="D373" s="383"/>
      <c r="E373" s="383"/>
      <c r="F373" s="379"/>
      <c r="G373" s="382" t="s">
        <v>2166</v>
      </c>
      <c r="H373" s="383" t="s">
        <v>2424</v>
      </c>
      <c r="I373" s="162"/>
      <c r="J373" s="320"/>
      <c r="K373" s="320"/>
      <c r="L373" s="283"/>
      <c r="M373" s="283"/>
      <c r="N373" s="283"/>
      <c r="O373" s="283"/>
      <c r="P373" s="283"/>
      <c r="Q373" s="104"/>
    </row>
    <row r="374" spans="1:17" ht="12.75" customHeight="1" x14ac:dyDescent="0.3">
      <c r="A374" s="306"/>
      <c r="B374" s="380"/>
      <c r="C374" s="380" t="s">
        <v>2167</v>
      </c>
      <c r="D374" s="383"/>
      <c r="E374" s="383"/>
      <c r="F374" s="379"/>
      <c r="G374" s="382" t="s">
        <v>2168</v>
      </c>
      <c r="H374" s="380" t="s">
        <v>28</v>
      </c>
      <c r="I374" s="162"/>
      <c r="J374" s="320"/>
      <c r="K374" s="320"/>
      <c r="L374" s="283"/>
      <c r="M374" s="283"/>
      <c r="N374" s="283"/>
      <c r="O374" s="283"/>
      <c r="P374" s="283"/>
      <c r="Q374" s="104"/>
    </row>
    <row r="375" spans="1:17" ht="12.75" customHeight="1" x14ac:dyDescent="0.3">
      <c r="A375" s="306"/>
      <c r="B375" s="306"/>
      <c r="C375" s="306"/>
      <c r="D375" s="384" t="s">
        <v>2169</v>
      </c>
      <c r="E375" s="306"/>
      <c r="F375" s="397"/>
      <c r="G375" s="399" t="s">
        <v>2170</v>
      </c>
      <c r="H375" s="397" t="s">
        <v>713</v>
      </c>
      <c r="I375" s="162"/>
      <c r="J375" s="320"/>
      <c r="K375" s="320"/>
      <c r="L375" s="283"/>
      <c r="M375" s="283"/>
      <c r="N375" s="283"/>
      <c r="O375" s="283"/>
      <c r="P375" s="283"/>
      <c r="Q375" s="104"/>
    </row>
    <row r="376" spans="1:17" ht="12.75" customHeight="1" x14ac:dyDescent="0.3">
      <c r="A376" s="379"/>
      <c r="B376" s="379"/>
      <c r="C376" s="379"/>
      <c r="D376" s="379"/>
      <c r="E376" s="379"/>
      <c r="F376" s="379"/>
      <c r="G376" s="380"/>
      <c r="H376" s="381"/>
      <c r="I376" s="162"/>
      <c r="J376" s="320"/>
      <c r="K376" s="320"/>
      <c r="L376" s="283"/>
      <c r="M376" s="283"/>
      <c r="N376" s="283"/>
      <c r="O376" s="283"/>
      <c r="P376" s="283"/>
      <c r="Q376" s="104"/>
    </row>
    <row r="377" spans="1:17" ht="12.75" customHeight="1" x14ac:dyDescent="0.3">
      <c r="A377" s="405" t="s">
        <v>414</v>
      </c>
      <c r="B377" s="404"/>
      <c r="C377" s="404"/>
      <c r="D377" s="404"/>
      <c r="E377" s="404"/>
      <c r="F377" s="404"/>
      <c r="G377" s="405" t="s">
        <v>969</v>
      </c>
      <c r="H377" s="405" t="s">
        <v>929</v>
      </c>
      <c r="I377" s="162"/>
      <c r="J377" s="320"/>
      <c r="K377" s="320"/>
      <c r="L377" s="283"/>
      <c r="M377" s="283"/>
      <c r="N377" s="283"/>
      <c r="O377" s="283"/>
      <c r="P377" s="283"/>
      <c r="Q377" s="104"/>
    </row>
    <row r="378" spans="1:17" ht="12.75" customHeight="1" x14ac:dyDescent="0.3">
      <c r="A378" s="379"/>
      <c r="B378" s="379"/>
      <c r="C378" s="379"/>
      <c r="D378" s="379"/>
      <c r="E378" s="379"/>
      <c r="F378" s="379"/>
      <c r="G378" s="380"/>
      <c r="H378" s="381"/>
      <c r="I378" s="162"/>
      <c r="J378" s="320"/>
      <c r="K378" s="320"/>
      <c r="L378" s="283"/>
      <c r="M378" s="283"/>
      <c r="N378" s="283"/>
      <c r="O378" s="283"/>
      <c r="P378" s="283"/>
      <c r="Q378" s="104"/>
    </row>
    <row r="379" spans="1:17" ht="12.75" customHeight="1" x14ac:dyDescent="0.3">
      <c r="A379" s="306" t="s">
        <v>216</v>
      </c>
      <c r="B379" s="384"/>
      <c r="C379" s="384"/>
      <c r="D379" s="384"/>
      <c r="E379" s="384"/>
      <c r="F379" s="384"/>
      <c r="G379" s="399" t="s">
        <v>2171</v>
      </c>
      <c r="H379" s="306" t="s">
        <v>2418</v>
      </c>
      <c r="I379" s="162"/>
      <c r="J379" s="320"/>
      <c r="K379" s="320"/>
      <c r="L379" s="283"/>
      <c r="M379" s="283"/>
      <c r="N379" s="283"/>
      <c r="O379" s="283"/>
      <c r="P379" s="283"/>
      <c r="Q379" s="104"/>
    </row>
    <row r="380" spans="1:17" ht="12.75" customHeight="1" x14ac:dyDescent="0.3">
      <c r="A380" s="306" t="s">
        <v>245</v>
      </c>
      <c r="B380" s="384"/>
      <c r="C380" s="384"/>
      <c r="D380" s="384"/>
      <c r="E380" s="384"/>
      <c r="F380" s="384"/>
      <c r="G380" s="399" t="s">
        <v>2172</v>
      </c>
      <c r="H380" s="306" t="s">
        <v>2418</v>
      </c>
      <c r="I380" s="162"/>
      <c r="J380" s="320"/>
      <c r="K380" s="320"/>
      <c r="L380" s="283"/>
      <c r="M380" s="283"/>
      <c r="N380" s="283"/>
      <c r="O380" s="283"/>
      <c r="P380" s="283"/>
      <c r="Q380" s="104"/>
    </row>
    <row r="381" spans="1:17" ht="12.75" customHeight="1" x14ac:dyDescent="0.3">
      <c r="A381" s="306" t="s">
        <v>358</v>
      </c>
      <c r="B381" s="384"/>
      <c r="C381" s="384"/>
      <c r="D381" s="384"/>
      <c r="E381" s="384"/>
      <c r="F381" s="384"/>
      <c r="G381" s="399" t="s">
        <v>2173</v>
      </c>
      <c r="H381" s="306" t="s">
        <v>2418</v>
      </c>
      <c r="I381" s="162"/>
      <c r="J381" s="320"/>
      <c r="K381" s="320"/>
      <c r="L381" s="283"/>
      <c r="M381" s="283"/>
      <c r="N381" s="283"/>
      <c r="O381" s="283"/>
      <c r="P381" s="283"/>
      <c r="Q381" s="104"/>
    </row>
    <row r="382" spans="1:17" ht="12.75" customHeight="1" x14ac:dyDescent="0.3">
      <c r="A382" s="306"/>
      <c r="B382" s="380" t="s">
        <v>791</v>
      </c>
      <c r="C382" s="383"/>
      <c r="D382" s="379"/>
      <c r="E382" s="379"/>
      <c r="F382" s="379"/>
      <c r="G382" s="382" t="s">
        <v>2174</v>
      </c>
      <c r="H382" s="380" t="s">
        <v>2426</v>
      </c>
      <c r="I382" s="162"/>
      <c r="J382" s="320"/>
      <c r="K382" s="320"/>
      <c r="L382" s="283"/>
      <c r="M382" s="283"/>
      <c r="N382" s="283"/>
      <c r="O382" s="283"/>
      <c r="P382" s="283"/>
      <c r="Q382" s="104"/>
    </row>
    <row r="383" spans="1:17" ht="12.75" customHeight="1" x14ac:dyDescent="0.3">
      <c r="A383" s="306"/>
      <c r="B383" s="380" t="s">
        <v>792</v>
      </c>
      <c r="C383" s="379"/>
      <c r="D383" s="379"/>
      <c r="E383" s="379"/>
      <c r="F383" s="379"/>
      <c r="G383" s="381" t="s">
        <v>2176</v>
      </c>
      <c r="H383" s="380" t="s">
        <v>2426</v>
      </c>
      <c r="I383" s="162"/>
      <c r="J383" s="320"/>
      <c r="K383" s="320"/>
      <c r="L383" s="283"/>
      <c r="M383" s="283"/>
      <c r="N383" s="283"/>
      <c r="O383" s="283"/>
      <c r="P383" s="283"/>
      <c r="Q383" s="104"/>
    </row>
    <row r="384" spans="1:17" ht="12.75" customHeight="1" x14ac:dyDescent="0.3">
      <c r="A384" s="306"/>
      <c r="B384" s="383"/>
      <c r="C384" s="380" t="s">
        <v>2177</v>
      </c>
      <c r="D384" s="379"/>
      <c r="E384" s="379"/>
      <c r="F384" s="379"/>
      <c r="G384" s="381" t="s">
        <v>2178</v>
      </c>
      <c r="H384" s="380" t="s">
        <v>2427</v>
      </c>
      <c r="I384" s="162"/>
      <c r="J384" s="320"/>
      <c r="K384" s="320"/>
      <c r="L384" s="283"/>
      <c r="M384" s="283"/>
      <c r="N384" s="283"/>
      <c r="O384" s="283"/>
      <c r="P384" s="283"/>
      <c r="Q384" s="104"/>
    </row>
    <row r="385" spans="1:17" ht="12.75" customHeight="1" x14ac:dyDescent="0.3">
      <c r="A385" s="306"/>
      <c r="B385" s="383"/>
      <c r="C385" s="380" t="s">
        <v>26</v>
      </c>
      <c r="D385" s="379"/>
      <c r="E385" s="379"/>
      <c r="F385" s="379"/>
      <c r="G385" s="381" t="s">
        <v>2180</v>
      </c>
      <c r="H385" s="380" t="s">
        <v>28</v>
      </c>
      <c r="I385" s="162"/>
      <c r="J385" s="320"/>
      <c r="K385" s="320"/>
      <c r="L385" s="283"/>
      <c r="M385" s="283"/>
      <c r="N385" s="283"/>
      <c r="O385" s="283"/>
      <c r="P385" s="283"/>
      <c r="Q385" s="104"/>
    </row>
    <row r="386" spans="1:17" ht="12.75" customHeight="1" x14ac:dyDescent="0.3">
      <c r="A386" s="306"/>
      <c r="B386" s="380" t="s">
        <v>793</v>
      </c>
      <c r="C386" s="379"/>
      <c r="D386" s="379"/>
      <c r="E386" s="379"/>
      <c r="F386" s="379"/>
      <c r="G386" s="381" t="s">
        <v>2181</v>
      </c>
      <c r="H386" s="380" t="s">
        <v>2426</v>
      </c>
      <c r="I386" s="162"/>
      <c r="J386" s="320"/>
      <c r="K386" s="320"/>
      <c r="L386" s="283"/>
      <c r="M386" s="283"/>
      <c r="N386" s="283"/>
      <c r="O386" s="283"/>
      <c r="P386" s="283"/>
      <c r="Q386" s="104"/>
    </row>
    <row r="387" spans="1:17" ht="12.75" customHeight="1" x14ac:dyDescent="0.3">
      <c r="A387" s="306"/>
      <c r="B387" s="380"/>
      <c r="C387" s="380" t="s">
        <v>579</v>
      </c>
      <c r="D387" s="379"/>
      <c r="E387" s="379"/>
      <c r="F387" s="379"/>
      <c r="G387" s="382" t="s">
        <v>2182</v>
      </c>
      <c r="H387" s="380" t="s">
        <v>724</v>
      </c>
      <c r="I387" s="162"/>
      <c r="J387" s="320"/>
      <c r="K387" s="320"/>
      <c r="L387" s="283"/>
      <c r="M387" s="283"/>
      <c r="N387" s="283"/>
      <c r="O387" s="283"/>
      <c r="P387" s="283"/>
      <c r="Q387" s="104"/>
    </row>
    <row r="388" spans="1:17" ht="12.75" customHeight="1" x14ac:dyDescent="0.3">
      <c r="A388" s="306"/>
      <c r="B388" s="383"/>
      <c r="C388" s="380" t="s">
        <v>760</v>
      </c>
      <c r="D388" s="379"/>
      <c r="E388" s="379"/>
      <c r="F388" s="379"/>
      <c r="G388" s="381" t="s">
        <v>2184</v>
      </c>
      <c r="H388" s="380" t="s">
        <v>28</v>
      </c>
      <c r="I388" s="162"/>
      <c r="J388" s="320"/>
      <c r="K388" s="320"/>
      <c r="L388" s="283"/>
      <c r="M388" s="283"/>
      <c r="N388" s="283"/>
      <c r="O388" s="283"/>
      <c r="P388" s="283"/>
      <c r="Q388" s="104"/>
    </row>
    <row r="389" spans="1:17" ht="12.75" customHeight="1" x14ac:dyDescent="0.3">
      <c r="A389" s="306"/>
      <c r="B389" s="380" t="s">
        <v>421</v>
      </c>
      <c r="C389" s="379"/>
      <c r="D389" s="379"/>
      <c r="E389" s="379"/>
      <c r="F389" s="379"/>
      <c r="G389" s="381" t="s">
        <v>2185</v>
      </c>
      <c r="H389" s="380" t="s">
        <v>2426</v>
      </c>
      <c r="I389" s="162"/>
      <c r="J389" s="320"/>
      <c r="K389" s="320"/>
      <c r="L389" s="283"/>
      <c r="M389" s="283"/>
      <c r="N389" s="283"/>
      <c r="O389" s="283"/>
      <c r="P389" s="283"/>
      <c r="Q389" s="104"/>
    </row>
    <row r="390" spans="1:17" ht="12.75" customHeight="1" x14ac:dyDescent="0.3">
      <c r="A390" s="306"/>
      <c r="B390" s="379" t="s">
        <v>2186</v>
      </c>
      <c r="C390" s="379"/>
      <c r="D390" s="379"/>
      <c r="E390" s="379"/>
      <c r="F390" s="379"/>
      <c r="G390" s="381" t="s">
        <v>2187</v>
      </c>
      <c r="H390" s="380" t="s">
        <v>2419</v>
      </c>
      <c r="I390" s="162"/>
      <c r="J390" s="320"/>
      <c r="K390" s="320"/>
      <c r="L390" s="283"/>
      <c r="M390" s="283"/>
      <c r="N390" s="283"/>
      <c r="O390" s="283"/>
      <c r="P390" s="283"/>
      <c r="Q390" s="104"/>
    </row>
    <row r="391" spans="1:17" ht="12.75" customHeight="1" x14ac:dyDescent="0.3">
      <c r="A391" s="306"/>
      <c r="B391" s="306"/>
      <c r="C391" s="384" t="s">
        <v>177</v>
      </c>
      <c r="D391" s="384"/>
      <c r="E391" s="397"/>
      <c r="F391" s="397"/>
      <c r="G391" s="399" t="s">
        <v>2188</v>
      </c>
      <c r="H391" s="384" t="s">
        <v>28</v>
      </c>
      <c r="I391" s="162"/>
      <c r="J391" s="320"/>
      <c r="K391" s="320"/>
      <c r="L391" s="283"/>
      <c r="M391" s="283"/>
      <c r="N391" s="283"/>
      <c r="O391" s="283"/>
      <c r="P391" s="283"/>
      <c r="Q391" s="104"/>
    </row>
    <row r="392" spans="1:17" ht="12.75" customHeight="1" x14ac:dyDescent="0.3">
      <c r="A392" s="306"/>
      <c r="B392" s="380"/>
      <c r="C392" s="380" t="s">
        <v>1051</v>
      </c>
      <c r="D392" s="379"/>
      <c r="E392" s="379"/>
      <c r="F392" s="379"/>
      <c r="G392" s="382" t="s">
        <v>2189</v>
      </c>
      <c r="H392" s="380" t="s">
        <v>28</v>
      </c>
      <c r="I392" s="162"/>
      <c r="J392" s="320"/>
      <c r="K392" s="320"/>
      <c r="L392" s="283"/>
      <c r="M392" s="283"/>
      <c r="N392" s="283"/>
      <c r="O392" s="283"/>
      <c r="P392" s="283"/>
      <c r="Q392" s="104"/>
    </row>
    <row r="393" spans="1:17" ht="12.75" customHeight="1" x14ac:dyDescent="0.3">
      <c r="A393" s="408"/>
      <c r="B393" s="408"/>
      <c r="C393" s="408"/>
      <c r="D393" s="408"/>
      <c r="E393" s="408"/>
      <c r="F393" s="408"/>
      <c r="G393" s="408"/>
      <c r="H393" s="408"/>
      <c r="I393" s="178"/>
      <c r="J393" s="326"/>
      <c r="K393" s="326"/>
      <c r="L393" s="290"/>
      <c r="M393" s="290"/>
      <c r="N393" s="290"/>
      <c r="O393" s="290"/>
      <c r="P393" s="290"/>
      <c r="Q393" s="104"/>
    </row>
    <row r="394" spans="1:17" ht="12.75" customHeight="1" x14ac:dyDescent="0.3">
      <c r="A394" s="38"/>
      <c r="B394" s="38"/>
      <c r="C394" s="38"/>
      <c r="D394" s="38"/>
      <c r="E394" s="38"/>
      <c r="F394" s="38"/>
      <c r="G394" s="38"/>
      <c r="H394" s="38"/>
      <c r="I394" s="162"/>
      <c r="J394" s="322"/>
      <c r="K394" s="322"/>
      <c r="L394" s="285"/>
      <c r="M394" s="285"/>
      <c r="N394" s="285"/>
      <c r="O394" s="285"/>
      <c r="P394" s="285"/>
      <c r="Q394" s="104"/>
    </row>
    <row r="395" spans="1:17" ht="12.75" customHeight="1" x14ac:dyDescent="0.3">
      <c r="A395" s="49" t="s">
        <v>456</v>
      </c>
      <c r="B395" s="38"/>
      <c r="C395" s="38"/>
      <c r="D395" s="38"/>
      <c r="E395" s="38"/>
      <c r="F395" s="38"/>
      <c r="G395" s="42"/>
      <c r="H395" s="42"/>
      <c r="I395" s="162"/>
      <c r="J395" s="320"/>
      <c r="K395" s="320"/>
      <c r="L395" s="283"/>
      <c r="M395" s="283"/>
      <c r="N395" s="283"/>
      <c r="O395" s="283"/>
      <c r="P395" s="283"/>
      <c r="Q395" s="104"/>
    </row>
    <row r="396" spans="1:17" ht="12.75" customHeight="1" x14ac:dyDescent="0.3">
      <c r="A396" s="38"/>
      <c r="B396" s="38"/>
      <c r="C396" s="38"/>
      <c r="D396" s="38"/>
      <c r="E396" s="38"/>
      <c r="F396" s="38"/>
      <c r="G396" s="42"/>
      <c r="H396" s="42"/>
      <c r="I396" s="162"/>
      <c r="J396" s="320"/>
      <c r="K396" s="320"/>
      <c r="L396" s="283"/>
      <c r="M396" s="283"/>
      <c r="N396" s="283"/>
      <c r="O396" s="283"/>
      <c r="P396" s="283"/>
      <c r="Q396" s="104"/>
    </row>
    <row r="397" spans="1:17" ht="12.75" customHeight="1" x14ac:dyDescent="0.3">
      <c r="A397" s="66" t="s">
        <v>1305</v>
      </c>
      <c r="B397" s="66"/>
      <c r="C397" s="66"/>
      <c r="D397" s="66"/>
      <c r="E397" s="66"/>
      <c r="F397" s="66"/>
      <c r="G397" s="67"/>
      <c r="H397" s="67"/>
      <c r="I397" s="189"/>
      <c r="J397" s="324"/>
      <c r="K397" s="324"/>
      <c r="L397" s="287"/>
      <c r="M397" s="287"/>
      <c r="N397" s="287"/>
      <c r="O397" s="287"/>
      <c r="P397" s="287"/>
      <c r="Q397" s="104"/>
    </row>
    <row r="398" spans="1:17" ht="12.75" customHeight="1" x14ac:dyDescent="0.3">
      <c r="A398" s="61"/>
      <c r="B398" s="61"/>
      <c r="C398" s="61"/>
      <c r="D398" s="61"/>
      <c r="E398" s="61"/>
      <c r="F398" s="61"/>
      <c r="G398" s="62"/>
      <c r="H398" s="62"/>
      <c r="I398" s="246"/>
      <c r="J398" s="325"/>
      <c r="K398" s="325"/>
      <c r="L398" s="288"/>
      <c r="M398" s="288"/>
      <c r="N398" s="288"/>
      <c r="O398" s="288"/>
      <c r="P398" s="288"/>
      <c r="Q398" s="104"/>
    </row>
    <row r="399" spans="1:17" ht="12.75" customHeight="1" x14ac:dyDescent="0.3">
      <c r="A399" s="42" t="s">
        <v>1082</v>
      </c>
      <c r="B399" s="38"/>
      <c r="C399" s="38"/>
      <c r="D399" s="38"/>
      <c r="E399" s="38"/>
      <c r="F399" s="38"/>
      <c r="G399" s="43" t="s">
        <v>521</v>
      </c>
      <c r="H399" s="42" t="s">
        <v>1937</v>
      </c>
      <c r="I399" s="340">
        <f>regional!I5</f>
        <v>0</v>
      </c>
      <c r="J399" s="295"/>
      <c r="K399" s="315"/>
      <c r="L399" s="276"/>
      <c r="M399" s="276"/>
      <c r="N399" s="276"/>
      <c r="O399" s="276"/>
      <c r="P399" s="276"/>
      <c r="Q399" s="104"/>
    </row>
    <row r="400" spans="1:17" ht="12.75" customHeight="1" x14ac:dyDescent="0.3">
      <c r="A400" s="42" t="s">
        <v>276</v>
      </c>
      <c r="B400" s="38"/>
      <c r="C400" s="38"/>
      <c r="D400" s="38"/>
      <c r="E400" s="38"/>
      <c r="F400" s="38"/>
      <c r="G400" s="43" t="s">
        <v>277</v>
      </c>
      <c r="H400" s="42" t="s">
        <v>1937</v>
      </c>
      <c r="I400" s="340">
        <f>regional!I6</f>
        <v>0</v>
      </c>
      <c r="J400" s="295"/>
      <c r="K400" s="315"/>
      <c r="L400" s="276"/>
      <c r="M400" s="276"/>
      <c r="N400" s="276"/>
      <c r="O400" s="276"/>
      <c r="P400" s="276"/>
      <c r="Q400" s="104"/>
    </row>
    <row r="401" spans="1:17" ht="12.75" customHeight="1" x14ac:dyDescent="0.3">
      <c r="A401" s="42" t="s">
        <v>702</v>
      </c>
      <c r="B401" s="38"/>
      <c r="C401" s="38"/>
      <c r="D401" s="38"/>
      <c r="E401" s="38"/>
      <c r="F401" s="38"/>
      <c r="G401" s="43" t="s">
        <v>522</v>
      </c>
      <c r="H401" s="42" t="s">
        <v>1937</v>
      </c>
      <c r="I401" s="340">
        <f>regional!I7</f>
        <v>0</v>
      </c>
      <c r="J401" s="295"/>
      <c r="K401" s="315"/>
      <c r="L401" s="276"/>
      <c r="M401" s="276"/>
      <c r="N401" s="276"/>
      <c r="O401" s="276"/>
      <c r="P401" s="276"/>
      <c r="Q401" s="104"/>
    </row>
    <row r="402" spans="1:17" ht="12.75" customHeight="1" x14ac:dyDescent="0.3">
      <c r="A402" s="42" t="s">
        <v>703</v>
      </c>
      <c r="B402" s="38"/>
      <c r="C402" s="38"/>
      <c r="D402" s="38"/>
      <c r="E402" s="38"/>
      <c r="F402" s="38"/>
      <c r="G402" s="43" t="s">
        <v>1236</v>
      </c>
      <c r="H402" s="42" t="s">
        <v>1937</v>
      </c>
      <c r="I402" s="340">
        <f>regional!I8</f>
        <v>0</v>
      </c>
      <c r="J402" s="295"/>
      <c r="K402" s="315"/>
      <c r="L402" s="276"/>
      <c r="M402" s="276"/>
      <c r="N402" s="276"/>
      <c r="O402" s="276"/>
      <c r="P402" s="276"/>
      <c r="Q402" s="104"/>
    </row>
    <row r="403" spans="1:17" ht="12.75" customHeight="1" x14ac:dyDescent="0.3">
      <c r="A403" s="42" t="s">
        <v>704</v>
      </c>
      <c r="B403" s="38"/>
      <c r="C403" s="38"/>
      <c r="D403" s="38"/>
      <c r="E403" s="38"/>
      <c r="F403" s="38"/>
      <c r="G403" s="43" t="s">
        <v>1237</v>
      </c>
      <c r="H403" s="42" t="s">
        <v>1937</v>
      </c>
      <c r="I403" s="340">
        <f>regional!I9</f>
        <v>0</v>
      </c>
      <c r="J403" s="295"/>
      <c r="K403" s="315"/>
      <c r="L403" s="276"/>
      <c r="M403" s="276"/>
      <c r="N403" s="276"/>
      <c r="O403" s="276"/>
      <c r="P403" s="276"/>
      <c r="Q403" s="104"/>
    </row>
    <row r="404" spans="1:17" ht="12.75" customHeight="1" x14ac:dyDescent="0.3">
      <c r="A404" s="42" t="s">
        <v>705</v>
      </c>
      <c r="B404" s="38"/>
      <c r="C404" s="38"/>
      <c r="D404" s="38"/>
      <c r="E404" s="38"/>
      <c r="F404" s="38"/>
      <c r="G404" s="43" t="s">
        <v>1238</v>
      </c>
      <c r="H404" s="42" t="s">
        <v>1937</v>
      </c>
      <c r="I404" s="340">
        <f>regional!I10</f>
        <v>0</v>
      </c>
      <c r="J404" s="295"/>
      <c r="K404" s="315"/>
      <c r="L404" s="276"/>
      <c r="M404" s="276"/>
      <c r="N404" s="276"/>
      <c r="O404" s="276"/>
      <c r="P404" s="276"/>
      <c r="Q404" s="104"/>
    </row>
    <row r="405" spans="1:17" ht="12.75" customHeight="1" x14ac:dyDescent="0.3">
      <c r="A405" s="42" t="s">
        <v>706</v>
      </c>
      <c r="B405" s="38"/>
      <c r="C405" s="38"/>
      <c r="D405" s="38"/>
      <c r="E405" s="38"/>
      <c r="F405" s="38"/>
      <c r="G405" s="43" t="s">
        <v>1239</v>
      </c>
      <c r="H405" s="42" t="s">
        <v>1937</v>
      </c>
      <c r="I405" s="340">
        <f>regional!I11</f>
        <v>0</v>
      </c>
      <c r="J405" s="295"/>
      <c r="K405" s="315"/>
      <c r="L405" s="276"/>
      <c r="M405" s="276"/>
      <c r="N405" s="276"/>
      <c r="O405" s="276"/>
      <c r="P405" s="276"/>
      <c r="Q405" s="104"/>
    </row>
    <row r="406" spans="1:17" ht="12.75" customHeight="1" x14ac:dyDescent="0.3">
      <c r="A406" s="42" t="s">
        <v>707</v>
      </c>
      <c r="B406" s="38"/>
      <c r="C406" s="38"/>
      <c r="D406" s="38"/>
      <c r="E406" s="38"/>
      <c r="F406" s="38"/>
      <c r="G406" s="43" t="s">
        <v>1240</v>
      </c>
      <c r="H406" s="42" t="s">
        <v>1937</v>
      </c>
      <c r="I406" s="340">
        <f>regional!I12</f>
        <v>0</v>
      </c>
      <c r="J406" s="295"/>
      <c r="K406" s="315"/>
      <c r="L406" s="276"/>
      <c r="M406" s="276"/>
      <c r="N406" s="276"/>
      <c r="O406" s="276"/>
      <c r="P406" s="276"/>
      <c r="Q406" s="104"/>
    </row>
    <row r="407" spans="1:17" ht="12.75" customHeight="1" x14ac:dyDescent="0.3">
      <c r="A407" s="42" t="s">
        <v>202</v>
      </c>
      <c r="B407" s="38"/>
      <c r="C407" s="38"/>
      <c r="D407" s="38"/>
      <c r="E407" s="38"/>
      <c r="F407" s="38"/>
      <c r="G407" s="43" t="s">
        <v>1241</v>
      </c>
      <c r="H407" s="42" t="s">
        <v>1937</v>
      </c>
      <c r="I407" s="340">
        <f>regional!I13</f>
        <v>0</v>
      </c>
      <c r="J407" s="295"/>
      <c r="K407" s="315"/>
      <c r="L407" s="276"/>
      <c r="M407" s="276"/>
      <c r="N407" s="276"/>
      <c r="O407" s="276"/>
      <c r="P407" s="276"/>
      <c r="Q407" s="104"/>
    </row>
    <row r="408" spans="1:17" ht="12.75" customHeight="1" x14ac:dyDescent="0.3">
      <c r="A408" s="42"/>
      <c r="B408" s="42" t="s">
        <v>1083</v>
      </c>
      <c r="C408" s="38"/>
      <c r="D408" s="38"/>
      <c r="E408" s="38"/>
      <c r="F408" s="38"/>
      <c r="G408" s="43" t="s">
        <v>661</v>
      </c>
      <c r="H408" s="42" t="s">
        <v>1934</v>
      </c>
      <c r="I408" s="340">
        <f>regional!I14</f>
        <v>0</v>
      </c>
      <c r="J408" s="295"/>
      <c r="K408" s="315"/>
      <c r="L408" s="276"/>
      <c r="M408" s="276"/>
      <c r="N408" s="276"/>
      <c r="O408" s="276"/>
      <c r="P408" s="276"/>
      <c r="Q408" s="104"/>
    </row>
    <row r="409" spans="1:17" ht="12.75" customHeight="1" x14ac:dyDescent="0.3">
      <c r="A409" s="42"/>
      <c r="B409" s="42" t="s">
        <v>278</v>
      </c>
      <c r="C409" s="38"/>
      <c r="D409" s="38"/>
      <c r="E409" s="38"/>
      <c r="F409" s="38"/>
      <c r="G409" s="63" t="s">
        <v>279</v>
      </c>
      <c r="H409" s="42" t="s">
        <v>28</v>
      </c>
      <c r="I409" s="340">
        <f>regional!I15</f>
        <v>0</v>
      </c>
      <c r="J409" s="295"/>
      <c r="K409" s="315"/>
      <c r="L409" s="276"/>
      <c r="M409" s="276"/>
      <c r="N409" s="276"/>
      <c r="O409" s="276"/>
      <c r="P409" s="276"/>
      <c r="Q409" s="104"/>
    </row>
    <row r="410" spans="1:17" ht="12.75" customHeight="1" x14ac:dyDescent="0.3">
      <c r="A410" s="42"/>
      <c r="B410" s="42" t="s">
        <v>1084</v>
      </c>
      <c r="C410" s="38"/>
      <c r="D410" s="38"/>
      <c r="E410" s="38"/>
      <c r="F410" s="38"/>
      <c r="G410" s="63" t="s">
        <v>1183</v>
      </c>
      <c r="H410" s="42" t="s">
        <v>28</v>
      </c>
      <c r="I410" s="340">
        <f>regional!I16</f>
        <v>0</v>
      </c>
      <c r="J410" s="295"/>
      <c r="K410" s="315"/>
      <c r="L410" s="276"/>
      <c r="M410" s="276"/>
      <c r="N410" s="276"/>
      <c r="O410" s="276"/>
      <c r="P410" s="276"/>
      <c r="Q410" s="104"/>
    </row>
    <row r="411" spans="1:17" ht="12.75" customHeight="1" x14ac:dyDescent="0.3">
      <c r="A411" s="42"/>
      <c r="B411" s="42" t="s">
        <v>1086</v>
      </c>
      <c r="C411" s="38"/>
      <c r="D411" s="38"/>
      <c r="E411" s="38"/>
      <c r="F411" s="38"/>
      <c r="G411" s="63" t="s">
        <v>1185</v>
      </c>
      <c r="H411" s="42" t="s">
        <v>28</v>
      </c>
      <c r="I411" s="340">
        <f>regional!I17</f>
        <v>0</v>
      </c>
      <c r="J411" s="295"/>
      <c r="K411" s="315"/>
      <c r="L411" s="276"/>
      <c r="M411" s="276"/>
      <c r="N411" s="276"/>
      <c r="O411" s="276"/>
      <c r="P411" s="276"/>
      <c r="Q411" s="104"/>
    </row>
    <row r="412" spans="1:17" ht="12.75" customHeight="1" x14ac:dyDescent="0.3">
      <c r="A412" s="42"/>
      <c r="B412" s="42" t="s">
        <v>858</v>
      </c>
      <c r="C412" s="38"/>
      <c r="D412" s="38"/>
      <c r="E412" s="38"/>
      <c r="F412" s="38"/>
      <c r="G412" s="63" t="s">
        <v>1186</v>
      </c>
      <c r="H412" s="42" t="s">
        <v>28</v>
      </c>
      <c r="I412" s="340">
        <f>regional!I18</f>
        <v>0</v>
      </c>
      <c r="J412" s="295"/>
      <c r="K412" s="315"/>
      <c r="L412" s="276"/>
      <c r="M412" s="276"/>
      <c r="N412" s="276"/>
      <c r="O412" s="276"/>
      <c r="P412" s="276"/>
      <c r="Q412" s="104"/>
    </row>
    <row r="413" spans="1:17" ht="12.75" customHeight="1" x14ac:dyDescent="0.3">
      <c r="A413" s="42"/>
      <c r="B413" s="42" t="s">
        <v>859</v>
      </c>
      <c r="C413" s="38"/>
      <c r="D413" s="38"/>
      <c r="E413" s="38"/>
      <c r="F413" s="38"/>
      <c r="G413" s="63" t="s">
        <v>1187</v>
      </c>
      <c r="H413" s="42" t="s">
        <v>28</v>
      </c>
      <c r="I413" s="340">
        <f>regional!I19</f>
        <v>0</v>
      </c>
      <c r="J413" s="295"/>
      <c r="K413" s="315"/>
      <c r="L413" s="276"/>
      <c r="M413" s="276"/>
      <c r="N413" s="276"/>
      <c r="O413" s="276"/>
      <c r="P413" s="276"/>
      <c r="Q413" s="104"/>
    </row>
    <row r="414" spans="1:17" ht="12.75" customHeight="1" x14ac:dyDescent="0.3">
      <c r="A414" s="42"/>
      <c r="B414" s="42" t="s">
        <v>1085</v>
      </c>
      <c r="C414" s="38"/>
      <c r="D414" s="38"/>
      <c r="E414" s="38"/>
      <c r="F414" s="38"/>
      <c r="G414" s="63" t="s">
        <v>1184</v>
      </c>
      <c r="H414" s="42" t="s">
        <v>28</v>
      </c>
      <c r="I414" s="340">
        <f>regional!I20</f>
        <v>0</v>
      </c>
      <c r="J414" s="295"/>
      <c r="K414" s="315"/>
      <c r="L414" s="276"/>
      <c r="M414" s="276"/>
      <c r="N414" s="276"/>
      <c r="O414" s="276"/>
      <c r="P414" s="276"/>
      <c r="Q414" s="104"/>
    </row>
    <row r="415" spans="1:17" ht="12.75" customHeight="1" x14ac:dyDescent="0.3">
      <c r="A415" s="42"/>
      <c r="B415" s="38"/>
      <c r="C415" s="42" t="s">
        <v>761</v>
      </c>
      <c r="D415" s="64"/>
      <c r="E415" s="64"/>
      <c r="F415" s="38"/>
      <c r="G415" s="63" t="s">
        <v>1188</v>
      </c>
      <c r="H415" s="42" t="s">
        <v>713</v>
      </c>
      <c r="I415" s="340">
        <f ca="1">regional!I21</f>
        <v>543.60601933770113</v>
      </c>
      <c r="J415" s="295"/>
      <c r="K415" s="315"/>
      <c r="L415" s="276"/>
      <c r="M415" s="276"/>
      <c r="N415" s="276"/>
      <c r="O415" s="276"/>
      <c r="P415" s="276"/>
      <c r="Q415" s="104"/>
    </row>
    <row r="416" spans="1:17" ht="12.75" customHeight="1" x14ac:dyDescent="0.3">
      <c r="A416" s="42"/>
      <c r="B416" s="38"/>
      <c r="C416" s="42" t="s">
        <v>280</v>
      </c>
      <c r="D416" s="64"/>
      <c r="E416" s="64"/>
      <c r="F416" s="38"/>
      <c r="G416" s="63" t="s">
        <v>281</v>
      </c>
      <c r="H416" s="42" t="s">
        <v>713</v>
      </c>
      <c r="I416" s="340">
        <f>regional!I22</f>
        <v>0</v>
      </c>
      <c r="J416" s="295"/>
      <c r="K416" s="315"/>
      <c r="L416" s="276"/>
      <c r="M416" s="276"/>
      <c r="N416" s="276"/>
      <c r="O416" s="276"/>
      <c r="P416" s="276"/>
      <c r="Q416" s="104"/>
    </row>
    <row r="417" spans="1:17" ht="12.75" customHeight="1" x14ac:dyDescent="0.3">
      <c r="A417" s="42"/>
      <c r="B417" s="38"/>
      <c r="C417" s="42" t="s">
        <v>762</v>
      </c>
      <c r="D417" s="64"/>
      <c r="E417" s="64"/>
      <c r="F417" s="38"/>
      <c r="G417" s="63" t="s">
        <v>1189</v>
      </c>
      <c r="H417" s="42" t="s">
        <v>713</v>
      </c>
      <c r="I417" s="340">
        <f>regional!I23</f>
        <v>0</v>
      </c>
      <c r="J417" s="295"/>
      <c r="K417" s="315"/>
      <c r="L417" s="276"/>
      <c r="M417" s="276"/>
      <c r="N417" s="276"/>
      <c r="O417" s="276"/>
      <c r="P417" s="276"/>
      <c r="Q417" s="104"/>
    </row>
    <row r="418" spans="1:17" ht="12.75" customHeight="1" x14ac:dyDescent="0.3">
      <c r="A418" s="42"/>
      <c r="B418" s="38"/>
      <c r="C418" s="42" t="s">
        <v>763</v>
      </c>
      <c r="D418" s="64"/>
      <c r="E418" s="64"/>
      <c r="F418" s="38"/>
      <c r="G418" s="63" t="s">
        <v>1190</v>
      </c>
      <c r="H418" s="42" t="s">
        <v>713</v>
      </c>
      <c r="I418" s="340">
        <f>regional!I24</f>
        <v>0</v>
      </c>
      <c r="J418" s="295"/>
      <c r="K418" s="315"/>
      <c r="L418" s="276"/>
      <c r="M418" s="276"/>
      <c r="N418" s="276"/>
      <c r="O418" s="276"/>
      <c r="P418" s="276"/>
      <c r="Q418" s="104"/>
    </row>
    <row r="419" spans="1:17" ht="12.75" customHeight="1" x14ac:dyDescent="0.3">
      <c r="A419" s="42"/>
      <c r="B419" s="38"/>
      <c r="C419" s="42" t="s">
        <v>764</v>
      </c>
      <c r="D419" s="64"/>
      <c r="E419" s="64"/>
      <c r="F419" s="38"/>
      <c r="G419" s="63" t="s">
        <v>1191</v>
      </c>
      <c r="H419" s="42" t="s">
        <v>715</v>
      </c>
      <c r="I419" s="340">
        <f ca="1">regional!I25</f>
        <v>7.0892753874706997</v>
      </c>
      <c r="J419" s="295"/>
      <c r="K419" s="315"/>
      <c r="L419" s="276"/>
      <c r="M419" s="276"/>
      <c r="N419" s="276"/>
      <c r="O419" s="276"/>
      <c r="P419" s="276"/>
      <c r="Q419" s="104"/>
    </row>
    <row r="420" spans="1:17" ht="12.75" customHeight="1" x14ac:dyDescent="0.3">
      <c r="A420" s="42"/>
      <c r="B420" s="38"/>
      <c r="C420" s="42" t="s">
        <v>568</v>
      </c>
      <c r="D420" s="64"/>
      <c r="E420" s="64"/>
      <c r="F420" s="38"/>
      <c r="G420" s="63" t="s">
        <v>1192</v>
      </c>
      <c r="H420" s="42" t="s">
        <v>715</v>
      </c>
      <c r="I420" s="340">
        <f>regional!I26</f>
        <v>0</v>
      </c>
      <c r="J420" s="295"/>
      <c r="K420" s="315"/>
      <c r="L420" s="276"/>
      <c r="M420" s="276"/>
      <c r="N420" s="276"/>
      <c r="O420" s="276"/>
      <c r="P420" s="276"/>
      <c r="Q420" s="104"/>
    </row>
    <row r="421" spans="1:17" ht="12.75" customHeight="1" x14ac:dyDescent="0.3">
      <c r="A421" s="42"/>
      <c r="B421" s="38"/>
      <c r="C421" s="42" t="s">
        <v>1938</v>
      </c>
      <c r="D421" s="64"/>
      <c r="E421" s="64"/>
      <c r="F421" s="38"/>
      <c r="G421" s="63" t="s">
        <v>1193</v>
      </c>
      <c r="H421" s="42" t="s">
        <v>713</v>
      </c>
      <c r="I421" s="340">
        <f>regional!I27</f>
        <v>0</v>
      </c>
      <c r="J421" s="295"/>
      <c r="K421" s="315"/>
      <c r="L421" s="276"/>
      <c r="M421" s="276"/>
      <c r="N421" s="276"/>
      <c r="O421" s="276"/>
      <c r="P421" s="276"/>
      <c r="Q421" s="104"/>
    </row>
    <row r="422" spans="1:17" ht="12.75" customHeight="1" x14ac:dyDescent="0.3">
      <c r="A422" s="42"/>
      <c r="B422" s="38"/>
      <c r="C422" s="42" t="s">
        <v>1939</v>
      </c>
      <c r="D422" s="64"/>
      <c r="E422" s="64"/>
      <c r="F422" s="38"/>
      <c r="G422" s="63" t="s">
        <v>49</v>
      </c>
      <c r="H422" s="42" t="s">
        <v>713</v>
      </c>
      <c r="I422" s="340">
        <f>regional!I28</f>
        <v>0</v>
      </c>
      <c r="J422" s="295"/>
      <c r="K422" s="315"/>
      <c r="L422" s="276"/>
      <c r="M422" s="276"/>
      <c r="N422" s="276"/>
      <c r="O422" s="276"/>
      <c r="P422" s="276"/>
      <c r="Q422" s="104"/>
    </row>
    <row r="423" spans="1:17" ht="12.75" customHeight="1" x14ac:dyDescent="0.3">
      <c r="A423" s="42"/>
      <c r="B423" s="38"/>
      <c r="C423" s="42" t="s">
        <v>1940</v>
      </c>
      <c r="D423" s="64"/>
      <c r="E423" s="64"/>
      <c r="F423" s="38"/>
      <c r="G423" s="63" t="s">
        <v>50</v>
      </c>
      <c r="H423" s="42" t="s">
        <v>713</v>
      </c>
      <c r="I423" s="340">
        <f>regional!I29</f>
        <v>0</v>
      </c>
      <c r="J423" s="295"/>
      <c r="K423" s="315"/>
      <c r="L423" s="276"/>
      <c r="M423" s="276"/>
      <c r="N423" s="276"/>
      <c r="O423" s="276"/>
      <c r="P423" s="276"/>
      <c r="Q423" s="104"/>
    </row>
    <row r="424" spans="1:17" ht="12.75" customHeight="1" x14ac:dyDescent="0.3">
      <c r="A424" s="38"/>
      <c r="B424" s="38"/>
      <c r="C424" s="38" t="s">
        <v>208</v>
      </c>
      <c r="D424" s="38"/>
      <c r="E424" s="38"/>
      <c r="F424" s="38"/>
      <c r="G424" s="42" t="s">
        <v>1941</v>
      </c>
      <c r="H424" s="42" t="s">
        <v>716</v>
      </c>
      <c r="I424" s="340">
        <f>regional!I30</f>
        <v>0</v>
      </c>
      <c r="J424" s="295"/>
      <c r="K424" s="315">
        <v>4.9999999999999995E-11</v>
      </c>
      <c r="L424" s="276">
        <v>4.9999999999999995E-11</v>
      </c>
      <c r="M424" s="276">
        <v>4.9999999999999995E-11</v>
      </c>
      <c r="N424" s="276">
        <v>4.9999999999999995E-11</v>
      </c>
      <c r="O424" s="276">
        <v>4.9999999999999995E-11</v>
      </c>
      <c r="P424" s="276"/>
      <c r="Q424" s="104"/>
    </row>
    <row r="425" spans="1:17" ht="12.75" customHeight="1" x14ac:dyDescent="0.3">
      <c r="A425" s="38"/>
      <c r="B425" s="38"/>
      <c r="C425" s="38" t="s">
        <v>209</v>
      </c>
      <c r="D425" s="38"/>
      <c r="E425" s="38"/>
      <c r="F425" s="38"/>
      <c r="G425" s="42" t="s">
        <v>1942</v>
      </c>
      <c r="H425" s="42" t="s">
        <v>716</v>
      </c>
      <c r="I425" s="340">
        <f>regional!I31</f>
        <v>0</v>
      </c>
      <c r="J425" s="295"/>
      <c r="K425" s="315">
        <v>9.9999999999999995E-21</v>
      </c>
      <c r="L425" s="276">
        <v>9.9999999999999995E-21</v>
      </c>
      <c r="M425" s="276">
        <v>9.9999999999999995E-21</v>
      </c>
      <c r="N425" s="276">
        <v>9.9999999999999995E-21</v>
      </c>
      <c r="O425" s="276">
        <v>9.9999999999999995E-21</v>
      </c>
      <c r="P425" s="276"/>
      <c r="Q425" s="104"/>
    </row>
    <row r="426" spans="1:17" ht="12.75" customHeight="1" x14ac:dyDescent="0.3">
      <c r="A426" s="42"/>
      <c r="B426" s="38"/>
      <c r="C426" s="42" t="s">
        <v>528</v>
      </c>
      <c r="D426" s="64"/>
      <c r="E426" s="64"/>
      <c r="F426" s="38"/>
      <c r="G426" s="63" t="s">
        <v>864</v>
      </c>
      <c r="H426" s="42" t="s">
        <v>716</v>
      </c>
      <c r="I426" s="340">
        <f>regional!I32</f>
        <v>0</v>
      </c>
      <c r="J426" s="295"/>
      <c r="K426" s="315"/>
      <c r="L426" s="276"/>
      <c r="M426" s="276"/>
      <c r="N426" s="276"/>
      <c r="O426" s="276"/>
      <c r="P426" s="276"/>
      <c r="Q426" s="104"/>
    </row>
    <row r="427" spans="1:17" ht="12.75" customHeight="1" x14ac:dyDescent="0.3">
      <c r="A427" s="42"/>
      <c r="B427" s="38"/>
      <c r="C427" s="42" t="s">
        <v>413</v>
      </c>
      <c r="D427" s="64"/>
      <c r="E427" s="64"/>
      <c r="F427" s="38"/>
      <c r="G427" s="63" t="s">
        <v>9</v>
      </c>
      <c r="H427" s="42" t="s">
        <v>716</v>
      </c>
      <c r="I427" s="340">
        <f ca="1">regional!I33</f>
        <v>0.39410999460422808</v>
      </c>
      <c r="J427" s="295"/>
      <c r="K427" s="315"/>
      <c r="L427" s="276"/>
      <c r="M427" s="276"/>
      <c r="N427" s="276"/>
      <c r="O427" s="276"/>
      <c r="P427" s="276"/>
      <c r="Q427" s="104"/>
    </row>
    <row r="428" spans="1:17" ht="12.75" customHeight="1" x14ac:dyDescent="0.3">
      <c r="A428" s="42"/>
      <c r="B428" s="38"/>
      <c r="C428" s="42" t="s">
        <v>789</v>
      </c>
      <c r="D428" s="64"/>
      <c r="E428" s="64"/>
      <c r="F428" s="38"/>
      <c r="G428" s="63" t="s">
        <v>861</v>
      </c>
      <c r="H428" s="42" t="s">
        <v>716</v>
      </c>
      <c r="I428" s="340">
        <f>regional!I34</f>
        <v>0</v>
      </c>
      <c r="J428" s="295"/>
      <c r="K428" s="315"/>
      <c r="L428" s="276"/>
      <c r="M428" s="276"/>
      <c r="N428" s="276"/>
      <c r="O428" s="276"/>
      <c r="P428" s="276"/>
      <c r="Q428" s="104"/>
    </row>
    <row r="429" spans="1:17" ht="12.75" customHeight="1" x14ac:dyDescent="0.3">
      <c r="A429" s="42"/>
      <c r="B429" s="38"/>
      <c r="C429" s="42" t="s">
        <v>790</v>
      </c>
      <c r="D429" s="64"/>
      <c r="E429" s="64"/>
      <c r="F429" s="38"/>
      <c r="G429" s="63" t="s">
        <v>7</v>
      </c>
      <c r="H429" s="42" t="s">
        <v>716</v>
      </c>
      <c r="I429" s="340">
        <f>regional!I35</f>
        <v>0</v>
      </c>
      <c r="J429" s="295"/>
      <c r="K429" s="315"/>
      <c r="L429" s="276"/>
      <c r="M429" s="276"/>
      <c r="N429" s="276"/>
      <c r="O429" s="276"/>
      <c r="P429" s="276"/>
      <c r="Q429" s="104"/>
    </row>
    <row r="430" spans="1:17" ht="12.75" customHeight="1" x14ac:dyDescent="0.3">
      <c r="A430" s="42"/>
      <c r="B430" s="38"/>
      <c r="C430" s="42" t="s">
        <v>526</v>
      </c>
      <c r="D430" s="64"/>
      <c r="E430" s="64"/>
      <c r="F430" s="38"/>
      <c r="G430" s="63" t="s">
        <v>10</v>
      </c>
      <c r="H430" s="42" t="s">
        <v>716</v>
      </c>
      <c r="I430" s="340">
        <f ca="1">regional!I36</f>
        <v>0.45499955485123705</v>
      </c>
      <c r="J430" s="295"/>
      <c r="K430" s="315"/>
      <c r="L430" s="276"/>
      <c r="M430" s="276"/>
      <c r="N430" s="276"/>
      <c r="O430" s="276"/>
      <c r="P430" s="276"/>
      <c r="Q430" s="104"/>
    </row>
    <row r="431" spans="1:17" ht="12.75" customHeight="1" x14ac:dyDescent="0.3">
      <c r="A431" s="42"/>
      <c r="B431" s="38"/>
      <c r="C431" s="42" t="s">
        <v>527</v>
      </c>
      <c r="D431" s="64"/>
      <c r="E431" s="64"/>
      <c r="F431" s="38"/>
      <c r="G431" s="63" t="s">
        <v>862</v>
      </c>
      <c r="H431" s="42" t="s">
        <v>716</v>
      </c>
      <c r="I431" s="340">
        <f>regional!I37</f>
        <v>0</v>
      </c>
      <c r="J431" s="295"/>
      <c r="K431" s="315"/>
      <c r="L431" s="276"/>
      <c r="M431" s="276"/>
      <c r="N431" s="276"/>
      <c r="O431" s="276"/>
      <c r="P431" s="276"/>
      <c r="Q431" s="104"/>
    </row>
    <row r="432" spans="1:17" ht="12.75" customHeight="1" x14ac:dyDescent="0.3">
      <c r="A432" s="42"/>
      <c r="B432" s="38"/>
      <c r="C432" s="42" t="s">
        <v>1352</v>
      </c>
      <c r="D432" s="64"/>
      <c r="E432" s="64"/>
      <c r="F432" s="38"/>
      <c r="G432" s="63" t="s">
        <v>8</v>
      </c>
      <c r="H432" s="42" t="s">
        <v>716</v>
      </c>
      <c r="I432" s="340">
        <f>regional!I38</f>
        <v>0</v>
      </c>
      <c r="J432" s="295"/>
      <c r="K432" s="315"/>
      <c r="L432" s="276"/>
      <c r="M432" s="276"/>
      <c r="N432" s="276"/>
      <c r="O432" s="276"/>
      <c r="P432" s="276"/>
      <c r="Q432" s="104"/>
    </row>
    <row r="433" spans="1:17" ht="12.75" customHeight="1" x14ac:dyDescent="0.3">
      <c r="A433" s="42"/>
      <c r="B433" s="38"/>
      <c r="C433" s="42" t="s">
        <v>529</v>
      </c>
      <c r="D433" s="64"/>
      <c r="E433" s="64"/>
      <c r="F433" s="38"/>
      <c r="G433" s="63" t="s">
        <v>11</v>
      </c>
      <c r="H433" s="42" t="s">
        <v>716</v>
      </c>
      <c r="I433" s="340">
        <f ca="1">regional!I39</f>
        <v>9.8550878122712196E-2</v>
      </c>
      <c r="J433" s="295"/>
      <c r="K433" s="315"/>
      <c r="L433" s="276"/>
      <c r="M433" s="276"/>
      <c r="N433" s="276"/>
      <c r="O433" s="276"/>
      <c r="P433" s="276"/>
      <c r="Q433" s="104"/>
    </row>
    <row r="434" spans="1:17" ht="12.75" customHeight="1" x14ac:dyDescent="0.3">
      <c r="A434" s="42"/>
      <c r="B434" s="38"/>
      <c r="C434" s="42" t="s">
        <v>14</v>
      </c>
      <c r="D434" s="64"/>
      <c r="E434" s="64"/>
      <c r="F434" s="38"/>
      <c r="G434" s="63" t="s">
        <v>863</v>
      </c>
      <c r="H434" s="42" t="s">
        <v>716</v>
      </c>
      <c r="I434" s="340">
        <f>regional!I40</f>
        <v>0</v>
      </c>
      <c r="J434" s="295"/>
      <c r="K434" s="315"/>
      <c r="L434" s="276"/>
      <c r="M434" s="276"/>
      <c r="N434" s="276"/>
      <c r="O434" s="276"/>
      <c r="P434" s="276"/>
      <c r="Q434" s="104"/>
    </row>
    <row r="435" spans="1:17" ht="12.75" customHeight="1" x14ac:dyDescent="0.3">
      <c r="A435" s="42"/>
      <c r="B435" s="38"/>
      <c r="C435" s="42" t="s">
        <v>429</v>
      </c>
      <c r="D435" s="64"/>
      <c r="E435" s="64"/>
      <c r="F435" s="38"/>
      <c r="G435" s="63" t="s">
        <v>865</v>
      </c>
      <c r="H435" s="42" t="s">
        <v>716</v>
      </c>
      <c r="I435" s="340">
        <f ca="1">regional!I41</f>
        <v>0.80626760107255535</v>
      </c>
      <c r="J435" s="295"/>
      <c r="K435" s="315"/>
      <c r="L435" s="276"/>
      <c r="M435" s="276"/>
      <c r="N435" s="276"/>
      <c r="O435" s="276"/>
      <c r="P435" s="276"/>
      <c r="Q435" s="104"/>
    </row>
    <row r="436" spans="1:17" ht="12.75" customHeight="1" x14ac:dyDescent="0.3">
      <c r="A436" s="42"/>
      <c r="B436" s="38"/>
      <c r="C436" s="42" t="s">
        <v>860</v>
      </c>
      <c r="D436" s="64"/>
      <c r="E436" s="64"/>
      <c r="F436" s="38"/>
      <c r="G436" s="63" t="s">
        <v>866</v>
      </c>
      <c r="H436" s="42" t="s">
        <v>716</v>
      </c>
      <c r="I436" s="340">
        <f>regional!I42</f>
        <v>0</v>
      </c>
      <c r="J436" s="295"/>
      <c r="K436" s="315"/>
      <c r="L436" s="276"/>
      <c r="M436" s="276"/>
      <c r="N436" s="276"/>
      <c r="O436" s="276"/>
      <c r="P436" s="276"/>
      <c r="Q436" s="104"/>
    </row>
    <row r="437" spans="1:17" ht="12.75" customHeight="1" x14ac:dyDescent="0.3">
      <c r="A437" s="42"/>
      <c r="B437" s="38"/>
      <c r="C437" s="38"/>
      <c r="D437" s="38"/>
      <c r="E437" s="38"/>
      <c r="F437" s="38"/>
      <c r="G437" s="63"/>
      <c r="H437" s="42"/>
      <c r="I437" s="337"/>
      <c r="J437" s="320"/>
      <c r="K437" s="315"/>
      <c r="L437" s="283"/>
      <c r="M437" s="283"/>
      <c r="N437" s="283"/>
      <c r="O437" s="283"/>
      <c r="P437" s="283"/>
      <c r="Q437" s="104"/>
    </row>
    <row r="438" spans="1:17" ht="12.75" customHeight="1" x14ac:dyDescent="0.3">
      <c r="A438" s="42" t="s">
        <v>55</v>
      </c>
      <c r="B438" s="38"/>
      <c r="C438" s="38"/>
      <c r="D438" s="38"/>
      <c r="E438" s="38"/>
      <c r="F438" s="38"/>
      <c r="G438" s="42" t="s">
        <v>219</v>
      </c>
      <c r="H438" s="42" t="s">
        <v>1926</v>
      </c>
      <c r="I438" s="340">
        <f>regional!I44</f>
        <v>0</v>
      </c>
      <c r="J438" s="295"/>
      <c r="K438" s="315"/>
      <c r="L438" s="276"/>
      <c r="M438" s="276"/>
      <c r="N438" s="276"/>
      <c r="O438" s="276"/>
      <c r="P438" s="276"/>
      <c r="Q438" s="104"/>
    </row>
    <row r="439" spans="1:17" ht="12.75" customHeight="1" x14ac:dyDescent="0.3">
      <c r="A439" s="42"/>
      <c r="B439" s="42"/>
      <c r="C439" s="42" t="s">
        <v>698</v>
      </c>
      <c r="D439" s="64"/>
      <c r="E439" s="38"/>
      <c r="F439" s="38"/>
      <c r="G439" s="43" t="s">
        <v>100</v>
      </c>
      <c r="H439" s="42" t="s">
        <v>717</v>
      </c>
      <c r="I439" s="340">
        <f>regional!I45</f>
        <v>0</v>
      </c>
      <c r="J439" s="295"/>
      <c r="K439" s="315"/>
      <c r="L439" s="276"/>
      <c r="M439" s="276"/>
      <c r="N439" s="276"/>
      <c r="O439" s="276"/>
      <c r="P439" s="276"/>
      <c r="Q439" s="104"/>
    </row>
    <row r="440" spans="1:17" ht="12.75" customHeight="1" x14ac:dyDescent="0.3">
      <c r="A440" s="42"/>
      <c r="B440" s="38"/>
      <c r="C440" s="38"/>
      <c r="D440" s="38"/>
      <c r="E440" s="38"/>
      <c r="F440" s="38"/>
      <c r="G440" s="63"/>
      <c r="H440" s="42"/>
      <c r="I440" s="337"/>
      <c r="J440" s="320"/>
      <c r="K440" s="320"/>
      <c r="L440" s="283"/>
      <c r="M440" s="283"/>
      <c r="N440" s="283"/>
      <c r="O440" s="283"/>
      <c r="P440" s="283"/>
      <c r="Q440" s="104"/>
    </row>
    <row r="441" spans="1:17" ht="12.75" customHeight="1" x14ac:dyDescent="0.3">
      <c r="A441" s="42" t="s">
        <v>313</v>
      </c>
      <c r="B441" s="38"/>
      <c r="C441" s="38"/>
      <c r="D441" s="38"/>
      <c r="E441" s="38"/>
      <c r="F441" s="38"/>
      <c r="G441" s="42" t="s">
        <v>282</v>
      </c>
      <c r="H441" s="42" t="s">
        <v>1926</v>
      </c>
      <c r="I441" s="340">
        <f>regional!I47</f>
        <v>9.9999999999999995E-21</v>
      </c>
      <c r="J441" s="295"/>
      <c r="K441" s="315"/>
      <c r="L441" s="289"/>
      <c r="M441" s="289"/>
      <c r="N441" s="289"/>
      <c r="O441" s="289"/>
      <c r="P441" s="289"/>
      <c r="Q441" s="104"/>
    </row>
    <row r="442" spans="1:17" ht="12.75" customHeight="1" x14ac:dyDescent="0.3">
      <c r="A442" s="42" t="s">
        <v>314</v>
      </c>
      <c r="B442" s="38"/>
      <c r="C442" s="38"/>
      <c r="D442" s="38"/>
      <c r="E442" s="38"/>
      <c r="F442" s="38"/>
      <c r="G442" s="42" t="s">
        <v>284</v>
      </c>
      <c r="H442" s="42" t="s">
        <v>1926</v>
      </c>
      <c r="I442" s="340">
        <f>regional!I48</f>
        <v>0</v>
      </c>
      <c r="J442" s="295"/>
      <c r="K442" s="315"/>
      <c r="L442" s="289"/>
      <c r="M442" s="289"/>
      <c r="N442" s="289"/>
      <c r="O442" s="289"/>
      <c r="P442" s="289"/>
      <c r="Q442" s="104"/>
    </row>
    <row r="443" spans="1:17" ht="12.75" customHeight="1" x14ac:dyDescent="0.3">
      <c r="A443" s="42" t="s">
        <v>312</v>
      </c>
      <c r="B443" s="38"/>
      <c r="C443" s="38"/>
      <c r="D443" s="38"/>
      <c r="E443" s="38"/>
      <c r="F443" s="38"/>
      <c r="G443" s="42" t="s">
        <v>283</v>
      </c>
      <c r="H443" s="42" t="s">
        <v>1926</v>
      </c>
      <c r="I443" s="340">
        <f>regional!I49</f>
        <v>0</v>
      </c>
      <c r="J443" s="295"/>
      <c r="K443" s="315"/>
      <c r="L443" s="289"/>
      <c r="M443" s="289"/>
      <c r="N443" s="289"/>
      <c r="O443" s="289"/>
      <c r="P443" s="289"/>
      <c r="Q443" s="104"/>
    </row>
    <row r="444" spans="1:17" ht="12.75" customHeight="1" x14ac:dyDescent="0.3">
      <c r="A444" s="42" t="s">
        <v>56</v>
      </c>
      <c r="B444" s="38"/>
      <c r="C444" s="38"/>
      <c r="D444" s="38"/>
      <c r="E444" s="38"/>
      <c r="F444" s="38"/>
      <c r="G444" s="42" t="s">
        <v>220</v>
      </c>
      <c r="H444" s="42" t="s">
        <v>1926</v>
      </c>
      <c r="I444" s="340">
        <f>regional!I50</f>
        <v>0</v>
      </c>
      <c r="J444" s="295"/>
      <c r="K444" s="315"/>
      <c r="L444" s="289"/>
      <c r="M444" s="289"/>
      <c r="N444" s="289"/>
      <c r="O444" s="289"/>
      <c r="P444" s="289"/>
      <c r="Q444" s="104"/>
    </row>
    <row r="445" spans="1:17" ht="12.75" customHeight="1" x14ac:dyDescent="0.3">
      <c r="A445" s="42" t="s">
        <v>57</v>
      </c>
      <c r="B445" s="38"/>
      <c r="C445" s="38"/>
      <c r="D445" s="38"/>
      <c r="E445" s="38"/>
      <c r="F445" s="38"/>
      <c r="G445" s="42" t="s">
        <v>221</v>
      </c>
      <c r="H445" s="42" t="s">
        <v>1926</v>
      </c>
      <c r="I445" s="340">
        <f>regional!I51</f>
        <v>9.9999999999999995E-21</v>
      </c>
      <c r="J445" s="295"/>
      <c r="K445" s="315"/>
      <c r="L445" s="276"/>
      <c r="M445" s="276"/>
      <c r="N445" s="276"/>
      <c r="O445" s="276"/>
      <c r="P445" s="276"/>
      <c r="Q445" s="104"/>
    </row>
    <row r="446" spans="1:17" ht="12.75" customHeight="1" x14ac:dyDescent="0.3">
      <c r="A446" s="42"/>
      <c r="B446" s="42" t="s">
        <v>308</v>
      </c>
      <c r="C446" s="38"/>
      <c r="D446" s="38"/>
      <c r="E446" s="64"/>
      <c r="F446" s="64"/>
      <c r="G446" s="63" t="s">
        <v>310</v>
      </c>
      <c r="H446" s="42" t="s">
        <v>1943</v>
      </c>
      <c r="I446" s="340">
        <f>regional!I52</f>
        <v>0</v>
      </c>
      <c r="J446" s="295"/>
      <c r="K446" s="315"/>
      <c r="L446" s="276"/>
      <c r="M446" s="276"/>
      <c r="N446" s="276"/>
      <c r="O446" s="276"/>
      <c r="P446" s="276"/>
      <c r="Q446" s="104"/>
    </row>
    <row r="447" spans="1:17" ht="12.75" customHeight="1" x14ac:dyDescent="0.3">
      <c r="A447" s="42"/>
      <c r="B447" s="42" t="s">
        <v>311</v>
      </c>
      <c r="C447" s="38"/>
      <c r="D447" s="38"/>
      <c r="E447" s="64"/>
      <c r="F447" s="64"/>
      <c r="G447" s="63" t="s">
        <v>309</v>
      </c>
      <c r="H447" s="42" t="s">
        <v>1943</v>
      </c>
      <c r="I447" s="340">
        <f>regional!I53</f>
        <v>0</v>
      </c>
      <c r="J447" s="295"/>
      <c r="K447" s="315"/>
      <c r="L447" s="276"/>
      <c r="M447" s="276"/>
      <c r="N447" s="276"/>
      <c r="O447" s="276"/>
      <c r="P447" s="276"/>
      <c r="Q447" s="104"/>
    </row>
    <row r="448" spans="1:17" ht="12.75" customHeight="1" x14ac:dyDescent="0.3">
      <c r="A448" s="42"/>
      <c r="B448" s="42" t="s">
        <v>315</v>
      </c>
      <c r="C448" s="38"/>
      <c r="D448" s="38"/>
      <c r="E448" s="64"/>
      <c r="F448" s="64"/>
      <c r="G448" s="63" t="s">
        <v>316</v>
      </c>
      <c r="H448" s="42" t="s">
        <v>1943</v>
      </c>
      <c r="I448" s="340">
        <f>regional!I54</f>
        <v>0</v>
      </c>
      <c r="J448" s="295"/>
      <c r="K448" s="315"/>
      <c r="L448" s="276"/>
      <c r="M448" s="276"/>
      <c r="N448" s="276"/>
      <c r="O448" s="276"/>
      <c r="P448" s="276"/>
      <c r="Q448" s="104"/>
    </row>
    <row r="449" spans="1:17" ht="12.75" customHeight="1" x14ac:dyDescent="0.3">
      <c r="A449" s="42"/>
      <c r="B449" s="42" t="s">
        <v>1159</v>
      </c>
      <c r="C449" s="38"/>
      <c r="D449" s="38"/>
      <c r="E449" s="64"/>
      <c r="F449" s="64"/>
      <c r="G449" s="63" t="s">
        <v>110</v>
      </c>
      <c r="H449" s="42" t="s">
        <v>1943</v>
      </c>
      <c r="I449" s="340">
        <f>regional!I55</f>
        <v>0</v>
      </c>
      <c r="J449" s="295"/>
      <c r="K449" s="315"/>
      <c r="L449" s="276"/>
      <c r="M449" s="276"/>
      <c r="N449" s="276"/>
      <c r="O449" s="276"/>
      <c r="P449" s="276"/>
      <c r="Q449" s="104"/>
    </row>
    <row r="450" spans="1:17" ht="12.75" customHeight="1" x14ac:dyDescent="0.3">
      <c r="A450" s="42"/>
      <c r="B450" s="42" t="s">
        <v>1160</v>
      </c>
      <c r="C450" s="42"/>
      <c r="D450" s="38"/>
      <c r="E450" s="64"/>
      <c r="F450" s="64"/>
      <c r="G450" s="63" t="s">
        <v>111</v>
      </c>
      <c r="H450" s="42" t="s">
        <v>1943</v>
      </c>
      <c r="I450" s="340">
        <f>regional!I56</f>
        <v>0</v>
      </c>
      <c r="J450" s="295"/>
      <c r="K450" s="315"/>
      <c r="L450" s="276"/>
      <c r="M450" s="276"/>
      <c r="N450" s="276"/>
      <c r="O450" s="276"/>
      <c r="P450" s="276"/>
      <c r="Q450" s="104"/>
    </row>
    <row r="451" spans="1:17" ht="12.75" customHeight="1" x14ac:dyDescent="0.3">
      <c r="A451" s="38"/>
      <c r="B451" s="38"/>
      <c r="C451" s="38"/>
      <c r="D451" s="38"/>
      <c r="E451" s="38"/>
      <c r="F451" s="38"/>
      <c r="G451" s="38"/>
      <c r="H451" s="38"/>
      <c r="I451" s="178"/>
      <c r="J451" s="322"/>
      <c r="K451" s="322"/>
      <c r="L451" s="285"/>
      <c r="M451" s="285"/>
      <c r="N451" s="285"/>
      <c r="O451" s="285"/>
      <c r="P451" s="285"/>
      <c r="Q451" s="104"/>
    </row>
    <row r="452" spans="1:17" ht="12.75" customHeight="1" x14ac:dyDescent="0.3">
      <c r="A452" s="67" t="s">
        <v>201</v>
      </c>
      <c r="B452" s="66"/>
      <c r="C452" s="66"/>
      <c r="D452" s="66"/>
      <c r="E452" s="66"/>
      <c r="F452" s="66"/>
      <c r="G452" s="66"/>
      <c r="H452" s="66"/>
      <c r="I452" s="189" t="s">
        <v>748</v>
      </c>
      <c r="J452" s="319"/>
      <c r="K452" s="319"/>
      <c r="L452" s="281"/>
      <c r="M452" s="281"/>
      <c r="N452" s="281"/>
      <c r="O452" s="281"/>
      <c r="P452" s="281"/>
      <c r="Q452" s="104"/>
    </row>
    <row r="453" spans="1:17" ht="12.75" customHeight="1" x14ac:dyDescent="0.3">
      <c r="A453" s="42"/>
      <c r="B453" s="42"/>
      <c r="C453" s="42"/>
      <c r="D453" s="42"/>
      <c r="E453" s="42"/>
      <c r="F453" s="42"/>
      <c r="G453" s="42"/>
      <c r="H453" s="42"/>
      <c r="I453" s="162"/>
      <c r="J453" s="320"/>
      <c r="K453" s="320"/>
      <c r="L453" s="283"/>
      <c r="M453" s="283"/>
      <c r="N453" s="283"/>
      <c r="O453" s="283"/>
      <c r="P453" s="283"/>
      <c r="Q453" s="104"/>
    </row>
    <row r="454" spans="1:17" ht="12.75" customHeight="1" x14ac:dyDescent="0.3">
      <c r="A454" s="38"/>
      <c r="B454" s="38" t="s">
        <v>1944</v>
      </c>
      <c r="C454" s="38"/>
      <c r="D454" s="38"/>
      <c r="E454" s="38"/>
      <c r="F454" s="38"/>
      <c r="G454" s="38" t="s">
        <v>1945</v>
      </c>
      <c r="H454" s="38" t="s">
        <v>28</v>
      </c>
      <c r="I454" s="340">
        <f ca="1">regional!I60</f>
        <v>2.3531998571968415E-10</v>
      </c>
      <c r="J454" s="295"/>
      <c r="K454" s="315">
        <f ca="1">1-(0.00015*0.172)/((IF(Tm&gt;298,EXP(-6.79*(1-Tm/298))*Pvap25*EXP((H0vap/8.314)*(1/298-1/TEMP.R)),Pvap25*EXP((H0vap/8.314)*(1/298-1/TEMP.R))))+(0.00015*0.172))</f>
        <v>0.99334071850049099</v>
      </c>
      <c r="L454" s="276">
        <f ca="1">1-(0.00015*0.172)/((IF(Tm&gt;298,EXP(-6.79*(1-Tm/298))*Pvap25*EXP((H0vap/8.314)*(1/298-1/TEMP.R)),Pvap25*EXP((H0vap/8.314)*(1/298-1/TEMP.R))))+(0.00015*0.172))</f>
        <v>0.99334071850049099</v>
      </c>
      <c r="M454" s="276">
        <f ca="1">1-(0.00015*0.172)/((IF(Tm&gt;298,EXP(-6.79*(1-Tm/298))*Pvap25*EXP((H0vap/8.314)*(1/298-1/TEMP.R)),Pvap25*EXP((H0vap/8.314)*(1/298-1/TEMP.R))))+(0.00015*0.172))</f>
        <v>0.99334071850049099</v>
      </c>
      <c r="N454" s="276">
        <f ca="1">1-(0.00015*0.172)/((IF(Tm&gt;298,EXP(-6.79*(1-Tm/298))*Pvap25*EXP((H0vap/8.314)*(1/298-1/TEMP.R)),Pvap25*EXP((H0vap/8.314)*(1/298-1/TEMP.R))))+(0.00015*0.172))</f>
        <v>0.99334071850049099</v>
      </c>
      <c r="O454" s="276">
        <f ca="1">1-(0.00015*0.172)/((IF(Tm&gt;298,EXP(-6.79*(1-Tm/298))*Pvap25*EXP((H0vap/8.314)*(1/298-1/TEMP.R)),Pvap25*EXP((H0vap/8.314)*(1/298-1/TEMP.R))))+(0.00015*0.172))</f>
        <v>0.99334071850049099</v>
      </c>
      <c r="P454" s="276"/>
      <c r="Q454" s="104"/>
    </row>
    <row r="455" spans="1:17" ht="12.75" customHeight="1" x14ac:dyDescent="0.3">
      <c r="A455" s="38"/>
      <c r="B455" s="38" t="s">
        <v>609</v>
      </c>
      <c r="C455" s="38"/>
      <c r="D455" s="38"/>
      <c r="E455" s="38"/>
      <c r="F455" s="38"/>
      <c r="G455" s="38" t="s">
        <v>603</v>
      </c>
      <c r="H455" s="38" t="s">
        <v>28</v>
      </c>
      <c r="I455" s="340">
        <f>regional!I61</f>
        <v>0</v>
      </c>
      <c r="J455" s="295"/>
      <c r="K455" s="315"/>
      <c r="L455" s="276"/>
      <c r="M455" s="276"/>
      <c r="N455" s="276"/>
      <c r="O455" s="276"/>
      <c r="P455" s="276"/>
      <c r="Q455" s="104"/>
    </row>
    <row r="456" spans="1:17" ht="12.75" customHeight="1" x14ac:dyDescent="0.3">
      <c r="A456" s="38"/>
      <c r="B456" s="38" t="s">
        <v>610</v>
      </c>
      <c r="C456" s="38"/>
      <c r="D456" s="38"/>
      <c r="E456" s="38"/>
      <c r="F456" s="38"/>
      <c r="G456" s="38" t="s">
        <v>604</v>
      </c>
      <c r="H456" s="38" t="s">
        <v>28</v>
      </c>
      <c r="I456" s="340">
        <f>regional!I62</f>
        <v>0</v>
      </c>
      <c r="J456" s="295"/>
      <c r="K456" s="315">
        <f ca="1">(0.00015*0.172)/((IF(Tm&gt;298,EXP(-6.79*(1-Tm/298))*Pvap25*EXP((H0vap/8.314)*(1/298-1/TEMP.R)),Pvap25*EXP((H0vap/8.314)*(1/298-1/TEMP.R))))+(0.00015*0.172))</f>
        <v>6.6592814995090378E-3</v>
      </c>
      <c r="L456" s="276">
        <f ca="1">(0.00015*0.172)/((IF(Tm&gt;298,EXP(-6.79*(1-Tm/298))*Pvap25*EXP((H0vap/8.314)*(1/298-1/TEMP.R)),Pvap25*EXP((H0vap/8.314)*(1/298-1/TEMP.R))))+(0.00015*0.172))</f>
        <v>6.6592814995090378E-3</v>
      </c>
      <c r="M456" s="276">
        <f ca="1">(0.00015*0.172)/((IF(Tm&gt;298,EXP(-6.79*(1-Tm/298))*Pvap25*EXP((H0vap/8.314)*(1/298-1/TEMP.R)),Pvap25*EXP((H0vap/8.314)*(1/298-1/TEMP.R))))+(0.00015*0.172))</f>
        <v>6.6592814995090378E-3</v>
      </c>
      <c r="N456" s="276">
        <f ca="1">(0.00015*0.172)/((IF(Tm&gt;298,EXP(-6.79*(1-Tm/298))*Pvap25*EXP((H0vap/8.314)*(1/298-1/TEMP.R)),Pvap25*EXP((H0vap/8.314)*(1/298-1/TEMP.R))))+(0.00015*0.172))</f>
        <v>6.6592814995090378E-3</v>
      </c>
      <c r="O456" s="276">
        <f ca="1">(0.00015*0.172)/((IF(Tm&gt;298,EXP(-6.79*(1-Tm/298))*Pvap25*EXP((H0vap/8.314)*(1/298-1/TEMP.R)),Pvap25*EXP((H0vap/8.314)*(1/298-1/TEMP.R))))+(0.00015*0.172))</f>
        <v>6.6592814995090378E-3</v>
      </c>
      <c r="P456" s="276"/>
      <c r="Q456" s="104"/>
    </row>
    <row r="457" spans="1:17" ht="12.75" customHeight="1" x14ac:dyDescent="0.4">
      <c r="A457" s="38"/>
      <c r="B457" s="38"/>
      <c r="C457" s="38" t="s">
        <v>1946</v>
      </c>
      <c r="D457" s="38"/>
      <c r="E457" s="38"/>
      <c r="F457" s="38"/>
      <c r="G457" s="38" t="s">
        <v>1947</v>
      </c>
      <c r="H457" s="38" t="s">
        <v>1948</v>
      </c>
      <c r="I457" s="340">
        <f>regional!I63</f>
        <v>0</v>
      </c>
      <c r="J457" s="295"/>
      <c r="K457" s="315"/>
      <c r="L457" s="276"/>
      <c r="M457" s="276"/>
      <c r="N457" s="276"/>
      <c r="O457" s="276"/>
      <c r="P457" s="276"/>
      <c r="Q457" s="104"/>
    </row>
    <row r="458" spans="1:17" ht="12.75" customHeight="1" x14ac:dyDescent="0.4">
      <c r="A458" s="38"/>
      <c r="B458" s="38"/>
      <c r="C458" s="38" t="s">
        <v>606</v>
      </c>
      <c r="D458" s="38"/>
      <c r="E458" s="38"/>
      <c r="F458" s="38"/>
      <c r="G458" s="38" t="s">
        <v>605</v>
      </c>
      <c r="H458" s="38" t="s">
        <v>1949</v>
      </c>
      <c r="I458" s="340">
        <f>regional!I64</f>
        <v>0</v>
      </c>
      <c r="J458" s="295"/>
      <c r="K458" s="315"/>
      <c r="L458" s="276"/>
      <c r="M458" s="276"/>
      <c r="N458" s="276"/>
      <c r="O458" s="276"/>
      <c r="P458" s="276"/>
      <c r="Q458" s="104"/>
    </row>
    <row r="459" spans="1:17" ht="12.75" customHeight="1" x14ac:dyDescent="0.4">
      <c r="A459" s="38"/>
      <c r="B459" s="38"/>
      <c r="C459" s="38" t="s">
        <v>607</v>
      </c>
      <c r="D459" s="38"/>
      <c r="E459" s="38"/>
      <c r="F459" s="38"/>
      <c r="G459" s="38" t="s">
        <v>608</v>
      </c>
      <c r="H459" s="38" t="s">
        <v>1950</v>
      </c>
      <c r="I459" s="340">
        <f>regional!I65</f>
        <v>0</v>
      </c>
      <c r="J459" s="295"/>
      <c r="K459" s="315"/>
      <c r="L459" s="276"/>
      <c r="M459" s="276"/>
      <c r="N459" s="276"/>
      <c r="O459" s="276"/>
      <c r="P459" s="276"/>
      <c r="Q459" s="104"/>
    </row>
    <row r="460" spans="1:17" ht="12.75" customHeight="1" x14ac:dyDescent="0.3">
      <c r="A460" s="42"/>
      <c r="B460" s="42" t="s">
        <v>285</v>
      </c>
      <c r="C460" s="64"/>
      <c r="D460" s="38"/>
      <c r="E460" s="38"/>
      <c r="F460" s="38"/>
      <c r="G460" s="63" t="s">
        <v>286</v>
      </c>
      <c r="H460" s="42" t="s">
        <v>28</v>
      </c>
      <c r="I460" s="340">
        <f>regional!I66</f>
        <v>0</v>
      </c>
      <c r="J460" s="295"/>
      <c r="K460" s="315">
        <f ca="1">1-(0.00015*0.172)/((IF(Tm&gt;298,EXP(-6.79*(1-Tm/298))*Pvap25*EXP((H0vap/8.314)*(1/298-1/TEMP.R)),Pvap25*EXP((H0vap/8.314)*(1/298-1/TEMP.R))))+(0.00015*0.172))</f>
        <v>0.99334071850049099</v>
      </c>
      <c r="L460" s="276">
        <f ca="1">1/(1+Kp.susp0R*SUSP.w0R/1000+0.05*Kow*0.001/1000)</f>
        <v>0.99671303650034515</v>
      </c>
      <c r="M460" s="276">
        <f ca="1">1/(1+Kp.susp0R*SUSP.w0R/1000+0.05*Kow*0.001/1000)</f>
        <v>0.99671303650034515</v>
      </c>
      <c r="N460" s="276">
        <f ca="1">1/(1+Kp.susp0R*SUSP.w0R/1000+0.05*Kow*0.001/1000)</f>
        <v>0.99671303650034515</v>
      </c>
      <c r="O460" s="276">
        <f ca="1">1/(1+Kp.susp0R*SUSP.w0R/1000+0.05*Kow*0.001/1000)</f>
        <v>0.99671303650034515</v>
      </c>
      <c r="P460" s="276"/>
      <c r="Q460" s="104"/>
    </row>
    <row r="461" spans="1:17" ht="12.75" customHeight="1" x14ac:dyDescent="0.3">
      <c r="A461" s="42"/>
      <c r="B461" s="38"/>
      <c r="C461" s="42" t="s">
        <v>700</v>
      </c>
      <c r="D461" s="38"/>
      <c r="E461" s="38"/>
      <c r="F461" s="38"/>
      <c r="G461" s="63" t="s">
        <v>287</v>
      </c>
      <c r="H461" s="42" t="s">
        <v>1951</v>
      </c>
      <c r="I461" s="340">
        <f>regional!I67</f>
        <v>0</v>
      </c>
      <c r="J461" s="295"/>
      <c r="K461" s="315"/>
      <c r="L461" s="276"/>
      <c r="M461" s="276"/>
      <c r="N461" s="276"/>
      <c r="O461" s="276"/>
      <c r="P461" s="276"/>
      <c r="Q461" s="104"/>
    </row>
    <row r="462" spans="1:17" ht="12.75" customHeight="1" x14ac:dyDescent="0.3">
      <c r="A462" s="42"/>
      <c r="B462" s="38"/>
      <c r="C462" s="42" t="s">
        <v>1091</v>
      </c>
      <c r="D462" s="38"/>
      <c r="E462" s="38"/>
      <c r="F462" s="38"/>
      <c r="G462" s="63" t="s">
        <v>288</v>
      </c>
      <c r="H462" s="42" t="s">
        <v>28</v>
      </c>
      <c r="I462" s="340">
        <f>regional!I68</f>
        <v>0</v>
      </c>
      <c r="J462" s="295"/>
      <c r="K462" s="315"/>
      <c r="L462" s="276"/>
      <c r="M462" s="276"/>
      <c r="N462" s="276"/>
      <c r="O462" s="276"/>
      <c r="P462" s="276"/>
      <c r="Q462" s="104"/>
    </row>
    <row r="463" spans="1:17" ht="12.75" customHeight="1" x14ac:dyDescent="0.3">
      <c r="A463" s="42"/>
      <c r="B463" s="38"/>
      <c r="C463" s="42" t="s">
        <v>701</v>
      </c>
      <c r="D463" s="38"/>
      <c r="E463" s="38"/>
      <c r="F463" s="38"/>
      <c r="G463" s="63" t="s">
        <v>289</v>
      </c>
      <c r="H463" s="42" t="s">
        <v>1923</v>
      </c>
      <c r="I463" s="340">
        <f>regional!I69</f>
        <v>0</v>
      </c>
      <c r="J463" s="295"/>
      <c r="K463" s="315"/>
      <c r="L463" s="276"/>
      <c r="M463" s="276"/>
      <c r="N463" s="276"/>
      <c r="O463" s="276"/>
      <c r="P463" s="276"/>
      <c r="Q463" s="104"/>
    </row>
    <row r="464" spans="1:17" ht="12.75" customHeight="1" x14ac:dyDescent="0.3">
      <c r="A464" s="42"/>
      <c r="B464" s="38"/>
      <c r="C464" s="42" t="s">
        <v>541</v>
      </c>
      <c r="D464" s="38"/>
      <c r="E464" s="38"/>
      <c r="F464" s="38"/>
      <c r="G464" s="63" t="s">
        <v>290</v>
      </c>
      <c r="H464" s="42" t="s">
        <v>1000</v>
      </c>
      <c r="I464" s="340">
        <f>regional!I70</f>
        <v>0</v>
      </c>
      <c r="J464" s="295"/>
      <c r="K464" s="315"/>
      <c r="L464" s="276"/>
      <c r="M464" s="276"/>
      <c r="N464" s="276"/>
      <c r="O464" s="276"/>
      <c r="P464" s="276"/>
      <c r="Q464" s="104"/>
    </row>
    <row r="465" spans="1:17" ht="12.75" customHeight="1" x14ac:dyDescent="0.3">
      <c r="A465" s="42"/>
      <c r="B465" s="38"/>
      <c r="C465" s="42" t="s">
        <v>543</v>
      </c>
      <c r="D465" s="38"/>
      <c r="E465" s="38"/>
      <c r="F465" s="38"/>
      <c r="G465" s="63" t="s">
        <v>291</v>
      </c>
      <c r="H465" s="42" t="s">
        <v>999</v>
      </c>
      <c r="I465" s="340">
        <f>regional!I71</f>
        <v>0</v>
      </c>
      <c r="J465" s="295"/>
      <c r="K465" s="315"/>
      <c r="L465" s="276"/>
      <c r="M465" s="276"/>
      <c r="N465" s="276"/>
      <c r="O465" s="276"/>
      <c r="P465" s="276"/>
      <c r="Q465" s="104"/>
    </row>
    <row r="466" spans="1:17" ht="12.75" customHeight="1" x14ac:dyDescent="0.3">
      <c r="A466" s="42"/>
      <c r="B466" s="42" t="s">
        <v>1952</v>
      </c>
      <c r="C466" s="64"/>
      <c r="D466" s="38"/>
      <c r="E466" s="38"/>
      <c r="F466" s="38"/>
      <c r="G466" s="63" t="s">
        <v>530</v>
      </c>
      <c r="H466" s="42" t="s">
        <v>28</v>
      </c>
      <c r="I466" s="340">
        <f>regional!I72</f>
        <v>0</v>
      </c>
      <c r="J466" s="295"/>
      <c r="K466" s="315">
        <f ca="1">1-(0.00015*0.172)/((IF(Tm&gt;298,EXP(-6.79*(1-Tm/298))*Pvap25*EXP((H0vap/8.314)*(1/298-1/TEMP.R)),Pvap25*EXP((H0vap/8.314)*(1/298-1/TEMP.R))))+(0.00015*0.172))</f>
        <v>0.99334071850049099</v>
      </c>
      <c r="L466" s="276">
        <f ca="1">1/(1+Kp.susp1R*SUSP.w1R/1000+0.05*Kow*0.001/1000)</f>
        <v>0.93500855568483199</v>
      </c>
      <c r="M466" s="276">
        <f ca="1">1/(1+Kp.susp1R*SUSP.w1R/1000+0.05*Kow*0.001/1000)</f>
        <v>0.93500855568483199</v>
      </c>
      <c r="N466" s="276">
        <f ca="1">1/(1+Kp.susp1R*SUSP.w1R/1000+0.05*Kow*0.001/1000)</f>
        <v>0.93500855568483199</v>
      </c>
      <c r="O466" s="276">
        <f ca="1">1/(1+Kp.susp1R*SUSP.w1R/1000+0.05*Kow*0.001/1000)</f>
        <v>0.93500855568483199</v>
      </c>
      <c r="P466" s="276"/>
      <c r="Q466" s="104"/>
    </row>
    <row r="467" spans="1:17" ht="12.75" customHeight="1" x14ac:dyDescent="0.3">
      <c r="A467" s="42"/>
      <c r="B467" s="38"/>
      <c r="C467" s="42" t="s">
        <v>700</v>
      </c>
      <c r="D467" s="38"/>
      <c r="E467" s="38"/>
      <c r="F467" s="38"/>
      <c r="G467" s="63" t="s">
        <v>174</v>
      </c>
      <c r="H467" s="42" t="s">
        <v>1951</v>
      </c>
      <c r="I467" s="340">
        <f>regional!I73</f>
        <v>0</v>
      </c>
      <c r="J467" s="295"/>
      <c r="K467" s="315"/>
      <c r="L467" s="276"/>
      <c r="M467" s="276"/>
      <c r="N467" s="276"/>
      <c r="O467" s="276"/>
      <c r="P467" s="276"/>
      <c r="Q467" s="104"/>
    </row>
    <row r="468" spans="1:17" ht="12.75" customHeight="1" x14ac:dyDescent="0.3">
      <c r="A468" s="42"/>
      <c r="B468" s="38"/>
      <c r="C468" s="42" t="s">
        <v>1091</v>
      </c>
      <c r="D468" s="38"/>
      <c r="E468" s="38"/>
      <c r="F468" s="38"/>
      <c r="G468" s="63" t="s">
        <v>1451</v>
      </c>
      <c r="H468" s="42" t="s">
        <v>28</v>
      </c>
      <c r="I468" s="340">
        <f ca="1">regional!I74</f>
        <v>6.5731136441834884E-2</v>
      </c>
      <c r="J468" s="295"/>
      <c r="K468" s="315"/>
      <c r="L468" s="276"/>
      <c r="M468" s="276"/>
      <c r="N468" s="276"/>
      <c r="O468" s="276"/>
      <c r="P468" s="276"/>
      <c r="Q468" s="104"/>
    </row>
    <row r="469" spans="1:17" ht="12.75" customHeight="1" x14ac:dyDescent="0.3">
      <c r="A469" s="42"/>
      <c r="B469" s="38"/>
      <c r="C469" s="42" t="s">
        <v>701</v>
      </c>
      <c r="D469" s="38"/>
      <c r="E469" s="38"/>
      <c r="F469" s="38"/>
      <c r="G469" s="63" t="s">
        <v>205</v>
      </c>
      <c r="H469" s="42" t="s">
        <v>1923</v>
      </c>
      <c r="I469" s="340">
        <f ca="1">regional!I75</f>
        <v>16.035656522102265</v>
      </c>
      <c r="J469" s="295"/>
      <c r="K469" s="315"/>
      <c r="L469" s="276"/>
      <c r="M469" s="276"/>
      <c r="N469" s="276"/>
      <c r="O469" s="276"/>
      <c r="P469" s="276"/>
      <c r="Q469" s="104"/>
    </row>
    <row r="470" spans="1:17" ht="12.75" customHeight="1" x14ac:dyDescent="0.3">
      <c r="A470" s="42"/>
      <c r="B470" s="38"/>
      <c r="C470" s="42" t="s">
        <v>541</v>
      </c>
      <c r="D470" s="38"/>
      <c r="E470" s="38"/>
      <c r="F470" s="38"/>
      <c r="G470" s="63" t="s">
        <v>542</v>
      </c>
      <c r="H470" s="42" t="s">
        <v>1000</v>
      </c>
      <c r="I470" s="340">
        <f>regional!I76</f>
        <v>0</v>
      </c>
      <c r="J470" s="295"/>
      <c r="K470" s="315"/>
      <c r="L470" s="276"/>
      <c r="M470" s="276"/>
      <c r="N470" s="276"/>
      <c r="O470" s="276"/>
      <c r="P470" s="276"/>
      <c r="Q470" s="104"/>
    </row>
    <row r="471" spans="1:17" ht="12.75" customHeight="1" x14ac:dyDescent="0.3">
      <c r="A471" s="42"/>
      <c r="B471" s="38"/>
      <c r="C471" s="42" t="s">
        <v>543</v>
      </c>
      <c r="D471" s="38"/>
      <c r="E471" s="38"/>
      <c r="F471" s="38"/>
      <c r="G471" s="63" t="s">
        <v>544</v>
      </c>
      <c r="H471" s="42" t="s">
        <v>999</v>
      </c>
      <c r="I471" s="340">
        <f>regional!I77</f>
        <v>0</v>
      </c>
      <c r="J471" s="295"/>
      <c r="K471" s="315"/>
      <c r="L471" s="276"/>
      <c r="M471" s="276"/>
      <c r="N471" s="276"/>
      <c r="O471" s="276"/>
      <c r="P471" s="276"/>
      <c r="Q471" s="104"/>
    </row>
    <row r="472" spans="1:17" ht="12.75" customHeight="1" x14ac:dyDescent="0.3">
      <c r="A472" s="42"/>
      <c r="B472" s="42" t="s">
        <v>1953</v>
      </c>
      <c r="C472" s="64"/>
      <c r="D472" s="38"/>
      <c r="E472" s="38"/>
      <c r="F472" s="38"/>
      <c r="G472" s="63" t="s">
        <v>531</v>
      </c>
      <c r="H472" s="42" t="s">
        <v>28</v>
      </c>
      <c r="I472" s="340">
        <f>regional!I78</f>
        <v>0</v>
      </c>
      <c r="J472" s="295"/>
      <c r="K472" s="315">
        <f ca="1">1-(0.00015*0.172)/((IF(Tm&gt;298,EXP(-6.79*(1-Tm/298))*Pvap25*EXP((H0vap/8.314)*(1/298-1/TEMP.R)),Pvap25*EXP((H0vap/8.314)*(1/298-1/TEMP.R))))+(0.00015*0.172))</f>
        <v>0.99334071850049099</v>
      </c>
      <c r="L472" s="276">
        <f ca="1">1/(1+Kp.susp2R*SUSP.w2R/1000+0.05*Kow*0.001/1000)</f>
        <v>0.96807963985956813</v>
      </c>
      <c r="M472" s="276">
        <f ca="1">1/(1+Kp.susp2R*SUSP.w2R/1000+0.05*Kow*0.001/1000)</f>
        <v>0.96807963985956813</v>
      </c>
      <c r="N472" s="276">
        <f ca="1">1/(1+Kp.susp2R*SUSP.w2R/1000+0.05*Kow*0.001/1000)</f>
        <v>0.96807963985956813</v>
      </c>
      <c r="O472" s="276">
        <f ca="1">1/(1+Kp.susp2R*SUSP.w2R/1000+0.05*Kow*0.001/1000)</f>
        <v>0.96807963985956813</v>
      </c>
      <c r="P472" s="276"/>
      <c r="Q472" s="104"/>
    </row>
    <row r="473" spans="1:17" ht="12.75" customHeight="1" x14ac:dyDescent="0.3">
      <c r="A473" s="42"/>
      <c r="B473" s="38"/>
      <c r="C473" s="42" t="s">
        <v>700</v>
      </c>
      <c r="D473" s="38"/>
      <c r="E473" s="38"/>
      <c r="F473" s="38"/>
      <c r="G473" s="63" t="s">
        <v>176</v>
      </c>
      <c r="H473" s="42" t="s">
        <v>1951</v>
      </c>
      <c r="I473" s="340">
        <f>regional!I79</f>
        <v>0</v>
      </c>
      <c r="J473" s="295"/>
      <c r="K473" s="315"/>
      <c r="L473" s="276"/>
      <c r="M473" s="276"/>
      <c r="N473" s="276"/>
      <c r="O473" s="276"/>
      <c r="P473" s="276"/>
      <c r="Q473" s="104"/>
    </row>
    <row r="474" spans="1:17" ht="12.75" customHeight="1" x14ac:dyDescent="0.3">
      <c r="A474" s="42"/>
      <c r="B474" s="38"/>
      <c r="C474" s="42" t="s">
        <v>1091</v>
      </c>
      <c r="D474" s="38"/>
      <c r="E474" s="38"/>
      <c r="F474" s="38"/>
      <c r="G474" s="63" t="s">
        <v>1452</v>
      </c>
      <c r="H474" s="42" t="s">
        <v>28</v>
      </c>
      <c r="I474" s="340">
        <f>regional!I80</f>
        <v>0</v>
      </c>
      <c r="J474" s="295"/>
      <c r="K474" s="315"/>
      <c r="L474" s="276"/>
      <c r="M474" s="276"/>
      <c r="N474" s="276"/>
      <c r="O474" s="276"/>
      <c r="P474" s="276"/>
      <c r="Q474" s="104"/>
    </row>
    <row r="475" spans="1:17" ht="12.75" customHeight="1" x14ac:dyDescent="0.3">
      <c r="A475" s="42"/>
      <c r="B475" s="38"/>
      <c r="C475" s="42" t="s">
        <v>1531</v>
      </c>
      <c r="D475" s="38"/>
      <c r="E475" s="38"/>
      <c r="F475" s="38"/>
      <c r="G475" s="63" t="s">
        <v>206</v>
      </c>
      <c r="H475" s="42" t="s">
        <v>1923</v>
      </c>
      <c r="I475" s="340">
        <f>regional!I81</f>
        <v>0</v>
      </c>
      <c r="J475" s="295"/>
      <c r="K475" s="315"/>
      <c r="L475" s="276"/>
      <c r="M475" s="276"/>
      <c r="N475" s="276"/>
      <c r="O475" s="276"/>
      <c r="P475" s="276"/>
      <c r="Q475" s="104"/>
    </row>
    <row r="476" spans="1:17" ht="12.75" customHeight="1" x14ac:dyDescent="0.3">
      <c r="A476" s="42"/>
      <c r="B476" s="38"/>
      <c r="C476" s="42" t="s">
        <v>541</v>
      </c>
      <c r="D476" s="38"/>
      <c r="E476" s="38"/>
      <c r="F476" s="38"/>
      <c r="G476" s="63" t="s">
        <v>545</v>
      </c>
      <c r="H476" s="42" t="s">
        <v>1000</v>
      </c>
      <c r="I476" s="340">
        <f>regional!I82</f>
        <v>0</v>
      </c>
      <c r="J476" s="295"/>
      <c r="K476" s="315"/>
      <c r="L476" s="276"/>
      <c r="M476" s="276"/>
      <c r="N476" s="276"/>
      <c r="O476" s="276"/>
      <c r="P476" s="276"/>
      <c r="Q476" s="104"/>
    </row>
    <row r="477" spans="1:17" ht="12.75" customHeight="1" x14ac:dyDescent="0.3">
      <c r="A477" s="42"/>
      <c r="B477" s="38"/>
      <c r="C477" s="42" t="s">
        <v>543</v>
      </c>
      <c r="D477" s="38"/>
      <c r="E477" s="38"/>
      <c r="F477" s="38"/>
      <c r="G477" s="63" t="s">
        <v>546</v>
      </c>
      <c r="H477" s="42" t="s">
        <v>999</v>
      </c>
      <c r="I477" s="340">
        <f>regional!I83</f>
        <v>0</v>
      </c>
      <c r="J477" s="295"/>
      <c r="K477" s="315"/>
      <c r="L477" s="276"/>
      <c r="M477" s="276"/>
      <c r="N477" s="276"/>
      <c r="O477" s="276"/>
      <c r="P477" s="276"/>
      <c r="Q477" s="104"/>
    </row>
    <row r="478" spans="1:17" ht="12.75" customHeight="1" x14ac:dyDescent="0.3">
      <c r="A478" s="42"/>
      <c r="B478" s="42" t="s">
        <v>726</v>
      </c>
      <c r="C478" s="64"/>
      <c r="D478" s="38"/>
      <c r="E478" s="38"/>
      <c r="F478" s="38"/>
      <c r="G478" s="63" t="s">
        <v>457</v>
      </c>
      <c r="H478" s="42" t="s">
        <v>28</v>
      </c>
      <c r="I478" s="340">
        <f>regional!I84</f>
        <v>0</v>
      </c>
      <c r="J478" s="295"/>
      <c r="K478" s="315"/>
      <c r="L478" s="276"/>
      <c r="M478" s="276"/>
      <c r="N478" s="276"/>
      <c r="O478" s="276"/>
      <c r="P478" s="276"/>
      <c r="Q478" s="104"/>
    </row>
    <row r="479" spans="1:17" ht="12.75" customHeight="1" x14ac:dyDescent="0.3">
      <c r="A479" s="42"/>
      <c r="B479" s="38"/>
      <c r="C479" s="42" t="s">
        <v>1428</v>
      </c>
      <c r="D479" s="38"/>
      <c r="E479" s="38"/>
      <c r="F479" s="38"/>
      <c r="G479" s="63" t="s">
        <v>165</v>
      </c>
      <c r="H479" s="42" t="s">
        <v>1951</v>
      </c>
      <c r="I479" s="340">
        <f>regional!I85</f>
        <v>0</v>
      </c>
      <c r="J479" s="295"/>
      <c r="K479" s="315"/>
      <c r="L479" s="276"/>
      <c r="M479" s="276"/>
      <c r="N479" s="276"/>
      <c r="O479" s="276"/>
      <c r="P479" s="276"/>
      <c r="Q479" s="104"/>
    </row>
    <row r="480" spans="1:17" ht="12.75" customHeight="1" x14ac:dyDescent="0.3">
      <c r="A480" s="42"/>
      <c r="B480" s="38"/>
      <c r="C480" s="42" t="s">
        <v>1271</v>
      </c>
      <c r="D480" s="38"/>
      <c r="E480" s="38"/>
      <c r="F480" s="38"/>
      <c r="G480" s="63" t="s">
        <v>1059</v>
      </c>
      <c r="H480" s="42" t="s">
        <v>28</v>
      </c>
      <c r="I480" s="340">
        <f ca="1">regional!I86</f>
        <v>0.10815242765608081</v>
      </c>
      <c r="J480" s="295"/>
      <c r="K480" s="315"/>
      <c r="L480" s="276"/>
      <c r="M480" s="276"/>
      <c r="N480" s="276"/>
      <c r="O480" s="276"/>
      <c r="P480" s="276"/>
      <c r="Q480" s="104"/>
    </row>
    <row r="481" spans="1:17" ht="12.75" customHeight="1" x14ac:dyDescent="0.3">
      <c r="A481" s="42"/>
      <c r="B481" s="42" t="s">
        <v>1429</v>
      </c>
      <c r="C481" s="64"/>
      <c r="D481" s="38"/>
      <c r="E481" s="38"/>
      <c r="F481" s="38"/>
      <c r="G481" s="63" t="s">
        <v>1060</v>
      </c>
      <c r="H481" s="42" t="s">
        <v>28</v>
      </c>
      <c r="I481" s="340">
        <f>regional!I87</f>
        <v>0</v>
      </c>
      <c r="J481" s="295"/>
      <c r="K481" s="315"/>
      <c r="L481" s="276"/>
      <c r="M481" s="276"/>
      <c r="N481" s="276"/>
      <c r="O481" s="276"/>
      <c r="P481" s="276"/>
      <c r="Q481" s="104"/>
    </row>
    <row r="482" spans="1:17" ht="12.75" customHeight="1" x14ac:dyDescent="0.3">
      <c r="A482" s="42"/>
      <c r="B482" s="38"/>
      <c r="C482" s="42" t="s">
        <v>1430</v>
      </c>
      <c r="D482" s="38"/>
      <c r="E482" s="38"/>
      <c r="F482" s="38"/>
      <c r="G482" s="63" t="s">
        <v>167</v>
      </c>
      <c r="H482" s="42" t="s">
        <v>1951</v>
      </c>
      <c r="I482" s="340">
        <f>regional!I88</f>
        <v>0</v>
      </c>
      <c r="J482" s="295"/>
      <c r="K482" s="315"/>
      <c r="L482" s="276"/>
      <c r="M482" s="276"/>
      <c r="N482" s="276"/>
      <c r="O482" s="276"/>
      <c r="P482" s="276"/>
      <c r="Q482" s="104"/>
    </row>
    <row r="483" spans="1:17" ht="12.75" customHeight="1" x14ac:dyDescent="0.3">
      <c r="A483" s="42"/>
      <c r="B483" s="38"/>
      <c r="C483" s="42" t="s">
        <v>1270</v>
      </c>
      <c r="D483" s="38"/>
      <c r="E483" s="38"/>
      <c r="F483" s="38"/>
      <c r="G483" s="63" t="s">
        <v>1061</v>
      </c>
      <c r="H483" s="42" t="s">
        <v>28</v>
      </c>
      <c r="I483" s="340">
        <f>regional!I89</f>
        <v>0</v>
      </c>
      <c r="J483" s="295"/>
      <c r="K483" s="315"/>
      <c r="L483" s="276"/>
      <c r="M483" s="276"/>
      <c r="N483" s="276"/>
      <c r="O483" s="276"/>
      <c r="P483" s="276"/>
      <c r="Q483" s="104"/>
    </row>
    <row r="484" spans="1:17" ht="12.75" customHeight="1" x14ac:dyDescent="0.3">
      <c r="A484" s="42"/>
      <c r="B484" s="42" t="s">
        <v>1431</v>
      </c>
      <c r="C484" s="64"/>
      <c r="D484" s="38"/>
      <c r="E484" s="38"/>
      <c r="F484" s="38"/>
      <c r="G484" s="63" t="s">
        <v>1062</v>
      </c>
      <c r="H484" s="42" t="s">
        <v>28</v>
      </c>
      <c r="I484" s="340">
        <f>regional!I90</f>
        <v>0</v>
      </c>
      <c r="J484" s="295"/>
      <c r="K484" s="315"/>
      <c r="L484" s="276"/>
      <c r="M484" s="276"/>
      <c r="N484" s="276"/>
      <c r="O484" s="276"/>
      <c r="P484" s="276"/>
      <c r="Q484" s="104"/>
    </row>
    <row r="485" spans="1:17" ht="12.75" customHeight="1" x14ac:dyDescent="0.3">
      <c r="A485" s="42"/>
      <c r="B485" s="42" t="s">
        <v>507</v>
      </c>
      <c r="C485" s="64"/>
      <c r="D485" s="38"/>
      <c r="E485" s="38"/>
      <c r="F485" s="38"/>
      <c r="G485" s="63" t="s">
        <v>986</v>
      </c>
      <c r="H485" s="42" t="s">
        <v>28</v>
      </c>
      <c r="I485" s="340">
        <f>regional!I91</f>
        <v>0</v>
      </c>
      <c r="J485" s="295"/>
      <c r="K485" s="315"/>
      <c r="L485" s="276"/>
      <c r="M485" s="276"/>
      <c r="N485" s="276"/>
      <c r="O485" s="276"/>
      <c r="P485" s="276"/>
      <c r="Q485" s="104"/>
    </row>
    <row r="486" spans="1:17" ht="12.75" customHeight="1" x14ac:dyDescent="0.3">
      <c r="A486" s="42"/>
      <c r="B486" s="42" t="s">
        <v>948</v>
      </c>
      <c r="C486" s="64"/>
      <c r="D486" s="38"/>
      <c r="E486" s="38"/>
      <c r="F486" s="38"/>
      <c r="G486" s="63" t="s">
        <v>990</v>
      </c>
      <c r="H486" s="42" t="s">
        <v>28</v>
      </c>
      <c r="I486" s="340">
        <f>regional!I92</f>
        <v>0</v>
      </c>
      <c r="J486" s="295"/>
      <c r="K486" s="315"/>
      <c r="L486" s="276"/>
      <c r="M486" s="276"/>
      <c r="N486" s="276"/>
      <c r="O486" s="276"/>
      <c r="P486" s="276"/>
      <c r="Q486" s="104"/>
    </row>
    <row r="487" spans="1:17" ht="12.75" customHeight="1" x14ac:dyDescent="0.3">
      <c r="A487" s="42"/>
      <c r="B487" s="38"/>
      <c r="C487" s="42" t="s">
        <v>1323</v>
      </c>
      <c r="D487" s="38"/>
      <c r="E487" s="38"/>
      <c r="F487" s="38"/>
      <c r="G487" s="63" t="s">
        <v>118</v>
      </c>
      <c r="H487" s="42" t="s">
        <v>1951</v>
      </c>
      <c r="I487" s="340">
        <f>regional!I93</f>
        <v>0</v>
      </c>
      <c r="J487" s="295"/>
      <c r="K487" s="315"/>
      <c r="L487" s="276"/>
      <c r="M487" s="276"/>
      <c r="N487" s="276"/>
      <c r="O487" s="276"/>
      <c r="P487" s="276"/>
      <c r="Q487" s="104"/>
    </row>
    <row r="488" spans="1:17" ht="12.75" customHeight="1" x14ac:dyDescent="0.3">
      <c r="A488" s="42"/>
      <c r="B488" s="38"/>
      <c r="C488" s="42" t="s">
        <v>1269</v>
      </c>
      <c r="D488" s="38"/>
      <c r="E488" s="38"/>
      <c r="F488" s="38"/>
      <c r="G488" s="63" t="s">
        <v>1063</v>
      </c>
      <c r="H488" s="42" t="s">
        <v>28</v>
      </c>
      <c r="I488" s="340">
        <f ca="1">regional!I94</f>
        <v>2.6141305603313014E-2</v>
      </c>
      <c r="J488" s="295"/>
      <c r="K488" s="315"/>
      <c r="L488" s="276"/>
      <c r="M488" s="276"/>
      <c r="N488" s="276"/>
      <c r="O488" s="276"/>
      <c r="P488" s="276"/>
      <c r="Q488" s="104"/>
    </row>
    <row r="489" spans="1:17" ht="12.75" customHeight="1" x14ac:dyDescent="0.3">
      <c r="A489" s="42"/>
      <c r="B489" s="42" t="s">
        <v>776</v>
      </c>
      <c r="C489" s="64"/>
      <c r="D489" s="38"/>
      <c r="E489" s="38"/>
      <c r="F489" s="38"/>
      <c r="G489" s="63" t="s">
        <v>1064</v>
      </c>
      <c r="H489" s="42" t="s">
        <v>28</v>
      </c>
      <c r="I489" s="340">
        <f>regional!I95</f>
        <v>0</v>
      </c>
      <c r="J489" s="295"/>
      <c r="K489" s="315"/>
      <c r="L489" s="276"/>
      <c r="M489" s="276"/>
      <c r="N489" s="276"/>
      <c r="O489" s="276"/>
      <c r="P489" s="276"/>
      <c r="Q489" s="104"/>
    </row>
    <row r="490" spans="1:17" ht="12.75" customHeight="1" x14ac:dyDescent="0.3">
      <c r="A490" s="42"/>
      <c r="B490" s="42" t="s">
        <v>508</v>
      </c>
      <c r="C490" s="64"/>
      <c r="D490" s="38"/>
      <c r="E490" s="38"/>
      <c r="F490" s="38"/>
      <c r="G490" s="63" t="s">
        <v>987</v>
      </c>
      <c r="H490" s="42" t="s">
        <v>28</v>
      </c>
      <c r="I490" s="340">
        <f>regional!I96</f>
        <v>0</v>
      </c>
      <c r="J490" s="295"/>
      <c r="K490" s="315"/>
      <c r="L490" s="276"/>
      <c r="M490" s="276"/>
      <c r="N490" s="276"/>
      <c r="O490" s="276"/>
      <c r="P490" s="276"/>
      <c r="Q490" s="104"/>
    </row>
    <row r="491" spans="1:17" ht="12.75" customHeight="1" x14ac:dyDescent="0.3">
      <c r="A491" s="42"/>
      <c r="B491" s="42" t="s">
        <v>1095</v>
      </c>
      <c r="C491" s="64"/>
      <c r="D491" s="38"/>
      <c r="E491" s="38"/>
      <c r="F491" s="38"/>
      <c r="G491" s="63" t="s">
        <v>991</v>
      </c>
      <c r="H491" s="42" t="s">
        <v>28</v>
      </c>
      <c r="I491" s="340">
        <f>regional!I97</f>
        <v>0</v>
      </c>
      <c r="J491" s="295"/>
      <c r="K491" s="315"/>
      <c r="L491" s="276"/>
      <c r="M491" s="276"/>
      <c r="N491" s="276"/>
      <c r="O491" s="276"/>
      <c r="P491" s="276"/>
      <c r="Q491" s="104"/>
    </row>
    <row r="492" spans="1:17" ht="12.75" customHeight="1" x14ac:dyDescent="0.3">
      <c r="A492" s="42"/>
      <c r="B492" s="38"/>
      <c r="C492" s="42" t="s">
        <v>1228</v>
      </c>
      <c r="D492" s="38"/>
      <c r="E492" s="38"/>
      <c r="F492" s="38"/>
      <c r="G492" s="63" t="s">
        <v>160</v>
      </c>
      <c r="H492" s="42" t="s">
        <v>1951</v>
      </c>
      <c r="I492" s="340">
        <f>regional!I98</f>
        <v>0</v>
      </c>
      <c r="J492" s="295"/>
      <c r="K492" s="315"/>
      <c r="L492" s="276"/>
      <c r="M492" s="276"/>
      <c r="N492" s="276"/>
      <c r="O492" s="276"/>
      <c r="P492" s="276"/>
      <c r="Q492" s="104"/>
    </row>
    <row r="493" spans="1:17" ht="12.75" customHeight="1" x14ac:dyDescent="0.3">
      <c r="A493" s="42"/>
      <c r="B493" s="38"/>
      <c r="C493" s="42" t="s">
        <v>1268</v>
      </c>
      <c r="D493" s="38"/>
      <c r="E493" s="38"/>
      <c r="F493" s="38"/>
      <c r="G493" s="63" t="s">
        <v>1065</v>
      </c>
      <c r="H493" s="42" t="s">
        <v>28</v>
      </c>
      <c r="I493" s="340">
        <f ca="1">regional!I99</f>
        <v>2.4248071965115654E-2</v>
      </c>
      <c r="J493" s="295"/>
      <c r="K493" s="315"/>
      <c r="L493" s="276"/>
      <c r="M493" s="276"/>
      <c r="N493" s="276"/>
      <c r="O493" s="276"/>
      <c r="P493" s="276"/>
      <c r="Q493" s="104"/>
    </row>
    <row r="494" spans="1:17" ht="12.75" customHeight="1" x14ac:dyDescent="0.3">
      <c r="A494" s="42"/>
      <c r="B494" s="42" t="s">
        <v>780</v>
      </c>
      <c r="C494" s="64"/>
      <c r="D494" s="38"/>
      <c r="E494" s="38"/>
      <c r="F494" s="38"/>
      <c r="G494" s="63" t="s">
        <v>1066</v>
      </c>
      <c r="H494" s="42" t="s">
        <v>28</v>
      </c>
      <c r="I494" s="340">
        <f>regional!I100</f>
        <v>0</v>
      </c>
      <c r="J494" s="295"/>
      <c r="K494" s="315"/>
      <c r="L494" s="276"/>
      <c r="M494" s="276"/>
      <c r="N494" s="276"/>
      <c r="O494" s="276"/>
      <c r="P494" s="276"/>
      <c r="Q494" s="104"/>
    </row>
    <row r="495" spans="1:17" ht="12.75" customHeight="1" x14ac:dyDescent="0.3">
      <c r="A495" s="42"/>
      <c r="B495" s="42" t="s">
        <v>509</v>
      </c>
      <c r="C495" s="64"/>
      <c r="D495" s="38"/>
      <c r="E495" s="38"/>
      <c r="F495" s="38"/>
      <c r="G495" s="63" t="s">
        <v>988</v>
      </c>
      <c r="H495" s="42" t="s">
        <v>28</v>
      </c>
      <c r="I495" s="340">
        <f>regional!I101</f>
        <v>0</v>
      </c>
      <c r="J495" s="295"/>
      <c r="K495" s="315"/>
      <c r="L495" s="276"/>
      <c r="M495" s="276"/>
      <c r="N495" s="276"/>
      <c r="O495" s="276"/>
      <c r="P495" s="276"/>
      <c r="Q495" s="104"/>
    </row>
    <row r="496" spans="1:17" ht="12.75" customHeight="1" x14ac:dyDescent="0.3">
      <c r="A496" s="42"/>
      <c r="B496" s="42" t="s">
        <v>894</v>
      </c>
      <c r="C496" s="64"/>
      <c r="D496" s="38"/>
      <c r="E496" s="38"/>
      <c r="F496" s="38"/>
      <c r="G496" s="63" t="s">
        <v>1100</v>
      </c>
      <c r="H496" s="42" t="s">
        <v>28</v>
      </c>
      <c r="I496" s="340">
        <f>regional!I102</f>
        <v>0</v>
      </c>
      <c r="J496" s="295"/>
      <c r="K496" s="315"/>
      <c r="L496" s="276"/>
      <c r="M496" s="276"/>
      <c r="N496" s="276"/>
      <c r="O496" s="276"/>
      <c r="P496" s="276"/>
      <c r="Q496" s="104"/>
    </row>
    <row r="497" spans="1:17" ht="12.75" customHeight="1" x14ac:dyDescent="0.3">
      <c r="A497" s="42"/>
      <c r="B497" s="38"/>
      <c r="C497" s="42" t="s">
        <v>1058</v>
      </c>
      <c r="D497" s="38"/>
      <c r="E497" s="38"/>
      <c r="F497" s="38"/>
      <c r="G497" s="63" t="s">
        <v>162</v>
      </c>
      <c r="H497" s="42" t="s">
        <v>1951</v>
      </c>
      <c r="I497" s="340">
        <f>regional!I103</f>
        <v>0</v>
      </c>
      <c r="J497" s="295"/>
      <c r="K497" s="315"/>
      <c r="L497" s="276"/>
      <c r="M497" s="276"/>
      <c r="N497" s="276"/>
      <c r="O497" s="276"/>
      <c r="P497" s="276"/>
      <c r="Q497" s="104"/>
    </row>
    <row r="498" spans="1:17" ht="12.75" customHeight="1" x14ac:dyDescent="0.3">
      <c r="A498" s="42"/>
      <c r="B498" s="38"/>
      <c r="C498" s="42" t="s">
        <v>1400</v>
      </c>
      <c r="D498" s="38"/>
      <c r="E498" s="38"/>
      <c r="F498" s="38"/>
      <c r="G498" s="63" t="s">
        <v>1067</v>
      </c>
      <c r="H498" s="42" t="s">
        <v>28</v>
      </c>
      <c r="I498" s="340">
        <f ca="1">regional!I104</f>
        <v>5.240146389470339E-2</v>
      </c>
      <c r="J498" s="295"/>
      <c r="K498" s="315"/>
      <c r="L498" s="276"/>
      <c r="M498" s="276"/>
      <c r="N498" s="276"/>
      <c r="O498" s="276"/>
      <c r="P498" s="276"/>
      <c r="Q498" s="104"/>
    </row>
    <row r="499" spans="1:17" ht="12.75" customHeight="1" x14ac:dyDescent="0.3">
      <c r="A499" s="42"/>
      <c r="B499" s="38"/>
      <c r="C499" s="38"/>
      <c r="D499" s="42"/>
      <c r="E499" s="38"/>
      <c r="F499" s="38"/>
      <c r="G499" s="38"/>
      <c r="H499" s="38"/>
      <c r="I499" s="178"/>
      <c r="J499" s="322"/>
      <c r="K499" s="322"/>
      <c r="L499" s="285"/>
      <c r="M499" s="285"/>
      <c r="N499" s="285"/>
      <c r="O499" s="285"/>
      <c r="P499" s="285"/>
      <c r="Q499" s="104"/>
    </row>
    <row r="500" spans="1:17" ht="12.75" customHeight="1" x14ac:dyDescent="0.3">
      <c r="A500" s="67" t="s">
        <v>1306</v>
      </c>
      <c r="B500" s="66"/>
      <c r="C500" s="66"/>
      <c r="D500" s="66"/>
      <c r="E500" s="66"/>
      <c r="F500" s="66"/>
      <c r="G500" s="66"/>
      <c r="H500" s="66"/>
      <c r="I500" s="189" t="s">
        <v>748</v>
      </c>
      <c r="J500" s="319"/>
      <c r="K500" s="319"/>
      <c r="L500" s="281"/>
      <c r="M500" s="281"/>
      <c r="N500" s="281"/>
      <c r="O500" s="281"/>
      <c r="P500" s="281"/>
      <c r="Q500" s="104"/>
    </row>
    <row r="501" spans="1:17" ht="12.75" customHeight="1" x14ac:dyDescent="0.3">
      <c r="A501" s="38"/>
      <c r="B501" s="38"/>
      <c r="C501" s="38"/>
      <c r="D501" s="38"/>
      <c r="E501" s="38"/>
      <c r="F501" s="38"/>
      <c r="G501" s="38"/>
      <c r="H501" s="38"/>
      <c r="I501" s="162"/>
      <c r="J501" s="322"/>
      <c r="K501" s="322"/>
      <c r="L501" s="285"/>
      <c r="M501" s="285"/>
      <c r="N501" s="285"/>
      <c r="O501" s="285"/>
      <c r="P501" s="285"/>
      <c r="Q501" s="104"/>
    </row>
    <row r="502" spans="1:17" ht="12.75" customHeight="1" x14ac:dyDescent="0.3">
      <c r="A502" s="42" t="s">
        <v>292</v>
      </c>
      <c r="B502" s="38"/>
      <c r="C502" s="38"/>
      <c r="D502" s="38"/>
      <c r="E502" s="38"/>
      <c r="F502" s="38"/>
      <c r="G502" s="42" t="s">
        <v>293</v>
      </c>
      <c r="H502" s="42" t="s">
        <v>1926</v>
      </c>
      <c r="I502" s="340">
        <f>regional!I108</f>
        <v>0</v>
      </c>
      <c r="J502" s="315"/>
      <c r="K502" s="315">
        <f ca="1">((DRYDEPaerosol.R+AerosolWashout.R+GasWashout.R+GASABS.aR.wR)/HEIGHT.aR)*AREAFRAC.w0R</f>
        <v>3.0578344172802953E-19</v>
      </c>
      <c r="L502" s="315">
        <f ca="1">((DRYDEPaerosol.R+AerosolWashout.R+GasWashout.R+GASABS.aR.wR)/HEIGHT.aR)*AREAFRAC.w0R</f>
        <v>3.0578344172802953E-19</v>
      </c>
      <c r="M502" s="315">
        <f ca="1">((DRYDEPaerosol.R+AerosolWashout.R+GasWashout.R+GASABS.aR.wR)/HEIGHT.aR)*AREAFRAC.w0R</f>
        <v>3.0578344172802953E-19</v>
      </c>
      <c r="N502" s="315">
        <f ca="1">((DRYDEPaerosol.R+AerosolWashout.R+GasWashout.R+GASABS.aR.wR)/HEIGHT.aR)*AREAFRAC.w0R</f>
        <v>3.0578344172802953E-19</v>
      </c>
      <c r="O502" s="315">
        <f ca="1">((DRYDEPaerosol.R+AerosolWashout.R+GasWashout.R+GASABS.aR.wR)/HEIGHT.aR)*AREAFRAC.w0R</f>
        <v>3.0578344172802953E-19</v>
      </c>
      <c r="P502" s="276"/>
      <c r="Q502" s="104"/>
    </row>
    <row r="503" spans="1:17" ht="12.75" customHeight="1" x14ac:dyDescent="0.3">
      <c r="A503" s="42" t="s">
        <v>58</v>
      </c>
      <c r="B503" s="38"/>
      <c r="C503" s="38"/>
      <c r="D503" s="38"/>
      <c r="E503" s="38"/>
      <c r="F503" s="38"/>
      <c r="G503" s="42" t="s">
        <v>222</v>
      </c>
      <c r="H503" s="42" t="s">
        <v>1926</v>
      </c>
      <c r="I503" s="340">
        <f>regional!I109</f>
        <v>0</v>
      </c>
      <c r="J503" s="315"/>
      <c r="K503" s="315">
        <f ca="1">((DRYDEPaerosol.R+AerosolWashout.R+GasWashout.R+GASABS.aR.wR)/HEIGHT.aR)*AREAFRAC.w1R</f>
        <v>7.3388026014727084</v>
      </c>
      <c r="L503" s="315">
        <f ca="1">((DRYDEPaerosol.R+AerosolWashout.R+GasWashout.R+GASABS.aR.wR)/HEIGHT.aR)*AREAFRAC.w1R</f>
        <v>7.3388026014727084</v>
      </c>
      <c r="M503" s="315">
        <f ca="1">((DRYDEPaerosol.R+AerosolWashout.R+GasWashout.R+GASABS.aR.wR)/HEIGHT.aR)*AREAFRAC.w1R</f>
        <v>7.3388026014727084</v>
      </c>
      <c r="N503" s="315">
        <f ca="1">((DRYDEPaerosol.R+AerosolWashout.R+GasWashout.R+GASABS.aR.wR)/HEIGHT.aR)*AREAFRAC.w1R</f>
        <v>7.3388026014727084</v>
      </c>
      <c r="O503" s="315">
        <f ca="1">((DRYDEPaerosol.R+AerosolWashout.R+GasWashout.R+GASABS.aR.wR)/HEIGHT.aR)*AREAFRAC.w1R</f>
        <v>7.3388026014727084</v>
      </c>
      <c r="P503" s="276"/>
      <c r="Q503" s="104"/>
    </row>
    <row r="504" spans="1:17" ht="12.75" customHeight="1" x14ac:dyDescent="0.3">
      <c r="A504" s="42" t="s">
        <v>59</v>
      </c>
      <c r="B504" s="38"/>
      <c r="C504" s="38"/>
      <c r="D504" s="38"/>
      <c r="E504" s="38"/>
      <c r="F504" s="38"/>
      <c r="G504" s="42" t="s">
        <v>223</v>
      </c>
      <c r="H504" s="42" t="s">
        <v>1926</v>
      </c>
      <c r="I504" s="340">
        <f>regional!I110</f>
        <v>0</v>
      </c>
      <c r="J504" s="315"/>
      <c r="K504" s="315">
        <f ca="1">((DRYDEPaerosol.R+AerosolWashout.R+GasWashout.R+GASABS.aR.wR)/HEIGHT.aR)*AREAFRAC.w2R</f>
        <v>1.389924735127407E-21</v>
      </c>
      <c r="L504" s="315">
        <f ca="1">((DRYDEPaerosol.R+AerosolWashout.R+GasWashout.R+GASABS.aR.wR)/HEIGHT.aR)*AREAFRAC.w2R</f>
        <v>1.389924735127407E-21</v>
      </c>
      <c r="M504" s="315">
        <f ca="1">((DRYDEPaerosol.R+AerosolWashout.R+GasWashout.R+GASABS.aR.wR)/HEIGHT.aR)*AREAFRAC.w2R</f>
        <v>1.389924735127407E-21</v>
      </c>
      <c r="N504" s="315">
        <f ca="1">((DRYDEPaerosol.R+AerosolWashout.R+GasWashout.R+GASABS.aR.wR)/HEIGHT.aR)*AREAFRAC.w2R</f>
        <v>1.389924735127407E-21</v>
      </c>
      <c r="O504" s="315">
        <f ca="1">((DRYDEPaerosol.R+AerosolWashout.R+GasWashout.R+GASABS.aR.wR)/HEIGHT.aR)*AREAFRAC.w2R</f>
        <v>1.389924735127407E-21</v>
      </c>
      <c r="P504" s="276"/>
      <c r="Q504" s="104"/>
    </row>
    <row r="505" spans="1:17" ht="12.75" customHeight="1" x14ac:dyDescent="0.3">
      <c r="A505" s="42" t="s">
        <v>60</v>
      </c>
      <c r="B505" s="38"/>
      <c r="C505" s="38"/>
      <c r="D505" s="38"/>
      <c r="E505" s="38"/>
      <c r="F505" s="38"/>
      <c r="G505" s="42" t="s">
        <v>224</v>
      </c>
      <c r="H505" s="42" t="s">
        <v>1926</v>
      </c>
      <c r="I505" s="340">
        <f>regional!I111</f>
        <v>0</v>
      </c>
      <c r="J505" s="315"/>
      <c r="K505" s="315">
        <f ca="1">((DRYDEPaerosol.R+AerosolWashout.R+GasWashout.R+GASABS.aR.sR)/HEIGHT.aR)*AREAFRAC.s1R</f>
        <v>3.0578344172802953E-19</v>
      </c>
      <c r="L505" s="315">
        <f ca="1">((DRYDEPaerosol.R+AerosolWashout.R+GasWashout.R+GASABS.aR.sR)/HEIGHT.aR)*AREAFRAC.s1R</f>
        <v>3.0578344172802953E-19</v>
      </c>
      <c r="M505" s="315">
        <f ca="1">((DRYDEPaerosol.R+AerosolWashout.R+GasWashout.R+GASABS.aR.sR)/HEIGHT.aR)*AREAFRAC.s1R</f>
        <v>3.0578344172802953E-19</v>
      </c>
      <c r="N505" s="315">
        <f ca="1">((DRYDEPaerosol.R+AerosolWashout.R+GasWashout.R+GASABS.aR.sR)/HEIGHT.aR)*AREAFRAC.s1R</f>
        <v>3.0578344172802953E-19</v>
      </c>
      <c r="O505" s="315">
        <f ca="1">((DRYDEPaerosol.R+AerosolWashout.R+GasWashout.R+GASABS.aR.sR)/HEIGHT.aR)*AREAFRAC.s1R</f>
        <v>3.0578344172802953E-19</v>
      </c>
      <c r="P505" s="276"/>
      <c r="Q505" s="104"/>
    </row>
    <row r="506" spans="1:17" ht="12.75" customHeight="1" x14ac:dyDescent="0.3">
      <c r="A506" s="42" t="s">
        <v>61</v>
      </c>
      <c r="B506" s="38"/>
      <c r="C506" s="38"/>
      <c r="D506" s="38"/>
      <c r="E506" s="38"/>
      <c r="F506" s="38"/>
      <c r="G506" s="42" t="s">
        <v>225</v>
      </c>
      <c r="H506" s="42" t="s">
        <v>1926</v>
      </c>
      <c r="I506" s="340">
        <f>regional!I112</f>
        <v>0</v>
      </c>
      <c r="J506" s="315"/>
      <c r="K506" s="315">
        <f ca="1">((DRYDEPaerosol.R+AerosolWashout.R+GasWashout.R+GASABS.aR.sR)/HEIGHT.aR)*AREAFRAC.s2R</f>
        <v>5.5041019511045315</v>
      </c>
      <c r="L506" s="315">
        <f ca="1">((DRYDEPaerosol.R+AerosolWashout.R+GasWashout.R+GASABS.aR.sR)/HEIGHT.aR)*AREAFRAC.s2R</f>
        <v>5.5041019511045315</v>
      </c>
      <c r="M506" s="315">
        <f ca="1">((DRYDEPaerosol.R+AerosolWashout.R+GasWashout.R+GASABS.aR.sR)/HEIGHT.aR)*AREAFRAC.s2R</f>
        <v>5.5041019511045315</v>
      </c>
      <c r="N506" s="315">
        <f ca="1">((DRYDEPaerosol.R+AerosolWashout.R+GasWashout.R+GASABS.aR.sR)/HEIGHT.aR)*AREAFRAC.s2R</f>
        <v>5.5041019511045315</v>
      </c>
      <c r="O506" s="315">
        <f ca="1">((DRYDEPaerosol.R+AerosolWashout.R+GasWashout.R+GASABS.aR.sR)/HEIGHT.aR)*AREAFRAC.s2R</f>
        <v>5.5041019511045315</v>
      </c>
      <c r="P506" s="276"/>
      <c r="Q506" s="104"/>
    </row>
    <row r="507" spans="1:17" ht="12.75" customHeight="1" x14ac:dyDescent="0.3">
      <c r="A507" s="42" t="s">
        <v>62</v>
      </c>
      <c r="B507" s="38"/>
      <c r="C507" s="38"/>
      <c r="D507" s="38"/>
      <c r="E507" s="38"/>
      <c r="F507" s="38"/>
      <c r="G507" s="42" t="s">
        <v>226</v>
      </c>
      <c r="H507" s="42" t="s">
        <v>1926</v>
      </c>
      <c r="I507" s="340">
        <f>regional!I113</f>
        <v>0</v>
      </c>
      <c r="J507" s="315"/>
      <c r="K507" s="315">
        <f ca="1">((DRYDEPaerosol.R+AerosolWashout.R+GasWashout.R+GASABS.aR.sR)/HEIGHT.aR)*AREAFRAC.s3R</f>
        <v>17.735439620225712</v>
      </c>
      <c r="L507" s="315">
        <f ca="1">((DRYDEPaerosol.R+AerosolWashout.R+GasWashout.R+GASABS.aR.sR)/HEIGHT.aR)*AREAFRAC.s3R</f>
        <v>17.735439620225712</v>
      </c>
      <c r="M507" s="315">
        <f ca="1">((DRYDEPaerosol.R+AerosolWashout.R+GasWashout.R+GASABS.aR.sR)/HEIGHT.aR)*AREAFRAC.s3R</f>
        <v>17.735439620225712</v>
      </c>
      <c r="N507" s="315">
        <f ca="1">((DRYDEPaerosol.R+AerosolWashout.R+GasWashout.R+GASABS.aR.sR)/HEIGHT.aR)*AREAFRAC.s3R</f>
        <v>17.735439620225712</v>
      </c>
      <c r="O507" s="315">
        <f ca="1">((DRYDEPaerosol.R+AerosolWashout.R+GasWashout.R+GASABS.aR.sR)/HEIGHT.aR)*AREAFRAC.s3R</f>
        <v>17.735439620225712</v>
      </c>
      <c r="P507" s="276"/>
      <c r="Q507" s="104"/>
    </row>
    <row r="508" spans="1:17" ht="12.75" customHeight="1" x14ac:dyDescent="0.3">
      <c r="A508" s="42" t="s">
        <v>63</v>
      </c>
      <c r="B508" s="38"/>
      <c r="C508" s="38"/>
      <c r="D508" s="38"/>
      <c r="E508" s="38"/>
      <c r="F508" s="38"/>
      <c r="G508" s="42" t="s">
        <v>294</v>
      </c>
      <c r="H508" s="42" t="s">
        <v>1926</v>
      </c>
      <c r="I508" s="340">
        <f>regional!I114</f>
        <v>0</v>
      </c>
      <c r="J508" s="315"/>
      <c r="K508" s="315"/>
      <c r="L508" s="276"/>
      <c r="M508" s="276"/>
      <c r="N508" s="276"/>
      <c r="O508" s="276"/>
      <c r="P508" s="276"/>
      <c r="Q508" s="104"/>
    </row>
    <row r="509" spans="1:17" ht="12.75" customHeight="1" x14ac:dyDescent="0.3">
      <c r="A509" s="42" t="s">
        <v>63</v>
      </c>
      <c r="B509" s="38"/>
      <c r="C509" s="38"/>
      <c r="D509" s="38"/>
      <c r="E509" s="38"/>
      <c r="F509" s="38"/>
      <c r="G509" s="42" t="s">
        <v>227</v>
      </c>
      <c r="H509" s="42" t="s">
        <v>1926</v>
      </c>
      <c r="I509" s="340">
        <f>regional!I115</f>
        <v>0</v>
      </c>
      <c r="J509" s="315"/>
      <c r="K509" s="315"/>
      <c r="L509" s="276"/>
      <c r="M509" s="276"/>
      <c r="N509" s="276"/>
      <c r="O509" s="276"/>
      <c r="P509" s="276"/>
      <c r="Q509" s="104"/>
    </row>
    <row r="510" spans="1:17" ht="12.75" customHeight="1" x14ac:dyDescent="0.3">
      <c r="A510" s="42" t="s">
        <v>64</v>
      </c>
      <c r="B510" s="38"/>
      <c r="C510" s="38"/>
      <c r="D510" s="38"/>
      <c r="E510" s="38"/>
      <c r="F510" s="38"/>
      <c r="G510" s="42" t="s">
        <v>228</v>
      </c>
      <c r="H510" s="42" t="s">
        <v>1926</v>
      </c>
      <c r="I510" s="340">
        <f>regional!I116</f>
        <v>0</v>
      </c>
      <c r="J510" s="315"/>
      <c r="K510" s="315"/>
      <c r="L510" s="276"/>
      <c r="M510" s="276"/>
      <c r="N510" s="276"/>
      <c r="O510" s="276"/>
      <c r="P510" s="276"/>
      <c r="Q510" s="104"/>
    </row>
    <row r="511" spans="1:17" ht="12.75" customHeight="1" x14ac:dyDescent="0.3">
      <c r="A511" s="42" t="s">
        <v>65</v>
      </c>
      <c r="B511" s="38"/>
      <c r="C511" s="38"/>
      <c r="D511" s="38"/>
      <c r="E511" s="38"/>
      <c r="F511" s="38"/>
      <c r="G511" s="42" t="s">
        <v>229</v>
      </c>
      <c r="H511" s="42" t="s">
        <v>1926</v>
      </c>
      <c r="I511" s="340">
        <f>regional!I117</f>
        <v>0</v>
      </c>
      <c r="J511" s="315"/>
      <c r="K511" s="315"/>
      <c r="L511" s="276"/>
      <c r="M511" s="276"/>
      <c r="N511" s="276"/>
      <c r="O511" s="276"/>
      <c r="P511" s="276"/>
      <c r="Q511" s="104"/>
    </row>
    <row r="512" spans="1:17" ht="12.75" customHeight="1" x14ac:dyDescent="0.3">
      <c r="A512" s="42" t="s">
        <v>66</v>
      </c>
      <c r="B512" s="38"/>
      <c r="C512" s="38"/>
      <c r="D512" s="38"/>
      <c r="E512" s="38"/>
      <c r="F512" s="38"/>
      <c r="G512" s="42" t="s">
        <v>230</v>
      </c>
      <c r="H512" s="42" t="s">
        <v>1926</v>
      </c>
      <c r="I512" s="340">
        <f>regional!I118</f>
        <v>0</v>
      </c>
      <c r="J512" s="315"/>
      <c r="K512" s="315"/>
      <c r="L512" s="276"/>
      <c r="M512" s="276"/>
      <c r="N512" s="276"/>
      <c r="O512" s="276"/>
      <c r="P512" s="276"/>
      <c r="Q512" s="104"/>
    </row>
    <row r="513" spans="1:17" ht="12.75" customHeight="1" x14ac:dyDescent="0.3">
      <c r="A513" s="42" t="s">
        <v>67</v>
      </c>
      <c r="B513" s="38"/>
      <c r="C513" s="38"/>
      <c r="D513" s="38"/>
      <c r="E513" s="38"/>
      <c r="F513" s="38"/>
      <c r="G513" s="42" t="s">
        <v>231</v>
      </c>
      <c r="H513" s="42" t="s">
        <v>1926</v>
      </c>
      <c r="I513" s="340">
        <f>regional!I119</f>
        <v>0</v>
      </c>
      <c r="J513" s="315"/>
      <c r="K513" s="315"/>
      <c r="L513" s="276"/>
      <c r="M513" s="276"/>
      <c r="N513" s="276"/>
      <c r="O513" s="276"/>
      <c r="P513" s="276"/>
      <c r="Q513" s="104"/>
    </row>
    <row r="514" spans="1:17" ht="12.75" customHeight="1" x14ac:dyDescent="0.3">
      <c r="A514" s="42"/>
      <c r="B514" s="42" t="s">
        <v>1954</v>
      </c>
      <c r="C514" s="38"/>
      <c r="D514" s="38"/>
      <c r="E514" s="38"/>
      <c r="F514" s="38"/>
      <c r="G514" s="43" t="s">
        <v>1871</v>
      </c>
      <c r="H514" s="42" t="s">
        <v>1926</v>
      </c>
      <c r="I514" s="340">
        <f>regional!I120</f>
        <v>0</v>
      </c>
      <c r="J514" s="315"/>
      <c r="K514" s="315"/>
      <c r="L514" s="276"/>
      <c r="M514" s="276"/>
      <c r="N514" s="276"/>
      <c r="O514" s="276"/>
      <c r="P514" s="276"/>
      <c r="Q514" s="104"/>
    </row>
    <row r="515" spans="1:17" ht="12.75" customHeight="1" x14ac:dyDescent="0.3">
      <c r="A515" s="42"/>
      <c r="B515" s="42"/>
      <c r="C515" s="38" t="s">
        <v>1955</v>
      </c>
      <c r="D515" s="38"/>
      <c r="E515" s="38"/>
      <c r="F515" s="38"/>
      <c r="G515" s="43" t="s">
        <v>1870</v>
      </c>
      <c r="H515" s="42" t="s">
        <v>1926</v>
      </c>
      <c r="I515" s="340">
        <f>regional!I121</f>
        <v>0</v>
      </c>
      <c r="J515" s="315"/>
      <c r="K515" s="315"/>
      <c r="L515" s="276"/>
      <c r="M515" s="276"/>
      <c r="N515" s="276"/>
      <c r="O515" s="276"/>
      <c r="P515" s="276"/>
      <c r="Q515" s="104"/>
    </row>
    <row r="516" spans="1:17" ht="12.75" customHeight="1" x14ac:dyDescent="0.3">
      <c r="A516" s="42"/>
      <c r="B516" s="42"/>
      <c r="C516" s="42"/>
      <c r="D516" s="42" t="s">
        <v>1956</v>
      </c>
      <c r="E516" s="38"/>
      <c r="F516" s="38"/>
      <c r="G516" s="43" t="s">
        <v>888</v>
      </c>
      <c r="H516" s="42" t="s">
        <v>1926</v>
      </c>
      <c r="I516" s="340">
        <f>regional!I122</f>
        <v>0</v>
      </c>
      <c r="J516" s="315"/>
      <c r="K516" s="315"/>
      <c r="L516" s="276"/>
      <c r="M516" s="276"/>
      <c r="N516" s="276"/>
      <c r="O516" s="276"/>
      <c r="P516" s="276"/>
      <c r="Q516" s="104"/>
    </row>
    <row r="517" spans="1:17" ht="12.75" customHeight="1" x14ac:dyDescent="0.3">
      <c r="A517" s="42"/>
      <c r="B517" s="42"/>
      <c r="C517" s="42"/>
      <c r="D517" s="42" t="s">
        <v>1957</v>
      </c>
      <c r="E517" s="38"/>
      <c r="F517" s="38"/>
      <c r="G517" s="43" t="s">
        <v>889</v>
      </c>
      <c r="H517" s="42" t="s">
        <v>1926</v>
      </c>
      <c r="I517" s="340">
        <f>regional!I123</f>
        <v>0</v>
      </c>
      <c r="J517" s="315"/>
      <c r="K517" s="315"/>
      <c r="L517" s="276"/>
      <c r="M517" s="276"/>
      <c r="N517" s="276"/>
      <c r="O517" s="276"/>
      <c r="P517" s="276"/>
      <c r="Q517" s="104"/>
    </row>
    <row r="518" spans="1:17" ht="12.75" customHeight="1" x14ac:dyDescent="0.3">
      <c r="A518" s="42"/>
      <c r="B518" s="42"/>
      <c r="C518" s="42"/>
      <c r="D518" s="38" t="s">
        <v>890</v>
      </c>
      <c r="E518" s="38"/>
      <c r="F518" s="38"/>
      <c r="G518" s="38" t="s">
        <v>891</v>
      </c>
      <c r="H518" s="38" t="s">
        <v>1779</v>
      </c>
      <c r="I518" s="340">
        <f>regional!I124</f>
        <v>0</v>
      </c>
      <c r="J518" s="315"/>
      <c r="K518" s="315"/>
      <c r="L518" s="276"/>
      <c r="M518" s="276"/>
      <c r="N518" s="276"/>
      <c r="O518" s="276"/>
      <c r="P518" s="276"/>
      <c r="Q518" s="104"/>
    </row>
    <row r="519" spans="1:17" ht="12.75" customHeight="1" x14ac:dyDescent="0.3">
      <c r="A519" s="42"/>
      <c r="B519" s="42"/>
      <c r="C519" s="42"/>
      <c r="D519" s="38" t="s">
        <v>892</v>
      </c>
      <c r="E519" s="38"/>
      <c r="F519" s="38"/>
      <c r="G519" s="38" t="s">
        <v>893</v>
      </c>
      <c r="H519" s="38" t="s">
        <v>1779</v>
      </c>
      <c r="I519" s="340">
        <f>regional!I125</f>
        <v>0</v>
      </c>
      <c r="J519" s="315"/>
      <c r="K519" s="315"/>
      <c r="L519" s="276"/>
      <c r="M519" s="276"/>
      <c r="N519" s="276"/>
      <c r="O519" s="276"/>
      <c r="P519" s="276"/>
      <c r="Q519" s="104"/>
    </row>
    <row r="520" spans="1:17" ht="12.75" customHeight="1" x14ac:dyDescent="0.3">
      <c r="A520" s="42"/>
      <c r="B520" s="42"/>
      <c r="C520" s="42" t="s">
        <v>484</v>
      </c>
      <c r="D520" s="38"/>
      <c r="E520" s="38"/>
      <c r="F520" s="38"/>
      <c r="G520" s="63" t="s">
        <v>112</v>
      </c>
      <c r="H520" s="64" t="s">
        <v>1958</v>
      </c>
      <c r="I520" s="340">
        <f>regional!I126</f>
        <v>0</v>
      </c>
      <c r="J520" s="315"/>
      <c r="K520" s="315">
        <f ca="1">AEROSOLdeprate.R*FRaers.aR</f>
        <v>5.7614052293589657E-4</v>
      </c>
      <c r="L520" s="315">
        <f ca="1">AEROSOLdeprate.R*FRaers.aR</f>
        <v>5.7614052293589657E-4</v>
      </c>
      <c r="M520" s="315">
        <f ca="1">AEROSOLdeprate.R*FRaers.aR</f>
        <v>5.7614052293589657E-4</v>
      </c>
      <c r="N520" s="315">
        <f ca="1">AEROSOLdeprate.R*FRaers.aR</f>
        <v>5.7614052293589657E-4</v>
      </c>
      <c r="O520" s="315">
        <f ca="1">AEROSOLdeprate.R*FRaers.aR</f>
        <v>5.7614052293589657E-4</v>
      </c>
      <c r="P520" s="276"/>
      <c r="Q520" s="104"/>
    </row>
    <row r="521" spans="1:17" ht="12.75" customHeight="1" x14ac:dyDescent="0.3">
      <c r="A521" s="42"/>
      <c r="B521" s="42"/>
      <c r="C521" s="42" t="s">
        <v>739</v>
      </c>
      <c r="D521" s="38"/>
      <c r="E521" s="38"/>
      <c r="F521" s="38"/>
      <c r="G521" s="43" t="s">
        <v>580</v>
      </c>
      <c r="H521" s="64" t="s">
        <v>1958</v>
      </c>
      <c r="I521" s="340">
        <f>regional!I127</f>
        <v>0</v>
      </c>
      <c r="J521" s="315"/>
      <c r="K521" s="315">
        <f ca="1">(1-FRgas.aR)*COLLECTeff.R*RAINrate.R</f>
        <v>1.3261105003330483E-3</v>
      </c>
      <c r="L521" s="276">
        <f ca="1">(1-FRgas.aR)*COLLECTeff.R*RAINrate.R</f>
        <v>1.3261105003330483E-3</v>
      </c>
      <c r="M521" s="276">
        <f ca="1">(1-FRgas.aR)*COLLECTeff.R*RAINrate.R</f>
        <v>1.3261105003330483E-3</v>
      </c>
      <c r="N521" s="276">
        <f ca="1">(1-FRgas.aR)*COLLECTeff.R*RAINrate.R</f>
        <v>1.3261105003330483E-3</v>
      </c>
      <c r="O521" s="276">
        <f ca="1">(1-FRgas.aR)*COLLECTeff.R*RAINrate.R</f>
        <v>1.3261105003330483E-3</v>
      </c>
      <c r="P521" s="276"/>
      <c r="Q521" s="104"/>
    </row>
    <row r="522" spans="1:17" ht="12.75" customHeight="1" x14ac:dyDescent="0.3">
      <c r="A522" s="42"/>
      <c r="B522" s="42"/>
      <c r="C522" s="42" t="s">
        <v>740</v>
      </c>
      <c r="D522" s="38"/>
      <c r="E522" s="38"/>
      <c r="F522" s="38"/>
      <c r="G522" s="43" t="s">
        <v>581</v>
      </c>
      <c r="H522" s="64" t="s">
        <v>1958</v>
      </c>
      <c r="I522" s="340">
        <f>regional!I128</f>
        <v>0</v>
      </c>
      <c r="J522" s="315"/>
      <c r="K522" s="315">
        <f ca="1">FRgas.aR*RAINrate.R/Kaw.R</f>
        <v>997.35348407662991</v>
      </c>
      <c r="L522" s="276">
        <f ca="1">FRgas.aR*RAINrate.R/Kaw.R</f>
        <v>997.35348407662991</v>
      </c>
      <c r="M522" s="276">
        <f ca="1">FRgas.aR*RAINrate.R/Kaw.R</f>
        <v>997.35348407662991</v>
      </c>
      <c r="N522" s="276">
        <f ca="1">FRgas.aR*RAINrate.R/Kaw.R</f>
        <v>997.35348407662991</v>
      </c>
      <c r="O522" s="276">
        <f ca="1">FRgas.aR*RAINrate.R/Kaw.R</f>
        <v>997.35348407662991</v>
      </c>
      <c r="P522" s="276"/>
      <c r="Q522" s="104"/>
    </row>
    <row r="523" spans="1:17" ht="12.75" customHeight="1" x14ac:dyDescent="0.3">
      <c r="A523" s="42"/>
      <c r="B523" s="42"/>
      <c r="C523" s="38"/>
      <c r="D523" s="64" t="s">
        <v>741</v>
      </c>
      <c r="E523" s="64"/>
      <c r="F523" s="64"/>
      <c r="G523" s="63" t="s">
        <v>113</v>
      </c>
      <c r="H523" s="64" t="s">
        <v>1958</v>
      </c>
      <c r="I523" s="340">
        <f ca="1">regional!I129</f>
        <v>9.8722489800732484E-4</v>
      </c>
      <c r="J523" s="315"/>
      <c r="K523" s="315"/>
      <c r="L523" s="276"/>
      <c r="M523" s="276"/>
      <c r="N523" s="276"/>
      <c r="O523" s="276"/>
      <c r="P523" s="276"/>
      <c r="Q523" s="104"/>
    </row>
    <row r="524" spans="1:17" ht="12.75" customHeight="1" x14ac:dyDescent="0.3">
      <c r="A524" s="42"/>
      <c r="B524" s="42"/>
      <c r="C524" s="38"/>
      <c r="D524" s="42" t="s">
        <v>440</v>
      </c>
      <c r="E524" s="38"/>
      <c r="F524" s="38"/>
      <c r="G524" s="63" t="s">
        <v>115</v>
      </c>
      <c r="H524" s="42" t="s">
        <v>28</v>
      </c>
      <c r="I524" s="340">
        <f ca="1">regional!I130</f>
        <v>27683.163704930834</v>
      </c>
      <c r="J524" s="315"/>
      <c r="K524" s="315"/>
      <c r="L524" s="276"/>
      <c r="M524" s="276"/>
      <c r="N524" s="276"/>
      <c r="O524" s="276"/>
      <c r="P524" s="276"/>
      <c r="Q524" s="104"/>
    </row>
    <row r="525" spans="1:17" ht="12.75" customHeight="1" x14ac:dyDescent="0.3">
      <c r="A525" s="42"/>
      <c r="B525" s="42" t="s">
        <v>1825</v>
      </c>
      <c r="C525" s="38"/>
      <c r="D525" s="38"/>
      <c r="E525" s="64"/>
      <c r="F525" s="64"/>
      <c r="G525" s="43" t="s">
        <v>1827</v>
      </c>
      <c r="H525" s="42" t="s">
        <v>1959</v>
      </c>
      <c r="I525" s="340">
        <f>regional!I131</f>
        <v>0</v>
      </c>
      <c r="J525" s="315"/>
      <c r="K525" s="315"/>
      <c r="L525" s="276"/>
      <c r="M525" s="276"/>
      <c r="N525" s="276"/>
      <c r="O525" s="276"/>
      <c r="P525" s="276"/>
      <c r="Q525" s="104"/>
    </row>
    <row r="526" spans="1:17" ht="12.75" customHeight="1" x14ac:dyDescent="0.3">
      <c r="A526" s="42"/>
      <c r="B526" s="42" t="s">
        <v>1826</v>
      </c>
      <c r="C526" s="38"/>
      <c r="D526" s="38"/>
      <c r="E526" s="64"/>
      <c r="F526" s="64"/>
      <c r="G526" s="43" t="s">
        <v>1831</v>
      </c>
      <c r="H526" s="42" t="s">
        <v>1959</v>
      </c>
      <c r="I526" s="340">
        <f>regional!I132</f>
        <v>0</v>
      </c>
      <c r="J526" s="315"/>
      <c r="K526" s="315"/>
      <c r="L526" s="276"/>
      <c r="M526" s="276"/>
      <c r="N526" s="276"/>
      <c r="O526" s="276"/>
      <c r="P526" s="276"/>
      <c r="Q526" s="104"/>
    </row>
    <row r="527" spans="1:17" ht="12.75" customHeight="1" x14ac:dyDescent="0.3">
      <c r="A527" s="42"/>
      <c r="B527" s="42" t="s">
        <v>1819</v>
      </c>
      <c r="C527" s="38"/>
      <c r="D527" s="38"/>
      <c r="E527" s="64"/>
      <c r="F527" s="64"/>
      <c r="G527" s="43" t="s">
        <v>1828</v>
      </c>
      <c r="H527" s="42" t="s">
        <v>1959</v>
      </c>
      <c r="I527" s="340">
        <f>regional!I133</f>
        <v>0</v>
      </c>
      <c r="J527" s="315"/>
      <c r="K527" s="315"/>
      <c r="L527" s="276"/>
      <c r="M527" s="276"/>
      <c r="N527" s="276"/>
      <c r="O527" s="276"/>
      <c r="P527" s="276"/>
      <c r="Q527" s="104"/>
    </row>
    <row r="528" spans="1:17" ht="12.75" customHeight="1" x14ac:dyDescent="0.3">
      <c r="A528" s="42"/>
      <c r="B528" s="42" t="s">
        <v>1820</v>
      </c>
      <c r="C528" s="38"/>
      <c r="D528" s="38"/>
      <c r="E528" s="64"/>
      <c r="F528" s="64"/>
      <c r="G528" s="43" t="s">
        <v>1829</v>
      </c>
      <c r="H528" s="42" t="s">
        <v>1959</v>
      </c>
      <c r="I528" s="340">
        <f>regional!I134</f>
        <v>0</v>
      </c>
      <c r="J528" s="315"/>
      <c r="K528" s="315"/>
      <c r="L528" s="276"/>
      <c r="M528" s="276"/>
      <c r="N528" s="276"/>
      <c r="O528" s="276"/>
      <c r="P528" s="276"/>
      <c r="Q528" s="104"/>
    </row>
    <row r="529" spans="1:17" ht="12.75" customHeight="1" x14ac:dyDescent="0.3">
      <c r="A529" s="42"/>
      <c r="B529" s="42" t="s">
        <v>1821</v>
      </c>
      <c r="C529" s="38"/>
      <c r="D529" s="38"/>
      <c r="E529" s="38"/>
      <c r="F529" s="38"/>
      <c r="G529" s="43" t="s">
        <v>1830</v>
      </c>
      <c r="H529" s="42" t="s">
        <v>1959</v>
      </c>
      <c r="I529" s="340">
        <f>regional!I135</f>
        <v>0</v>
      </c>
      <c r="J529" s="315"/>
      <c r="K529" s="315"/>
      <c r="L529" s="276"/>
      <c r="M529" s="276"/>
      <c r="N529" s="276"/>
      <c r="O529" s="276"/>
      <c r="P529" s="276"/>
      <c r="Q529" s="104"/>
    </row>
    <row r="530" spans="1:17" ht="12.75" customHeight="1" x14ac:dyDescent="0.3">
      <c r="A530" s="42"/>
      <c r="B530" s="42"/>
      <c r="C530" s="38" t="s">
        <v>1070</v>
      </c>
      <c r="D530" s="38"/>
      <c r="E530" s="64"/>
      <c r="F530" s="64"/>
      <c r="G530" s="38" t="s">
        <v>1960</v>
      </c>
      <c r="H530" s="64" t="s">
        <v>1958</v>
      </c>
      <c r="I530" s="340">
        <f>regional!I136</f>
        <v>0</v>
      </c>
      <c r="J530" s="315"/>
      <c r="K530" s="315"/>
      <c r="L530" s="276"/>
      <c r="M530" s="276"/>
      <c r="N530" s="276"/>
      <c r="O530" s="276"/>
      <c r="P530" s="276"/>
      <c r="Q530" s="104"/>
    </row>
    <row r="531" spans="1:17" ht="12.75" customHeight="1" x14ac:dyDescent="0.3">
      <c r="A531" s="42"/>
      <c r="B531" s="42"/>
      <c r="C531" s="38" t="s">
        <v>1009</v>
      </c>
      <c r="D531" s="38"/>
      <c r="E531" s="64"/>
      <c r="F531" s="64"/>
      <c r="G531" s="38" t="s">
        <v>1961</v>
      </c>
      <c r="H531" s="64" t="s">
        <v>1958</v>
      </c>
      <c r="I531" s="340">
        <f>regional!I137</f>
        <v>0</v>
      </c>
      <c r="J531" s="315"/>
      <c r="K531" s="315"/>
      <c r="L531" s="276"/>
      <c r="M531" s="276"/>
      <c r="N531" s="276"/>
      <c r="O531" s="276"/>
      <c r="P531" s="276"/>
      <c r="Q531" s="104"/>
    </row>
    <row r="532" spans="1:17" ht="12.75" customHeight="1" x14ac:dyDescent="0.3">
      <c r="A532" s="42"/>
      <c r="B532" s="42" t="s">
        <v>1822</v>
      </c>
      <c r="C532" s="38"/>
      <c r="D532" s="38"/>
      <c r="E532" s="64"/>
      <c r="F532" s="64"/>
      <c r="G532" s="43" t="s">
        <v>1832</v>
      </c>
      <c r="H532" s="42" t="s">
        <v>1959</v>
      </c>
      <c r="I532" s="340">
        <f>regional!I138</f>
        <v>0</v>
      </c>
      <c r="J532" s="315"/>
      <c r="K532" s="315"/>
      <c r="L532" s="276"/>
      <c r="M532" s="276"/>
      <c r="N532" s="276"/>
      <c r="O532" s="276"/>
      <c r="P532" s="276"/>
      <c r="Q532" s="104"/>
    </row>
    <row r="533" spans="1:17" ht="12.75" customHeight="1" x14ac:dyDescent="0.3">
      <c r="A533" s="42"/>
      <c r="B533" s="42" t="s">
        <v>1823</v>
      </c>
      <c r="C533" s="38"/>
      <c r="D533" s="38"/>
      <c r="E533" s="64"/>
      <c r="F533" s="64"/>
      <c r="G533" s="43" t="s">
        <v>1833</v>
      </c>
      <c r="H533" s="42" t="s">
        <v>1959</v>
      </c>
      <c r="I533" s="340">
        <f>regional!I139</f>
        <v>0</v>
      </c>
      <c r="J533" s="315"/>
      <c r="K533" s="315"/>
      <c r="L533" s="276"/>
      <c r="M533" s="276"/>
      <c r="N533" s="276"/>
      <c r="O533" s="276"/>
      <c r="P533" s="276"/>
      <c r="Q533" s="104"/>
    </row>
    <row r="534" spans="1:17" ht="12.75" customHeight="1" x14ac:dyDescent="0.3">
      <c r="A534" s="42"/>
      <c r="B534" s="42" t="s">
        <v>1824</v>
      </c>
      <c r="C534" s="38"/>
      <c r="D534" s="38"/>
      <c r="E534" s="64"/>
      <c r="F534" s="64"/>
      <c r="G534" s="43" t="s">
        <v>1834</v>
      </c>
      <c r="H534" s="42" t="s">
        <v>1959</v>
      </c>
      <c r="I534" s="340">
        <f>regional!I140</f>
        <v>0</v>
      </c>
      <c r="J534" s="315"/>
      <c r="K534" s="315"/>
      <c r="L534" s="276"/>
      <c r="M534" s="276"/>
      <c r="N534" s="276"/>
      <c r="O534" s="276"/>
      <c r="P534" s="276"/>
      <c r="Q534" s="104"/>
    </row>
    <row r="535" spans="1:17" ht="12.75" customHeight="1" x14ac:dyDescent="0.3">
      <c r="A535" s="42"/>
      <c r="B535" s="42"/>
      <c r="C535" s="38" t="s">
        <v>1010</v>
      </c>
      <c r="D535" s="38"/>
      <c r="E535" s="38"/>
      <c r="F535" s="64"/>
      <c r="G535" s="38" t="s">
        <v>1962</v>
      </c>
      <c r="H535" s="64" t="s">
        <v>1958</v>
      </c>
      <c r="I535" s="340">
        <f>regional!I141</f>
        <v>0</v>
      </c>
      <c r="J535" s="315"/>
      <c r="K535" s="315"/>
      <c r="L535" s="315"/>
      <c r="M535" s="315"/>
      <c r="N535" s="315"/>
      <c r="O535" s="315"/>
      <c r="P535" s="315"/>
      <c r="Q535" s="104"/>
    </row>
    <row r="536" spans="1:17" ht="12.75" customHeight="1" x14ac:dyDescent="0.3">
      <c r="A536" s="42"/>
      <c r="B536" s="42"/>
      <c r="C536" s="38" t="s">
        <v>850</v>
      </c>
      <c r="D536" s="38"/>
      <c r="E536" s="64"/>
      <c r="F536" s="64"/>
      <c r="G536" s="38" t="s">
        <v>1963</v>
      </c>
      <c r="H536" s="64" t="s">
        <v>1958</v>
      </c>
      <c r="I536" s="340">
        <f>regional!I142</f>
        <v>0</v>
      </c>
      <c r="J536" s="315"/>
      <c r="K536" s="315">
        <v>1.1468924229780271E-8</v>
      </c>
      <c r="L536" s="315">
        <v>1.1468924229780271E-8</v>
      </c>
      <c r="M536" s="315">
        <v>1.1468924229780271E-8</v>
      </c>
      <c r="N536" s="315">
        <v>1.1468924229780271E-8</v>
      </c>
      <c r="O536" s="315"/>
      <c r="P536" s="315">
        <v>1.1468924229780271E-8</v>
      </c>
      <c r="Q536" s="104"/>
    </row>
    <row r="537" spans="1:17" ht="12.75" customHeight="1" x14ac:dyDescent="0.3">
      <c r="A537" s="42"/>
      <c r="B537" s="42"/>
      <c r="C537" s="38" t="s">
        <v>1835</v>
      </c>
      <c r="D537" s="38"/>
      <c r="E537" s="64"/>
      <c r="F537" s="64"/>
      <c r="G537" s="43" t="s">
        <v>1491</v>
      </c>
      <c r="H537" s="38" t="s">
        <v>28</v>
      </c>
      <c r="I537" s="340">
        <f>regional!I143</f>
        <v>0</v>
      </c>
      <c r="J537" s="315"/>
      <c r="K537" s="315">
        <v>1</v>
      </c>
      <c r="L537" s="315">
        <v>1</v>
      </c>
      <c r="M537" s="315">
        <v>1</v>
      </c>
      <c r="N537" s="315">
        <v>1</v>
      </c>
      <c r="O537" s="315"/>
      <c r="P537" s="315">
        <v>1</v>
      </c>
      <c r="Q537" s="104"/>
    </row>
    <row r="538" spans="1:17" ht="12.75" customHeight="1" x14ac:dyDescent="0.3">
      <c r="A538" s="42"/>
      <c r="B538" s="42"/>
      <c r="C538" s="38" t="s">
        <v>1835</v>
      </c>
      <c r="D538" s="38"/>
      <c r="E538" s="64"/>
      <c r="F538" s="64"/>
      <c r="G538" s="43" t="s">
        <v>1492</v>
      </c>
      <c r="H538" s="38" t="s">
        <v>28</v>
      </c>
      <c r="I538" s="340">
        <f>regional!I144</f>
        <v>0</v>
      </c>
      <c r="J538" s="315"/>
      <c r="K538" s="315">
        <v>1</v>
      </c>
      <c r="L538" s="315">
        <v>1</v>
      </c>
      <c r="M538" s="315">
        <v>1</v>
      </c>
      <c r="N538" s="315">
        <v>1</v>
      </c>
      <c r="O538" s="315"/>
      <c r="P538" s="315">
        <v>1</v>
      </c>
      <c r="Q538" s="104"/>
    </row>
    <row r="539" spans="1:17" ht="12.75" customHeight="1" x14ac:dyDescent="0.3">
      <c r="A539" s="42"/>
      <c r="B539" s="42"/>
      <c r="C539" s="38" t="s">
        <v>1835</v>
      </c>
      <c r="D539" s="38"/>
      <c r="E539" s="64"/>
      <c r="F539" s="64"/>
      <c r="G539" s="43" t="s">
        <v>1493</v>
      </c>
      <c r="H539" s="38" t="s">
        <v>28</v>
      </c>
      <c r="I539" s="340">
        <f>regional!I145</f>
        <v>0</v>
      </c>
      <c r="J539" s="315"/>
      <c r="K539" s="315">
        <v>1</v>
      </c>
      <c r="L539" s="315">
        <v>1</v>
      </c>
      <c r="M539" s="315">
        <v>1</v>
      </c>
      <c r="N539" s="315">
        <v>1</v>
      </c>
      <c r="O539" s="315"/>
      <c r="P539" s="315">
        <v>1</v>
      </c>
      <c r="Q539" s="104"/>
    </row>
    <row r="540" spans="1:17" ht="12.75" customHeight="1" x14ac:dyDescent="0.3">
      <c r="A540" s="42"/>
      <c r="B540" s="38"/>
      <c r="C540" s="38"/>
      <c r="D540" s="38"/>
      <c r="E540" s="38"/>
      <c r="F540" s="38"/>
      <c r="G540" s="63"/>
      <c r="H540" s="42"/>
      <c r="I540" s="246"/>
      <c r="J540" s="318"/>
      <c r="K540" s="318"/>
      <c r="L540" s="280"/>
      <c r="M540" s="280"/>
      <c r="N540" s="280"/>
      <c r="O540" s="280"/>
      <c r="P540" s="280"/>
      <c r="Q540" s="104"/>
    </row>
    <row r="541" spans="1:17" ht="12.75" customHeight="1" x14ac:dyDescent="0.3">
      <c r="A541" s="42" t="s">
        <v>68</v>
      </c>
      <c r="B541" s="38"/>
      <c r="C541" s="38"/>
      <c r="D541" s="38"/>
      <c r="E541" s="38"/>
      <c r="F541" s="38"/>
      <c r="G541" s="43" t="s">
        <v>232</v>
      </c>
      <c r="H541" s="42" t="s">
        <v>1926</v>
      </c>
      <c r="I541" s="340">
        <f>regional!I147</f>
        <v>0</v>
      </c>
      <c r="J541" s="315"/>
      <c r="K541" s="315"/>
      <c r="L541" s="276"/>
      <c r="M541" s="276"/>
      <c r="N541" s="276"/>
      <c r="O541" s="276"/>
      <c r="P541" s="276"/>
      <c r="Q541" s="104"/>
    </row>
    <row r="542" spans="1:17" ht="12.75" customHeight="1" x14ac:dyDescent="0.3">
      <c r="A542" s="42" t="s">
        <v>69</v>
      </c>
      <c r="B542" s="38"/>
      <c r="C542" s="38"/>
      <c r="D542" s="38"/>
      <c r="E542" s="38"/>
      <c r="F542" s="38"/>
      <c r="G542" s="43" t="s">
        <v>234</v>
      </c>
      <c r="H542" s="42" t="s">
        <v>1926</v>
      </c>
      <c r="I542" s="340">
        <f>regional!I148</f>
        <v>0</v>
      </c>
      <c r="J542" s="315"/>
      <c r="K542" s="315"/>
      <c r="L542" s="276"/>
      <c r="M542" s="276"/>
      <c r="N542" s="276"/>
      <c r="O542" s="276"/>
      <c r="P542" s="276"/>
      <c r="Q542" s="104"/>
    </row>
    <row r="543" spans="1:17" ht="12.75" customHeight="1" x14ac:dyDescent="0.3">
      <c r="A543" s="42" t="s">
        <v>70</v>
      </c>
      <c r="B543" s="38"/>
      <c r="C543" s="38"/>
      <c r="D543" s="38"/>
      <c r="E543" s="38"/>
      <c r="F543" s="38"/>
      <c r="G543" s="43" t="s">
        <v>233</v>
      </c>
      <c r="H543" s="42" t="s">
        <v>1926</v>
      </c>
      <c r="I543" s="340">
        <f>regional!I149</f>
        <v>0</v>
      </c>
      <c r="J543" s="315"/>
      <c r="K543" s="315"/>
      <c r="L543" s="276"/>
      <c r="M543" s="276"/>
      <c r="N543" s="276"/>
      <c r="O543" s="276"/>
      <c r="P543" s="276"/>
      <c r="Q543" s="104"/>
    </row>
    <row r="544" spans="1:17" ht="12.75" customHeight="1" x14ac:dyDescent="0.3">
      <c r="A544" s="42" t="s">
        <v>71</v>
      </c>
      <c r="B544" s="38"/>
      <c r="C544" s="38"/>
      <c r="D544" s="38"/>
      <c r="E544" s="38"/>
      <c r="F544" s="38"/>
      <c r="G544" s="43" t="s">
        <v>235</v>
      </c>
      <c r="H544" s="42" t="s">
        <v>1926</v>
      </c>
      <c r="I544" s="340">
        <f>regional!I150</f>
        <v>0</v>
      </c>
      <c r="J544" s="315"/>
      <c r="K544" s="315"/>
      <c r="L544" s="276"/>
      <c r="M544" s="276"/>
      <c r="N544" s="276"/>
      <c r="O544" s="276"/>
      <c r="P544" s="276"/>
      <c r="Q544" s="104"/>
    </row>
    <row r="545" spans="1:17" ht="12.75" customHeight="1" x14ac:dyDescent="0.3">
      <c r="A545" s="42"/>
      <c r="B545" s="42" t="s">
        <v>1837</v>
      </c>
      <c r="C545" s="38"/>
      <c r="D545" s="38"/>
      <c r="E545" s="38"/>
      <c r="F545" s="38"/>
      <c r="G545" s="43" t="s">
        <v>1862</v>
      </c>
      <c r="H545" s="42" t="s">
        <v>1959</v>
      </c>
      <c r="I545" s="340">
        <f>regional!I151</f>
        <v>0</v>
      </c>
      <c r="J545" s="315"/>
      <c r="K545" s="315"/>
      <c r="L545" s="276"/>
      <c r="M545" s="276"/>
      <c r="N545" s="276"/>
      <c r="O545" s="276"/>
      <c r="P545" s="276"/>
      <c r="Q545" s="104"/>
    </row>
    <row r="546" spans="1:17" ht="12.75" customHeight="1" x14ac:dyDescent="0.3">
      <c r="A546" s="42"/>
      <c r="B546" s="42" t="s">
        <v>1838</v>
      </c>
      <c r="C546" s="38"/>
      <c r="D546" s="38"/>
      <c r="E546" s="38"/>
      <c r="F546" s="38"/>
      <c r="G546" s="43" t="s">
        <v>1863</v>
      </c>
      <c r="H546" s="42" t="s">
        <v>1959</v>
      </c>
      <c r="I546" s="340">
        <f>regional!I152</f>
        <v>0</v>
      </c>
      <c r="J546" s="315"/>
      <c r="K546" s="315"/>
      <c r="L546" s="276"/>
      <c r="M546" s="276"/>
      <c r="N546" s="276"/>
      <c r="O546" s="276"/>
      <c r="P546" s="276"/>
      <c r="Q546" s="104"/>
    </row>
    <row r="547" spans="1:17" ht="12.75" customHeight="1" x14ac:dyDescent="0.3">
      <c r="A547" s="42"/>
      <c r="B547" s="42" t="s">
        <v>1839</v>
      </c>
      <c r="C547" s="38"/>
      <c r="D547" s="38"/>
      <c r="E547" s="38"/>
      <c r="F547" s="38"/>
      <c r="G547" s="43" t="s">
        <v>1864</v>
      </c>
      <c r="H547" s="42" t="s">
        <v>1959</v>
      </c>
      <c r="I547" s="340">
        <f>regional!I153</f>
        <v>0</v>
      </c>
      <c r="J547" s="315"/>
      <c r="K547" s="315"/>
      <c r="L547" s="276"/>
      <c r="M547" s="276"/>
      <c r="N547" s="276"/>
      <c r="O547" s="276"/>
      <c r="P547" s="276"/>
      <c r="Q547" s="104"/>
    </row>
    <row r="548" spans="1:17" ht="12.75" customHeight="1" x14ac:dyDescent="0.3">
      <c r="A548" s="42"/>
      <c r="B548" s="42" t="s">
        <v>1840</v>
      </c>
      <c r="C548" s="38"/>
      <c r="D548" s="38"/>
      <c r="E548" s="38"/>
      <c r="F548" s="38"/>
      <c r="G548" s="43" t="s">
        <v>1865</v>
      </c>
      <c r="H548" s="42" t="s">
        <v>1959</v>
      </c>
      <c r="I548" s="340">
        <f>regional!I154</f>
        <v>0</v>
      </c>
      <c r="J548" s="315"/>
      <c r="K548" s="315"/>
      <c r="L548" s="276"/>
      <c r="M548" s="276"/>
      <c r="N548" s="276"/>
      <c r="O548" s="276"/>
      <c r="P548" s="276"/>
      <c r="Q548" s="104"/>
    </row>
    <row r="549" spans="1:17" ht="12.75" customHeight="1" x14ac:dyDescent="0.3">
      <c r="A549" s="42"/>
      <c r="B549" s="42"/>
      <c r="C549" s="42" t="s">
        <v>1223</v>
      </c>
      <c r="D549" s="38"/>
      <c r="E549" s="38"/>
      <c r="F549" s="38"/>
      <c r="G549" s="63" t="s">
        <v>499</v>
      </c>
      <c r="H549" s="64" t="s">
        <v>1958</v>
      </c>
      <c r="I549" s="340">
        <f>regional!I155</f>
        <v>0</v>
      </c>
      <c r="J549" s="315"/>
      <c r="K549" s="315"/>
      <c r="L549" s="276"/>
      <c r="M549" s="276"/>
      <c r="N549" s="276"/>
      <c r="O549" s="276"/>
      <c r="P549" s="276"/>
      <c r="Q549" s="104"/>
    </row>
    <row r="550" spans="1:17" ht="12.75" customHeight="1" x14ac:dyDescent="0.3">
      <c r="A550" s="42"/>
      <c r="B550" s="42"/>
      <c r="C550" s="64" t="s">
        <v>574</v>
      </c>
      <c r="D550" s="38"/>
      <c r="E550" s="38"/>
      <c r="F550" s="38"/>
      <c r="G550" s="63" t="s">
        <v>409</v>
      </c>
      <c r="H550" s="64" t="s">
        <v>1958</v>
      </c>
      <c r="I550" s="340">
        <f>regional!I156</f>
        <v>0</v>
      </c>
      <c r="J550" s="315"/>
      <c r="K550" s="315"/>
      <c r="L550" s="276"/>
      <c r="M550" s="276"/>
      <c r="N550" s="276"/>
      <c r="O550" s="276"/>
      <c r="P550" s="276"/>
      <c r="Q550" s="104"/>
    </row>
    <row r="551" spans="1:17" ht="12.75" customHeight="1" x14ac:dyDescent="0.3">
      <c r="A551" s="42"/>
      <c r="B551" s="42"/>
      <c r="C551" s="42" t="s">
        <v>1224</v>
      </c>
      <c r="D551" s="38"/>
      <c r="E551" s="64"/>
      <c r="F551" s="64"/>
      <c r="G551" s="63" t="s">
        <v>410</v>
      </c>
      <c r="H551" s="64" t="s">
        <v>1958</v>
      </c>
      <c r="I551" s="340">
        <f>regional!I157</f>
        <v>0</v>
      </c>
      <c r="J551" s="315"/>
      <c r="K551" s="315"/>
      <c r="L551" s="276"/>
      <c r="M551" s="276"/>
      <c r="N551" s="276"/>
      <c r="O551" s="276"/>
      <c r="P551" s="276"/>
      <c r="Q551" s="104"/>
    </row>
    <row r="552" spans="1:17" ht="12.75" customHeight="1" x14ac:dyDescent="0.3">
      <c r="A552" s="42"/>
      <c r="B552" s="42"/>
      <c r="C552" s="64" t="s">
        <v>575</v>
      </c>
      <c r="D552" s="38"/>
      <c r="E552" s="64"/>
      <c r="F552" s="64"/>
      <c r="G552" s="63" t="s">
        <v>411</v>
      </c>
      <c r="H552" s="64" t="s">
        <v>1958</v>
      </c>
      <c r="I552" s="340">
        <f>regional!I158</f>
        <v>0</v>
      </c>
      <c r="J552" s="315"/>
      <c r="K552" s="315"/>
      <c r="L552" s="276"/>
      <c r="M552" s="276"/>
      <c r="N552" s="276"/>
      <c r="O552" s="276"/>
      <c r="P552" s="276"/>
      <c r="Q552" s="104"/>
    </row>
    <row r="553" spans="1:17" ht="12.75" customHeight="1" x14ac:dyDescent="0.3">
      <c r="A553" s="42"/>
      <c r="B553" s="42"/>
      <c r="C553" s="38"/>
      <c r="D553" s="42" t="s">
        <v>576</v>
      </c>
      <c r="E553" s="64"/>
      <c r="F553" s="64"/>
      <c r="G553" s="63" t="s">
        <v>412</v>
      </c>
      <c r="H553" s="64" t="s">
        <v>1958</v>
      </c>
      <c r="I553" s="340">
        <f ca="1">regional!I159</f>
        <v>2.2729959410064786E-5</v>
      </c>
      <c r="J553" s="315"/>
      <c r="K553" s="315"/>
      <c r="L553" s="276"/>
      <c r="M553" s="276"/>
      <c r="N553" s="276"/>
      <c r="O553" s="276"/>
      <c r="P553" s="276"/>
      <c r="Q553" s="104"/>
    </row>
    <row r="554" spans="1:17" ht="12.75" customHeight="1" x14ac:dyDescent="0.3">
      <c r="A554" s="42"/>
      <c r="B554" s="42"/>
      <c r="C554" s="38"/>
      <c r="D554" s="42" t="s">
        <v>1324</v>
      </c>
      <c r="E554" s="64"/>
      <c r="F554" s="42"/>
      <c r="G554" s="63" t="s">
        <v>1076</v>
      </c>
      <c r="H554" s="64" t="s">
        <v>1958</v>
      </c>
      <c r="I554" s="340">
        <f>regional!I160</f>
        <v>0</v>
      </c>
      <c r="J554" s="315"/>
      <c r="K554" s="315"/>
      <c r="L554" s="276"/>
      <c r="M554" s="276"/>
      <c r="N554" s="276"/>
      <c r="O554" s="276"/>
      <c r="P554" s="276"/>
      <c r="Q554" s="104"/>
    </row>
    <row r="555" spans="1:17" ht="12.75" customHeight="1" x14ac:dyDescent="0.3">
      <c r="A555" s="42"/>
      <c r="B555" s="42"/>
      <c r="C555" s="38"/>
      <c r="D555" s="42" t="s">
        <v>431</v>
      </c>
      <c r="E555" s="64"/>
      <c r="F555" s="42"/>
      <c r="G555" s="63" t="s">
        <v>1077</v>
      </c>
      <c r="H555" s="64" t="s">
        <v>1958</v>
      </c>
      <c r="I555" s="340">
        <f>regional!I161</f>
        <v>0</v>
      </c>
      <c r="J555" s="315"/>
      <c r="K555" s="315">
        <v>2.8062993087265316E-11</v>
      </c>
      <c r="L555" s="276">
        <v>2.8062993087265316E-11</v>
      </c>
      <c r="M555" s="276">
        <v>2.8062993087265316E-11</v>
      </c>
      <c r="N555" s="276">
        <v>2.8062993087265316E-11</v>
      </c>
      <c r="O555" s="276">
        <v>2.8062993087265316E-11</v>
      </c>
      <c r="P555" s="276">
        <v>2.8062993087265316E-11</v>
      </c>
      <c r="Q555" s="104"/>
    </row>
    <row r="556" spans="1:17" ht="12.75" customHeight="1" x14ac:dyDescent="0.3">
      <c r="A556" s="42"/>
      <c r="B556" s="42"/>
      <c r="C556" s="38"/>
      <c r="D556" s="38"/>
      <c r="E556" s="42" t="s">
        <v>436</v>
      </c>
      <c r="F556" s="64"/>
      <c r="G556" s="63" t="s">
        <v>1199</v>
      </c>
      <c r="H556" s="42" t="s">
        <v>1964</v>
      </c>
      <c r="I556" s="340">
        <f ca="1">regional!I162</f>
        <v>13.588172142245435</v>
      </c>
      <c r="J556" s="315"/>
      <c r="K556" s="315"/>
      <c r="L556" s="276"/>
      <c r="M556" s="276"/>
      <c r="N556" s="276"/>
      <c r="O556" s="276"/>
      <c r="P556" s="276"/>
      <c r="Q556" s="104"/>
    </row>
    <row r="557" spans="1:17" ht="12.75" customHeight="1" x14ac:dyDescent="0.3">
      <c r="A557" s="42"/>
      <c r="B557" s="42"/>
      <c r="C557" s="38"/>
      <c r="D557" s="38"/>
      <c r="E557" s="42" t="s">
        <v>1373</v>
      </c>
      <c r="F557" s="38"/>
      <c r="G557" s="63" t="s">
        <v>1200</v>
      </c>
      <c r="H557" s="42" t="s">
        <v>1964</v>
      </c>
      <c r="I557" s="340">
        <f>regional!I163</f>
        <v>0</v>
      </c>
      <c r="J557" s="315"/>
      <c r="K557" s="315"/>
      <c r="L557" s="276"/>
      <c r="M557" s="276"/>
      <c r="N557" s="276"/>
      <c r="O557" s="276"/>
      <c r="P557" s="276"/>
      <c r="Q557" s="104"/>
    </row>
    <row r="558" spans="1:17" ht="12.75" customHeight="1" x14ac:dyDescent="0.3">
      <c r="A558" s="38"/>
      <c r="B558" s="38" t="s">
        <v>1841</v>
      </c>
      <c r="C558" s="64"/>
      <c r="D558" s="64"/>
      <c r="E558" s="38"/>
      <c r="F558" s="38"/>
      <c r="G558" s="43" t="s">
        <v>1866</v>
      </c>
      <c r="H558" s="42" t="s">
        <v>1959</v>
      </c>
      <c r="I558" s="340">
        <f>regional!I164</f>
        <v>0</v>
      </c>
      <c r="J558" s="315"/>
      <c r="K558" s="315"/>
      <c r="L558" s="276"/>
      <c r="M558" s="276"/>
      <c r="N558" s="276"/>
      <c r="O558" s="276"/>
      <c r="P558" s="276"/>
      <c r="Q558" s="104"/>
    </row>
    <row r="559" spans="1:17" ht="12.75" customHeight="1" x14ac:dyDescent="0.3">
      <c r="A559" s="38"/>
      <c r="B559" s="38" t="s">
        <v>1842</v>
      </c>
      <c r="C559" s="64"/>
      <c r="D559" s="64"/>
      <c r="E559" s="38"/>
      <c r="F559" s="38"/>
      <c r="G559" s="43" t="s">
        <v>1867</v>
      </c>
      <c r="H559" s="42" t="s">
        <v>1959</v>
      </c>
      <c r="I559" s="340">
        <f>regional!I165</f>
        <v>0</v>
      </c>
      <c r="J559" s="315"/>
      <c r="K559" s="315"/>
      <c r="L559" s="276"/>
      <c r="M559" s="276"/>
      <c r="N559" s="276"/>
      <c r="O559" s="276"/>
      <c r="P559" s="276"/>
      <c r="Q559" s="104"/>
    </row>
    <row r="560" spans="1:17" ht="12.75" customHeight="1" x14ac:dyDescent="0.3">
      <c r="A560" s="38"/>
      <c r="B560" s="38" t="s">
        <v>1843</v>
      </c>
      <c r="C560" s="64"/>
      <c r="D560" s="64"/>
      <c r="E560" s="38"/>
      <c r="F560" s="64"/>
      <c r="G560" s="43" t="s">
        <v>1868</v>
      </c>
      <c r="H560" s="42" t="s">
        <v>1959</v>
      </c>
      <c r="I560" s="340">
        <f>regional!I166</f>
        <v>0</v>
      </c>
      <c r="J560" s="315"/>
      <c r="K560" s="315"/>
      <c r="L560" s="276"/>
      <c r="M560" s="276"/>
      <c r="N560" s="276"/>
      <c r="O560" s="276"/>
      <c r="P560" s="276"/>
      <c r="Q560" s="104"/>
    </row>
    <row r="561" spans="1:17" ht="12.75" customHeight="1" x14ac:dyDescent="0.3">
      <c r="A561" s="38"/>
      <c r="B561" s="38" t="s">
        <v>1844</v>
      </c>
      <c r="C561" s="64"/>
      <c r="D561" s="64"/>
      <c r="E561" s="38"/>
      <c r="F561" s="64"/>
      <c r="G561" s="43" t="s">
        <v>1869</v>
      </c>
      <c r="H561" s="42" t="s">
        <v>1959</v>
      </c>
      <c r="I561" s="340">
        <f>regional!I167</f>
        <v>0</v>
      </c>
      <c r="J561" s="315"/>
      <c r="K561" s="315"/>
      <c r="L561" s="276"/>
      <c r="M561" s="276"/>
      <c r="N561" s="276"/>
      <c r="O561" s="276"/>
      <c r="P561" s="276"/>
      <c r="Q561" s="104"/>
    </row>
    <row r="562" spans="1:17" ht="12.75" customHeight="1" x14ac:dyDescent="0.3">
      <c r="A562" s="42"/>
      <c r="B562" s="42"/>
      <c r="C562" s="38" t="s">
        <v>1069</v>
      </c>
      <c r="D562" s="38"/>
      <c r="E562" s="64"/>
      <c r="F562" s="64"/>
      <c r="G562" s="38" t="s">
        <v>936</v>
      </c>
      <c r="H562" s="64" t="s">
        <v>1958</v>
      </c>
      <c r="I562" s="340">
        <f ca="1">regional!I168</f>
        <v>4.5565913816614299E-6</v>
      </c>
      <c r="J562" s="315"/>
      <c r="K562" s="315"/>
      <c r="L562" s="276"/>
      <c r="M562" s="276"/>
      <c r="N562" s="276"/>
      <c r="O562" s="276"/>
      <c r="P562" s="276"/>
      <c r="Q562" s="104"/>
    </row>
    <row r="563" spans="1:17" ht="12.75" customHeight="1" x14ac:dyDescent="0.3">
      <c r="A563" s="42"/>
      <c r="B563" s="42"/>
      <c r="C563" s="38" t="s">
        <v>1225</v>
      </c>
      <c r="D563" s="38"/>
      <c r="E563" s="64"/>
      <c r="F563" s="38"/>
      <c r="G563" s="38" t="s">
        <v>937</v>
      </c>
      <c r="H563" s="64" t="s">
        <v>1958</v>
      </c>
      <c r="I563" s="340">
        <f ca="1">regional!I169</f>
        <v>1.5625317157245659E-8</v>
      </c>
      <c r="J563" s="315"/>
      <c r="K563" s="315"/>
      <c r="L563" s="276"/>
      <c r="M563" s="276"/>
      <c r="N563" s="276"/>
      <c r="O563" s="276"/>
      <c r="P563" s="276"/>
      <c r="Q563" s="104"/>
    </row>
    <row r="564" spans="1:17" ht="12.75" customHeight="1" x14ac:dyDescent="0.3">
      <c r="A564" s="42"/>
      <c r="B564" s="38"/>
      <c r="C564" s="38"/>
      <c r="D564" s="38"/>
      <c r="E564" s="38"/>
      <c r="F564" s="38"/>
      <c r="G564" s="63"/>
      <c r="H564" s="42"/>
      <c r="I564" s="246"/>
      <c r="J564" s="318"/>
      <c r="K564" s="318"/>
      <c r="L564" s="280"/>
      <c r="M564" s="280"/>
      <c r="N564" s="280"/>
      <c r="O564" s="280"/>
      <c r="P564" s="280"/>
      <c r="Q564" s="104"/>
    </row>
    <row r="565" spans="1:17" ht="12.75" customHeight="1" x14ac:dyDescent="0.3">
      <c r="A565" s="42" t="s">
        <v>72</v>
      </c>
      <c r="B565" s="38"/>
      <c r="C565" s="38"/>
      <c r="D565" s="38"/>
      <c r="E565" s="38"/>
      <c r="F565" s="38"/>
      <c r="G565" s="43" t="s">
        <v>236</v>
      </c>
      <c r="H565" s="42" t="s">
        <v>1926</v>
      </c>
      <c r="I565" s="340">
        <f>regional!I171</f>
        <v>0</v>
      </c>
      <c r="J565" s="315"/>
      <c r="K565" s="315"/>
      <c r="L565" s="276"/>
      <c r="M565" s="276"/>
      <c r="N565" s="276"/>
      <c r="O565" s="276"/>
      <c r="P565" s="276"/>
      <c r="Q565" s="104"/>
    </row>
    <row r="566" spans="1:17" ht="12.75" customHeight="1" x14ac:dyDescent="0.3">
      <c r="A566" s="42" t="s">
        <v>73</v>
      </c>
      <c r="B566" s="38"/>
      <c r="C566" s="38"/>
      <c r="D566" s="38"/>
      <c r="E566" s="38"/>
      <c r="F566" s="38"/>
      <c r="G566" s="43" t="s">
        <v>237</v>
      </c>
      <c r="H566" s="42" t="s">
        <v>1926</v>
      </c>
      <c r="I566" s="340">
        <f>regional!I172</f>
        <v>0</v>
      </c>
      <c r="J566" s="315"/>
      <c r="K566" s="315"/>
      <c r="L566" s="276"/>
      <c r="M566" s="276"/>
      <c r="N566" s="276"/>
      <c r="O566" s="276"/>
      <c r="P566" s="276"/>
      <c r="Q566" s="104"/>
    </row>
    <row r="567" spans="1:17" ht="12.75" customHeight="1" x14ac:dyDescent="0.3">
      <c r="A567" s="42" t="s">
        <v>74</v>
      </c>
      <c r="B567" s="38"/>
      <c r="C567" s="38"/>
      <c r="D567" s="38"/>
      <c r="E567" s="38"/>
      <c r="F567" s="38"/>
      <c r="G567" s="43" t="s">
        <v>238</v>
      </c>
      <c r="H567" s="42" t="s">
        <v>1926</v>
      </c>
      <c r="I567" s="340">
        <f>regional!I173</f>
        <v>0</v>
      </c>
      <c r="J567" s="315"/>
      <c r="K567" s="315"/>
      <c r="L567" s="276"/>
      <c r="M567" s="276"/>
      <c r="N567" s="276"/>
      <c r="O567" s="276"/>
      <c r="P567" s="276"/>
      <c r="Q567" s="104"/>
    </row>
    <row r="568" spans="1:17" ht="12.75" customHeight="1" x14ac:dyDescent="0.3">
      <c r="A568" s="42"/>
      <c r="B568" s="64" t="s">
        <v>1080</v>
      </c>
      <c r="C568" s="38"/>
      <c r="D568" s="38"/>
      <c r="E568" s="64"/>
      <c r="F568" s="64"/>
      <c r="G568" s="63" t="s">
        <v>940</v>
      </c>
      <c r="H568" s="64" t="s">
        <v>1965</v>
      </c>
      <c r="I568" s="340">
        <f ca="1">regional!I174</f>
        <v>2.9309670512458121E-2</v>
      </c>
      <c r="J568" s="315"/>
      <c r="K568" s="315"/>
      <c r="L568" s="276"/>
      <c r="M568" s="276"/>
      <c r="N568" s="276"/>
      <c r="O568" s="276"/>
      <c r="P568" s="276"/>
      <c r="Q568" s="104"/>
    </row>
    <row r="569" spans="1:17" ht="12.75" customHeight="1" x14ac:dyDescent="0.3">
      <c r="A569" s="42"/>
      <c r="B569" s="64" t="s">
        <v>1081</v>
      </c>
      <c r="C569" s="38"/>
      <c r="D569" s="38"/>
      <c r="E569" s="64"/>
      <c r="F569" s="64"/>
      <c r="G569" s="63" t="s">
        <v>941</v>
      </c>
      <c r="H569" s="64" t="s">
        <v>1965</v>
      </c>
      <c r="I569" s="340">
        <f ca="1">regional!I175</f>
        <v>9.7121542424122541E-3</v>
      </c>
      <c r="J569" s="315"/>
      <c r="K569" s="315"/>
      <c r="L569" s="276"/>
      <c r="M569" s="276"/>
      <c r="N569" s="276"/>
      <c r="O569" s="276"/>
      <c r="P569" s="276"/>
      <c r="Q569" s="104"/>
    </row>
    <row r="570" spans="1:17" ht="12.75" customHeight="1" x14ac:dyDescent="0.3">
      <c r="A570" s="42"/>
      <c r="B570" s="64" t="s">
        <v>452</v>
      </c>
      <c r="C570" s="38"/>
      <c r="D570" s="38"/>
      <c r="E570" s="64"/>
      <c r="F570" s="64"/>
      <c r="G570" s="63" t="s">
        <v>942</v>
      </c>
      <c r="H570" s="64" t="s">
        <v>1965</v>
      </c>
      <c r="I570" s="340">
        <f ca="1">regional!I176</f>
        <v>3.4535855367439673E-2</v>
      </c>
      <c r="J570" s="315"/>
      <c r="K570" s="315"/>
      <c r="L570" s="276"/>
      <c r="M570" s="276"/>
      <c r="N570" s="276"/>
      <c r="O570" s="276"/>
      <c r="P570" s="276"/>
      <c r="Q570" s="104"/>
    </row>
    <row r="571" spans="1:17" ht="12.75" customHeight="1" x14ac:dyDescent="0.3">
      <c r="A571" s="42"/>
      <c r="B571" s="42" t="s">
        <v>16</v>
      </c>
      <c r="C571" s="38"/>
      <c r="D571" s="38"/>
      <c r="E571" s="64"/>
      <c r="F571" s="64"/>
      <c r="G571" s="63" t="s">
        <v>943</v>
      </c>
      <c r="H571" s="42" t="s">
        <v>28</v>
      </c>
      <c r="I571" s="340">
        <f ca="1">regional!I177</f>
        <v>0.26711885184164719</v>
      </c>
      <c r="J571" s="315"/>
      <c r="K571" s="315"/>
      <c r="L571" s="276"/>
      <c r="M571" s="276"/>
      <c r="N571" s="276"/>
      <c r="O571" s="276"/>
      <c r="P571" s="276"/>
      <c r="Q571" s="104"/>
    </row>
    <row r="572" spans="1:17" ht="12.75" customHeight="1" x14ac:dyDescent="0.3">
      <c r="A572" s="42"/>
      <c r="B572" s="42" t="s">
        <v>727</v>
      </c>
      <c r="C572" s="38"/>
      <c r="D572" s="38"/>
      <c r="E572" s="64"/>
      <c r="F572" s="64"/>
      <c r="G572" s="63" t="s">
        <v>453</v>
      </c>
      <c r="H572" s="42" t="s">
        <v>28</v>
      </c>
      <c r="I572" s="340">
        <f ca="1">regional!I178</f>
        <v>0.26493616504197171</v>
      </c>
      <c r="J572" s="315"/>
      <c r="K572" s="315"/>
      <c r="L572" s="276"/>
      <c r="M572" s="276"/>
      <c r="N572" s="276"/>
      <c r="O572" s="276"/>
      <c r="P572" s="276"/>
      <c r="Q572" s="104"/>
    </row>
    <row r="573" spans="1:17" ht="12.75" customHeight="1" x14ac:dyDescent="0.3">
      <c r="A573" s="42"/>
      <c r="B573" s="42" t="s">
        <v>847</v>
      </c>
      <c r="C573" s="38"/>
      <c r="D573" s="38"/>
      <c r="E573" s="64"/>
      <c r="F573" s="64"/>
      <c r="G573" s="63" t="s">
        <v>454</v>
      </c>
      <c r="H573" s="42" t="s">
        <v>28</v>
      </c>
      <c r="I573" s="340">
        <f ca="1">regional!I179</f>
        <v>0.37459393954348219</v>
      </c>
      <c r="J573" s="315"/>
      <c r="K573" s="315"/>
      <c r="L573" s="276"/>
      <c r="M573" s="276"/>
      <c r="N573" s="276"/>
      <c r="O573" s="276"/>
      <c r="P573" s="276"/>
      <c r="Q573" s="104"/>
    </row>
    <row r="574" spans="1:17" ht="12.75" customHeight="1" x14ac:dyDescent="0.3">
      <c r="A574" s="42"/>
      <c r="B574" s="38" t="s">
        <v>1835</v>
      </c>
      <c r="C574" s="38"/>
      <c r="D574" s="38"/>
      <c r="E574" s="64"/>
      <c r="F574" s="64"/>
      <c r="G574" s="43" t="s">
        <v>1494</v>
      </c>
      <c r="H574" s="38" t="s">
        <v>28</v>
      </c>
      <c r="I574" s="340">
        <f>regional!I180</f>
        <v>0</v>
      </c>
      <c r="J574" s="315"/>
      <c r="K574" s="315">
        <v>1</v>
      </c>
      <c r="L574" s="276">
        <v>1</v>
      </c>
      <c r="M574" s="276">
        <v>1</v>
      </c>
      <c r="N574" s="276">
        <v>1</v>
      </c>
      <c r="O574" s="276"/>
      <c r="P574" s="276">
        <v>1</v>
      </c>
      <c r="Q574" s="104"/>
    </row>
    <row r="575" spans="1:17" ht="12.75" customHeight="1" x14ac:dyDescent="0.3">
      <c r="A575" s="42"/>
      <c r="B575" s="38" t="s">
        <v>1835</v>
      </c>
      <c r="C575" s="38"/>
      <c r="D575" s="38"/>
      <c r="E575" s="64"/>
      <c r="F575" s="64"/>
      <c r="G575" s="43" t="s">
        <v>1495</v>
      </c>
      <c r="H575" s="38" t="s">
        <v>28</v>
      </c>
      <c r="I575" s="340">
        <f>regional!I181</f>
        <v>0</v>
      </c>
      <c r="J575" s="315"/>
      <c r="K575" s="315">
        <v>1</v>
      </c>
      <c r="L575" s="276">
        <v>1</v>
      </c>
      <c r="M575" s="276">
        <v>1</v>
      </c>
      <c r="N575" s="276">
        <v>1</v>
      </c>
      <c r="O575" s="276"/>
      <c r="P575" s="276">
        <v>1</v>
      </c>
      <c r="Q575" s="104"/>
    </row>
    <row r="576" spans="1:17" ht="12.75" customHeight="1" x14ac:dyDescent="0.3">
      <c r="A576" s="42"/>
      <c r="B576" s="38" t="s">
        <v>1835</v>
      </c>
      <c r="C576" s="38"/>
      <c r="D576" s="38"/>
      <c r="E576" s="64"/>
      <c r="F576" s="64"/>
      <c r="G576" s="43" t="s">
        <v>1496</v>
      </c>
      <c r="H576" s="38" t="s">
        <v>28</v>
      </c>
      <c r="I576" s="340">
        <f>regional!I182</f>
        <v>0</v>
      </c>
      <c r="J576" s="315"/>
      <c r="K576" s="315">
        <v>1</v>
      </c>
      <c r="L576" s="276">
        <v>1</v>
      </c>
      <c r="M576" s="276">
        <v>1</v>
      </c>
      <c r="N576" s="276">
        <v>1</v>
      </c>
      <c r="O576" s="276"/>
      <c r="P576" s="276">
        <v>1</v>
      </c>
      <c r="Q576" s="104"/>
    </row>
    <row r="577" spans="1:17" ht="12.75" customHeight="1" x14ac:dyDescent="0.3">
      <c r="A577" s="38"/>
      <c r="B577" s="38"/>
      <c r="C577" s="38"/>
      <c r="D577" s="38"/>
      <c r="E577" s="38"/>
      <c r="F577" s="38"/>
      <c r="G577" s="38"/>
      <c r="H577" s="38"/>
      <c r="I577" s="178"/>
      <c r="J577" s="322"/>
      <c r="K577" s="322"/>
      <c r="L577" s="285"/>
      <c r="M577" s="285"/>
      <c r="N577" s="285"/>
      <c r="O577" s="285"/>
      <c r="P577" s="285"/>
      <c r="Q577" s="104"/>
    </row>
    <row r="578" spans="1:17" ht="12.75" customHeight="1" x14ac:dyDescent="0.3">
      <c r="A578" s="67" t="s">
        <v>414</v>
      </c>
      <c r="B578" s="66"/>
      <c r="C578" s="66"/>
      <c r="D578" s="66"/>
      <c r="E578" s="66"/>
      <c r="F578" s="66"/>
      <c r="G578" s="66"/>
      <c r="H578" s="66"/>
      <c r="I578" s="189" t="s">
        <v>748</v>
      </c>
      <c r="J578" s="319"/>
      <c r="K578" s="319"/>
      <c r="L578" s="281"/>
      <c r="M578" s="281"/>
      <c r="N578" s="281"/>
      <c r="O578" s="281"/>
      <c r="P578" s="281"/>
      <c r="Q578" s="104"/>
    </row>
    <row r="579" spans="1:17" ht="12.75" customHeight="1" x14ac:dyDescent="0.3">
      <c r="A579" s="42"/>
      <c r="B579" s="38"/>
      <c r="C579" s="38"/>
      <c r="D579" s="38"/>
      <c r="E579" s="38"/>
      <c r="F579" s="38"/>
      <c r="G579" s="38"/>
      <c r="H579" s="38"/>
      <c r="I579" s="162"/>
      <c r="J579" s="322"/>
      <c r="K579" s="322"/>
      <c r="L579" s="285"/>
      <c r="M579" s="285"/>
      <c r="N579" s="285"/>
      <c r="O579" s="285"/>
      <c r="P579" s="285"/>
      <c r="Q579" s="104"/>
    </row>
    <row r="580" spans="1:17" ht="12.75" customHeight="1" x14ac:dyDescent="0.3">
      <c r="A580" s="42" t="s">
        <v>216</v>
      </c>
      <c r="B580" s="38"/>
      <c r="C580" s="38"/>
      <c r="D580" s="38"/>
      <c r="E580" s="38"/>
      <c r="F580" s="38"/>
      <c r="G580" s="43" t="s">
        <v>239</v>
      </c>
      <c r="H580" s="42" t="s">
        <v>1926</v>
      </c>
      <c r="I580" s="340">
        <f>regional!I186</f>
        <v>0</v>
      </c>
      <c r="J580" s="315"/>
      <c r="K580" s="315"/>
      <c r="L580" s="276"/>
      <c r="M580" s="276"/>
      <c r="N580" s="276"/>
      <c r="O580" s="276"/>
      <c r="P580" s="276"/>
      <c r="Q580" s="104"/>
    </row>
    <row r="581" spans="1:17" ht="12.75" customHeight="1" x14ac:dyDescent="0.3">
      <c r="A581" s="42" t="s">
        <v>298</v>
      </c>
      <c r="B581" s="38"/>
      <c r="C581" s="38"/>
      <c r="D581" s="38"/>
      <c r="E581" s="38"/>
      <c r="F581" s="38"/>
      <c r="G581" s="43" t="s">
        <v>299</v>
      </c>
      <c r="H581" s="42" t="s">
        <v>1926</v>
      </c>
      <c r="I581" s="340">
        <f>regional!I187</f>
        <v>0</v>
      </c>
      <c r="J581" s="315"/>
      <c r="K581" s="315"/>
      <c r="L581" s="276"/>
      <c r="M581" s="276"/>
      <c r="N581" s="276"/>
      <c r="O581" s="276"/>
      <c r="P581" s="276"/>
      <c r="Q581" s="104"/>
    </row>
    <row r="582" spans="1:17" ht="12.75" customHeight="1" x14ac:dyDescent="0.3">
      <c r="A582" s="42" t="s">
        <v>245</v>
      </c>
      <c r="B582" s="38"/>
      <c r="C582" s="38"/>
      <c r="D582" s="38"/>
      <c r="E582" s="38"/>
      <c r="F582" s="38"/>
      <c r="G582" s="43" t="s">
        <v>240</v>
      </c>
      <c r="H582" s="42" t="s">
        <v>1926</v>
      </c>
      <c r="I582" s="340">
        <f>regional!I188</f>
        <v>0</v>
      </c>
      <c r="J582" s="315"/>
      <c r="K582" s="315"/>
      <c r="L582" s="276"/>
      <c r="M582" s="276"/>
      <c r="N582" s="276"/>
      <c r="O582" s="276"/>
      <c r="P582" s="276"/>
      <c r="Q582" s="104"/>
    </row>
    <row r="583" spans="1:17" ht="12.75" customHeight="1" x14ac:dyDescent="0.3">
      <c r="A583" s="42" t="s">
        <v>246</v>
      </c>
      <c r="B583" s="38"/>
      <c r="C583" s="38"/>
      <c r="D583" s="38"/>
      <c r="E583" s="38"/>
      <c r="F583" s="38"/>
      <c r="G583" s="43" t="s">
        <v>247</v>
      </c>
      <c r="H583" s="42" t="s">
        <v>1926</v>
      </c>
      <c r="I583" s="340">
        <f>regional!I189</f>
        <v>0</v>
      </c>
      <c r="J583" s="315"/>
      <c r="K583" s="315"/>
      <c r="L583" s="276"/>
      <c r="M583" s="276"/>
      <c r="N583" s="276"/>
      <c r="O583" s="276"/>
      <c r="P583" s="276"/>
      <c r="Q583" s="104"/>
    </row>
    <row r="584" spans="1:17" ht="12.75" customHeight="1" x14ac:dyDescent="0.3">
      <c r="A584" s="42" t="s">
        <v>248</v>
      </c>
      <c r="B584" s="38"/>
      <c r="C584" s="38"/>
      <c r="D584" s="38"/>
      <c r="E584" s="38"/>
      <c r="F584" s="38"/>
      <c r="G584" s="43" t="s">
        <v>241</v>
      </c>
      <c r="H584" s="42" t="s">
        <v>1926</v>
      </c>
      <c r="I584" s="340">
        <f>regional!I190</f>
        <v>0</v>
      </c>
      <c r="J584" s="315"/>
      <c r="K584" s="315"/>
      <c r="L584" s="276"/>
      <c r="M584" s="276"/>
      <c r="N584" s="276"/>
      <c r="O584" s="276"/>
      <c r="P584" s="276"/>
      <c r="Q584" s="104"/>
    </row>
    <row r="585" spans="1:17" ht="12.75" customHeight="1" x14ac:dyDescent="0.3">
      <c r="A585" s="42" t="s">
        <v>249</v>
      </c>
      <c r="B585" s="38"/>
      <c r="C585" s="38"/>
      <c r="D585" s="38"/>
      <c r="E585" s="38"/>
      <c r="F585" s="38"/>
      <c r="G585" s="43" t="s">
        <v>250</v>
      </c>
      <c r="H585" s="42" t="s">
        <v>1926</v>
      </c>
      <c r="I585" s="340">
        <f>regional!I191</f>
        <v>0</v>
      </c>
      <c r="J585" s="315"/>
      <c r="K585" s="315"/>
      <c r="L585" s="276"/>
      <c r="M585" s="276"/>
      <c r="N585" s="276"/>
      <c r="O585" s="276"/>
      <c r="P585" s="276"/>
      <c r="Q585" s="104"/>
    </row>
    <row r="586" spans="1:17" ht="12.75" customHeight="1" x14ac:dyDescent="0.3">
      <c r="A586" s="42" t="s">
        <v>218</v>
      </c>
      <c r="B586" s="38"/>
      <c r="C586" s="38"/>
      <c r="D586" s="38"/>
      <c r="E586" s="38"/>
      <c r="F586" s="38"/>
      <c r="G586" s="43" t="s">
        <v>242</v>
      </c>
      <c r="H586" s="42" t="s">
        <v>1926</v>
      </c>
      <c r="I586" s="340">
        <f>regional!I192</f>
        <v>0</v>
      </c>
      <c r="J586" s="315"/>
      <c r="K586" s="315"/>
      <c r="L586" s="276"/>
      <c r="M586" s="276"/>
      <c r="N586" s="276"/>
      <c r="O586" s="276"/>
      <c r="P586" s="276"/>
      <c r="Q586" s="104"/>
    </row>
    <row r="587" spans="1:17" ht="12.75" customHeight="1" x14ac:dyDescent="0.3">
      <c r="A587" s="42" t="s">
        <v>358</v>
      </c>
      <c r="B587" s="38"/>
      <c r="C587" s="38"/>
      <c r="D587" s="38"/>
      <c r="E587" s="38"/>
      <c r="F587" s="38"/>
      <c r="G587" s="43" t="s">
        <v>243</v>
      </c>
      <c r="H587" s="42" t="s">
        <v>1926</v>
      </c>
      <c r="I587" s="340">
        <f>regional!I193</f>
        <v>0</v>
      </c>
      <c r="J587" s="315"/>
      <c r="K587" s="315"/>
      <c r="L587" s="276"/>
      <c r="M587" s="276"/>
      <c r="N587" s="276"/>
      <c r="O587" s="276"/>
      <c r="P587" s="276"/>
      <c r="Q587" s="104"/>
    </row>
    <row r="588" spans="1:17" ht="12.75" customHeight="1" x14ac:dyDescent="0.3">
      <c r="A588" s="42" t="s">
        <v>359</v>
      </c>
      <c r="B588" s="38"/>
      <c r="C588" s="38"/>
      <c r="D588" s="38"/>
      <c r="E588" s="38"/>
      <c r="F588" s="38"/>
      <c r="G588" s="43" t="s">
        <v>244</v>
      </c>
      <c r="H588" s="42" t="s">
        <v>1926</v>
      </c>
      <c r="I588" s="340">
        <f>regional!I194</f>
        <v>0</v>
      </c>
      <c r="J588" s="315"/>
      <c r="K588" s="315"/>
      <c r="L588" s="276"/>
      <c r="M588" s="276"/>
      <c r="N588" s="276"/>
      <c r="O588" s="276"/>
      <c r="P588" s="276"/>
      <c r="Q588" s="104"/>
    </row>
    <row r="589" spans="1:17" ht="12.75" customHeight="1" x14ac:dyDescent="0.3">
      <c r="A589" s="42"/>
      <c r="B589" s="42" t="s">
        <v>791</v>
      </c>
      <c r="C589" s="64"/>
      <c r="D589" s="38"/>
      <c r="E589" s="38"/>
      <c r="F589" s="38"/>
      <c r="G589" s="63" t="s">
        <v>187</v>
      </c>
      <c r="H589" s="42" t="s">
        <v>1926</v>
      </c>
      <c r="I589" s="340">
        <f>regional!I195</f>
        <v>0</v>
      </c>
      <c r="J589" s="315"/>
      <c r="K589" s="315"/>
      <c r="L589" s="276"/>
      <c r="M589" s="276"/>
      <c r="N589" s="276"/>
      <c r="O589" s="276"/>
      <c r="P589" s="276"/>
      <c r="Q589" s="104"/>
    </row>
    <row r="590" spans="1:17" ht="12.75" customHeight="1" x14ac:dyDescent="0.3">
      <c r="A590" s="42"/>
      <c r="B590" s="42" t="s">
        <v>792</v>
      </c>
      <c r="C590" s="38"/>
      <c r="D590" s="38"/>
      <c r="E590" s="38"/>
      <c r="F590" s="38"/>
      <c r="G590" s="43" t="s">
        <v>455</v>
      </c>
      <c r="H590" s="42" t="s">
        <v>1926</v>
      </c>
      <c r="I590" s="340">
        <f>regional!I196</f>
        <v>0</v>
      </c>
      <c r="J590" s="315"/>
      <c r="K590" s="315"/>
      <c r="L590" s="276"/>
      <c r="M590" s="276"/>
      <c r="N590" s="276"/>
      <c r="O590" s="276"/>
      <c r="P590" s="276"/>
      <c r="Q590" s="104"/>
    </row>
    <row r="591" spans="1:17" ht="12.75" customHeight="1" x14ac:dyDescent="0.3">
      <c r="A591" s="64"/>
      <c r="B591" s="64"/>
      <c r="C591" s="42" t="s">
        <v>989</v>
      </c>
      <c r="D591" s="38"/>
      <c r="E591" s="38"/>
      <c r="F591" s="38"/>
      <c r="G591" s="43" t="s">
        <v>933</v>
      </c>
      <c r="H591" s="42" t="s">
        <v>1927</v>
      </c>
      <c r="I591" s="340">
        <f>regional!I197</f>
        <v>0</v>
      </c>
      <c r="J591" s="315"/>
      <c r="K591" s="315"/>
      <c r="L591" s="276"/>
      <c r="M591" s="276"/>
      <c r="N591" s="276"/>
      <c r="O591" s="276"/>
      <c r="P591" s="276"/>
      <c r="Q591" s="104"/>
    </row>
    <row r="592" spans="1:17" ht="12.75" customHeight="1" x14ac:dyDescent="0.3">
      <c r="A592" s="64"/>
      <c r="B592" s="64"/>
      <c r="C592" s="42" t="s">
        <v>26</v>
      </c>
      <c r="D592" s="38"/>
      <c r="E592" s="38"/>
      <c r="F592" s="38"/>
      <c r="G592" s="43" t="s">
        <v>260</v>
      </c>
      <c r="H592" s="42" t="s">
        <v>28</v>
      </c>
      <c r="I592" s="340">
        <f>regional!I198</f>
        <v>0</v>
      </c>
      <c r="J592" s="315"/>
      <c r="K592" s="315"/>
      <c r="L592" s="276"/>
      <c r="M592" s="276"/>
      <c r="N592" s="276"/>
      <c r="O592" s="276"/>
      <c r="P592" s="276"/>
      <c r="Q592" s="104"/>
    </row>
    <row r="593" spans="1:17" ht="12.75" customHeight="1" x14ac:dyDescent="0.3">
      <c r="A593" s="42"/>
      <c r="B593" s="42" t="s">
        <v>318</v>
      </c>
      <c r="C593" s="38"/>
      <c r="D593" s="38"/>
      <c r="E593" s="38"/>
      <c r="F593" s="38"/>
      <c r="G593" s="43" t="s">
        <v>300</v>
      </c>
      <c r="H593" s="42" t="s">
        <v>1926</v>
      </c>
      <c r="I593" s="340">
        <f>regional!I199</f>
        <v>0</v>
      </c>
      <c r="J593" s="315"/>
      <c r="K593" s="315"/>
      <c r="L593" s="276"/>
      <c r="M593" s="276"/>
      <c r="N593" s="276"/>
      <c r="O593" s="276"/>
      <c r="P593" s="276"/>
      <c r="Q593" s="104"/>
    </row>
    <row r="594" spans="1:17" ht="12.75" customHeight="1" x14ac:dyDescent="0.3">
      <c r="A594" s="42"/>
      <c r="B594" s="42" t="s">
        <v>793</v>
      </c>
      <c r="C594" s="38"/>
      <c r="D594" s="38"/>
      <c r="E594" s="38"/>
      <c r="F594" s="38"/>
      <c r="G594" s="43" t="s">
        <v>844</v>
      </c>
      <c r="H594" s="42" t="s">
        <v>1926</v>
      </c>
      <c r="I594" s="340">
        <f>regional!I200</f>
        <v>0</v>
      </c>
      <c r="J594" s="315"/>
      <c r="K594" s="315"/>
      <c r="L594" s="276"/>
      <c r="M594" s="276"/>
      <c r="N594" s="276"/>
      <c r="O594" s="276"/>
      <c r="P594" s="276"/>
      <c r="Q594" s="104"/>
    </row>
    <row r="595" spans="1:17" ht="12.75" customHeight="1" x14ac:dyDescent="0.3">
      <c r="A595" s="42"/>
      <c r="B595" s="42" t="s">
        <v>794</v>
      </c>
      <c r="C595" s="38"/>
      <c r="D595" s="38"/>
      <c r="E595" s="38"/>
      <c r="F595" s="38"/>
      <c r="G595" s="43" t="s">
        <v>845</v>
      </c>
      <c r="H595" s="42" t="s">
        <v>1926</v>
      </c>
      <c r="I595" s="340">
        <f>regional!I201</f>
        <v>0</v>
      </c>
      <c r="J595" s="315"/>
      <c r="K595" s="315"/>
      <c r="L595" s="276"/>
      <c r="M595" s="276"/>
      <c r="N595" s="276"/>
      <c r="O595" s="276"/>
      <c r="P595" s="276"/>
      <c r="Q595" s="104"/>
    </row>
    <row r="596" spans="1:17" ht="12.75" customHeight="1" x14ac:dyDescent="0.3">
      <c r="A596" s="42"/>
      <c r="B596" s="42"/>
      <c r="C596" s="42" t="s">
        <v>319</v>
      </c>
      <c r="D596" s="38"/>
      <c r="E596" s="38"/>
      <c r="F596" s="38"/>
      <c r="G596" s="63" t="s">
        <v>301</v>
      </c>
      <c r="H596" s="42" t="s">
        <v>724</v>
      </c>
      <c r="I596" s="340">
        <f>regional!I202</f>
        <v>0</v>
      </c>
      <c r="J596" s="315"/>
      <c r="K596" s="315"/>
      <c r="L596" s="276"/>
      <c r="M596" s="276"/>
      <c r="N596" s="276"/>
      <c r="O596" s="276"/>
      <c r="P596" s="276"/>
      <c r="Q596" s="104"/>
    </row>
    <row r="597" spans="1:17" ht="12.75" customHeight="1" x14ac:dyDescent="0.3">
      <c r="A597" s="42"/>
      <c r="B597" s="42"/>
      <c r="C597" s="42" t="s">
        <v>579</v>
      </c>
      <c r="D597" s="38"/>
      <c r="E597" s="38"/>
      <c r="F597" s="38"/>
      <c r="G597" s="63" t="s">
        <v>682</v>
      </c>
      <c r="H597" s="42" t="s">
        <v>724</v>
      </c>
      <c r="I597" s="340">
        <f>regional!I203</f>
        <v>0</v>
      </c>
      <c r="J597" s="315"/>
      <c r="K597" s="315"/>
      <c r="L597" s="276"/>
      <c r="M597" s="276"/>
      <c r="N597" s="276"/>
      <c r="O597" s="276"/>
      <c r="P597" s="276"/>
      <c r="Q597" s="104"/>
    </row>
    <row r="598" spans="1:17" ht="12.75" customHeight="1" x14ac:dyDescent="0.3">
      <c r="A598" s="42"/>
      <c r="B598" s="42"/>
      <c r="C598" s="42" t="s">
        <v>1446</v>
      </c>
      <c r="D598" s="38"/>
      <c r="E598" s="38"/>
      <c r="F598" s="38"/>
      <c r="G598" s="63" t="s">
        <v>683</v>
      </c>
      <c r="H598" s="42" t="s">
        <v>724</v>
      </c>
      <c r="I598" s="340">
        <f>regional!I204</f>
        <v>0</v>
      </c>
      <c r="J598" s="315"/>
      <c r="K598" s="315"/>
      <c r="L598" s="276"/>
      <c r="M598" s="276"/>
      <c r="N598" s="276"/>
      <c r="O598" s="276"/>
      <c r="P598" s="276"/>
      <c r="Q598" s="104"/>
    </row>
    <row r="599" spans="1:17" ht="12.75" customHeight="1" x14ac:dyDescent="0.3">
      <c r="A599" s="64"/>
      <c r="B599" s="64"/>
      <c r="C599" s="42" t="s">
        <v>760</v>
      </c>
      <c r="D599" s="38"/>
      <c r="E599" s="38"/>
      <c r="F599" s="38"/>
      <c r="G599" s="43" t="s">
        <v>788</v>
      </c>
      <c r="H599" s="42" t="s">
        <v>28</v>
      </c>
      <c r="I599" s="340">
        <f>regional!I205</f>
        <v>0</v>
      </c>
      <c r="J599" s="315"/>
      <c r="K599" s="315"/>
      <c r="L599" s="276"/>
      <c r="M599" s="276"/>
      <c r="N599" s="276"/>
      <c r="O599" s="276"/>
      <c r="P599" s="276"/>
      <c r="Q599" s="104"/>
    </row>
    <row r="600" spans="1:17" ht="12.75" customHeight="1" x14ac:dyDescent="0.3">
      <c r="A600" s="42"/>
      <c r="B600" s="42" t="s">
        <v>795</v>
      </c>
      <c r="C600" s="38"/>
      <c r="D600" s="38"/>
      <c r="E600" s="38"/>
      <c r="F600" s="38"/>
      <c r="G600" s="43" t="s">
        <v>1328</v>
      </c>
      <c r="H600" s="42" t="s">
        <v>1926</v>
      </c>
      <c r="I600" s="340">
        <f>regional!I206</f>
        <v>0</v>
      </c>
      <c r="J600" s="315"/>
      <c r="K600" s="315"/>
      <c r="L600" s="276"/>
      <c r="M600" s="276"/>
      <c r="N600" s="276"/>
      <c r="O600" s="276"/>
      <c r="P600" s="276"/>
      <c r="Q600" s="104"/>
    </row>
    <row r="601" spans="1:17" ht="12.75" customHeight="1" x14ac:dyDescent="0.3">
      <c r="A601" s="42"/>
      <c r="B601" s="42" t="s">
        <v>796</v>
      </c>
      <c r="C601" s="38"/>
      <c r="D601" s="38"/>
      <c r="E601" s="38"/>
      <c r="F601" s="38"/>
      <c r="G601" s="43" t="s">
        <v>1329</v>
      </c>
      <c r="H601" s="42" t="s">
        <v>1926</v>
      </c>
      <c r="I601" s="340">
        <f>regional!I207</f>
        <v>0</v>
      </c>
      <c r="J601" s="315"/>
      <c r="K601" s="315"/>
      <c r="L601" s="276"/>
      <c r="M601" s="276"/>
      <c r="N601" s="276"/>
      <c r="O601" s="276"/>
      <c r="P601" s="276"/>
      <c r="Q601" s="104"/>
    </row>
    <row r="602" spans="1:17" ht="12.75" customHeight="1" x14ac:dyDescent="0.3">
      <c r="A602" s="42"/>
      <c r="B602" s="42" t="s">
        <v>797</v>
      </c>
      <c r="C602" s="38"/>
      <c r="D602" s="38"/>
      <c r="E602" s="38"/>
      <c r="F602" s="38"/>
      <c r="G602" s="43" t="s">
        <v>1330</v>
      </c>
      <c r="H602" s="42" t="s">
        <v>1926</v>
      </c>
      <c r="I602" s="340">
        <f>regional!I208</f>
        <v>0</v>
      </c>
      <c r="J602" s="315"/>
      <c r="K602" s="315"/>
      <c r="L602" s="276"/>
      <c r="M602" s="276"/>
      <c r="N602" s="276"/>
      <c r="O602" s="276"/>
      <c r="P602" s="276"/>
      <c r="Q602" s="104"/>
    </row>
    <row r="603" spans="1:17" ht="12.75" customHeight="1" x14ac:dyDescent="0.3">
      <c r="A603" s="42"/>
      <c r="B603" s="42" t="s">
        <v>421</v>
      </c>
      <c r="C603" s="38"/>
      <c r="D603" s="38"/>
      <c r="E603" s="38"/>
      <c r="F603" s="38"/>
      <c r="G603" s="43" t="s">
        <v>1331</v>
      </c>
      <c r="H603" s="42" t="s">
        <v>1926</v>
      </c>
      <c r="I603" s="340">
        <f>regional!I209</f>
        <v>0</v>
      </c>
      <c r="J603" s="315"/>
      <c r="K603" s="315"/>
      <c r="L603" s="276"/>
      <c r="M603" s="276"/>
      <c r="N603" s="276"/>
      <c r="O603" s="276"/>
      <c r="P603" s="276"/>
      <c r="Q603" s="104"/>
    </row>
    <row r="604" spans="1:17" ht="12.75" customHeight="1" x14ac:dyDescent="0.3">
      <c r="A604" s="42"/>
      <c r="B604" s="42" t="s">
        <v>428</v>
      </c>
      <c r="C604" s="38"/>
      <c r="D604" s="38"/>
      <c r="E604" s="38"/>
      <c r="F604" s="38"/>
      <c r="G604" s="43" t="s">
        <v>1332</v>
      </c>
      <c r="H604" s="42" t="s">
        <v>1926</v>
      </c>
      <c r="I604" s="340">
        <f>regional!I210</f>
        <v>0</v>
      </c>
      <c r="J604" s="315"/>
      <c r="K604" s="315"/>
      <c r="L604" s="276"/>
      <c r="M604" s="276"/>
      <c r="N604" s="276"/>
      <c r="O604" s="276"/>
      <c r="P604" s="276"/>
      <c r="Q604" s="104"/>
    </row>
    <row r="605" spans="1:17" ht="12.75" customHeight="1" x14ac:dyDescent="0.3">
      <c r="A605" s="42"/>
      <c r="B605" s="42" t="s">
        <v>1050</v>
      </c>
      <c r="C605" s="38"/>
      <c r="D605" s="38"/>
      <c r="E605" s="38"/>
      <c r="F605" s="38"/>
      <c r="G605" s="63" t="s">
        <v>1219</v>
      </c>
      <c r="H605" s="42" t="s">
        <v>28</v>
      </c>
      <c r="I605" s="340">
        <f ca="1">regional!I211</f>
        <v>0.24653349226413893</v>
      </c>
      <c r="J605" s="315"/>
      <c r="K605" s="315"/>
      <c r="L605" s="276"/>
      <c r="M605" s="276"/>
      <c r="N605" s="276"/>
      <c r="O605" s="276"/>
      <c r="P605" s="276"/>
      <c r="Q605" s="104"/>
    </row>
    <row r="606" spans="1:17" ht="12.75" customHeight="1" x14ac:dyDescent="0.3">
      <c r="A606" s="42"/>
      <c r="B606" s="42" t="s">
        <v>1051</v>
      </c>
      <c r="C606" s="38"/>
      <c r="D606" s="38"/>
      <c r="E606" s="38"/>
      <c r="F606" s="38"/>
      <c r="G606" s="63" t="s">
        <v>1220</v>
      </c>
      <c r="H606" s="42" t="s">
        <v>28</v>
      </c>
      <c r="I606" s="340">
        <f ca="1">regional!I212</f>
        <v>0.22193795026150184</v>
      </c>
      <c r="J606" s="315"/>
      <c r="K606" s="315"/>
      <c r="L606" s="276"/>
      <c r="M606" s="276"/>
      <c r="N606" s="276"/>
      <c r="O606" s="276"/>
      <c r="P606" s="276"/>
      <c r="Q606" s="104"/>
    </row>
    <row r="607" spans="1:17" ht="12.75" customHeight="1" x14ac:dyDescent="0.3">
      <c r="A607" s="38"/>
      <c r="B607" s="42" t="s">
        <v>578</v>
      </c>
      <c r="C607" s="38"/>
      <c r="D607" s="38"/>
      <c r="E607" s="38"/>
      <c r="F607" s="38"/>
      <c r="G607" s="63" t="s">
        <v>1221</v>
      </c>
      <c r="H607" s="42" t="s">
        <v>28</v>
      </c>
      <c r="I607" s="340">
        <f ca="1">regional!I213</f>
        <v>0.39333150940194711</v>
      </c>
      <c r="J607" s="315"/>
      <c r="K607" s="315"/>
      <c r="L607" s="276"/>
      <c r="M607" s="276"/>
      <c r="N607" s="276"/>
      <c r="O607" s="276"/>
      <c r="P607" s="276"/>
      <c r="Q607" s="104"/>
    </row>
    <row r="608" spans="1:17" ht="12.75" customHeight="1" x14ac:dyDescent="0.3">
      <c r="A608" s="42"/>
      <c r="B608" s="38" t="s">
        <v>1835</v>
      </c>
      <c r="C608" s="38"/>
      <c r="D608" s="64"/>
      <c r="E608" s="64"/>
      <c r="F608" s="64"/>
      <c r="G608" s="43" t="s">
        <v>1497</v>
      </c>
      <c r="H608" s="38" t="s">
        <v>28</v>
      </c>
      <c r="I608" s="340">
        <f>regional!I214</f>
        <v>0</v>
      </c>
      <c r="J608" s="315"/>
      <c r="K608" s="315">
        <v>1</v>
      </c>
      <c r="L608" s="276">
        <v>1</v>
      </c>
      <c r="M608" s="276">
        <v>1</v>
      </c>
      <c r="N608" s="276">
        <v>1</v>
      </c>
      <c r="O608" s="276"/>
      <c r="P608" s="276">
        <v>1</v>
      </c>
      <c r="Q608" s="104"/>
    </row>
    <row r="609" spans="1:17" ht="12.75" customHeight="1" x14ac:dyDescent="0.3">
      <c r="A609" s="42"/>
      <c r="B609" s="38" t="s">
        <v>1835</v>
      </c>
      <c r="C609" s="38"/>
      <c r="D609" s="64"/>
      <c r="E609" s="64"/>
      <c r="F609" s="64"/>
      <c r="G609" s="43" t="s">
        <v>1498</v>
      </c>
      <c r="H609" s="38" t="s">
        <v>28</v>
      </c>
      <c r="I609" s="340">
        <f>regional!I215</f>
        <v>0</v>
      </c>
      <c r="J609" s="315"/>
      <c r="K609" s="315">
        <v>1</v>
      </c>
      <c r="L609" s="276">
        <v>1</v>
      </c>
      <c r="M609" s="276">
        <v>1</v>
      </c>
      <c r="N609" s="276">
        <v>1</v>
      </c>
      <c r="O609" s="276"/>
      <c r="P609" s="276">
        <v>1</v>
      </c>
      <c r="Q609" s="104"/>
    </row>
    <row r="610" spans="1:17" ht="12.75" customHeight="1" x14ac:dyDescent="0.3">
      <c r="A610" s="42"/>
      <c r="B610" s="38" t="s">
        <v>1835</v>
      </c>
      <c r="C610" s="38"/>
      <c r="D610" s="64"/>
      <c r="E610" s="64"/>
      <c r="F610" s="64"/>
      <c r="G610" s="43" t="s">
        <v>1499</v>
      </c>
      <c r="H610" s="38" t="s">
        <v>28</v>
      </c>
      <c r="I610" s="340">
        <f>regional!I216</f>
        <v>0</v>
      </c>
      <c r="J610" s="315"/>
      <c r="K610" s="315">
        <v>1</v>
      </c>
      <c r="L610" s="276">
        <v>1</v>
      </c>
      <c r="M610" s="276">
        <v>1</v>
      </c>
      <c r="N610" s="276">
        <v>1</v>
      </c>
      <c r="O610" s="276"/>
      <c r="P610" s="276">
        <v>1</v>
      </c>
      <c r="Q610" s="104"/>
    </row>
    <row r="611" spans="1:17" ht="12.75" customHeight="1" x14ac:dyDescent="0.3">
      <c r="A611" s="76"/>
      <c r="B611" s="76"/>
      <c r="C611" s="76"/>
      <c r="D611" s="76"/>
      <c r="E611" s="76"/>
      <c r="F611" s="76"/>
      <c r="G611" s="76"/>
      <c r="H611" s="76"/>
      <c r="I611" s="178"/>
      <c r="J611" s="326"/>
      <c r="K611" s="326"/>
      <c r="L611" s="290"/>
      <c r="M611" s="290"/>
      <c r="N611" s="290"/>
      <c r="O611" s="290"/>
      <c r="P611" s="290"/>
      <c r="Q611" s="104"/>
    </row>
    <row r="612" spans="1:17" ht="12.75" customHeight="1" x14ac:dyDescent="0.3">
      <c r="A612" s="38"/>
      <c r="B612" s="38"/>
      <c r="C612" s="38"/>
      <c r="D612" s="38"/>
      <c r="E612" s="38"/>
      <c r="F612" s="38"/>
      <c r="G612" s="38"/>
      <c r="H612" s="38"/>
      <c r="I612" s="162"/>
      <c r="J612" s="322"/>
      <c r="K612" s="322"/>
      <c r="L612" s="285"/>
      <c r="M612" s="285"/>
      <c r="N612" s="285"/>
      <c r="O612" s="285"/>
      <c r="P612" s="285"/>
      <c r="Q612" s="104"/>
    </row>
    <row r="613" spans="1:17" ht="12.75" customHeight="1" x14ac:dyDescent="0.3">
      <c r="A613" s="49" t="s">
        <v>441</v>
      </c>
      <c r="B613" s="38"/>
      <c r="C613" s="38"/>
      <c r="D613" s="38"/>
      <c r="E613" s="38"/>
      <c r="F613" s="38"/>
      <c r="G613" s="38"/>
      <c r="H613" s="38"/>
      <c r="I613" s="162"/>
      <c r="J613" s="322"/>
      <c r="K613" s="322"/>
      <c r="L613" s="285"/>
      <c r="M613" s="285"/>
      <c r="N613" s="285"/>
      <c r="O613" s="285"/>
      <c r="P613" s="285"/>
      <c r="Q613" s="104"/>
    </row>
    <row r="614" spans="1:17" ht="12.75" customHeight="1" x14ac:dyDescent="0.3">
      <c r="A614" s="65"/>
      <c r="B614" s="38"/>
      <c r="C614" s="38"/>
      <c r="D614" s="38"/>
      <c r="E614" s="38"/>
      <c r="F614" s="38"/>
      <c r="G614" s="38"/>
      <c r="H614" s="38"/>
      <c r="I614" s="178"/>
      <c r="J614" s="322"/>
      <c r="K614" s="322"/>
      <c r="L614" s="285"/>
      <c r="M614" s="285"/>
      <c r="N614" s="285"/>
      <c r="O614" s="285"/>
      <c r="P614" s="285"/>
      <c r="Q614" s="104"/>
    </row>
    <row r="615" spans="1:17" ht="12.75" customHeight="1" x14ac:dyDescent="0.3">
      <c r="A615" s="66" t="s">
        <v>1305</v>
      </c>
      <c r="B615" s="66"/>
      <c r="C615" s="66"/>
      <c r="D615" s="66"/>
      <c r="E615" s="66"/>
      <c r="F615" s="66"/>
      <c r="G615" s="66"/>
      <c r="H615" s="66"/>
      <c r="I615" s="189" t="s">
        <v>748</v>
      </c>
      <c r="J615" s="319"/>
      <c r="K615" s="319"/>
      <c r="L615" s="281"/>
      <c r="M615" s="281"/>
      <c r="N615" s="281"/>
      <c r="O615" s="281"/>
      <c r="P615" s="281"/>
      <c r="Q615" s="104"/>
    </row>
    <row r="616" spans="1:17" ht="12.75" customHeight="1" x14ac:dyDescent="0.3">
      <c r="A616" s="38"/>
      <c r="B616" s="38"/>
      <c r="C616" s="42"/>
      <c r="D616" s="42"/>
      <c r="E616" s="38"/>
      <c r="F616" s="38"/>
      <c r="G616" s="38"/>
      <c r="H616" s="38"/>
      <c r="I616" s="162"/>
      <c r="J616" s="322"/>
      <c r="K616" s="322"/>
      <c r="L616" s="285"/>
      <c r="M616" s="285"/>
      <c r="N616" s="285"/>
      <c r="O616" s="285"/>
      <c r="P616" s="285"/>
      <c r="Q616" s="104"/>
    </row>
    <row r="617" spans="1:17" ht="12.75" customHeight="1" x14ac:dyDescent="0.3">
      <c r="A617" s="42" t="s">
        <v>1082</v>
      </c>
      <c r="B617" s="38"/>
      <c r="C617" s="38"/>
      <c r="D617" s="38"/>
      <c r="E617" s="38"/>
      <c r="F617" s="38"/>
      <c r="G617" s="43" t="s">
        <v>1432</v>
      </c>
      <c r="H617" s="38" t="s">
        <v>1937</v>
      </c>
      <c r="I617" s="340">
        <f>continental!I5</f>
        <v>0</v>
      </c>
      <c r="J617" s="315"/>
      <c r="K617" s="315"/>
      <c r="L617" s="276"/>
      <c r="M617" s="276"/>
      <c r="N617" s="276"/>
      <c r="O617" s="276"/>
      <c r="P617" s="276"/>
      <c r="Q617" s="104"/>
    </row>
    <row r="618" spans="1:17" ht="12.75" customHeight="1" x14ac:dyDescent="0.3">
      <c r="A618" s="42" t="s">
        <v>276</v>
      </c>
      <c r="B618" s="38"/>
      <c r="C618" s="38"/>
      <c r="D618" s="38"/>
      <c r="E618" s="38"/>
      <c r="F618" s="38"/>
      <c r="G618" s="43" t="s">
        <v>320</v>
      </c>
      <c r="H618" s="42" t="s">
        <v>1937</v>
      </c>
      <c r="I618" s="340">
        <f>continental!I6</f>
        <v>0</v>
      </c>
      <c r="J618" s="315"/>
      <c r="K618" s="315"/>
      <c r="L618" s="276"/>
      <c r="M618" s="276"/>
      <c r="N618" s="276"/>
      <c r="O618" s="276"/>
      <c r="P618" s="276"/>
      <c r="Q618" s="104"/>
    </row>
    <row r="619" spans="1:17" ht="12.75" customHeight="1" x14ac:dyDescent="0.3">
      <c r="A619" s="42" t="s">
        <v>702</v>
      </c>
      <c r="B619" s="38"/>
      <c r="C619" s="38"/>
      <c r="D619" s="38"/>
      <c r="E619" s="38"/>
      <c r="F619" s="38"/>
      <c r="G619" s="43" t="s">
        <v>1433</v>
      </c>
      <c r="H619" s="38" t="s">
        <v>1937</v>
      </c>
      <c r="I619" s="340">
        <f>continental!I7</f>
        <v>0</v>
      </c>
      <c r="J619" s="315"/>
      <c r="K619" s="315"/>
      <c r="L619" s="276"/>
      <c r="M619" s="276"/>
      <c r="N619" s="276"/>
      <c r="O619" s="276"/>
      <c r="P619" s="276"/>
      <c r="Q619" s="104"/>
    </row>
    <row r="620" spans="1:17" ht="12.75" customHeight="1" x14ac:dyDescent="0.3">
      <c r="A620" s="42" t="s">
        <v>703</v>
      </c>
      <c r="B620" s="38"/>
      <c r="C620" s="38"/>
      <c r="D620" s="38"/>
      <c r="E620" s="38"/>
      <c r="F620" s="38"/>
      <c r="G620" s="43" t="s">
        <v>1434</v>
      </c>
      <c r="H620" s="38" t="s">
        <v>1937</v>
      </c>
      <c r="I620" s="340">
        <f>continental!I8</f>
        <v>0</v>
      </c>
      <c r="J620" s="315"/>
      <c r="K620" s="315"/>
      <c r="L620" s="276"/>
      <c r="M620" s="276"/>
      <c r="N620" s="276"/>
      <c r="O620" s="276"/>
      <c r="P620" s="276"/>
      <c r="Q620" s="104"/>
    </row>
    <row r="621" spans="1:17" ht="12.75" customHeight="1" x14ac:dyDescent="0.3">
      <c r="A621" s="42" t="s">
        <v>704</v>
      </c>
      <c r="B621" s="38"/>
      <c r="C621" s="38"/>
      <c r="D621" s="38"/>
      <c r="E621" s="38"/>
      <c r="F621" s="38"/>
      <c r="G621" s="43" t="s">
        <v>1435</v>
      </c>
      <c r="H621" s="38" t="s">
        <v>1937</v>
      </c>
      <c r="I621" s="340">
        <f>continental!I9</f>
        <v>0</v>
      </c>
      <c r="J621" s="315"/>
      <c r="K621" s="315"/>
      <c r="L621" s="276"/>
      <c r="M621" s="276"/>
      <c r="N621" s="276"/>
      <c r="O621" s="276"/>
      <c r="P621" s="276"/>
      <c r="Q621" s="104"/>
    </row>
    <row r="622" spans="1:17" ht="12.75" customHeight="1" x14ac:dyDescent="0.3">
      <c r="A622" s="42" t="s">
        <v>705</v>
      </c>
      <c r="B622" s="38"/>
      <c r="C622" s="38"/>
      <c r="D622" s="38"/>
      <c r="E622" s="38"/>
      <c r="F622" s="38"/>
      <c r="G622" s="43" t="s">
        <v>1436</v>
      </c>
      <c r="H622" s="38" t="s">
        <v>1937</v>
      </c>
      <c r="I622" s="340">
        <f>continental!I10</f>
        <v>0</v>
      </c>
      <c r="J622" s="315"/>
      <c r="K622" s="315"/>
      <c r="L622" s="276"/>
      <c r="M622" s="276"/>
      <c r="N622" s="276"/>
      <c r="O622" s="276"/>
      <c r="P622" s="276"/>
      <c r="Q622" s="104"/>
    </row>
    <row r="623" spans="1:17" ht="12.75" customHeight="1" x14ac:dyDescent="0.3">
      <c r="A623" s="42" t="s">
        <v>706</v>
      </c>
      <c r="B623" s="38"/>
      <c r="C623" s="38"/>
      <c r="D623" s="38"/>
      <c r="E623" s="38"/>
      <c r="F623" s="38"/>
      <c r="G623" s="43" t="s">
        <v>1437</v>
      </c>
      <c r="H623" s="38" t="s">
        <v>1937</v>
      </c>
      <c r="I623" s="340">
        <f>continental!I11</f>
        <v>0</v>
      </c>
      <c r="J623" s="315"/>
      <c r="K623" s="315"/>
      <c r="L623" s="276"/>
      <c r="M623" s="276"/>
      <c r="N623" s="276"/>
      <c r="O623" s="276"/>
      <c r="P623" s="276"/>
      <c r="Q623" s="104"/>
    </row>
    <row r="624" spans="1:17" ht="12.75" customHeight="1" x14ac:dyDescent="0.3">
      <c r="A624" s="42" t="s">
        <v>707</v>
      </c>
      <c r="B624" s="38"/>
      <c r="C624" s="38"/>
      <c r="D624" s="38"/>
      <c r="E624" s="38"/>
      <c r="F624" s="38"/>
      <c r="G624" s="43" t="s">
        <v>1438</v>
      </c>
      <c r="H624" s="38" t="s">
        <v>1937</v>
      </c>
      <c r="I624" s="340">
        <f>continental!I12</f>
        <v>0</v>
      </c>
      <c r="J624" s="315"/>
      <c r="K624" s="315"/>
      <c r="L624" s="276"/>
      <c r="M624" s="276"/>
      <c r="N624" s="276"/>
      <c r="O624" s="276"/>
      <c r="P624" s="276"/>
      <c r="Q624" s="104"/>
    </row>
    <row r="625" spans="1:17" ht="12.75" customHeight="1" x14ac:dyDescent="0.3">
      <c r="A625" s="42" t="s">
        <v>202</v>
      </c>
      <c r="B625" s="38"/>
      <c r="C625" s="38"/>
      <c r="D625" s="38"/>
      <c r="E625" s="38"/>
      <c r="F625" s="38"/>
      <c r="G625" s="43" t="s">
        <v>1439</v>
      </c>
      <c r="H625" s="38" t="s">
        <v>1937</v>
      </c>
      <c r="I625" s="340">
        <f>continental!I13</f>
        <v>0</v>
      </c>
      <c r="J625" s="315"/>
      <c r="K625" s="315"/>
      <c r="L625" s="276"/>
      <c r="M625" s="276"/>
      <c r="N625" s="276"/>
      <c r="O625" s="276"/>
      <c r="P625" s="276"/>
      <c r="Q625" s="104"/>
    </row>
    <row r="626" spans="1:17" ht="12.75" customHeight="1" x14ac:dyDescent="0.3">
      <c r="A626" s="42"/>
      <c r="B626" s="64" t="s">
        <v>1351</v>
      </c>
      <c r="C626" s="38"/>
      <c r="D626" s="38"/>
      <c r="E626" s="38"/>
      <c r="F626" s="38"/>
      <c r="G626" s="43" t="s">
        <v>1392</v>
      </c>
      <c r="H626" s="38" t="s">
        <v>1934</v>
      </c>
      <c r="I626" s="340">
        <f>continental!I14</f>
        <v>0</v>
      </c>
      <c r="J626" s="315"/>
      <c r="K626" s="315"/>
      <c r="L626" s="276"/>
      <c r="M626" s="276"/>
      <c r="N626" s="276"/>
      <c r="O626" s="276"/>
      <c r="P626" s="276"/>
      <c r="Q626" s="104"/>
    </row>
    <row r="627" spans="1:17" ht="12.75" customHeight="1" x14ac:dyDescent="0.3">
      <c r="A627" s="42"/>
      <c r="B627" s="42" t="s">
        <v>278</v>
      </c>
      <c r="C627" s="38"/>
      <c r="D627" s="38"/>
      <c r="E627" s="38"/>
      <c r="F627" s="38"/>
      <c r="G627" s="63" t="s">
        <v>321</v>
      </c>
      <c r="H627" s="42" t="s">
        <v>28</v>
      </c>
      <c r="I627" s="340">
        <f>continental!I15</f>
        <v>0</v>
      </c>
      <c r="J627" s="315"/>
      <c r="K627" s="315"/>
      <c r="L627" s="276"/>
      <c r="M627" s="276"/>
      <c r="N627" s="276"/>
      <c r="O627" s="276"/>
      <c r="P627" s="276"/>
      <c r="Q627" s="104"/>
    </row>
    <row r="628" spans="1:17" ht="12.75" customHeight="1" x14ac:dyDescent="0.3">
      <c r="A628" s="42"/>
      <c r="B628" s="42" t="s">
        <v>1084</v>
      </c>
      <c r="C628" s="38"/>
      <c r="D628" s="38"/>
      <c r="E628" s="38"/>
      <c r="F628" s="38"/>
      <c r="G628" s="63" t="s">
        <v>1442</v>
      </c>
      <c r="H628" s="38" t="s">
        <v>28</v>
      </c>
      <c r="I628" s="340">
        <f>continental!I16</f>
        <v>0</v>
      </c>
      <c r="J628" s="315"/>
      <c r="K628" s="315"/>
      <c r="L628" s="276"/>
      <c r="M628" s="276"/>
      <c r="N628" s="276"/>
      <c r="O628" s="276"/>
      <c r="P628" s="276"/>
      <c r="Q628" s="104"/>
    </row>
    <row r="629" spans="1:17" ht="12.75" customHeight="1" x14ac:dyDescent="0.3">
      <c r="A629" s="42"/>
      <c r="B629" s="42" t="s">
        <v>1086</v>
      </c>
      <c r="C629" s="38"/>
      <c r="D629" s="38"/>
      <c r="E629" s="38"/>
      <c r="F629" s="38"/>
      <c r="G629" s="63" t="s">
        <v>1444</v>
      </c>
      <c r="H629" s="38" t="s">
        <v>28</v>
      </c>
      <c r="I629" s="340">
        <f>continental!I17</f>
        <v>0</v>
      </c>
      <c r="J629" s="315"/>
      <c r="K629" s="315"/>
      <c r="L629" s="276"/>
      <c r="M629" s="276"/>
      <c r="N629" s="276"/>
      <c r="O629" s="276"/>
      <c r="P629" s="276"/>
      <c r="Q629" s="104"/>
    </row>
    <row r="630" spans="1:17" ht="12.75" customHeight="1" x14ac:dyDescent="0.3">
      <c r="A630" s="42"/>
      <c r="B630" s="42" t="s">
        <v>858</v>
      </c>
      <c r="C630" s="38"/>
      <c r="D630" s="38"/>
      <c r="E630" s="38"/>
      <c r="F630" s="38"/>
      <c r="G630" s="63" t="s">
        <v>1292</v>
      </c>
      <c r="H630" s="38" t="s">
        <v>28</v>
      </c>
      <c r="I630" s="340">
        <f>continental!I18</f>
        <v>0</v>
      </c>
      <c r="J630" s="315"/>
      <c r="K630" s="315"/>
      <c r="L630" s="276"/>
      <c r="M630" s="276"/>
      <c r="N630" s="276"/>
      <c r="O630" s="276"/>
      <c r="P630" s="276"/>
      <c r="Q630" s="104"/>
    </row>
    <row r="631" spans="1:17" ht="12.75" customHeight="1" x14ac:dyDescent="0.3">
      <c r="A631" s="42"/>
      <c r="B631" s="42" t="s">
        <v>859</v>
      </c>
      <c r="C631" s="38"/>
      <c r="D631" s="38"/>
      <c r="E631" s="38"/>
      <c r="F631" s="38"/>
      <c r="G631" s="63" t="s">
        <v>843</v>
      </c>
      <c r="H631" s="38" t="s">
        <v>28</v>
      </c>
      <c r="I631" s="340">
        <f>continental!I19</f>
        <v>0</v>
      </c>
      <c r="J631" s="315"/>
      <c r="K631" s="315"/>
      <c r="L631" s="276"/>
      <c r="M631" s="276"/>
      <c r="N631" s="276"/>
      <c r="O631" s="276"/>
      <c r="P631" s="276"/>
      <c r="Q631" s="104"/>
    </row>
    <row r="632" spans="1:17" ht="12.75" customHeight="1" x14ac:dyDescent="0.3">
      <c r="A632" s="42"/>
      <c r="B632" s="42" t="s">
        <v>1085</v>
      </c>
      <c r="C632" s="38"/>
      <c r="D632" s="38"/>
      <c r="E632" s="38"/>
      <c r="F632" s="38"/>
      <c r="G632" s="63" t="s">
        <v>1443</v>
      </c>
      <c r="H632" s="38" t="s">
        <v>28</v>
      </c>
      <c r="I632" s="340">
        <f>continental!I20</f>
        <v>0</v>
      </c>
      <c r="J632" s="315"/>
      <c r="K632" s="315"/>
      <c r="L632" s="276"/>
      <c r="M632" s="276"/>
      <c r="N632" s="276"/>
      <c r="O632" s="276"/>
      <c r="P632" s="276"/>
      <c r="Q632" s="104"/>
    </row>
    <row r="633" spans="1:17" ht="12.75" customHeight="1" x14ac:dyDescent="0.3">
      <c r="A633" s="42"/>
      <c r="B633" s="38"/>
      <c r="C633" s="42" t="s">
        <v>761</v>
      </c>
      <c r="D633" s="64"/>
      <c r="E633" s="64"/>
      <c r="F633" s="38"/>
      <c r="G633" s="63" t="s">
        <v>103</v>
      </c>
      <c r="H633" s="38" t="s">
        <v>713</v>
      </c>
      <c r="I633" s="340">
        <f ca="1">continental!I21</f>
        <v>251.88202315384237</v>
      </c>
      <c r="J633" s="315"/>
      <c r="K633" s="315"/>
      <c r="L633" s="276"/>
      <c r="M633" s="276"/>
      <c r="N633" s="276"/>
      <c r="O633" s="276"/>
      <c r="P633" s="276"/>
      <c r="Q633" s="104"/>
    </row>
    <row r="634" spans="1:17" ht="12.75" customHeight="1" x14ac:dyDescent="0.3">
      <c r="A634" s="42"/>
      <c r="B634" s="38"/>
      <c r="C634" s="42" t="s">
        <v>280</v>
      </c>
      <c r="D634" s="64"/>
      <c r="E634" s="64"/>
      <c r="F634" s="38"/>
      <c r="G634" s="63" t="s">
        <v>322</v>
      </c>
      <c r="H634" s="42" t="s">
        <v>713</v>
      </c>
      <c r="I634" s="340">
        <f>continental!I22</f>
        <v>0</v>
      </c>
      <c r="J634" s="315"/>
      <c r="K634" s="315"/>
      <c r="L634" s="276"/>
      <c r="M634" s="276"/>
      <c r="N634" s="276"/>
      <c r="O634" s="276"/>
      <c r="P634" s="276"/>
      <c r="Q634" s="104"/>
    </row>
    <row r="635" spans="1:17" ht="12.75" customHeight="1" x14ac:dyDescent="0.3">
      <c r="A635" s="42"/>
      <c r="B635" s="38"/>
      <c r="C635" s="42" t="s">
        <v>762</v>
      </c>
      <c r="D635" s="64"/>
      <c r="E635" s="64"/>
      <c r="F635" s="38"/>
      <c r="G635" s="63" t="s">
        <v>104</v>
      </c>
      <c r="H635" s="38" t="s">
        <v>713</v>
      </c>
      <c r="I635" s="340">
        <f>continental!I23</f>
        <v>0</v>
      </c>
      <c r="J635" s="315"/>
      <c r="K635" s="315"/>
      <c r="L635" s="276"/>
      <c r="M635" s="276"/>
      <c r="N635" s="276"/>
      <c r="O635" s="276"/>
      <c r="P635" s="276"/>
      <c r="Q635" s="104"/>
    </row>
    <row r="636" spans="1:17" ht="12.75" customHeight="1" x14ac:dyDescent="0.3">
      <c r="A636" s="42"/>
      <c r="B636" s="38"/>
      <c r="C636" s="42" t="s">
        <v>763</v>
      </c>
      <c r="D636" s="64"/>
      <c r="E636" s="64"/>
      <c r="F636" s="38"/>
      <c r="G636" s="63" t="s">
        <v>460</v>
      </c>
      <c r="H636" s="38" t="s">
        <v>713</v>
      </c>
      <c r="I636" s="340">
        <f>continental!I24</f>
        <v>0</v>
      </c>
      <c r="J636" s="315"/>
      <c r="K636" s="315"/>
      <c r="L636" s="276"/>
      <c r="M636" s="276"/>
      <c r="N636" s="276"/>
      <c r="O636" s="276"/>
      <c r="P636" s="276"/>
      <c r="Q636" s="104"/>
    </row>
    <row r="637" spans="1:17" ht="12.75" customHeight="1" x14ac:dyDescent="0.3">
      <c r="A637" s="42"/>
      <c r="B637" s="38"/>
      <c r="C637" s="42" t="s">
        <v>764</v>
      </c>
      <c r="D637" s="64"/>
      <c r="E637" s="64"/>
      <c r="F637" s="38"/>
      <c r="G637" s="63" t="s">
        <v>461</v>
      </c>
      <c r="H637" s="38" t="s">
        <v>715</v>
      </c>
      <c r="I637" s="340">
        <f ca="1">continental!I25</f>
        <v>3.8398187550801031</v>
      </c>
      <c r="J637" s="315"/>
      <c r="K637" s="315"/>
      <c r="L637" s="276"/>
      <c r="M637" s="276"/>
      <c r="N637" s="276"/>
      <c r="O637" s="276"/>
      <c r="P637" s="276"/>
      <c r="Q637" s="104"/>
    </row>
    <row r="638" spans="1:17" ht="12.75" customHeight="1" x14ac:dyDescent="0.3">
      <c r="A638" s="42"/>
      <c r="B638" s="38"/>
      <c r="C638" s="42" t="s">
        <v>568</v>
      </c>
      <c r="D638" s="64"/>
      <c r="E638" s="64"/>
      <c r="F638" s="38"/>
      <c r="G638" s="63" t="s">
        <v>462</v>
      </c>
      <c r="H638" s="38" t="s">
        <v>715</v>
      </c>
      <c r="I638" s="340">
        <f ca="1">continental!I26</f>
        <v>4.7818553908250099</v>
      </c>
      <c r="J638" s="315"/>
      <c r="K638" s="315"/>
      <c r="L638" s="276"/>
      <c r="M638" s="276"/>
      <c r="N638" s="276"/>
      <c r="O638" s="276"/>
      <c r="P638" s="276"/>
      <c r="Q638" s="104"/>
    </row>
    <row r="639" spans="1:17" ht="12.75" customHeight="1" x14ac:dyDescent="0.3">
      <c r="A639" s="42"/>
      <c r="B639" s="38"/>
      <c r="C639" s="42" t="s">
        <v>1938</v>
      </c>
      <c r="D639" s="64"/>
      <c r="E639" s="64"/>
      <c r="F639" s="38"/>
      <c r="G639" s="63" t="s">
        <v>1350</v>
      </c>
      <c r="H639" s="38" t="s">
        <v>713</v>
      </c>
      <c r="I639" s="340">
        <f>continental!I27</f>
        <v>0</v>
      </c>
      <c r="J639" s="315"/>
      <c r="K639" s="315"/>
      <c r="L639" s="276"/>
      <c r="M639" s="276"/>
      <c r="N639" s="276"/>
      <c r="O639" s="276"/>
      <c r="P639" s="276"/>
      <c r="Q639" s="104"/>
    </row>
    <row r="640" spans="1:17" ht="12.75" customHeight="1" x14ac:dyDescent="0.3">
      <c r="A640" s="42"/>
      <c r="B640" s="38"/>
      <c r="C640" s="42" t="s">
        <v>1966</v>
      </c>
      <c r="D640" s="64"/>
      <c r="E640" s="64"/>
      <c r="F640" s="38"/>
      <c r="G640" s="63" t="s">
        <v>463</v>
      </c>
      <c r="H640" s="38" t="s">
        <v>713</v>
      </c>
      <c r="I640" s="340">
        <f>continental!I28</f>
        <v>0</v>
      </c>
      <c r="J640" s="315"/>
      <c r="K640" s="315"/>
      <c r="L640" s="276"/>
      <c r="M640" s="276"/>
      <c r="N640" s="276"/>
      <c r="O640" s="276"/>
      <c r="P640" s="276"/>
      <c r="Q640" s="104"/>
    </row>
    <row r="641" spans="1:17" ht="12.75" customHeight="1" x14ac:dyDescent="0.3">
      <c r="A641" s="42"/>
      <c r="B641" s="38"/>
      <c r="C641" s="42" t="s">
        <v>1940</v>
      </c>
      <c r="D641" s="64"/>
      <c r="E641" s="64"/>
      <c r="F641" s="38"/>
      <c r="G641" s="63" t="s">
        <v>769</v>
      </c>
      <c r="H641" s="38" t="s">
        <v>713</v>
      </c>
      <c r="I641" s="340">
        <f>continental!I29</f>
        <v>0</v>
      </c>
      <c r="J641" s="315"/>
      <c r="K641" s="315"/>
      <c r="L641" s="276"/>
      <c r="M641" s="276"/>
      <c r="N641" s="276"/>
      <c r="O641" s="276"/>
      <c r="P641" s="276"/>
      <c r="Q641" s="104"/>
    </row>
    <row r="642" spans="1:17" ht="12.75" customHeight="1" x14ac:dyDescent="0.3">
      <c r="A642" s="38"/>
      <c r="B642" s="38"/>
      <c r="C642" s="38" t="s">
        <v>208</v>
      </c>
      <c r="D642" s="38"/>
      <c r="E642" s="38"/>
      <c r="F642" s="38"/>
      <c r="G642" s="42" t="s">
        <v>1967</v>
      </c>
      <c r="H642" s="42" t="s">
        <v>716</v>
      </c>
      <c r="I642" s="340">
        <f>continental!I30</f>
        <v>0</v>
      </c>
      <c r="J642" s="315"/>
      <c r="K642" s="315">
        <v>4.9999999999999995E-11</v>
      </c>
      <c r="L642" s="276">
        <v>4.9999999999999995E-11</v>
      </c>
      <c r="M642" s="276">
        <v>4.9999999999999995E-11</v>
      </c>
      <c r="N642" s="276">
        <v>4.9999999999999995E-11</v>
      </c>
      <c r="O642" s="276">
        <v>4.9999999999999995E-11</v>
      </c>
      <c r="P642" s="276"/>
      <c r="Q642" s="104"/>
    </row>
    <row r="643" spans="1:17" ht="12.75" customHeight="1" x14ac:dyDescent="0.3">
      <c r="A643" s="38"/>
      <c r="B643" s="38"/>
      <c r="C643" s="38" t="s">
        <v>209</v>
      </c>
      <c r="D643" s="38"/>
      <c r="E643" s="38"/>
      <c r="F643" s="38"/>
      <c r="G643" s="42" t="s">
        <v>1968</v>
      </c>
      <c r="H643" s="42" t="s">
        <v>716</v>
      </c>
      <c r="I643" s="340">
        <f>continental!I31</f>
        <v>0</v>
      </c>
      <c r="J643" s="315"/>
      <c r="K643" s="315">
        <v>9.9999999999999995E-21</v>
      </c>
      <c r="L643" s="276">
        <v>9.9999999999999995E-21</v>
      </c>
      <c r="M643" s="276">
        <v>9.9999999999999995E-21</v>
      </c>
      <c r="N643" s="276">
        <v>9.9999999999999995E-21</v>
      </c>
      <c r="O643" s="276">
        <v>9.9999999999999995E-21</v>
      </c>
      <c r="P643" s="276"/>
      <c r="Q643" s="104"/>
    </row>
    <row r="644" spans="1:17" ht="12.75" customHeight="1" x14ac:dyDescent="0.3">
      <c r="A644" s="42"/>
      <c r="B644" s="38"/>
      <c r="C644" s="42" t="s">
        <v>528</v>
      </c>
      <c r="D644" s="64"/>
      <c r="E644" s="64"/>
      <c r="F644" s="38"/>
      <c r="G644" s="63" t="s">
        <v>35</v>
      </c>
      <c r="H644" s="38" t="s">
        <v>716</v>
      </c>
      <c r="I644" s="340">
        <f>continental!I32</f>
        <v>0</v>
      </c>
      <c r="J644" s="315"/>
      <c r="K644" s="315"/>
      <c r="L644" s="276"/>
      <c r="M644" s="276"/>
      <c r="N644" s="276"/>
      <c r="O644" s="276"/>
      <c r="P644" s="276"/>
      <c r="Q644" s="104"/>
    </row>
    <row r="645" spans="1:17" ht="12.75" customHeight="1" x14ac:dyDescent="0.3">
      <c r="A645" s="42"/>
      <c r="B645" s="38"/>
      <c r="C645" s="42" t="s">
        <v>413</v>
      </c>
      <c r="D645" s="64"/>
      <c r="E645" s="64"/>
      <c r="F645" s="38"/>
      <c r="G645" s="63" t="s">
        <v>437</v>
      </c>
      <c r="H645" s="38" t="s">
        <v>716</v>
      </c>
      <c r="I645" s="340">
        <f ca="1">continental!I33</f>
        <v>0.30883931274642684</v>
      </c>
      <c r="J645" s="315"/>
      <c r="K645" s="315"/>
      <c r="L645" s="276"/>
      <c r="M645" s="276"/>
      <c r="N645" s="276"/>
      <c r="O645" s="276"/>
      <c r="P645" s="276"/>
      <c r="Q645" s="104"/>
    </row>
    <row r="646" spans="1:17" ht="12.75" customHeight="1" x14ac:dyDescent="0.3">
      <c r="A646" s="42"/>
      <c r="B646" s="38"/>
      <c r="C646" s="42" t="s">
        <v>789</v>
      </c>
      <c r="D646" s="64"/>
      <c r="E646" s="64"/>
      <c r="F646" s="38"/>
      <c r="G646" s="63" t="s">
        <v>438</v>
      </c>
      <c r="H646" s="38" t="s">
        <v>716</v>
      </c>
      <c r="I646" s="340">
        <f>continental!I34</f>
        <v>0</v>
      </c>
      <c r="J646" s="315"/>
      <c r="K646" s="315"/>
      <c r="L646" s="276"/>
      <c r="M646" s="276"/>
      <c r="N646" s="276"/>
      <c r="O646" s="276"/>
      <c r="P646" s="276"/>
      <c r="Q646" s="104"/>
    </row>
    <row r="647" spans="1:17" ht="12.75" customHeight="1" x14ac:dyDescent="0.3">
      <c r="A647" s="42"/>
      <c r="B647" s="38"/>
      <c r="C647" s="42" t="s">
        <v>790</v>
      </c>
      <c r="D647" s="64"/>
      <c r="E647" s="64"/>
      <c r="F647" s="38"/>
      <c r="G647" s="63" t="s">
        <v>439</v>
      </c>
      <c r="H647" s="38" t="s">
        <v>716</v>
      </c>
      <c r="I647" s="340">
        <f>continental!I35</f>
        <v>0</v>
      </c>
      <c r="J647" s="315"/>
      <c r="K647" s="315"/>
      <c r="L647" s="276"/>
      <c r="M647" s="276"/>
      <c r="N647" s="276"/>
      <c r="O647" s="276"/>
      <c r="P647" s="276"/>
      <c r="Q647" s="104"/>
    </row>
    <row r="648" spans="1:17" ht="12.75" customHeight="1" x14ac:dyDescent="0.3">
      <c r="A648" s="42"/>
      <c r="B648" s="38"/>
      <c r="C648" s="42" t="s">
        <v>526</v>
      </c>
      <c r="D648" s="64"/>
      <c r="E648" s="64"/>
      <c r="F648" s="38"/>
      <c r="G648" s="63" t="s">
        <v>190</v>
      </c>
      <c r="H648" s="38" t="s">
        <v>716</v>
      </c>
      <c r="I648" s="340">
        <f ca="1">continental!I36</f>
        <v>0.51104136013320545</v>
      </c>
      <c r="J648" s="315"/>
      <c r="K648" s="315"/>
      <c r="L648" s="276"/>
      <c r="M648" s="276"/>
      <c r="N648" s="276"/>
      <c r="O648" s="276"/>
      <c r="P648" s="276"/>
      <c r="Q648" s="104"/>
    </row>
    <row r="649" spans="1:17" ht="12.75" customHeight="1" x14ac:dyDescent="0.3">
      <c r="A649" s="42"/>
      <c r="B649" s="38"/>
      <c r="C649" s="42" t="s">
        <v>527</v>
      </c>
      <c r="D649" s="64"/>
      <c r="E649" s="64"/>
      <c r="F649" s="38"/>
      <c r="G649" s="63" t="s">
        <v>191</v>
      </c>
      <c r="H649" s="38" t="s">
        <v>716</v>
      </c>
      <c r="I649" s="340">
        <f>continental!I37</f>
        <v>0</v>
      </c>
      <c r="J649" s="315"/>
      <c r="K649" s="315"/>
      <c r="L649" s="276"/>
      <c r="M649" s="276"/>
      <c r="N649" s="276"/>
      <c r="O649" s="276"/>
      <c r="P649" s="276"/>
      <c r="Q649" s="104"/>
    </row>
    <row r="650" spans="1:17" ht="12.75" customHeight="1" x14ac:dyDescent="0.3">
      <c r="A650" s="42"/>
      <c r="B650" s="38"/>
      <c r="C650" s="42" t="s">
        <v>1352</v>
      </c>
      <c r="D650" s="64"/>
      <c r="E650" s="64"/>
      <c r="F650" s="38"/>
      <c r="G650" s="63" t="s">
        <v>30</v>
      </c>
      <c r="H650" s="38" t="s">
        <v>716</v>
      </c>
      <c r="I650" s="340">
        <f>continental!I38</f>
        <v>0</v>
      </c>
      <c r="J650" s="315"/>
      <c r="K650" s="315"/>
      <c r="L650" s="276"/>
      <c r="M650" s="276"/>
      <c r="N650" s="276"/>
      <c r="O650" s="276"/>
      <c r="P650" s="276"/>
      <c r="Q650" s="104"/>
    </row>
    <row r="651" spans="1:17" ht="12.75" customHeight="1" x14ac:dyDescent="0.3">
      <c r="A651" s="42"/>
      <c r="B651" s="38"/>
      <c r="C651" s="42" t="s">
        <v>529</v>
      </c>
      <c r="D651" s="64"/>
      <c r="E651" s="64"/>
      <c r="F651" s="38"/>
      <c r="G651" s="63" t="s">
        <v>31</v>
      </c>
      <c r="H651" s="38" t="s">
        <v>716</v>
      </c>
      <c r="I651" s="340">
        <f ca="1">continental!I39</f>
        <v>0.50886883714435682</v>
      </c>
      <c r="J651" s="315"/>
      <c r="K651" s="315"/>
      <c r="L651" s="276"/>
      <c r="M651" s="276"/>
      <c r="N651" s="276"/>
      <c r="O651" s="276"/>
      <c r="P651" s="276"/>
      <c r="Q651" s="104"/>
    </row>
    <row r="652" spans="1:17" ht="12.75" customHeight="1" x14ac:dyDescent="0.3">
      <c r="A652" s="42"/>
      <c r="B652" s="38"/>
      <c r="C652" s="42" t="s">
        <v>14</v>
      </c>
      <c r="D652" s="64"/>
      <c r="E652" s="64"/>
      <c r="F652" s="38"/>
      <c r="G652" s="63" t="s">
        <v>32</v>
      </c>
      <c r="H652" s="38" t="s">
        <v>716</v>
      </c>
      <c r="I652" s="340">
        <f>continental!I40</f>
        <v>0</v>
      </c>
      <c r="J652" s="315"/>
      <c r="K652" s="315"/>
      <c r="L652" s="276"/>
      <c r="M652" s="276"/>
      <c r="N652" s="276"/>
      <c r="O652" s="276"/>
      <c r="P652" s="276"/>
      <c r="Q652" s="104"/>
    </row>
    <row r="653" spans="1:17" ht="12.75" customHeight="1" x14ac:dyDescent="0.3">
      <c r="A653" s="42"/>
      <c r="B653" s="38"/>
      <c r="C653" s="42" t="s">
        <v>429</v>
      </c>
      <c r="D653" s="64"/>
      <c r="E653" s="64"/>
      <c r="F653" s="38"/>
      <c r="G653" s="63" t="s">
        <v>33</v>
      </c>
      <c r="H653" s="38" t="s">
        <v>716</v>
      </c>
      <c r="I653" s="340">
        <f ca="1">continental!I41</f>
        <v>0.86144426606337632</v>
      </c>
      <c r="J653" s="315"/>
      <c r="K653" s="315"/>
      <c r="L653" s="276"/>
      <c r="M653" s="276"/>
      <c r="N653" s="276"/>
      <c r="O653" s="276"/>
      <c r="P653" s="276"/>
      <c r="Q653" s="104"/>
    </row>
    <row r="654" spans="1:17" ht="12.75" customHeight="1" x14ac:dyDescent="0.3">
      <c r="A654" s="42"/>
      <c r="B654" s="38"/>
      <c r="C654" s="42" t="s">
        <v>860</v>
      </c>
      <c r="D654" s="64"/>
      <c r="E654" s="64"/>
      <c r="F654" s="38"/>
      <c r="G654" s="63" t="s">
        <v>34</v>
      </c>
      <c r="H654" s="38" t="s">
        <v>716</v>
      </c>
      <c r="I654" s="340">
        <f>continental!I42</f>
        <v>0</v>
      </c>
      <c r="J654" s="315"/>
      <c r="K654" s="315"/>
      <c r="L654" s="276"/>
      <c r="M654" s="276"/>
      <c r="N654" s="276"/>
      <c r="O654" s="276"/>
      <c r="P654" s="276"/>
      <c r="Q654" s="104"/>
    </row>
    <row r="655" spans="1:17" ht="12.75" customHeight="1" x14ac:dyDescent="0.3">
      <c r="A655" s="61"/>
      <c r="B655" s="61"/>
      <c r="C655" s="61"/>
      <c r="D655" s="61"/>
      <c r="E655" s="61"/>
      <c r="F655" s="61"/>
      <c r="G655" s="62"/>
      <c r="H655" s="75"/>
      <c r="I655" s="246"/>
      <c r="J655" s="318"/>
      <c r="K655" s="318"/>
      <c r="L655" s="280"/>
      <c r="M655" s="280"/>
      <c r="N655" s="280"/>
      <c r="O655" s="280"/>
      <c r="P655" s="280"/>
      <c r="Q655" s="104"/>
    </row>
    <row r="656" spans="1:17" ht="12.75" customHeight="1" x14ac:dyDescent="0.3">
      <c r="A656" s="42" t="s">
        <v>76</v>
      </c>
      <c r="B656" s="38"/>
      <c r="C656" s="38"/>
      <c r="D656" s="38"/>
      <c r="E656" s="38"/>
      <c r="F656" s="38"/>
      <c r="G656" s="42" t="s">
        <v>252</v>
      </c>
      <c r="H656" s="42" t="s">
        <v>1926</v>
      </c>
      <c r="I656" s="340">
        <f>continental!I44</f>
        <v>0</v>
      </c>
      <c r="J656" s="315"/>
      <c r="K656" s="315"/>
      <c r="L656" s="276"/>
      <c r="M656" s="276"/>
      <c r="N656" s="276"/>
      <c r="O656" s="276"/>
      <c r="P656" s="276"/>
      <c r="Q656" s="104"/>
    </row>
    <row r="657" spans="1:17" ht="12.75" customHeight="1" x14ac:dyDescent="0.3">
      <c r="A657" s="42" t="s">
        <v>75</v>
      </c>
      <c r="B657" s="38"/>
      <c r="C657" s="38"/>
      <c r="D657" s="38"/>
      <c r="E657" s="38"/>
      <c r="F657" s="38"/>
      <c r="G657" s="42" t="s">
        <v>251</v>
      </c>
      <c r="H657" s="42" t="s">
        <v>1926</v>
      </c>
      <c r="I657" s="340">
        <f>continental!I45</f>
        <v>0</v>
      </c>
      <c r="J657" s="315"/>
      <c r="K657" s="315"/>
      <c r="L657" s="276"/>
      <c r="M657" s="276"/>
      <c r="N657" s="276"/>
      <c r="O657" s="276"/>
      <c r="P657" s="276"/>
      <c r="Q657" s="104"/>
    </row>
    <row r="658" spans="1:17" ht="12.75" customHeight="1" x14ac:dyDescent="0.3">
      <c r="A658" s="42"/>
      <c r="B658" s="42" t="s">
        <v>1285</v>
      </c>
      <c r="C658" s="38"/>
      <c r="D658" s="38"/>
      <c r="E658" s="38"/>
      <c r="F658" s="38"/>
      <c r="G658" s="43" t="s">
        <v>781</v>
      </c>
      <c r="H658" s="38" t="s">
        <v>717</v>
      </c>
      <c r="I658" s="340">
        <f>continental!I46</f>
        <v>0</v>
      </c>
      <c r="J658" s="315"/>
      <c r="K658" s="315"/>
      <c r="L658" s="276"/>
      <c r="M658" s="276"/>
      <c r="N658" s="276"/>
      <c r="O658" s="276"/>
      <c r="P658" s="276"/>
      <c r="Q658" s="104"/>
    </row>
    <row r="659" spans="1:17" ht="12.75" customHeight="1" x14ac:dyDescent="0.3">
      <c r="A659" s="61"/>
      <c r="B659" s="61"/>
      <c r="C659" s="61"/>
      <c r="D659" s="61"/>
      <c r="E659" s="61"/>
      <c r="F659" s="61"/>
      <c r="G659" s="62"/>
      <c r="H659" s="75"/>
      <c r="I659" s="246"/>
      <c r="J659" s="318"/>
      <c r="K659" s="318"/>
      <c r="L659" s="280"/>
      <c r="M659" s="280"/>
      <c r="N659" s="280"/>
      <c r="O659" s="280"/>
      <c r="P659" s="280"/>
      <c r="Q659" s="104"/>
    </row>
    <row r="660" spans="1:17" ht="12.75" customHeight="1" x14ac:dyDescent="0.3">
      <c r="A660" s="42" t="s">
        <v>332</v>
      </c>
      <c r="B660" s="38"/>
      <c r="C660" s="38"/>
      <c r="D660" s="38"/>
      <c r="E660" s="38"/>
      <c r="F660" s="38"/>
      <c r="G660" s="42" t="s">
        <v>323</v>
      </c>
      <c r="H660" s="42" t="s">
        <v>1926</v>
      </c>
      <c r="I660" s="340">
        <f>continental!I48</f>
        <v>0</v>
      </c>
      <c r="J660" s="315"/>
      <c r="K660" s="315"/>
      <c r="L660" s="276"/>
      <c r="M660" s="276"/>
      <c r="N660" s="276"/>
      <c r="O660" s="276"/>
      <c r="P660" s="276"/>
      <c r="Q660" s="104"/>
    </row>
    <row r="661" spans="1:17" ht="12.75" customHeight="1" x14ac:dyDescent="0.3">
      <c r="A661" s="42" t="s">
        <v>333</v>
      </c>
      <c r="B661" s="38"/>
      <c r="C661" s="38"/>
      <c r="D661" s="38"/>
      <c r="E661" s="38"/>
      <c r="F661" s="38"/>
      <c r="G661" s="42" t="s">
        <v>324</v>
      </c>
      <c r="H661" s="42" t="s">
        <v>1926</v>
      </c>
      <c r="I661" s="340">
        <f>continental!I49</f>
        <v>0</v>
      </c>
      <c r="J661" s="315"/>
      <c r="K661" s="315"/>
      <c r="L661" s="276"/>
      <c r="M661" s="276"/>
      <c r="N661" s="276"/>
      <c r="O661" s="276"/>
      <c r="P661" s="276"/>
      <c r="Q661" s="104"/>
    </row>
    <row r="662" spans="1:17" ht="12.75" customHeight="1" x14ac:dyDescent="0.3">
      <c r="A662" s="42" t="s">
        <v>334</v>
      </c>
      <c r="B662" s="38"/>
      <c r="C662" s="38"/>
      <c r="D662" s="38"/>
      <c r="E662" s="38"/>
      <c r="F662" s="38"/>
      <c r="G662" s="42" t="s">
        <v>325</v>
      </c>
      <c r="H662" s="42" t="s">
        <v>1926</v>
      </c>
      <c r="I662" s="340">
        <f>continental!I50</f>
        <v>0</v>
      </c>
      <c r="J662" s="315"/>
      <c r="K662" s="315"/>
      <c r="L662" s="276"/>
      <c r="M662" s="276"/>
      <c r="N662" s="276"/>
      <c r="O662" s="276"/>
      <c r="P662" s="276"/>
      <c r="Q662" s="104"/>
    </row>
    <row r="663" spans="1:17" ht="12.75" customHeight="1" x14ac:dyDescent="0.3">
      <c r="A663" s="42" t="s">
        <v>77</v>
      </c>
      <c r="B663" s="38"/>
      <c r="C663" s="38"/>
      <c r="D663" s="38"/>
      <c r="E663" s="38"/>
      <c r="F663" s="38"/>
      <c r="G663" s="42" t="s">
        <v>253</v>
      </c>
      <c r="H663" s="42" t="s">
        <v>1926</v>
      </c>
      <c r="I663" s="340">
        <f>continental!I51</f>
        <v>0</v>
      </c>
      <c r="J663" s="315"/>
      <c r="K663" s="315"/>
      <c r="L663" s="276"/>
      <c r="M663" s="276"/>
      <c r="N663" s="276"/>
      <c r="O663" s="276"/>
      <c r="P663" s="276"/>
      <c r="Q663" s="104"/>
    </row>
    <row r="664" spans="1:17" ht="12.75" customHeight="1" x14ac:dyDescent="0.3">
      <c r="A664" s="42" t="s">
        <v>78</v>
      </c>
      <c r="B664" s="38"/>
      <c r="C664" s="38"/>
      <c r="D664" s="38"/>
      <c r="E664" s="38"/>
      <c r="F664" s="38"/>
      <c r="G664" s="42" t="s">
        <v>254</v>
      </c>
      <c r="H664" s="42" t="s">
        <v>1926</v>
      </c>
      <c r="I664" s="340">
        <f>continental!I52</f>
        <v>0</v>
      </c>
      <c r="J664" s="315"/>
      <c r="K664" s="315"/>
      <c r="L664" s="276"/>
      <c r="M664" s="276"/>
      <c r="N664" s="276"/>
      <c r="O664" s="276"/>
      <c r="P664" s="276"/>
      <c r="Q664" s="104"/>
    </row>
    <row r="665" spans="1:17" ht="12.75" customHeight="1" x14ac:dyDescent="0.3">
      <c r="A665" s="42"/>
      <c r="B665" s="42" t="s">
        <v>329</v>
      </c>
      <c r="C665" s="38"/>
      <c r="D665" s="38"/>
      <c r="E665" s="64"/>
      <c r="F665" s="64"/>
      <c r="G665" s="63" t="s">
        <v>326</v>
      </c>
      <c r="H665" s="42" t="s">
        <v>1943</v>
      </c>
      <c r="I665" s="340">
        <f>continental!I53</f>
        <v>0</v>
      </c>
      <c r="J665" s="315"/>
      <c r="K665" s="315"/>
      <c r="L665" s="276"/>
      <c r="M665" s="276"/>
      <c r="N665" s="276"/>
      <c r="O665" s="276"/>
      <c r="P665" s="276"/>
      <c r="Q665" s="104"/>
    </row>
    <row r="666" spans="1:17" ht="12.75" customHeight="1" x14ac:dyDescent="0.3">
      <c r="A666" s="42"/>
      <c r="B666" s="42" t="s">
        <v>330</v>
      </c>
      <c r="C666" s="38"/>
      <c r="D666" s="38"/>
      <c r="E666" s="64"/>
      <c r="F666" s="64"/>
      <c r="G666" s="63" t="s">
        <v>327</v>
      </c>
      <c r="H666" s="42" t="s">
        <v>1943</v>
      </c>
      <c r="I666" s="340">
        <f>continental!I54</f>
        <v>0</v>
      </c>
      <c r="J666" s="315"/>
      <c r="K666" s="315"/>
      <c r="L666" s="276"/>
      <c r="M666" s="276"/>
      <c r="N666" s="276"/>
      <c r="O666" s="276"/>
      <c r="P666" s="276"/>
      <c r="Q666" s="104"/>
    </row>
    <row r="667" spans="1:17" ht="12.75" customHeight="1" x14ac:dyDescent="0.3">
      <c r="A667" s="42"/>
      <c r="B667" s="42" t="s">
        <v>331</v>
      </c>
      <c r="C667" s="38"/>
      <c r="D667" s="38"/>
      <c r="E667" s="64"/>
      <c r="F667" s="64"/>
      <c r="G667" s="63" t="s">
        <v>328</v>
      </c>
      <c r="H667" s="42" t="s">
        <v>1943</v>
      </c>
      <c r="I667" s="340">
        <f>continental!I55</f>
        <v>0</v>
      </c>
      <c r="J667" s="315"/>
      <c r="K667" s="315"/>
      <c r="L667" s="276"/>
      <c r="M667" s="276"/>
      <c r="N667" s="276"/>
      <c r="O667" s="276"/>
      <c r="P667" s="276"/>
      <c r="Q667" s="104"/>
    </row>
    <row r="668" spans="1:17" ht="12.75" customHeight="1" x14ac:dyDescent="0.3">
      <c r="A668" s="42"/>
      <c r="B668" s="42" t="s">
        <v>1420</v>
      </c>
      <c r="C668" s="38"/>
      <c r="D668" s="38"/>
      <c r="E668" s="64"/>
      <c r="F668" s="64"/>
      <c r="G668" s="63" t="s">
        <v>1</v>
      </c>
      <c r="H668" s="38" t="s">
        <v>1943</v>
      </c>
      <c r="I668" s="340">
        <f>continental!I56</f>
        <v>0</v>
      </c>
      <c r="J668" s="315"/>
      <c r="K668" s="315"/>
      <c r="L668" s="276"/>
      <c r="M668" s="276"/>
      <c r="N668" s="276"/>
      <c r="O668" s="276"/>
      <c r="P668" s="276"/>
      <c r="Q668" s="104"/>
    </row>
    <row r="669" spans="1:17" ht="12.75" customHeight="1" x14ac:dyDescent="0.3">
      <c r="A669" s="42"/>
      <c r="B669" s="42" t="s">
        <v>1421</v>
      </c>
      <c r="C669" s="38"/>
      <c r="D669" s="38"/>
      <c r="E669" s="64"/>
      <c r="F669" s="64"/>
      <c r="G669" s="63" t="s">
        <v>783</v>
      </c>
      <c r="H669" s="38" t="s">
        <v>1943</v>
      </c>
      <c r="I669" s="340">
        <f>continental!I57</f>
        <v>0</v>
      </c>
      <c r="J669" s="315"/>
      <c r="K669" s="315"/>
      <c r="L669" s="276"/>
      <c r="M669" s="276"/>
      <c r="N669" s="276"/>
      <c r="O669" s="276"/>
      <c r="P669" s="276"/>
      <c r="Q669" s="104"/>
    </row>
    <row r="670" spans="1:17" ht="12.75" customHeight="1" x14ac:dyDescent="0.3">
      <c r="A670" s="42" t="s">
        <v>79</v>
      </c>
      <c r="B670" s="38"/>
      <c r="C670" s="38"/>
      <c r="D670" s="38"/>
      <c r="E670" s="38"/>
      <c r="F670" s="38"/>
      <c r="G670" s="42" t="s">
        <v>255</v>
      </c>
      <c r="H670" s="42" t="s">
        <v>1926</v>
      </c>
      <c r="I670" s="340">
        <f>continental!I58</f>
        <v>0</v>
      </c>
      <c r="J670" s="315"/>
      <c r="K670" s="315"/>
      <c r="L670" s="276"/>
      <c r="M670" s="276"/>
      <c r="N670" s="276"/>
      <c r="O670" s="276"/>
      <c r="P670" s="276"/>
      <c r="Q670" s="104"/>
    </row>
    <row r="671" spans="1:17" ht="12.75" customHeight="1" x14ac:dyDescent="0.3">
      <c r="A671" s="42" t="s">
        <v>80</v>
      </c>
      <c r="B671" s="38"/>
      <c r="C671" s="38"/>
      <c r="D671" s="38"/>
      <c r="E671" s="38"/>
      <c r="F671" s="38"/>
      <c r="G671" s="42" t="s">
        <v>1251</v>
      </c>
      <c r="H671" s="42" t="s">
        <v>1926</v>
      </c>
      <c r="I671" s="340">
        <f>continental!I59</f>
        <v>0</v>
      </c>
      <c r="J671" s="315"/>
      <c r="K671" s="315"/>
      <c r="L671" s="276"/>
      <c r="M671" s="276"/>
      <c r="N671" s="276"/>
      <c r="O671" s="276"/>
      <c r="P671" s="276"/>
      <c r="Q671" s="104"/>
    </row>
    <row r="672" spans="1:17" ht="12.75" customHeight="1" x14ac:dyDescent="0.3">
      <c r="A672" s="42"/>
      <c r="B672" s="42" t="s">
        <v>1423</v>
      </c>
      <c r="C672" s="38"/>
      <c r="D672" s="38"/>
      <c r="E672" s="38"/>
      <c r="F672" s="38"/>
      <c r="G672" s="63" t="s">
        <v>2</v>
      </c>
      <c r="H672" s="38" t="s">
        <v>1943</v>
      </c>
      <c r="I672" s="340">
        <f>continental!I60</f>
        <v>0</v>
      </c>
      <c r="J672" s="315"/>
      <c r="K672" s="315"/>
      <c r="L672" s="276"/>
      <c r="M672" s="276"/>
      <c r="N672" s="276"/>
      <c r="O672" s="276"/>
      <c r="P672" s="276"/>
      <c r="Q672" s="104"/>
    </row>
    <row r="673" spans="1:17" ht="12.75" customHeight="1" x14ac:dyDescent="0.3">
      <c r="A673" s="42"/>
      <c r="B673" s="42" t="s">
        <v>1424</v>
      </c>
      <c r="C673" s="38"/>
      <c r="D673" s="38"/>
      <c r="E673" s="64"/>
      <c r="F673" s="64"/>
      <c r="G673" s="63" t="s">
        <v>143</v>
      </c>
      <c r="H673" s="38" t="s">
        <v>1943</v>
      </c>
      <c r="I673" s="340">
        <f>continental!I61</f>
        <v>0</v>
      </c>
      <c r="J673" s="315"/>
      <c r="K673" s="315"/>
      <c r="L673" s="276"/>
      <c r="M673" s="276"/>
      <c r="N673" s="276"/>
      <c r="O673" s="276"/>
      <c r="P673" s="276"/>
      <c r="Q673" s="104"/>
    </row>
    <row r="674" spans="1:17" ht="12.75" customHeight="1" x14ac:dyDescent="0.3">
      <c r="A674" s="42"/>
      <c r="B674" s="42"/>
      <c r="C674" s="42" t="s">
        <v>1422</v>
      </c>
      <c r="D674" s="38"/>
      <c r="E674" s="38"/>
      <c r="F674" s="38"/>
      <c r="G674" s="43" t="s">
        <v>6</v>
      </c>
      <c r="H674" s="42" t="s">
        <v>717</v>
      </c>
      <c r="I674" s="340">
        <f>continental!I62</f>
        <v>0</v>
      </c>
      <c r="J674" s="315"/>
      <c r="K674" s="315"/>
      <c r="L674" s="276"/>
      <c r="M674" s="276"/>
      <c r="N674" s="276"/>
      <c r="O674" s="276"/>
      <c r="P674" s="276"/>
      <c r="Q674" s="104"/>
    </row>
    <row r="675" spans="1:17" ht="12.75" customHeight="1" x14ac:dyDescent="0.3">
      <c r="A675" s="38"/>
      <c r="B675" s="38"/>
      <c r="C675" s="38"/>
      <c r="D675" s="38"/>
      <c r="E675" s="38"/>
      <c r="F675" s="38"/>
      <c r="G675" s="38"/>
      <c r="H675" s="38"/>
      <c r="I675" s="178"/>
      <c r="J675" s="322"/>
      <c r="K675" s="322"/>
      <c r="L675" s="285"/>
      <c r="M675" s="285"/>
      <c r="N675" s="285"/>
      <c r="O675" s="285"/>
      <c r="P675" s="285"/>
      <c r="Q675" s="104"/>
    </row>
    <row r="676" spans="1:17" ht="12.75" customHeight="1" x14ac:dyDescent="0.3">
      <c r="A676" s="67" t="s">
        <v>201</v>
      </c>
      <c r="B676" s="66"/>
      <c r="C676" s="66"/>
      <c r="D676" s="66"/>
      <c r="E676" s="66"/>
      <c r="F676" s="66"/>
      <c r="G676" s="66"/>
      <c r="H676" s="66"/>
      <c r="I676" s="189" t="s">
        <v>748</v>
      </c>
      <c r="J676" s="319"/>
      <c r="K676" s="319"/>
      <c r="L676" s="281"/>
      <c r="M676" s="281"/>
      <c r="N676" s="281"/>
      <c r="O676" s="281"/>
      <c r="P676" s="281"/>
      <c r="Q676" s="104"/>
    </row>
    <row r="677" spans="1:17" ht="12.75" customHeight="1" x14ac:dyDescent="0.3">
      <c r="A677" s="77"/>
      <c r="B677" s="78"/>
      <c r="C677" s="79"/>
      <c r="D677" s="79"/>
      <c r="E677" s="77"/>
      <c r="F677" s="77"/>
      <c r="G677" s="77"/>
      <c r="H677" s="77"/>
      <c r="I677" s="162"/>
      <c r="J677" s="327"/>
      <c r="K677" s="327"/>
      <c r="L677" s="291"/>
      <c r="M677" s="291"/>
      <c r="N677" s="291"/>
      <c r="O677" s="291"/>
      <c r="P677" s="291"/>
      <c r="Q677" s="104"/>
    </row>
    <row r="678" spans="1:17" ht="12.75" customHeight="1" x14ac:dyDescent="0.3">
      <c r="A678" s="4"/>
      <c r="B678" s="42" t="s">
        <v>617</v>
      </c>
      <c r="C678" s="42"/>
      <c r="D678" s="42"/>
      <c r="E678" s="42"/>
      <c r="F678" s="42"/>
      <c r="G678" s="42" t="s">
        <v>1969</v>
      </c>
      <c r="H678" s="42" t="s">
        <v>28</v>
      </c>
      <c r="I678" s="340">
        <f ca="1">continental!I66</f>
        <v>6.8266003960815169E-11</v>
      </c>
      <c r="J678" s="315"/>
      <c r="K678" s="315">
        <f ca="1">1-(0.0000258)/(IF(Tm&gt;298,EXP(-6.79*(1-Tm/298))*Pvap25*EXP((H0vap/8.314)*(1/298-1/TEMP.C)),Pvap25*EXP((H0vap/8.314)*(1/298-1/TEMP.C)))+(0.0000258))</f>
        <v>0.94132676823753747</v>
      </c>
      <c r="L678" s="276">
        <f ca="1">1-(0.0000258)/(IF(Tm&gt;298,EXP(-6.79*(1-Tm/298))*Pvap25*EXP((H0vap/8.314)*(1/298-1/TEMP.C)),Pvap25*EXP((H0vap/8.314)*(1/298-1/TEMP.C)))+(0.0000258))</f>
        <v>0.94132676823753747</v>
      </c>
      <c r="M678" s="276">
        <f ca="1">1-(0.0000258)/(IF(Tm&gt;298,EXP(-6.79*(1-Tm/298))*Pvap25*EXP((H0vap/8.314)*(1/298-1/TEMP.C)),Pvap25*EXP((H0vap/8.314)*(1/298-1/TEMP.C)))+(0.0000258))</f>
        <v>0.94132676823753747</v>
      </c>
      <c r="N678" s="276">
        <f ca="1">1-(0.0000258)/(IF(Tm&gt;298,EXP(-6.79*(1-Tm/298))*Pvap25*EXP((H0vap/8.314)*(1/298-1/TEMP.C)),Pvap25*EXP((H0vap/8.314)*(1/298-1/TEMP.C)))+(0.0000258))</f>
        <v>0.94132676823753747</v>
      </c>
      <c r="O678" s="276">
        <f ca="1">1-(0.0000258)/(IF(Tm&gt;298,EXP(-6.79*(1-Tm/298))*Pvap25*EXP((H0vap/8.314)*(1/298-1/TEMP.C)),Pvap25*EXP((H0vap/8.314)*(1/298-1/TEMP.C)))+(0.0000258))</f>
        <v>0.94132676823753747</v>
      </c>
      <c r="P678" s="276"/>
      <c r="Q678" s="104"/>
    </row>
    <row r="679" spans="1:17" ht="12.75" customHeight="1" x14ac:dyDescent="0.3">
      <c r="A679" s="38"/>
      <c r="B679" s="38" t="s">
        <v>609</v>
      </c>
      <c r="C679" s="38"/>
      <c r="D679" s="38"/>
      <c r="E679" s="38"/>
      <c r="F679" s="38"/>
      <c r="G679" s="38" t="s">
        <v>618</v>
      </c>
      <c r="H679" s="38" t="s">
        <v>28</v>
      </c>
      <c r="I679" s="340">
        <f>continental!I67</f>
        <v>0</v>
      </c>
      <c r="J679" s="315"/>
      <c r="K679" s="315"/>
      <c r="L679" s="276"/>
      <c r="M679" s="276"/>
      <c r="N679" s="276"/>
      <c r="O679" s="276"/>
      <c r="P679" s="276"/>
      <c r="Q679" s="104"/>
    </row>
    <row r="680" spans="1:17" ht="12.75" customHeight="1" x14ac:dyDescent="0.3">
      <c r="A680" s="38"/>
      <c r="B680" s="38" t="s">
        <v>610</v>
      </c>
      <c r="C680" s="38"/>
      <c r="D680" s="38"/>
      <c r="E680" s="38"/>
      <c r="F680" s="38"/>
      <c r="G680" s="38" t="s">
        <v>619</v>
      </c>
      <c r="H680" s="38" t="s">
        <v>28</v>
      </c>
      <c r="I680" s="340">
        <f>continental!I68</f>
        <v>0</v>
      </c>
      <c r="J680" s="315"/>
      <c r="K680" s="315">
        <f ca="1">(0.0000258)/(IF(Tm&gt;298,EXP(-6.79*(1-Tm/298))*Pvap25*EXP((H0vap/8.314)*(1/298-1/TEMP.C)),Pvap25*EXP((H0vap/8.314)*(1/298-1/TEMP.C)))+(0.0000258))</f>
        <v>5.8673231762462551E-2</v>
      </c>
      <c r="L680" s="276">
        <f ca="1">(0.0000258)/(IF(Tm&gt;298,EXP(-6.79*(1-Tm/298))*Pvap25*EXP((H0vap/8.314)*(1/298-1/TEMP.C)),Pvap25*EXP((H0vap/8.314)*(1/298-1/TEMP.C)))+(0.0000258))</f>
        <v>5.8673231762462551E-2</v>
      </c>
      <c r="M680" s="276">
        <f ca="1">(0.0000258)/(IF(Tm&gt;298,EXP(-6.79*(1-Tm/298))*Pvap25*EXP((H0vap/8.314)*(1/298-1/TEMP.C)),Pvap25*EXP((H0vap/8.314)*(1/298-1/TEMP.C)))+(0.0000258))</f>
        <v>5.8673231762462551E-2</v>
      </c>
      <c r="N680" s="276">
        <f ca="1">(0.0000258)/(IF(Tm&gt;298,EXP(-6.79*(1-Tm/298))*Pvap25*EXP((H0vap/8.314)*(1/298-1/TEMP.C)),Pvap25*EXP((H0vap/8.314)*(1/298-1/TEMP.C)))+(0.0000258))</f>
        <v>5.8673231762462551E-2</v>
      </c>
      <c r="O680" s="276">
        <f ca="1">(0.0000258)/(IF(Tm&gt;298,EXP(-6.79*(1-Tm/298))*Pvap25*EXP((H0vap/8.314)*(1/298-1/TEMP.C)),Pvap25*EXP((H0vap/8.314)*(1/298-1/TEMP.C)))+(0.0000258))</f>
        <v>5.8673231762462551E-2</v>
      </c>
      <c r="P680" s="276"/>
      <c r="Q680" s="104"/>
    </row>
    <row r="681" spans="1:17" ht="12.75" customHeight="1" x14ac:dyDescent="0.3">
      <c r="A681" s="38"/>
      <c r="B681" s="38"/>
      <c r="C681" s="42" t="s">
        <v>1004</v>
      </c>
      <c r="D681" s="42"/>
      <c r="E681" s="42"/>
      <c r="F681" s="42"/>
      <c r="G681" s="42" t="s">
        <v>1970</v>
      </c>
      <c r="H681" s="42" t="s">
        <v>28</v>
      </c>
      <c r="I681" s="340">
        <f>continental!I69</f>
        <v>0</v>
      </c>
      <c r="J681" s="315"/>
      <c r="K681" s="315"/>
      <c r="L681" s="276"/>
      <c r="M681" s="276"/>
      <c r="N681" s="276"/>
      <c r="O681" s="276"/>
      <c r="P681" s="276"/>
      <c r="Q681" s="104"/>
    </row>
    <row r="682" spans="1:17" ht="12.75" customHeight="1" x14ac:dyDescent="0.4">
      <c r="A682" s="38"/>
      <c r="B682" s="38"/>
      <c r="C682" s="38" t="s">
        <v>606</v>
      </c>
      <c r="D682" s="38"/>
      <c r="E682" s="38"/>
      <c r="F682" s="38"/>
      <c r="G682" s="38" t="s">
        <v>621</v>
      </c>
      <c r="H682" s="38" t="s">
        <v>1949</v>
      </c>
      <c r="I682" s="340">
        <f>continental!I70</f>
        <v>0</v>
      </c>
      <c r="J682" s="315"/>
      <c r="K682" s="315"/>
      <c r="L682" s="276"/>
      <c r="M682" s="276"/>
      <c r="N682" s="276"/>
      <c r="O682" s="276"/>
      <c r="P682" s="276"/>
      <c r="Q682" s="104"/>
    </row>
    <row r="683" spans="1:17" ht="12.75" customHeight="1" x14ac:dyDescent="0.4">
      <c r="A683" s="38"/>
      <c r="B683" s="38"/>
      <c r="C683" s="38" t="s">
        <v>607</v>
      </c>
      <c r="D683" s="38"/>
      <c r="E683" s="38"/>
      <c r="F683" s="38"/>
      <c r="G683" s="38" t="s">
        <v>622</v>
      </c>
      <c r="H683" s="38" t="s">
        <v>1950</v>
      </c>
      <c r="I683" s="340">
        <f>continental!I71</f>
        <v>0</v>
      </c>
      <c r="J683" s="315"/>
      <c r="K683" s="315"/>
      <c r="L683" s="276"/>
      <c r="M683" s="276"/>
      <c r="N683" s="276"/>
      <c r="O683" s="276"/>
      <c r="P683" s="276"/>
      <c r="Q683" s="104"/>
    </row>
    <row r="684" spans="1:17" ht="12.75" customHeight="1" x14ac:dyDescent="0.3">
      <c r="A684" s="42"/>
      <c r="B684" s="42" t="s">
        <v>285</v>
      </c>
      <c r="C684" s="64"/>
      <c r="D684" s="38"/>
      <c r="E684" s="38"/>
      <c r="F684" s="38"/>
      <c r="G684" s="63" t="s">
        <v>335</v>
      </c>
      <c r="H684" s="42" t="s">
        <v>28</v>
      </c>
      <c r="I684" s="340">
        <f>continental!I72</f>
        <v>0</v>
      </c>
      <c r="J684" s="315"/>
      <c r="K684" s="315">
        <f ca="1">1/(1+Kp.susp0C*SUSP.w0C/1000+0.05*Kow*0.001/1000)</f>
        <v>0.99671303650034515</v>
      </c>
      <c r="L684" s="276">
        <f ca="1">1/(1+Kp.susp0C*SUSP.w0C/1000+0.05*Kow*0.001/1000)</f>
        <v>0.99671303650034515</v>
      </c>
      <c r="M684" s="276">
        <f ca="1">1/(1+Kp.susp0C*SUSP.w0C/1000+0.05*Kow*0.001/1000)</f>
        <v>0.99671303650034515</v>
      </c>
      <c r="N684" s="276">
        <f ca="1">1/(1+Kp.susp0C*SUSP.w0C/1000+0.05*Kow*0.001/1000)</f>
        <v>0.99671303650034515</v>
      </c>
      <c r="O684" s="276">
        <f ca="1">1/(1+Kp.susp0C*SUSP.w0C/1000+0.05*Kow*0.001/1000)</f>
        <v>0.99671303650034515</v>
      </c>
      <c r="P684" s="276"/>
      <c r="Q684" s="104"/>
    </row>
    <row r="685" spans="1:17" ht="12.75" customHeight="1" x14ac:dyDescent="0.3">
      <c r="A685" s="42"/>
      <c r="B685" s="38"/>
      <c r="C685" s="42" t="s">
        <v>700</v>
      </c>
      <c r="D685" s="38"/>
      <c r="E685" s="38"/>
      <c r="F685" s="38"/>
      <c r="G685" s="63" t="s">
        <v>336</v>
      </c>
      <c r="H685" s="42" t="s">
        <v>1951</v>
      </c>
      <c r="I685" s="340">
        <f>continental!I73</f>
        <v>0</v>
      </c>
      <c r="J685" s="315"/>
      <c r="K685" s="315"/>
      <c r="L685" s="276"/>
      <c r="M685" s="276"/>
      <c r="N685" s="276"/>
      <c r="O685" s="276"/>
      <c r="P685" s="276"/>
      <c r="Q685" s="104"/>
    </row>
    <row r="686" spans="1:17" ht="12.75" customHeight="1" x14ac:dyDescent="0.3">
      <c r="A686" s="42"/>
      <c r="B686" s="38"/>
      <c r="C686" s="42" t="s">
        <v>1091</v>
      </c>
      <c r="D686" s="38"/>
      <c r="E686" s="38"/>
      <c r="F686" s="38"/>
      <c r="G686" s="63" t="s">
        <v>337</v>
      </c>
      <c r="H686" s="42" t="s">
        <v>28</v>
      </c>
      <c r="I686" s="340">
        <f>continental!I74</f>
        <v>0</v>
      </c>
      <c r="J686" s="315"/>
      <c r="K686" s="315"/>
      <c r="L686" s="276"/>
      <c r="M686" s="276"/>
      <c r="N686" s="276"/>
      <c r="O686" s="276"/>
      <c r="P686" s="276"/>
      <c r="Q686" s="104"/>
    </row>
    <row r="687" spans="1:17" ht="12.75" customHeight="1" x14ac:dyDescent="0.3">
      <c r="A687" s="42"/>
      <c r="B687" s="38"/>
      <c r="C687" s="42" t="s">
        <v>701</v>
      </c>
      <c r="D687" s="38"/>
      <c r="E687" s="38"/>
      <c r="F687" s="38"/>
      <c r="G687" s="63" t="s">
        <v>338</v>
      </c>
      <c r="H687" s="42" t="s">
        <v>1923</v>
      </c>
      <c r="I687" s="340">
        <f>continental!I75</f>
        <v>0</v>
      </c>
      <c r="J687" s="315"/>
      <c r="K687" s="315"/>
      <c r="L687" s="276"/>
      <c r="M687" s="276"/>
      <c r="N687" s="276"/>
      <c r="O687" s="276"/>
      <c r="P687" s="276"/>
      <c r="Q687" s="104"/>
    </row>
    <row r="688" spans="1:17" ht="12.75" customHeight="1" x14ac:dyDescent="0.3">
      <c r="A688" s="42"/>
      <c r="B688" s="38"/>
      <c r="C688" s="42" t="s">
        <v>541</v>
      </c>
      <c r="D688" s="38"/>
      <c r="E688" s="38"/>
      <c r="F688" s="38"/>
      <c r="G688" s="63" t="s">
        <v>339</v>
      </c>
      <c r="H688" s="42" t="s">
        <v>1000</v>
      </c>
      <c r="I688" s="340">
        <f>continental!I76</f>
        <v>0</v>
      </c>
      <c r="J688" s="315"/>
      <c r="K688" s="315"/>
      <c r="L688" s="276"/>
      <c r="M688" s="276"/>
      <c r="N688" s="276"/>
      <c r="O688" s="276"/>
      <c r="P688" s="276"/>
      <c r="Q688" s="104"/>
    </row>
    <row r="689" spans="1:17" ht="12.75" customHeight="1" x14ac:dyDescent="0.3">
      <c r="A689" s="42"/>
      <c r="B689" s="38"/>
      <c r="C689" s="42" t="s">
        <v>543</v>
      </c>
      <c r="D689" s="38"/>
      <c r="E689" s="38"/>
      <c r="F689" s="38"/>
      <c r="G689" s="63" t="s">
        <v>340</v>
      </c>
      <c r="H689" s="42" t="s">
        <v>999</v>
      </c>
      <c r="I689" s="340">
        <f>continental!I77</f>
        <v>0</v>
      </c>
      <c r="J689" s="315"/>
      <c r="K689" s="315"/>
      <c r="L689" s="276"/>
      <c r="M689" s="276"/>
      <c r="N689" s="276"/>
      <c r="O689" s="276"/>
      <c r="P689" s="276"/>
      <c r="Q689" s="104"/>
    </row>
    <row r="690" spans="1:17" ht="12.75" customHeight="1" x14ac:dyDescent="0.3">
      <c r="A690" s="42"/>
      <c r="B690" s="42" t="s">
        <v>1952</v>
      </c>
      <c r="C690" s="64"/>
      <c r="D690" s="38"/>
      <c r="E690" s="38"/>
      <c r="F690" s="38"/>
      <c r="G690" s="63" t="s">
        <v>564</v>
      </c>
      <c r="H690" s="42" t="s">
        <v>28</v>
      </c>
      <c r="I690" s="340">
        <f>continental!I78</f>
        <v>0</v>
      </c>
      <c r="J690" s="315"/>
      <c r="K690" s="315">
        <f ca="1">1/(1+Kp.susp1C*SUSP.w1C/1000+0.05*Kow*0.001/1000)</f>
        <v>0.90795225136093993</v>
      </c>
      <c r="L690" s="276">
        <f ca="1">1/(1+Kp.susp1C*SUSP.w1C/1000+0.05*Kow*0.001/1000)</f>
        <v>0.90795225136093993</v>
      </c>
      <c r="M690" s="276">
        <f ca="1">1/(1+Kp.susp1C*SUSP.w1C/1000+0.05*Kow*0.001/1000)</f>
        <v>0.90795225136093993</v>
      </c>
      <c r="N690" s="276">
        <f ca="1">1/(1+Kp.susp1C*SUSP.w1C/1000+0.05*Kow*0.001/1000)</f>
        <v>0.90795225136093993</v>
      </c>
      <c r="O690" s="276">
        <f ca="1">1/(1+Kp.susp1C*SUSP.w1C/1000+0.05*Kow*0.001/1000)</f>
        <v>0.90795225136093993</v>
      </c>
      <c r="P690" s="276"/>
      <c r="Q690" s="104"/>
    </row>
    <row r="691" spans="1:17" ht="12.75" customHeight="1" x14ac:dyDescent="0.3">
      <c r="A691" s="42"/>
      <c r="B691" s="38"/>
      <c r="C691" s="42" t="s">
        <v>700</v>
      </c>
      <c r="D691" s="38"/>
      <c r="E691" s="38"/>
      <c r="F691" s="38"/>
      <c r="G691" s="63" t="s">
        <v>173</v>
      </c>
      <c r="H691" s="42" t="s">
        <v>1000</v>
      </c>
      <c r="I691" s="340">
        <f>continental!I79</f>
        <v>0</v>
      </c>
      <c r="J691" s="315"/>
      <c r="K691" s="315"/>
      <c r="L691" s="276"/>
      <c r="M691" s="276"/>
      <c r="N691" s="276"/>
      <c r="O691" s="276"/>
      <c r="P691" s="276"/>
      <c r="Q691" s="104"/>
    </row>
    <row r="692" spans="1:17" ht="12.75" customHeight="1" x14ac:dyDescent="0.3">
      <c r="A692" s="42"/>
      <c r="B692" s="38"/>
      <c r="C692" s="42" t="s">
        <v>1091</v>
      </c>
      <c r="D692" s="38"/>
      <c r="E692" s="38"/>
      <c r="F692" s="38"/>
      <c r="G692" s="63" t="s">
        <v>1449</v>
      </c>
      <c r="H692" s="42" t="s">
        <v>28</v>
      </c>
      <c r="I692" s="340">
        <f ca="1">continental!I80</f>
        <v>6.5166512824808065E-2</v>
      </c>
      <c r="J692" s="315"/>
      <c r="K692" s="315"/>
      <c r="L692" s="276"/>
      <c r="M692" s="276"/>
      <c r="N692" s="276"/>
      <c r="O692" s="276"/>
      <c r="P692" s="276"/>
      <c r="Q692" s="104"/>
    </row>
    <row r="693" spans="1:17" ht="12.75" customHeight="1" x14ac:dyDescent="0.3">
      <c r="A693" s="42"/>
      <c r="B693" s="38"/>
      <c r="C693" s="42" t="s">
        <v>701</v>
      </c>
      <c r="D693" s="38"/>
      <c r="E693" s="38"/>
      <c r="F693" s="38"/>
      <c r="G693" s="63" t="s">
        <v>1102</v>
      </c>
      <c r="H693" s="42" t="s">
        <v>999</v>
      </c>
      <c r="I693" s="340">
        <f ca="1">continental!I81</f>
        <v>23.590877167221496</v>
      </c>
      <c r="J693" s="315"/>
      <c r="K693" s="315"/>
      <c r="L693" s="276"/>
      <c r="M693" s="276"/>
      <c r="N693" s="276"/>
      <c r="O693" s="276"/>
      <c r="P693" s="276"/>
      <c r="Q693" s="104"/>
    </row>
    <row r="694" spans="1:17" ht="12.75" customHeight="1" x14ac:dyDescent="0.3">
      <c r="A694" s="42"/>
      <c r="B694" s="38"/>
      <c r="C694" s="42" t="s">
        <v>541</v>
      </c>
      <c r="D694" s="38"/>
      <c r="E694" s="38"/>
      <c r="F694" s="38"/>
      <c r="G694" s="63" t="s">
        <v>547</v>
      </c>
      <c r="H694" s="42" t="s">
        <v>1000</v>
      </c>
      <c r="I694" s="340">
        <f>continental!I82</f>
        <v>0</v>
      </c>
      <c r="J694" s="315"/>
      <c r="K694" s="315"/>
      <c r="L694" s="276"/>
      <c r="M694" s="276"/>
      <c r="N694" s="276"/>
      <c r="O694" s="276"/>
      <c r="P694" s="276"/>
      <c r="Q694" s="104"/>
    </row>
    <row r="695" spans="1:17" ht="12.75" customHeight="1" x14ac:dyDescent="0.3">
      <c r="A695" s="42"/>
      <c r="B695" s="38"/>
      <c r="C695" s="42" t="s">
        <v>543</v>
      </c>
      <c r="D695" s="38"/>
      <c r="E695" s="38"/>
      <c r="F695" s="38"/>
      <c r="G695" s="63" t="s">
        <v>548</v>
      </c>
      <c r="H695" s="42" t="s">
        <v>999</v>
      </c>
      <c r="I695" s="340">
        <f>continental!I83</f>
        <v>0</v>
      </c>
      <c r="J695" s="315"/>
      <c r="K695" s="315"/>
      <c r="L695" s="276"/>
      <c r="M695" s="276"/>
      <c r="N695" s="276"/>
      <c r="O695" s="276"/>
      <c r="P695" s="276"/>
      <c r="Q695" s="104"/>
    </row>
    <row r="696" spans="1:17" ht="12.75" customHeight="1" x14ac:dyDescent="0.3">
      <c r="A696" s="42"/>
      <c r="B696" s="42" t="s">
        <v>1953</v>
      </c>
      <c r="C696" s="64"/>
      <c r="D696" s="38"/>
      <c r="E696" s="38"/>
      <c r="F696" s="38"/>
      <c r="G696" s="63" t="s">
        <v>565</v>
      </c>
      <c r="H696" s="42" t="s">
        <v>28</v>
      </c>
      <c r="I696" s="340">
        <f>continental!I84</f>
        <v>0</v>
      </c>
      <c r="J696" s="315"/>
      <c r="K696" s="315">
        <f ca="1">1/(1+Kp.susp2C*SUSP.w2C/1000+0.05*Kow*0.001/1000)</f>
        <v>0.96307255327075214</v>
      </c>
      <c r="L696" s="276">
        <f ca="1">1/(1+Kp.susp2C*SUSP.w2C/1000+0.05*Kow*0.001/1000)</f>
        <v>0.96307255327075214</v>
      </c>
      <c r="M696" s="276">
        <f ca="1">1/(1+Kp.susp2C*SUSP.w2C/1000+0.05*Kow*0.001/1000)</f>
        <v>0.96307255327075214</v>
      </c>
      <c r="N696" s="276">
        <f ca="1">1/(1+Kp.susp2C*SUSP.w2C/1000+0.05*Kow*0.001/1000)</f>
        <v>0.96307255327075214</v>
      </c>
      <c r="O696" s="276">
        <f ca="1">1/(1+Kp.susp2C*SUSP.w2C/1000+0.05*Kow*0.001/1000)</f>
        <v>0.96307255327075214</v>
      </c>
      <c r="P696" s="276"/>
      <c r="Q696" s="104"/>
    </row>
    <row r="697" spans="1:17" ht="12.75" customHeight="1" x14ac:dyDescent="0.3">
      <c r="A697" s="42"/>
      <c r="B697" s="38"/>
      <c r="C697" s="42" t="s">
        <v>700</v>
      </c>
      <c r="D697" s="38"/>
      <c r="E697" s="38"/>
      <c r="F697" s="38"/>
      <c r="G697" s="63" t="s">
        <v>175</v>
      </c>
      <c r="H697" s="42" t="s">
        <v>1000</v>
      </c>
      <c r="I697" s="340">
        <f>continental!I85</f>
        <v>0</v>
      </c>
      <c r="J697" s="315"/>
      <c r="K697" s="315"/>
      <c r="L697" s="276"/>
      <c r="M697" s="276"/>
      <c r="N697" s="276"/>
      <c r="O697" s="276"/>
      <c r="P697" s="276"/>
      <c r="Q697" s="104"/>
    </row>
    <row r="698" spans="1:17" ht="12.75" customHeight="1" x14ac:dyDescent="0.3">
      <c r="A698" s="42"/>
      <c r="B698" s="38"/>
      <c r="C698" s="42" t="s">
        <v>1091</v>
      </c>
      <c r="D698" s="38"/>
      <c r="E698" s="38"/>
      <c r="F698" s="38"/>
      <c r="G698" s="63" t="s">
        <v>1450</v>
      </c>
      <c r="H698" s="42" t="s">
        <v>28</v>
      </c>
      <c r="I698" s="340">
        <f ca="1">continental!I86</f>
        <v>3.6360124416257272E-2</v>
      </c>
      <c r="J698" s="315"/>
      <c r="K698" s="315"/>
      <c r="L698" s="276"/>
      <c r="M698" s="276"/>
      <c r="N698" s="276"/>
      <c r="O698" s="276"/>
      <c r="P698" s="276"/>
      <c r="Q698" s="104"/>
    </row>
    <row r="699" spans="1:17" ht="12.75" customHeight="1" x14ac:dyDescent="0.3">
      <c r="A699" s="42"/>
      <c r="B699" s="38"/>
      <c r="C699" s="42" t="s">
        <v>1531</v>
      </c>
      <c r="D699" s="38"/>
      <c r="E699" s="38"/>
      <c r="F699" s="38"/>
      <c r="G699" s="63" t="s">
        <v>1103</v>
      </c>
      <c r="H699" s="42" t="s">
        <v>999</v>
      </c>
      <c r="I699" s="340">
        <f ca="1">continental!I87</f>
        <v>15.991134674376832</v>
      </c>
      <c r="J699" s="315"/>
      <c r="K699" s="315"/>
      <c r="L699" s="276"/>
      <c r="M699" s="276"/>
      <c r="N699" s="276"/>
      <c r="O699" s="276"/>
      <c r="P699" s="276"/>
      <c r="Q699" s="104"/>
    </row>
    <row r="700" spans="1:17" ht="12.75" customHeight="1" x14ac:dyDescent="0.3">
      <c r="A700" s="42"/>
      <c r="B700" s="38"/>
      <c r="C700" s="42" t="s">
        <v>541</v>
      </c>
      <c r="D700" s="38"/>
      <c r="E700" s="38"/>
      <c r="F700" s="38"/>
      <c r="G700" s="63" t="s">
        <v>549</v>
      </c>
      <c r="H700" s="42" t="s">
        <v>1000</v>
      </c>
      <c r="I700" s="340">
        <f>continental!I88</f>
        <v>0</v>
      </c>
      <c r="J700" s="315"/>
      <c r="K700" s="315"/>
      <c r="L700" s="276"/>
      <c r="M700" s="276"/>
      <c r="N700" s="276"/>
      <c r="O700" s="276"/>
      <c r="P700" s="276"/>
      <c r="Q700" s="104"/>
    </row>
    <row r="701" spans="1:17" ht="12.75" customHeight="1" x14ac:dyDescent="0.3">
      <c r="A701" s="42"/>
      <c r="B701" s="38"/>
      <c r="C701" s="42" t="s">
        <v>543</v>
      </c>
      <c r="D701" s="38"/>
      <c r="E701" s="38"/>
      <c r="F701" s="38"/>
      <c r="G701" s="63" t="s">
        <v>550</v>
      </c>
      <c r="H701" s="42" t="s">
        <v>999</v>
      </c>
      <c r="I701" s="340">
        <f>continental!I89</f>
        <v>0</v>
      </c>
      <c r="J701" s="315"/>
      <c r="K701" s="315"/>
      <c r="L701" s="276"/>
      <c r="M701" s="276"/>
      <c r="N701" s="276"/>
      <c r="O701" s="276"/>
      <c r="P701" s="276"/>
      <c r="Q701" s="104"/>
    </row>
    <row r="702" spans="1:17" ht="12.75" customHeight="1" x14ac:dyDescent="0.3">
      <c r="A702" s="42"/>
      <c r="B702" s="42" t="s">
        <v>726</v>
      </c>
      <c r="C702" s="64"/>
      <c r="D702" s="38"/>
      <c r="E702" s="38"/>
      <c r="F702" s="38"/>
      <c r="G702" s="63" t="s">
        <v>1104</v>
      </c>
      <c r="H702" s="42" t="s">
        <v>28</v>
      </c>
      <c r="I702" s="340">
        <f>continental!I90</f>
        <v>0</v>
      </c>
      <c r="J702" s="315"/>
      <c r="K702" s="315"/>
      <c r="L702" s="276"/>
      <c r="M702" s="276"/>
      <c r="N702" s="276"/>
      <c r="O702" s="276"/>
      <c r="P702" s="276"/>
      <c r="Q702" s="104"/>
    </row>
    <row r="703" spans="1:17" ht="12.75" customHeight="1" x14ac:dyDescent="0.3">
      <c r="A703" s="42"/>
      <c r="B703" s="38"/>
      <c r="C703" s="42" t="s">
        <v>1428</v>
      </c>
      <c r="D703" s="38"/>
      <c r="E703" s="38"/>
      <c r="F703" s="38"/>
      <c r="G703" s="63" t="s">
        <v>164</v>
      </c>
      <c r="H703" s="42" t="s">
        <v>1000</v>
      </c>
      <c r="I703" s="340">
        <f>continental!I91</f>
        <v>0</v>
      </c>
      <c r="J703" s="315"/>
      <c r="K703" s="315"/>
      <c r="L703" s="276"/>
      <c r="M703" s="276"/>
      <c r="N703" s="276"/>
      <c r="O703" s="276"/>
      <c r="P703" s="276"/>
      <c r="Q703" s="104"/>
    </row>
    <row r="704" spans="1:17" ht="12.75" customHeight="1" x14ac:dyDescent="0.3">
      <c r="A704" s="42"/>
      <c r="B704" s="38"/>
      <c r="C704" s="42" t="s">
        <v>1271</v>
      </c>
      <c r="D704" s="38"/>
      <c r="E704" s="38"/>
      <c r="F704" s="38"/>
      <c r="G704" s="63" t="s">
        <v>1293</v>
      </c>
      <c r="H704" s="42" t="s">
        <v>28</v>
      </c>
      <c r="I704" s="340">
        <f ca="1">continental!I92</f>
        <v>5.9260659141312337E-2</v>
      </c>
      <c r="J704" s="315"/>
      <c r="K704" s="315"/>
      <c r="L704" s="276"/>
      <c r="M704" s="276"/>
      <c r="N704" s="276"/>
      <c r="O704" s="276"/>
      <c r="P704" s="276"/>
      <c r="Q704" s="104"/>
    </row>
    <row r="705" spans="1:17" ht="12.75" customHeight="1" x14ac:dyDescent="0.3">
      <c r="A705" s="42"/>
      <c r="B705" s="42" t="s">
        <v>1429</v>
      </c>
      <c r="C705" s="64"/>
      <c r="D705" s="38"/>
      <c r="E705" s="38"/>
      <c r="F705" s="38"/>
      <c r="G705" s="63" t="s">
        <v>1294</v>
      </c>
      <c r="H705" s="42" t="s">
        <v>28</v>
      </c>
      <c r="I705" s="340">
        <f>continental!I93</f>
        <v>0</v>
      </c>
      <c r="J705" s="315"/>
      <c r="K705" s="315"/>
      <c r="L705" s="276"/>
      <c r="M705" s="276"/>
      <c r="N705" s="276"/>
      <c r="O705" s="276"/>
      <c r="P705" s="276"/>
      <c r="Q705" s="104"/>
    </row>
    <row r="706" spans="1:17" ht="12.75" customHeight="1" x14ac:dyDescent="0.3">
      <c r="A706" s="42"/>
      <c r="B706" s="38"/>
      <c r="C706" s="42" t="s">
        <v>1430</v>
      </c>
      <c r="D706" s="38"/>
      <c r="E706" s="38"/>
      <c r="F706" s="38"/>
      <c r="G706" s="63" t="s">
        <v>166</v>
      </c>
      <c r="H706" s="42" t="s">
        <v>1000</v>
      </c>
      <c r="I706" s="340">
        <f>continental!I94</f>
        <v>0</v>
      </c>
      <c r="J706" s="315"/>
      <c r="K706" s="315"/>
      <c r="L706" s="276"/>
      <c r="M706" s="276"/>
      <c r="N706" s="276"/>
      <c r="O706" s="276"/>
      <c r="P706" s="276"/>
      <c r="Q706" s="104"/>
    </row>
    <row r="707" spans="1:17" ht="12.75" customHeight="1" x14ac:dyDescent="0.3">
      <c r="A707" s="42"/>
      <c r="B707" s="38"/>
      <c r="C707" s="42" t="s">
        <v>1270</v>
      </c>
      <c r="D707" s="38"/>
      <c r="E707" s="38"/>
      <c r="F707" s="38"/>
      <c r="G707" s="63" t="s">
        <v>1295</v>
      </c>
      <c r="H707" s="42" t="s">
        <v>28</v>
      </c>
      <c r="I707" s="340">
        <f ca="1">continental!I95</f>
        <v>2.5429087344943892E-2</v>
      </c>
      <c r="J707" s="315"/>
      <c r="K707" s="315"/>
      <c r="L707" s="276"/>
      <c r="M707" s="276"/>
      <c r="N707" s="276"/>
      <c r="O707" s="276"/>
      <c r="P707" s="276"/>
      <c r="Q707" s="104"/>
    </row>
    <row r="708" spans="1:17" ht="12.75" customHeight="1" x14ac:dyDescent="0.3">
      <c r="A708" s="42"/>
      <c r="B708" s="42" t="s">
        <v>1431</v>
      </c>
      <c r="C708" s="64"/>
      <c r="D708" s="38"/>
      <c r="E708" s="38"/>
      <c r="F708" s="38"/>
      <c r="G708" s="63" t="s">
        <v>470</v>
      </c>
      <c r="H708" s="42" t="s">
        <v>28</v>
      </c>
      <c r="I708" s="340">
        <f>continental!I96</f>
        <v>0</v>
      </c>
      <c r="J708" s="315"/>
      <c r="K708" s="315"/>
      <c r="L708" s="276"/>
      <c r="M708" s="276"/>
      <c r="N708" s="276"/>
      <c r="O708" s="276"/>
      <c r="P708" s="276"/>
      <c r="Q708" s="104"/>
    </row>
    <row r="709" spans="1:17" ht="12.75" customHeight="1" x14ac:dyDescent="0.3">
      <c r="A709" s="42"/>
      <c r="B709" s="42" t="s">
        <v>507</v>
      </c>
      <c r="C709" s="64"/>
      <c r="D709" s="38"/>
      <c r="E709" s="38"/>
      <c r="F709" s="38"/>
      <c r="G709" s="63" t="s">
        <v>569</v>
      </c>
      <c r="H709" s="42" t="s">
        <v>28</v>
      </c>
      <c r="I709" s="340">
        <f>continental!I97</f>
        <v>0</v>
      </c>
      <c r="J709" s="315"/>
      <c r="K709" s="315"/>
      <c r="L709" s="276"/>
      <c r="M709" s="276"/>
      <c r="N709" s="276"/>
      <c r="O709" s="276"/>
      <c r="P709" s="276"/>
      <c r="Q709" s="104"/>
    </row>
    <row r="710" spans="1:17" ht="12.75" customHeight="1" x14ac:dyDescent="0.3">
      <c r="A710" s="42"/>
      <c r="B710" s="42" t="s">
        <v>948</v>
      </c>
      <c r="C710" s="64"/>
      <c r="D710" s="38"/>
      <c r="E710" s="38"/>
      <c r="F710" s="38"/>
      <c r="G710" s="63" t="s">
        <v>992</v>
      </c>
      <c r="H710" s="42" t="s">
        <v>28</v>
      </c>
      <c r="I710" s="340">
        <f>continental!I98</f>
        <v>0</v>
      </c>
      <c r="J710" s="315"/>
      <c r="K710" s="315"/>
      <c r="L710" s="276"/>
      <c r="M710" s="276"/>
      <c r="N710" s="276"/>
      <c r="O710" s="276"/>
      <c r="P710" s="276"/>
      <c r="Q710" s="104"/>
    </row>
    <row r="711" spans="1:17" ht="12.75" customHeight="1" x14ac:dyDescent="0.3">
      <c r="A711" s="42"/>
      <c r="B711" s="38"/>
      <c r="C711" s="42" t="s">
        <v>1323</v>
      </c>
      <c r="D711" s="38"/>
      <c r="E711" s="38"/>
      <c r="F711" s="38"/>
      <c r="G711" s="63" t="s">
        <v>117</v>
      </c>
      <c r="H711" s="42" t="s">
        <v>1000</v>
      </c>
      <c r="I711" s="340">
        <f>continental!I99</f>
        <v>0</v>
      </c>
      <c r="J711" s="315"/>
      <c r="K711" s="315"/>
      <c r="L711" s="276"/>
      <c r="M711" s="276"/>
      <c r="N711" s="276"/>
      <c r="O711" s="276"/>
      <c r="P711" s="276"/>
      <c r="Q711" s="104"/>
    </row>
    <row r="712" spans="1:17" ht="12.75" customHeight="1" x14ac:dyDescent="0.3">
      <c r="A712" s="42"/>
      <c r="B712" s="38"/>
      <c r="C712" s="42" t="s">
        <v>1269</v>
      </c>
      <c r="D712" s="38"/>
      <c r="E712" s="38"/>
      <c r="F712" s="38"/>
      <c r="G712" s="63" t="s">
        <v>471</v>
      </c>
      <c r="H712" s="42" t="s">
        <v>28</v>
      </c>
      <c r="I712" s="340">
        <f ca="1">continental!I100</f>
        <v>6.0838645320684101E-2</v>
      </c>
      <c r="J712" s="315"/>
      <c r="K712" s="315"/>
      <c r="L712" s="276"/>
      <c r="M712" s="276"/>
      <c r="N712" s="276"/>
      <c r="O712" s="276"/>
      <c r="P712" s="276"/>
      <c r="Q712" s="104"/>
    </row>
    <row r="713" spans="1:17" ht="12.75" customHeight="1" x14ac:dyDescent="0.3">
      <c r="A713" s="42"/>
      <c r="B713" s="42" t="s">
        <v>776</v>
      </c>
      <c r="C713" s="64"/>
      <c r="D713" s="38"/>
      <c r="E713" s="38"/>
      <c r="F713" s="38"/>
      <c r="G713" s="63" t="s">
        <v>472</v>
      </c>
      <c r="H713" s="42" t="s">
        <v>28</v>
      </c>
      <c r="I713" s="340">
        <f>continental!I101</f>
        <v>0</v>
      </c>
      <c r="J713" s="315"/>
      <c r="K713" s="315"/>
      <c r="L713" s="276"/>
      <c r="M713" s="276"/>
      <c r="N713" s="276"/>
      <c r="O713" s="276"/>
      <c r="P713" s="276"/>
      <c r="Q713" s="104"/>
    </row>
    <row r="714" spans="1:17" ht="12.75" customHeight="1" x14ac:dyDescent="0.3">
      <c r="A714" s="42"/>
      <c r="B714" s="42" t="s">
        <v>508</v>
      </c>
      <c r="C714" s="64"/>
      <c r="D714" s="38"/>
      <c r="E714" s="38"/>
      <c r="F714" s="38"/>
      <c r="G714" s="63" t="s">
        <v>570</v>
      </c>
      <c r="H714" s="42" t="s">
        <v>28</v>
      </c>
      <c r="I714" s="340">
        <f>continental!I102</f>
        <v>0</v>
      </c>
      <c r="J714" s="315"/>
      <c r="K714" s="315"/>
      <c r="L714" s="276"/>
      <c r="M714" s="276"/>
      <c r="N714" s="276"/>
      <c r="O714" s="276"/>
      <c r="P714" s="276"/>
      <c r="Q714" s="104"/>
    </row>
    <row r="715" spans="1:17" ht="12.75" customHeight="1" x14ac:dyDescent="0.3">
      <c r="A715" s="42"/>
      <c r="B715" s="42" t="s">
        <v>1095</v>
      </c>
      <c r="C715" s="64"/>
      <c r="D715" s="38"/>
      <c r="E715" s="38"/>
      <c r="F715" s="38"/>
      <c r="G715" s="63" t="s">
        <v>993</v>
      </c>
      <c r="H715" s="42" t="s">
        <v>28</v>
      </c>
      <c r="I715" s="340">
        <f>continental!I103</f>
        <v>0</v>
      </c>
      <c r="J715" s="315"/>
      <c r="K715" s="315"/>
      <c r="L715" s="276"/>
      <c r="M715" s="276"/>
      <c r="N715" s="276"/>
      <c r="O715" s="276"/>
      <c r="P715" s="276"/>
      <c r="Q715" s="104"/>
    </row>
    <row r="716" spans="1:17" ht="12.75" customHeight="1" x14ac:dyDescent="0.3">
      <c r="A716" s="42"/>
      <c r="B716" s="38"/>
      <c r="C716" s="42" t="s">
        <v>1228</v>
      </c>
      <c r="D716" s="38"/>
      <c r="E716" s="38"/>
      <c r="F716" s="38"/>
      <c r="G716" s="63" t="s">
        <v>159</v>
      </c>
      <c r="H716" s="42" t="s">
        <v>1000</v>
      </c>
      <c r="I716" s="340">
        <f>continental!I104</f>
        <v>0</v>
      </c>
      <c r="J716" s="315"/>
      <c r="K716" s="315"/>
      <c r="L716" s="276"/>
      <c r="M716" s="276"/>
      <c r="N716" s="276"/>
      <c r="O716" s="276"/>
      <c r="P716" s="276"/>
      <c r="Q716" s="104"/>
    </row>
    <row r="717" spans="1:17" ht="12.75" customHeight="1" x14ac:dyDescent="0.3">
      <c r="A717" s="42"/>
      <c r="B717" s="38"/>
      <c r="C717" s="42" t="s">
        <v>1268</v>
      </c>
      <c r="D717" s="38"/>
      <c r="E717" s="38"/>
      <c r="F717" s="38"/>
      <c r="G717" s="63" t="s">
        <v>473</v>
      </c>
      <c r="H717" s="42" t="s">
        <v>28</v>
      </c>
      <c r="I717" s="340">
        <f ca="1">continental!I105</f>
        <v>5.9929123432608616E-2</v>
      </c>
      <c r="J717" s="315"/>
      <c r="K717" s="315"/>
      <c r="L717" s="276"/>
      <c r="M717" s="276"/>
      <c r="N717" s="276"/>
      <c r="O717" s="276"/>
      <c r="P717" s="276"/>
      <c r="Q717" s="104"/>
    </row>
    <row r="718" spans="1:17" ht="12.75" customHeight="1" x14ac:dyDescent="0.3">
      <c r="A718" s="42"/>
      <c r="B718" s="42" t="s">
        <v>780</v>
      </c>
      <c r="C718" s="64"/>
      <c r="D718" s="38"/>
      <c r="E718" s="38"/>
      <c r="F718" s="38"/>
      <c r="G718" s="63" t="s">
        <v>474</v>
      </c>
      <c r="H718" s="42" t="s">
        <v>28</v>
      </c>
      <c r="I718" s="340">
        <f>continental!I106</f>
        <v>0</v>
      </c>
      <c r="J718" s="315"/>
      <c r="K718" s="315"/>
      <c r="L718" s="276"/>
      <c r="M718" s="276"/>
      <c r="N718" s="276"/>
      <c r="O718" s="276"/>
      <c r="P718" s="276"/>
      <c r="Q718" s="104"/>
    </row>
    <row r="719" spans="1:17" ht="12.75" customHeight="1" x14ac:dyDescent="0.3">
      <c r="A719" s="42"/>
      <c r="B719" s="42" t="s">
        <v>509</v>
      </c>
      <c r="C719" s="64"/>
      <c r="D719" s="38"/>
      <c r="E719" s="38"/>
      <c r="F719" s="38"/>
      <c r="G719" s="63" t="s">
        <v>571</v>
      </c>
      <c r="H719" s="42" t="s">
        <v>28</v>
      </c>
      <c r="I719" s="340">
        <f>continental!I107</f>
        <v>0</v>
      </c>
      <c r="J719" s="315"/>
      <c r="K719" s="315"/>
      <c r="L719" s="276"/>
      <c r="M719" s="276"/>
      <c r="N719" s="276"/>
      <c r="O719" s="276"/>
      <c r="P719" s="276"/>
      <c r="Q719" s="104"/>
    </row>
    <row r="720" spans="1:17" ht="12.75" customHeight="1" x14ac:dyDescent="0.3">
      <c r="A720" s="42"/>
      <c r="B720" s="42" t="s">
        <v>894</v>
      </c>
      <c r="C720" s="64"/>
      <c r="D720" s="38"/>
      <c r="E720" s="38"/>
      <c r="F720" s="38"/>
      <c r="G720" s="63" t="s">
        <v>994</v>
      </c>
      <c r="H720" s="42" t="s">
        <v>28</v>
      </c>
      <c r="I720" s="340">
        <f>continental!I108</f>
        <v>0</v>
      </c>
      <c r="J720" s="315"/>
      <c r="K720" s="315"/>
      <c r="L720" s="276"/>
      <c r="M720" s="276"/>
      <c r="N720" s="276"/>
      <c r="O720" s="276"/>
      <c r="P720" s="276"/>
      <c r="Q720" s="104"/>
    </row>
    <row r="721" spans="1:17" ht="12.75" customHeight="1" x14ac:dyDescent="0.3">
      <c r="A721" s="42"/>
      <c r="B721" s="38"/>
      <c r="C721" s="42" t="s">
        <v>1058</v>
      </c>
      <c r="D721" s="38"/>
      <c r="E721" s="38"/>
      <c r="F721" s="38"/>
      <c r="G721" s="63" t="s">
        <v>161</v>
      </c>
      <c r="H721" s="42" t="s">
        <v>1000</v>
      </c>
      <c r="I721" s="340">
        <f>continental!I109</f>
        <v>0</v>
      </c>
      <c r="J721" s="315"/>
      <c r="K721" s="315"/>
      <c r="L721" s="276"/>
      <c r="M721" s="276"/>
      <c r="N721" s="276"/>
      <c r="O721" s="276"/>
      <c r="P721" s="276"/>
      <c r="Q721" s="104"/>
    </row>
    <row r="722" spans="1:17" ht="12.75" customHeight="1" x14ac:dyDescent="0.3">
      <c r="A722" s="42"/>
      <c r="B722" s="38"/>
      <c r="C722" s="42" t="s">
        <v>1400</v>
      </c>
      <c r="D722" s="38"/>
      <c r="E722" s="38"/>
      <c r="F722" s="38"/>
      <c r="G722" s="63" t="s">
        <v>475</v>
      </c>
      <c r="H722" s="42" t="s">
        <v>28</v>
      </c>
      <c r="I722" s="340">
        <f ca="1">continental!I110</f>
        <v>5.1191749122888035E-2</v>
      </c>
      <c r="J722" s="315"/>
      <c r="K722" s="315"/>
      <c r="L722" s="276"/>
      <c r="M722" s="276"/>
      <c r="N722" s="276"/>
      <c r="O722" s="276"/>
      <c r="P722" s="276"/>
      <c r="Q722" s="104"/>
    </row>
    <row r="723" spans="1:17" ht="12.75" customHeight="1" x14ac:dyDescent="0.3">
      <c r="A723" s="42"/>
      <c r="B723" s="38"/>
      <c r="C723" s="42"/>
      <c r="D723" s="38"/>
      <c r="E723" s="38"/>
      <c r="F723" s="38"/>
      <c r="G723" s="38"/>
      <c r="H723" s="38"/>
      <c r="I723" s="178"/>
      <c r="J723" s="322"/>
      <c r="K723" s="322"/>
      <c r="L723" s="285"/>
      <c r="M723" s="285"/>
      <c r="N723" s="285"/>
      <c r="O723" s="285"/>
      <c r="P723" s="285"/>
      <c r="Q723" s="104"/>
    </row>
    <row r="724" spans="1:17" ht="12.75" customHeight="1" x14ac:dyDescent="0.3">
      <c r="A724" s="67" t="s">
        <v>1306</v>
      </c>
      <c r="B724" s="66"/>
      <c r="C724" s="66"/>
      <c r="D724" s="66"/>
      <c r="E724" s="66"/>
      <c r="F724" s="66"/>
      <c r="G724" s="66"/>
      <c r="H724" s="66"/>
      <c r="I724" s="189" t="s">
        <v>748</v>
      </c>
      <c r="J724" s="319"/>
      <c r="K724" s="319"/>
      <c r="L724" s="281"/>
      <c r="M724" s="281"/>
      <c r="N724" s="281"/>
      <c r="O724" s="281"/>
      <c r="P724" s="281"/>
      <c r="Q724" s="104"/>
    </row>
    <row r="725" spans="1:17" ht="12.75" customHeight="1" x14ac:dyDescent="0.3">
      <c r="A725" s="38"/>
      <c r="B725" s="38"/>
      <c r="C725" s="38"/>
      <c r="D725" s="38"/>
      <c r="E725" s="38"/>
      <c r="F725" s="38"/>
      <c r="G725" s="38"/>
      <c r="H725" s="38"/>
      <c r="I725" s="162"/>
      <c r="J725" s="322"/>
      <c r="K725" s="322"/>
      <c r="L725" s="285"/>
      <c r="M725" s="285"/>
      <c r="N725" s="285"/>
      <c r="O725" s="285"/>
      <c r="P725" s="285"/>
      <c r="Q725" s="104"/>
    </row>
    <row r="726" spans="1:17" ht="12.75" customHeight="1" x14ac:dyDescent="0.3">
      <c r="A726" s="42" t="s">
        <v>292</v>
      </c>
      <c r="B726" s="38"/>
      <c r="C726" s="38"/>
      <c r="D726" s="38"/>
      <c r="E726" s="38"/>
      <c r="F726" s="38"/>
      <c r="G726" s="42" t="s">
        <v>341</v>
      </c>
      <c r="H726" s="42" t="s">
        <v>1926</v>
      </c>
      <c r="I726" s="340">
        <f>continental!I114</f>
        <v>0</v>
      </c>
      <c r="J726" s="315"/>
      <c r="K726" s="315">
        <f ca="1">((DRYDEPaerosol.C+AerosolWashout.C+GasWashout.C+GASABS.aC.wC)/HEIGHT.aC)*AREAFRAC.w0C</f>
        <v>8.2051467736447559E-2</v>
      </c>
      <c r="L726" s="315">
        <f ca="1">((DRYDEPaerosol.C+AerosolWashout.C+GasWashout.C+GASABS.aC.wC)/HEIGHT.aC)*AREAFRAC.w0C</f>
        <v>8.2051467736447559E-2</v>
      </c>
      <c r="M726" s="315">
        <f ca="1">((DRYDEPaerosol.C+AerosolWashout.C+GasWashout.C+GASABS.aC.wC)/HEIGHT.aC)*AREAFRAC.w0C</f>
        <v>8.2051467736447559E-2</v>
      </c>
      <c r="N726" s="315">
        <f ca="1">((DRYDEPaerosol.C+AerosolWashout.C+GasWashout.C+GASABS.aC.wC)/HEIGHT.aC)*AREAFRAC.w0C</f>
        <v>8.2051467736447559E-2</v>
      </c>
      <c r="O726" s="315">
        <f ca="1">((DRYDEPaerosol.C+AerosolWashout.C+GasWashout.C+GASABS.aC.wC)/HEIGHT.aC)*AREAFRAC.w0C</f>
        <v>8.2051467736447559E-2</v>
      </c>
      <c r="P726" s="276"/>
      <c r="Q726" s="104"/>
    </row>
    <row r="727" spans="1:17" ht="12.75" customHeight="1" x14ac:dyDescent="0.3">
      <c r="A727" s="42" t="s">
        <v>58</v>
      </c>
      <c r="B727" s="38"/>
      <c r="C727" s="38"/>
      <c r="D727" s="38"/>
      <c r="E727" s="38"/>
      <c r="F727" s="38"/>
      <c r="G727" s="42" t="s">
        <v>256</v>
      </c>
      <c r="H727" s="42" t="s">
        <v>1926</v>
      </c>
      <c r="I727" s="340">
        <f>continental!I115</f>
        <v>0</v>
      </c>
      <c r="J727" s="315"/>
      <c r="K727" s="315">
        <f ca="1">((DRYDEPaerosol.C+AerosolWashout.C+GasWashout.C+GASABS.aC.wC)/HEIGHT.aC)*AREAFRAC.w1C</f>
        <v>0.90256614510092326</v>
      </c>
      <c r="L727" s="315">
        <f ca="1">((DRYDEPaerosol.C+AerosolWashout.C+GasWashout.C+GASABS.aC.wC)/HEIGHT.aC)*AREAFRAC.w1C</f>
        <v>0.90256614510092326</v>
      </c>
      <c r="M727" s="315">
        <f ca="1">((DRYDEPaerosol.C+AerosolWashout.C+GasWashout.C+GASABS.aC.wC)/HEIGHT.aC)*AREAFRAC.w1C</f>
        <v>0.90256614510092326</v>
      </c>
      <c r="N727" s="315">
        <f ca="1">((DRYDEPaerosol.C+AerosolWashout.C+GasWashout.C+GASABS.aC.wC)/HEIGHT.aC)*AREAFRAC.w1C</f>
        <v>0.90256614510092326</v>
      </c>
      <c r="O727" s="315">
        <f ca="1">((DRYDEPaerosol.C+AerosolWashout.C+GasWashout.C+GASABS.aC.wC)/HEIGHT.aC)*AREAFRAC.w1C</f>
        <v>0.90256614510092326</v>
      </c>
      <c r="P727" s="276"/>
      <c r="Q727" s="104"/>
    </row>
    <row r="728" spans="1:17" ht="12.75" customHeight="1" x14ac:dyDescent="0.3">
      <c r="A728" s="42" t="s">
        <v>59</v>
      </c>
      <c r="B728" s="38"/>
      <c r="C728" s="38"/>
      <c r="D728" s="38"/>
      <c r="E728" s="38"/>
      <c r="F728" s="38"/>
      <c r="G728" s="42" t="s">
        <v>257</v>
      </c>
      <c r="H728" s="42" t="s">
        <v>1926</v>
      </c>
      <c r="I728" s="340">
        <f>continental!I116</f>
        <v>0</v>
      </c>
      <c r="J728" s="315"/>
      <c r="K728" s="315">
        <f ca="1">((DRYDEPaerosol.C+AerosolWashout.C+GasWashout.C+GASABS.aC.wC)/HEIGHT.aC)*AREAFRAC.w2C</f>
        <v>32.81888142620781</v>
      </c>
      <c r="L728" s="315">
        <f ca="1">((DRYDEPaerosol.C+AerosolWashout.C+GasWashout.C+GASABS.aC.wC)/HEIGHT.aC)*AREAFRAC.w2C</f>
        <v>32.81888142620781</v>
      </c>
      <c r="M728" s="315">
        <f ca="1">((DRYDEPaerosol.C+AerosolWashout.C+GasWashout.C+GASABS.aC.wC)/HEIGHT.aC)*AREAFRAC.w2C</f>
        <v>32.81888142620781</v>
      </c>
      <c r="N728" s="315">
        <f ca="1">((DRYDEPaerosol.C+AerosolWashout.C+GasWashout.C+GASABS.aC.wC)/HEIGHT.aC)*AREAFRAC.w2C</f>
        <v>32.81888142620781</v>
      </c>
      <c r="O728" s="315">
        <f ca="1">((DRYDEPaerosol.C+AerosolWashout.C+GasWashout.C+GASABS.aC.wC)/HEIGHT.aC)*AREAFRAC.w2C</f>
        <v>32.81888142620781</v>
      </c>
      <c r="P728" s="276"/>
      <c r="Q728" s="104"/>
    </row>
    <row r="729" spans="1:17" ht="12.75" customHeight="1" x14ac:dyDescent="0.3">
      <c r="A729" s="42" t="s">
        <v>60</v>
      </c>
      <c r="B729" s="38"/>
      <c r="C729" s="38"/>
      <c r="D729" s="38"/>
      <c r="E729" s="38"/>
      <c r="F729" s="38"/>
      <c r="G729" s="42" t="s">
        <v>258</v>
      </c>
      <c r="H729" s="42" t="s">
        <v>1926</v>
      </c>
      <c r="I729" s="340">
        <f>continental!I117</f>
        <v>0</v>
      </c>
      <c r="J729" s="315"/>
      <c r="K729" s="315">
        <f ca="1">((DRYDEPaerosol.C+AerosolWashout.C+GasWashout.C+GASABS.aC.sC)/HEIGHT.aC)*AREAFRAC.s1C</f>
        <v>8.8615585155363377</v>
      </c>
      <c r="L729" s="315">
        <f ca="1">((DRYDEPaerosol.C+AerosolWashout.C+GasWashout.C+GASABS.aC.sC)/HEIGHT.aC)*AREAFRAC.s1C</f>
        <v>8.8615585155363377</v>
      </c>
      <c r="M729" s="315">
        <f ca="1">((DRYDEPaerosol.C+AerosolWashout.C+GasWashout.C+GASABS.aC.sC)/HEIGHT.aC)*AREAFRAC.s1C</f>
        <v>8.8615585155363377</v>
      </c>
      <c r="N729" s="315">
        <f ca="1">((DRYDEPaerosol.C+AerosolWashout.C+GasWashout.C+GASABS.aC.sC)/HEIGHT.aC)*AREAFRAC.s1C</f>
        <v>8.8615585155363377</v>
      </c>
      <c r="O729" s="315">
        <f ca="1">((DRYDEPaerosol.C+AerosolWashout.C+GasWashout.C+GASABS.aC.sC)/HEIGHT.aC)*AREAFRAC.s1C</f>
        <v>8.8615585155363377</v>
      </c>
      <c r="P729" s="276"/>
      <c r="Q729" s="104"/>
    </row>
    <row r="730" spans="1:17" ht="12.75" customHeight="1" x14ac:dyDescent="0.3">
      <c r="A730" s="42" t="s">
        <v>61</v>
      </c>
      <c r="B730" s="38"/>
      <c r="C730" s="38"/>
      <c r="D730" s="38"/>
      <c r="E730" s="38"/>
      <c r="F730" s="38"/>
      <c r="G730" s="42" t="s">
        <v>810</v>
      </c>
      <c r="H730" s="42" t="s">
        <v>1926</v>
      </c>
      <c r="I730" s="340">
        <f>continental!I118</f>
        <v>0</v>
      </c>
      <c r="J730" s="315"/>
      <c r="K730" s="315">
        <f ca="1">((DRYDEPaerosol.C+AerosolWashout.C+GasWashout.C+GASABS.aC.sC)/HEIGHT.aC)*AREAFRAC.s2C</f>
        <v>19.692352256747416</v>
      </c>
      <c r="L730" s="315">
        <f ca="1">((DRYDEPaerosol.C+AerosolWashout.C+GasWashout.C+GASABS.aC.sC)/HEIGHT.aC)*AREAFRAC.s2C</f>
        <v>19.692352256747416</v>
      </c>
      <c r="M730" s="315">
        <f ca="1">((DRYDEPaerosol.C+AerosolWashout.C+GasWashout.C+GASABS.aC.sC)/HEIGHT.aC)*AREAFRAC.s2C</f>
        <v>19.692352256747416</v>
      </c>
      <c r="N730" s="315">
        <f ca="1">((DRYDEPaerosol.C+AerosolWashout.C+GasWashout.C+GASABS.aC.sC)/HEIGHT.aC)*AREAFRAC.s2C</f>
        <v>19.692352256747416</v>
      </c>
      <c r="O730" s="315">
        <f ca="1">((DRYDEPaerosol.C+AerosolWashout.C+GasWashout.C+GASABS.aC.sC)/HEIGHT.aC)*AREAFRAC.s2C</f>
        <v>19.692352256747416</v>
      </c>
      <c r="P730" s="276"/>
      <c r="Q730" s="104"/>
    </row>
    <row r="731" spans="1:17" ht="12.75" customHeight="1" x14ac:dyDescent="0.3">
      <c r="A731" s="42" t="s">
        <v>62</v>
      </c>
      <c r="B731" s="38"/>
      <c r="C731" s="38"/>
      <c r="D731" s="38"/>
      <c r="E731" s="38"/>
      <c r="F731" s="38"/>
      <c r="G731" s="42" t="s">
        <v>811</v>
      </c>
      <c r="H731" s="42" t="s">
        <v>1926</v>
      </c>
      <c r="I731" s="340">
        <f>continental!I119</f>
        <v>0</v>
      </c>
      <c r="J731" s="315"/>
      <c r="K731" s="315">
        <f ca="1">((DRYDEPaerosol.C+AerosolWashout.C+GasWashout.C+GASABS.aC.sC)/HEIGHT.aC)*AREAFRAC.s3C</f>
        <v>3.2820587094579028</v>
      </c>
      <c r="L731" s="315">
        <f ca="1">((DRYDEPaerosol.C+AerosolWashout.C+GasWashout.C+GASABS.aC.sC)/HEIGHT.aC)*AREAFRAC.s3C</f>
        <v>3.2820587094579028</v>
      </c>
      <c r="M731" s="315">
        <f ca="1">((DRYDEPaerosol.C+AerosolWashout.C+GasWashout.C+GASABS.aC.sC)/HEIGHT.aC)*AREAFRAC.s3C</f>
        <v>3.2820587094579028</v>
      </c>
      <c r="N731" s="315">
        <f ca="1">((DRYDEPaerosol.C+AerosolWashout.C+GasWashout.C+GASABS.aC.sC)/HEIGHT.aC)*AREAFRAC.s3C</f>
        <v>3.2820587094579028</v>
      </c>
      <c r="O731" s="315">
        <f ca="1">((DRYDEPaerosol.C+AerosolWashout.C+GasWashout.C+GASABS.aC.sC)/HEIGHT.aC)*AREAFRAC.s3C</f>
        <v>3.2820587094579028</v>
      </c>
      <c r="P731" s="276"/>
      <c r="Q731" s="104"/>
    </row>
    <row r="732" spans="1:17" ht="12.75" customHeight="1" x14ac:dyDescent="0.3">
      <c r="A732" s="42" t="s">
        <v>63</v>
      </c>
      <c r="B732" s="38"/>
      <c r="C732" s="38"/>
      <c r="D732" s="38"/>
      <c r="E732" s="38"/>
      <c r="F732" s="38"/>
      <c r="G732" s="42" t="s">
        <v>342</v>
      </c>
      <c r="H732" s="42" t="s">
        <v>1926</v>
      </c>
      <c r="I732" s="340">
        <f>continental!I120</f>
        <v>0</v>
      </c>
      <c r="J732" s="315"/>
      <c r="K732" s="315"/>
      <c r="L732" s="276"/>
      <c r="M732" s="276"/>
      <c r="N732" s="276"/>
      <c r="O732" s="276"/>
      <c r="P732" s="276"/>
      <c r="Q732" s="104"/>
    </row>
    <row r="733" spans="1:17" ht="12.75" customHeight="1" x14ac:dyDescent="0.3">
      <c r="A733" s="42" t="s">
        <v>63</v>
      </c>
      <c r="B733" s="38"/>
      <c r="C733" s="38"/>
      <c r="D733" s="38"/>
      <c r="E733" s="38"/>
      <c r="F733" s="38"/>
      <c r="G733" s="42" t="s">
        <v>812</v>
      </c>
      <c r="H733" s="42" t="s">
        <v>1926</v>
      </c>
      <c r="I733" s="340">
        <f>continental!I121</f>
        <v>0</v>
      </c>
      <c r="J733" s="315"/>
      <c r="K733" s="315"/>
      <c r="L733" s="276"/>
      <c r="M733" s="276"/>
      <c r="N733" s="276"/>
      <c r="O733" s="276"/>
      <c r="P733" s="276"/>
      <c r="Q733" s="104"/>
    </row>
    <row r="734" spans="1:17" ht="12.75" customHeight="1" x14ac:dyDescent="0.3">
      <c r="A734" s="42" t="s">
        <v>64</v>
      </c>
      <c r="B734" s="38"/>
      <c r="C734" s="38"/>
      <c r="D734" s="38"/>
      <c r="E734" s="38"/>
      <c r="F734" s="38"/>
      <c r="G734" s="42" t="s">
        <v>813</v>
      </c>
      <c r="H734" s="42" t="s">
        <v>1926</v>
      </c>
      <c r="I734" s="340">
        <f>continental!I122</f>
        <v>0</v>
      </c>
      <c r="J734" s="315"/>
      <c r="K734" s="315"/>
      <c r="L734" s="276"/>
      <c r="M734" s="276"/>
      <c r="N734" s="276"/>
      <c r="O734" s="276"/>
      <c r="P734" s="276"/>
      <c r="Q734" s="104"/>
    </row>
    <row r="735" spans="1:17" ht="12.75" customHeight="1" x14ac:dyDescent="0.3">
      <c r="A735" s="42" t="s">
        <v>65</v>
      </c>
      <c r="B735" s="38"/>
      <c r="C735" s="38"/>
      <c r="D735" s="38"/>
      <c r="E735" s="38"/>
      <c r="F735" s="38"/>
      <c r="G735" s="42" t="s">
        <v>814</v>
      </c>
      <c r="H735" s="42" t="s">
        <v>1926</v>
      </c>
      <c r="I735" s="340">
        <f>continental!I123</f>
        <v>0</v>
      </c>
      <c r="J735" s="315"/>
      <c r="K735" s="315"/>
      <c r="L735" s="276"/>
      <c r="M735" s="276"/>
      <c r="N735" s="276"/>
      <c r="O735" s="276"/>
      <c r="P735" s="276"/>
      <c r="Q735" s="104"/>
    </row>
    <row r="736" spans="1:17" ht="12.75" customHeight="1" x14ac:dyDescent="0.3">
      <c r="A736" s="42" t="s">
        <v>66</v>
      </c>
      <c r="B736" s="38"/>
      <c r="C736" s="38"/>
      <c r="D736" s="38"/>
      <c r="E736" s="38"/>
      <c r="F736" s="38"/>
      <c r="G736" s="42" t="s">
        <v>815</v>
      </c>
      <c r="H736" s="42" t="s">
        <v>1926</v>
      </c>
      <c r="I736" s="340">
        <f>continental!I124</f>
        <v>0</v>
      </c>
      <c r="J736" s="315"/>
      <c r="K736" s="315"/>
      <c r="L736" s="276"/>
      <c r="M736" s="276"/>
      <c r="N736" s="276"/>
      <c r="O736" s="276"/>
      <c r="P736" s="276"/>
      <c r="Q736" s="104"/>
    </row>
    <row r="737" spans="1:17" ht="12.75" customHeight="1" x14ac:dyDescent="0.3">
      <c r="A737" s="42" t="s">
        <v>67</v>
      </c>
      <c r="B737" s="38"/>
      <c r="C737" s="38"/>
      <c r="D737" s="38"/>
      <c r="E737" s="38"/>
      <c r="F737" s="38"/>
      <c r="G737" s="42" t="s">
        <v>816</v>
      </c>
      <c r="H737" s="42" t="s">
        <v>1926</v>
      </c>
      <c r="I737" s="340">
        <f>continental!I125</f>
        <v>0</v>
      </c>
      <c r="J737" s="315"/>
      <c r="K737" s="315"/>
      <c r="L737" s="276"/>
      <c r="M737" s="276"/>
      <c r="N737" s="276"/>
      <c r="O737" s="276"/>
      <c r="P737" s="276"/>
      <c r="Q737" s="104"/>
    </row>
    <row r="738" spans="1:17" ht="12.75" customHeight="1" x14ac:dyDescent="0.3">
      <c r="A738" s="42"/>
      <c r="B738" s="42" t="s">
        <v>1954</v>
      </c>
      <c r="C738" s="38"/>
      <c r="D738" s="38"/>
      <c r="E738" s="38"/>
      <c r="F738" s="38"/>
      <c r="G738" s="43" t="s">
        <v>1872</v>
      </c>
      <c r="H738" s="42" t="s">
        <v>1926</v>
      </c>
      <c r="I738" s="340">
        <f>continental!I126</f>
        <v>0</v>
      </c>
      <c r="J738" s="315"/>
      <c r="K738" s="315"/>
      <c r="L738" s="276"/>
      <c r="M738" s="276"/>
      <c r="N738" s="276"/>
      <c r="O738" s="276"/>
      <c r="P738" s="276"/>
      <c r="Q738" s="104"/>
    </row>
    <row r="739" spans="1:17" ht="12.75" customHeight="1" x14ac:dyDescent="0.3">
      <c r="A739" s="42"/>
      <c r="B739" s="42"/>
      <c r="C739" s="38" t="s">
        <v>1955</v>
      </c>
      <c r="D739" s="38"/>
      <c r="E739" s="38"/>
      <c r="F739" s="38"/>
      <c r="G739" s="43" t="s">
        <v>1873</v>
      </c>
      <c r="H739" s="42" t="s">
        <v>1926</v>
      </c>
      <c r="I739" s="340">
        <f>continental!I127</f>
        <v>0</v>
      </c>
      <c r="J739" s="315"/>
      <c r="K739" s="315"/>
      <c r="L739" s="276"/>
      <c r="M739" s="276"/>
      <c r="N739" s="276"/>
      <c r="O739" s="276"/>
      <c r="P739" s="276"/>
      <c r="Q739" s="104"/>
    </row>
    <row r="740" spans="1:17" ht="12.75" customHeight="1" x14ac:dyDescent="0.3">
      <c r="A740" s="42"/>
      <c r="B740" s="42"/>
      <c r="C740" s="42"/>
      <c r="D740" s="42" t="s">
        <v>1956</v>
      </c>
      <c r="E740" s="38"/>
      <c r="F740" s="38"/>
      <c r="G740" s="43" t="s">
        <v>959</v>
      </c>
      <c r="H740" s="42" t="s">
        <v>1926</v>
      </c>
      <c r="I740" s="340">
        <f>continental!I128</f>
        <v>0</v>
      </c>
      <c r="J740" s="315"/>
      <c r="K740" s="315"/>
      <c r="L740" s="276"/>
      <c r="M740" s="276"/>
      <c r="N740" s="276"/>
      <c r="O740" s="276"/>
      <c r="P740" s="276"/>
      <c r="Q740" s="104"/>
    </row>
    <row r="741" spans="1:17" ht="12.75" customHeight="1" x14ac:dyDescent="0.3">
      <c r="A741" s="42"/>
      <c r="B741" s="42"/>
      <c r="C741" s="42"/>
      <c r="D741" s="42" t="s">
        <v>1957</v>
      </c>
      <c r="E741" s="38"/>
      <c r="F741" s="38"/>
      <c r="G741" s="43" t="s">
        <v>960</v>
      </c>
      <c r="H741" s="42" t="s">
        <v>1926</v>
      </c>
      <c r="I741" s="340">
        <f>continental!I129</f>
        <v>0</v>
      </c>
      <c r="J741" s="315"/>
      <c r="K741" s="315"/>
      <c r="L741" s="276"/>
      <c r="M741" s="276"/>
      <c r="N741" s="276"/>
      <c r="O741" s="276"/>
      <c r="P741" s="276"/>
      <c r="Q741" s="104"/>
    </row>
    <row r="742" spans="1:17" ht="12.75" customHeight="1" x14ac:dyDescent="0.3">
      <c r="A742" s="42"/>
      <c r="B742" s="38" t="s">
        <v>890</v>
      </c>
      <c r="C742" s="38"/>
      <c r="D742" s="38"/>
      <c r="E742" s="38"/>
      <c r="F742" s="38"/>
      <c r="G742" s="38" t="s">
        <v>961</v>
      </c>
      <c r="H742" s="38" t="s">
        <v>1779</v>
      </c>
      <c r="I742" s="340">
        <f>continental!I130</f>
        <v>0</v>
      </c>
      <c r="J742" s="315"/>
      <c r="K742" s="315"/>
      <c r="L742" s="276"/>
      <c r="M742" s="276"/>
      <c r="N742" s="276"/>
      <c r="O742" s="276"/>
      <c r="P742" s="276"/>
      <c r="Q742" s="104"/>
    </row>
    <row r="743" spans="1:17" ht="12.75" customHeight="1" x14ac:dyDescent="0.3">
      <c r="A743" s="42"/>
      <c r="B743" s="38" t="s">
        <v>892</v>
      </c>
      <c r="C743" s="38"/>
      <c r="D743" s="38"/>
      <c r="E743" s="38"/>
      <c r="F743" s="38"/>
      <c r="G743" s="38" t="s">
        <v>962</v>
      </c>
      <c r="H743" s="38" t="s">
        <v>1779</v>
      </c>
      <c r="I743" s="340">
        <f>continental!I131</f>
        <v>0</v>
      </c>
      <c r="J743" s="315"/>
      <c r="K743" s="315"/>
      <c r="L743" s="276"/>
      <c r="M743" s="276"/>
      <c r="N743" s="276"/>
      <c r="O743" s="276"/>
      <c r="P743" s="276"/>
      <c r="Q743" s="104"/>
    </row>
    <row r="744" spans="1:17" ht="12.75" customHeight="1" x14ac:dyDescent="0.3">
      <c r="A744" s="42"/>
      <c r="B744" s="42" t="s">
        <v>484</v>
      </c>
      <c r="C744" s="38"/>
      <c r="D744" s="38"/>
      <c r="E744" s="38"/>
      <c r="F744" s="38"/>
      <c r="G744" s="63" t="s">
        <v>450</v>
      </c>
      <c r="H744" s="64" t="s">
        <v>1958</v>
      </c>
      <c r="I744" s="340">
        <f>continental!I132</f>
        <v>0</v>
      </c>
      <c r="J744" s="315"/>
      <c r="K744" s="315">
        <f ca="1">AEROSOLdeprate.C*FRaers.aC</f>
        <v>5.069602682845739E-4</v>
      </c>
      <c r="L744" s="276">
        <f ca="1">AEROSOLdeprate.C*FRaers.aC</f>
        <v>5.069602682845739E-4</v>
      </c>
      <c r="M744" s="276">
        <f ca="1">AEROSOLdeprate.C*FRaers.aC</f>
        <v>5.069602682845739E-4</v>
      </c>
      <c r="N744" s="276">
        <f ca="1">AEROSOLdeprate.C*FRaers.aC</f>
        <v>5.069602682845739E-4</v>
      </c>
      <c r="O744" s="276">
        <f ca="1">AEROSOLdeprate.C*FRaers.aC</f>
        <v>5.069602682845739E-4</v>
      </c>
      <c r="P744" s="276"/>
      <c r="Q744" s="104"/>
    </row>
    <row r="745" spans="1:17" ht="12.75" customHeight="1" x14ac:dyDescent="0.3">
      <c r="A745" s="42"/>
      <c r="B745" s="42" t="s">
        <v>739</v>
      </c>
      <c r="C745" s="38"/>
      <c r="D745" s="38"/>
      <c r="E745" s="38"/>
      <c r="F745" s="38"/>
      <c r="G745" s="43" t="s">
        <v>1286</v>
      </c>
      <c r="H745" s="64" t="s">
        <v>1958</v>
      </c>
      <c r="I745" s="340">
        <f>continental!I133</f>
        <v>0</v>
      </c>
      <c r="J745" s="315"/>
      <c r="K745" s="315">
        <f ca="1">(1-FRgas.aC)*COLLECTeff.C*RAINrate.C</f>
        <v>4.373010623519608E-4</v>
      </c>
      <c r="L745" s="276">
        <f ca="1">(1-FRgas.aC)*COLLECTeff.C*RAINrate.C</f>
        <v>4.373010623519608E-4</v>
      </c>
      <c r="M745" s="276">
        <f ca="1">(1-FRgas.aC)*COLLECTeff.C*RAINrate.C</f>
        <v>4.373010623519608E-4</v>
      </c>
      <c r="N745" s="276">
        <f ca="1">(1-FRgas.aC)*COLLECTeff.C*RAINrate.C</f>
        <v>4.373010623519608E-4</v>
      </c>
      <c r="O745" s="276">
        <f ca="1">(1-FRgas.aC)*COLLECTeff.C*RAINrate.C</f>
        <v>4.373010623519608E-4</v>
      </c>
      <c r="P745" s="276"/>
      <c r="Q745" s="104"/>
    </row>
    <row r="746" spans="1:17" ht="12.75" customHeight="1" x14ac:dyDescent="0.3">
      <c r="A746" s="42"/>
      <c r="B746" s="42" t="s">
        <v>740</v>
      </c>
      <c r="C746" s="38"/>
      <c r="D746" s="38"/>
      <c r="E746" s="38"/>
      <c r="F746" s="38"/>
      <c r="G746" s="43" t="s">
        <v>895</v>
      </c>
      <c r="H746" s="64" t="s">
        <v>1958</v>
      </c>
      <c r="I746" s="340">
        <f>continental!I134</f>
        <v>0</v>
      </c>
      <c r="J746" s="315"/>
      <c r="K746" s="315">
        <f ca="1">FRgas.aC*RAINrate.C/Kaw.C</f>
        <v>992.00387408391123</v>
      </c>
      <c r="L746" s="276">
        <f ca="1">FRgas.aC*RAINrate.C/Kaw.C</f>
        <v>992.00387408391123</v>
      </c>
      <c r="M746" s="276">
        <f ca="1">FRgas.aC*RAINrate.C/Kaw.C</f>
        <v>992.00387408391123</v>
      </c>
      <c r="N746" s="276">
        <f ca="1">FRgas.aC*RAINrate.C/Kaw.C</f>
        <v>992.00387408391123</v>
      </c>
      <c r="O746" s="276">
        <f ca="1">FRgas.aC*RAINrate.C/Kaw.C</f>
        <v>992.00387408391123</v>
      </c>
      <c r="P746" s="276"/>
      <c r="Q746" s="104"/>
    </row>
    <row r="747" spans="1:17" ht="12.75" customHeight="1" x14ac:dyDescent="0.3">
      <c r="A747" s="42"/>
      <c r="B747" s="38"/>
      <c r="C747" s="64" t="s">
        <v>741</v>
      </c>
      <c r="D747" s="64"/>
      <c r="E747" s="64"/>
      <c r="F747" s="64"/>
      <c r="G747" s="63" t="s">
        <v>451</v>
      </c>
      <c r="H747" s="64" t="s">
        <v>1958</v>
      </c>
      <c r="I747" s="340">
        <f ca="1">continental!I135</f>
        <v>2.9944375231145052E-3</v>
      </c>
      <c r="J747" s="315"/>
      <c r="K747" s="315"/>
      <c r="L747" s="276"/>
      <c r="M747" s="276"/>
      <c r="N747" s="276"/>
      <c r="O747" s="276"/>
      <c r="P747" s="276"/>
      <c r="Q747" s="104"/>
    </row>
    <row r="748" spans="1:17" ht="12.75" customHeight="1" x14ac:dyDescent="0.3">
      <c r="A748" s="42"/>
      <c r="B748" s="38"/>
      <c r="C748" s="42" t="s">
        <v>440</v>
      </c>
      <c r="D748" s="38"/>
      <c r="E748" s="38"/>
      <c r="F748" s="38"/>
      <c r="G748" s="63" t="s">
        <v>1057</v>
      </c>
      <c r="H748" s="42" t="s">
        <v>28</v>
      </c>
      <c r="I748" s="340">
        <f ca="1">continental!I136</f>
        <v>18309.673316045373</v>
      </c>
      <c r="J748" s="315"/>
      <c r="K748" s="315"/>
      <c r="L748" s="276"/>
      <c r="M748" s="276"/>
      <c r="N748" s="276"/>
      <c r="O748" s="276"/>
      <c r="P748" s="276"/>
      <c r="Q748" s="104"/>
    </row>
    <row r="749" spans="1:17" ht="12.75" customHeight="1" x14ac:dyDescent="0.3">
      <c r="A749" s="42"/>
      <c r="B749" s="42" t="s">
        <v>1825</v>
      </c>
      <c r="C749" s="38"/>
      <c r="D749" s="38"/>
      <c r="E749" s="64"/>
      <c r="F749" s="64"/>
      <c r="G749" s="43" t="s">
        <v>1846</v>
      </c>
      <c r="H749" s="42" t="s">
        <v>1959</v>
      </c>
      <c r="I749" s="340">
        <f>continental!I137</f>
        <v>0</v>
      </c>
      <c r="J749" s="315"/>
      <c r="K749" s="315"/>
      <c r="L749" s="276"/>
      <c r="M749" s="276"/>
      <c r="N749" s="276"/>
      <c r="O749" s="276"/>
      <c r="P749" s="276"/>
      <c r="Q749" s="104"/>
    </row>
    <row r="750" spans="1:17" ht="12.75" customHeight="1" x14ac:dyDescent="0.3">
      <c r="A750" s="42"/>
      <c r="B750" s="42" t="s">
        <v>1826</v>
      </c>
      <c r="C750" s="38"/>
      <c r="D750" s="38"/>
      <c r="E750" s="64"/>
      <c r="F750" s="64"/>
      <c r="G750" s="43" t="s">
        <v>1847</v>
      </c>
      <c r="H750" s="42" t="s">
        <v>1959</v>
      </c>
      <c r="I750" s="340">
        <f>continental!I138</f>
        <v>0</v>
      </c>
      <c r="J750" s="315"/>
      <c r="K750" s="315"/>
      <c r="L750" s="276"/>
      <c r="M750" s="276"/>
      <c r="N750" s="276"/>
      <c r="O750" s="276"/>
      <c r="P750" s="276"/>
      <c r="Q750" s="104"/>
    </row>
    <row r="751" spans="1:17" ht="12.75" customHeight="1" x14ac:dyDescent="0.3">
      <c r="A751" s="42"/>
      <c r="B751" s="42" t="s">
        <v>1819</v>
      </c>
      <c r="C751" s="38"/>
      <c r="D751" s="38"/>
      <c r="E751" s="64"/>
      <c r="F751" s="64"/>
      <c r="G751" s="43" t="s">
        <v>1848</v>
      </c>
      <c r="H751" s="42" t="s">
        <v>1959</v>
      </c>
      <c r="I751" s="340">
        <f>continental!I139</f>
        <v>0</v>
      </c>
      <c r="J751" s="315"/>
      <c r="K751" s="315"/>
      <c r="L751" s="276"/>
      <c r="M751" s="276"/>
      <c r="N751" s="276"/>
      <c r="O751" s="276"/>
      <c r="P751" s="276"/>
      <c r="Q751" s="104"/>
    </row>
    <row r="752" spans="1:17" ht="12.75" customHeight="1" x14ac:dyDescent="0.3">
      <c r="A752" s="42"/>
      <c r="B752" s="42" t="s">
        <v>1820</v>
      </c>
      <c r="C752" s="38"/>
      <c r="D752" s="38"/>
      <c r="E752" s="64"/>
      <c r="F752" s="64"/>
      <c r="G752" s="43" t="s">
        <v>1849</v>
      </c>
      <c r="H752" s="42" t="s">
        <v>1959</v>
      </c>
      <c r="I752" s="340">
        <f>continental!I140</f>
        <v>0</v>
      </c>
      <c r="J752" s="315"/>
      <c r="K752" s="315"/>
      <c r="L752" s="276"/>
      <c r="M752" s="276"/>
      <c r="N752" s="276"/>
      <c r="O752" s="276"/>
      <c r="P752" s="276"/>
      <c r="Q752" s="104"/>
    </row>
    <row r="753" spans="1:17" ht="12.75" customHeight="1" x14ac:dyDescent="0.3">
      <c r="A753" s="42"/>
      <c r="B753" s="42" t="s">
        <v>1821</v>
      </c>
      <c r="C753" s="38"/>
      <c r="D753" s="38"/>
      <c r="E753" s="38"/>
      <c r="F753" s="38"/>
      <c r="G753" s="43" t="s">
        <v>1850</v>
      </c>
      <c r="H753" s="42" t="s">
        <v>1959</v>
      </c>
      <c r="I753" s="340">
        <f>continental!I141</f>
        <v>0</v>
      </c>
      <c r="J753" s="315"/>
      <c r="K753" s="315"/>
      <c r="L753" s="276"/>
      <c r="M753" s="276"/>
      <c r="N753" s="276"/>
      <c r="O753" s="276"/>
      <c r="P753" s="276"/>
      <c r="Q753" s="104"/>
    </row>
    <row r="754" spans="1:17" ht="12.75" customHeight="1" x14ac:dyDescent="0.3">
      <c r="A754" s="42"/>
      <c r="B754" s="42"/>
      <c r="C754" s="38" t="s">
        <v>1070</v>
      </c>
      <c r="D754" s="38"/>
      <c r="E754" s="64"/>
      <c r="F754" s="64"/>
      <c r="G754" s="38" t="s">
        <v>1971</v>
      </c>
      <c r="H754" s="64" t="s">
        <v>1958</v>
      </c>
      <c r="I754" s="340">
        <f>continental!I142</f>
        <v>0</v>
      </c>
      <c r="J754" s="315"/>
      <c r="K754" s="315"/>
      <c r="L754" s="276"/>
      <c r="M754" s="276"/>
      <c r="N754" s="276"/>
      <c r="O754" s="276"/>
      <c r="P754" s="276"/>
      <c r="Q754" s="104"/>
    </row>
    <row r="755" spans="1:17" ht="12.75" customHeight="1" x14ac:dyDescent="0.3">
      <c r="A755" s="42"/>
      <c r="B755" s="42"/>
      <c r="C755" s="38" t="s">
        <v>1009</v>
      </c>
      <c r="D755" s="38"/>
      <c r="E755" s="64"/>
      <c r="F755" s="64"/>
      <c r="G755" s="38" t="s">
        <v>1972</v>
      </c>
      <c r="H755" s="64" t="s">
        <v>1958</v>
      </c>
      <c r="I755" s="340">
        <f>continental!I143</f>
        <v>0</v>
      </c>
      <c r="J755" s="315"/>
      <c r="K755" s="315"/>
      <c r="L755" s="276"/>
      <c r="M755" s="276"/>
      <c r="N755" s="276"/>
      <c r="O755" s="276"/>
      <c r="P755" s="276"/>
      <c r="Q755" s="104"/>
    </row>
    <row r="756" spans="1:17" ht="12.75" customHeight="1" x14ac:dyDescent="0.3">
      <c r="A756" s="42"/>
      <c r="B756" s="42" t="s">
        <v>1822</v>
      </c>
      <c r="C756" s="38"/>
      <c r="D756" s="38"/>
      <c r="E756" s="64"/>
      <c r="F756" s="64"/>
      <c r="G756" s="43" t="s">
        <v>1851</v>
      </c>
      <c r="H756" s="42" t="s">
        <v>1959</v>
      </c>
      <c r="I756" s="340">
        <f>continental!I144</f>
        <v>0</v>
      </c>
      <c r="J756" s="315"/>
      <c r="K756" s="315"/>
      <c r="L756" s="276"/>
      <c r="M756" s="276"/>
      <c r="N756" s="276"/>
      <c r="O756" s="276"/>
      <c r="P756" s="276"/>
      <c r="Q756" s="104"/>
    </row>
    <row r="757" spans="1:17" ht="12.75" customHeight="1" x14ac:dyDescent="0.3">
      <c r="A757" s="42"/>
      <c r="B757" s="42" t="s">
        <v>1823</v>
      </c>
      <c r="C757" s="38"/>
      <c r="D757" s="38"/>
      <c r="E757" s="64"/>
      <c r="F757" s="64"/>
      <c r="G757" s="43" t="s">
        <v>1852</v>
      </c>
      <c r="H757" s="42" t="s">
        <v>1959</v>
      </c>
      <c r="I757" s="340">
        <f>continental!I145</f>
        <v>0</v>
      </c>
      <c r="J757" s="315"/>
      <c r="K757" s="315"/>
      <c r="L757" s="276"/>
      <c r="M757" s="276"/>
      <c r="N757" s="276"/>
      <c r="O757" s="276"/>
      <c r="P757" s="276"/>
      <c r="Q757" s="104"/>
    </row>
    <row r="758" spans="1:17" ht="12.75" customHeight="1" x14ac:dyDescent="0.3">
      <c r="A758" s="42"/>
      <c r="B758" s="42" t="s">
        <v>1824</v>
      </c>
      <c r="C758" s="38"/>
      <c r="D758" s="38"/>
      <c r="E758" s="64"/>
      <c r="F758" s="64"/>
      <c r="G758" s="43" t="s">
        <v>1853</v>
      </c>
      <c r="H758" s="42" t="s">
        <v>1959</v>
      </c>
      <c r="I758" s="340">
        <f>continental!I146</f>
        <v>0</v>
      </c>
      <c r="J758" s="315"/>
      <c r="K758" s="315"/>
      <c r="L758" s="276"/>
      <c r="M758" s="276"/>
      <c r="N758" s="276"/>
      <c r="O758" s="276"/>
      <c r="P758" s="276"/>
      <c r="Q758" s="104"/>
    </row>
    <row r="759" spans="1:17" ht="12.75" customHeight="1" x14ac:dyDescent="0.3">
      <c r="A759" s="42"/>
      <c r="B759" s="42"/>
      <c r="C759" s="38" t="s">
        <v>1010</v>
      </c>
      <c r="D759" s="38"/>
      <c r="E759" s="64"/>
      <c r="F759" s="64"/>
      <c r="G759" s="38" t="s">
        <v>1973</v>
      </c>
      <c r="H759" s="64" t="s">
        <v>1958</v>
      </c>
      <c r="I759" s="340">
        <f>continental!I147</f>
        <v>0</v>
      </c>
      <c r="J759" s="315"/>
      <c r="K759" s="315"/>
      <c r="L759" s="276"/>
      <c r="M759" s="276"/>
      <c r="N759" s="276"/>
      <c r="O759" s="276"/>
      <c r="P759" s="276"/>
      <c r="Q759" s="104"/>
    </row>
    <row r="760" spans="1:17" ht="12.75" customHeight="1" x14ac:dyDescent="0.3">
      <c r="A760" s="42"/>
      <c r="B760" s="42"/>
      <c r="C760" s="38" t="s">
        <v>850</v>
      </c>
      <c r="D760" s="38"/>
      <c r="E760" s="38"/>
      <c r="F760" s="64"/>
      <c r="G760" s="38" t="s">
        <v>1974</v>
      </c>
      <c r="H760" s="64" t="s">
        <v>1958</v>
      </c>
      <c r="I760" s="340">
        <f>continental!I148</f>
        <v>0</v>
      </c>
      <c r="J760" s="315"/>
      <c r="K760" s="315">
        <v>1.1468924229780271E-8</v>
      </c>
      <c r="L760" s="276">
        <v>1.1468924229780271E-8</v>
      </c>
      <c r="M760" s="276">
        <v>1.1468924229780271E-8</v>
      </c>
      <c r="N760" s="276">
        <v>1.1468924229780271E-8</v>
      </c>
      <c r="O760" s="276"/>
      <c r="P760" s="276">
        <v>1.1468924229780271E-8</v>
      </c>
      <c r="Q760" s="104"/>
    </row>
    <row r="761" spans="1:17" ht="12.75" customHeight="1" x14ac:dyDescent="0.3">
      <c r="A761" s="42"/>
      <c r="B761" s="42"/>
      <c r="C761" s="38" t="s">
        <v>177</v>
      </c>
      <c r="D761" s="38"/>
      <c r="E761" s="64"/>
      <c r="F761" s="64"/>
      <c r="G761" s="43" t="s">
        <v>1500</v>
      </c>
      <c r="H761" s="38" t="s">
        <v>28</v>
      </c>
      <c r="I761" s="340">
        <f>continental!I149</f>
        <v>0</v>
      </c>
      <c r="J761" s="315"/>
      <c r="K761" s="315">
        <v>1</v>
      </c>
      <c r="L761" s="276">
        <v>1</v>
      </c>
      <c r="M761" s="276">
        <v>1</v>
      </c>
      <c r="N761" s="276">
        <v>1</v>
      </c>
      <c r="O761" s="276"/>
      <c r="P761" s="276">
        <v>1</v>
      </c>
      <c r="Q761" s="104"/>
    </row>
    <row r="762" spans="1:17" ht="12.75" customHeight="1" x14ac:dyDescent="0.3">
      <c r="A762" s="42"/>
      <c r="B762" s="42"/>
      <c r="C762" s="38" t="s">
        <v>177</v>
      </c>
      <c r="D762" s="38"/>
      <c r="E762" s="64"/>
      <c r="F762" s="64"/>
      <c r="G762" s="43" t="s">
        <v>1501</v>
      </c>
      <c r="H762" s="38" t="s">
        <v>28</v>
      </c>
      <c r="I762" s="340">
        <f>continental!I150</f>
        <v>0</v>
      </c>
      <c r="J762" s="315"/>
      <c r="K762" s="315">
        <v>1</v>
      </c>
      <c r="L762" s="276">
        <v>1</v>
      </c>
      <c r="M762" s="276">
        <v>1</v>
      </c>
      <c r="N762" s="276">
        <v>1</v>
      </c>
      <c r="O762" s="276"/>
      <c r="P762" s="276">
        <v>1</v>
      </c>
      <c r="Q762" s="104"/>
    </row>
    <row r="763" spans="1:17" ht="12.75" customHeight="1" x14ac:dyDescent="0.3">
      <c r="A763" s="42"/>
      <c r="B763" s="42"/>
      <c r="C763" s="38" t="s">
        <v>177</v>
      </c>
      <c r="D763" s="38"/>
      <c r="E763" s="64"/>
      <c r="F763" s="64"/>
      <c r="G763" s="43" t="s">
        <v>868</v>
      </c>
      <c r="H763" s="38" t="s">
        <v>28</v>
      </c>
      <c r="I763" s="340">
        <f>continental!I151</f>
        <v>0</v>
      </c>
      <c r="J763" s="315"/>
      <c r="K763" s="315">
        <v>1</v>
      </c>
      <c r="L763" s="276">
        <v>1</v>
      </c>
      <c r="M763" s="276">
        <v>1</v>
      </c>
      <c r="N763" s="276">
        <v>1</v>
      </c>
      <c r="O763" s="276"/>
      <c r="P763" s="276">
        <v>1</v>
      </c>
      <c r="Q763" s="104"/>
    </row>
    <row r="764" spans="1:17" ht="12.75" customHeight="1" x14ac:dyDescent="0.3">
      <c r="A764" s="42"/>
      <c r="B764" s="38"/>
      <c r="C764" s="42"/>
      <c r="D764" s="64"/>
      <c r="E764" s="64"/>
      <c r="F764" s="38"/>
      <c r="G764" s="63"/>
      <c r="H764" s="63"/>
      <c r="I764" s="341"/>
      <c r="J764" s="294"/>
      <c r="K764" s="294"/>
      <c r="L764" s="185"/>
      <c r="M764" s="185"/>
      <c r="N764" s="185"/>
      <c r="O764" s="185"/>
      <c r="P764" s="336"/>
      <c r="Q764" s="104"/>
    </row>
    <row r="765" spans="1:17" ht="12.75" customHeight="1" x14ac:dyDescent="0.3">
      <c r="A765" s="42" t="s">
        <v>68</v>
      </c>
      <c r="B765" s="38"/>
      <c r="C765" s="38"/>
      <c r="D765" s="38"/>
      <c r="E765" s="38"/>
      <c r="F765" s="38"/>
      <c r="G765" s="43" t="s">
        <v>817</v>
      </c>
      <c r="H765" s="42" t="s">
        <v>1926</v>
      </c>
      <c r="I765" s="340">
        <f>continental!I153</f>
        <v>0</v>
      </c>
      <c r="J765" s="315"/>
      <c r="K765" s="315"/>
      <c r="L765" s="276"/>
      <c r="M765" s="276"/>
      <c r="N765" s="276"/>
      <c r="O765" s="276"/>
      <c r="P765" s="276"/>
      <c r="Q765" s="104"/>
    </row>
    <row r="766" spans="1:17" ht="12.75" customHeight="1" x14ac:dyDescent="0.3">
      <c r="A766" s="42" t="s">
        <v>69</v>
      </c>
      <c r="B766" s="38"/>
      <c r="C766" s="38"/>
      <c r="D766" s="38"/>
      <c r="E766" s="38"/>
      <c r="F766" s="38"/>
      <c r="G766" s="43" t="s">
        <v>818</v>
      </c>
      <c r="H766" s="42" t="s">
        <v>1926</v>
      </c>
      <c r="I766" s="340">
        <f>continental!I154</f>
        <v>0</v>
      </c>
      <c r="J766" s="315"/>
      <c r="K766" s="315"/>
      <c r="L766" s="276"/>
      <c r="M766" s="276"/>
      <c r="N766" s="276"/>
      <c r="O766" s="276"/>
      <c r="P766" s="276"/>
      <c r="Q766" s="104"/>
    </row>
    <row r="767" spans="1:17" ht="12.75" customHeight="1" x14ac:dyDescent="0.3">
      <c r="A767" s="42" t="s">
        <v>70</v>
      </c>
      <c r="B767" s="38"/>
      <c r="C767" s="38"/>
      <c r="D767" s="38"/>
      <c r="E767" s="38"/>
      <c r="F767" s="38"/>
      <c r="G767" s="43" t="s">
        <v>819</v>
      </c>
      <c r="H767" s="42" t="s">
        <v>1926</v>
      </c>
      <c r="I767" s="340">
        <f>continental!I155</f>
        <v>0</v>
      </c>
      <c r="J767" s="315"/>
      <c r="K767" s="315"/>
      <c r="L767" s="276"/>
      <c r="M767" s="276"/>
      <c r="N767" s="276"/>
      <c r="O767" s="276"/>
      <c r="P767" s="276"/>
      <c r="Q767" s="104"/>
    </row>
    <row r="768" spans="1:17" ht="12.75" customHeight="1" x14ac:dyDescent="0.3">
      <c r="A768" s="42" t="s">
        <v>71</v>
      </c>
      <c r="B768" s="38"/>
      <c r="C768" s="38"/>
      <c r="D768" s="38"/>
      <c r="E768" s="38"/>
      <c r="F768" s="38"/>
      <c r="G768" s="43" t="s">
        <v>820</v>
      </c>
      <c r="H768" s="42" t="s">
        <v>1926</v>
      </c>
      <c r="I768" s="340">
        <f>continental!I156</f>
        <v>0</v>
      </c>
      <c r="J768" s="315"/>
      <c r="K768" s="315"/>
      <c r="L768" s="276"/>
      <c r="M768" s="276"/>
      <c r="N768" s="276"/>
      <c r="O768" s="276"/>
      <c r="P768" s="276"/>
      <c r="Q768" s="104"/>
    </row>
    <row r="769" spans="1:17" ht="12.75" customHeight="1" x14ac:dyDescent="0.3">
      <c r="A769" s="42"/>
      <c r="B769" s="42" t="s">
        <v>1837</v>
      </c>
      <c r="C769" s="38"/>
      <c r="D769" s="38"/>
      <c r="E769" s="38"/>
      <c r="F769" s="38"/>
      <c r="G769" s="43" t="s">
        <v>1854</v>
      </c>
      <c r="H769" s="42" t="s">
        <v>1959</v>
      </c>
      <c r="I769" s="340">
        <f>continental!I157</f>
        <v>0</v>
      </c>
      <c r="J769" s="315"/>
      <c r="K769" s="315"/>
      <c r="L769" s="276"/>
      <c r="M769" s="276"/>
      <c r="N769" s="276"/>
      <c r="O769" s="276"/>
      <c r="P769" s="276"/>
      <c r="Q769" s="104"/>
    </row>
    <row r="770" spans="1:17" ht="12.75" customHeight="1" x14ac:dyDescent="0.3">
      <c r="A770" s="42"/>
      <c r="B770" s="42" t="s">
        <v>1838</v>
      </c>
      <c r="C770" s="38"/>
      <c r="D770" s="38"/>
      <c r="E770" s="38"/>
      <c r="F770" s="38"/>
      <c r="G770" s="43" t="s">
        <v>1855</v>
      </c>
      <c r="H770" s="42" t="s">
        <v>1959</v>
      </c>
      <c r="I770" s="340">
        <f>continental!I158</f>
        <v>0</v>
      </c>
      <c r="J770" s="315"/>
      <c r="K770" s="315"/>
      <c r="L770" s="276"/>
      <c r="M770" s="276"/>
      <c r="N770" s="276"/>
      <c r="O770" s="276"/>
      <c r="P770" s="276"/>
      <c r="Q770" s="104"/>
    </row>
    <row r="771" spans="1:17" ht="12.75" customHeight="1" x14ac:dyDescent="0.3">
      <c r="A771" s="42"/>
      <c r="B771" s="42" t="s">
        <v>1839</v>
      </c>
      <c r="C771" s="38"/>
      <c r="D771" s="38"/>
      <c r="E771" s="38"/>
      <c r="F771" s="38"/>
      <c r="G771" s="43" t="s">
        <v>1856</v>
      </c>
      <c r="H771" s="42" t="s">
        <v>1959</v>
      </c>
      <c r="I771" s="340">
        <f>continental!I159</f>
        <v>0</v>
      </c>
      <c r="J771" s="315"/>
      <c r="K771" s="315"/>
      <c r="L771" s="276"/>
      <c r="M771" s="276"/>
      <c r="N771" s="276"/>
      <c r="O771" s="276"/>
      <c r="P771" s="276"/>
      <c r="Q771" s="104"/>
    </row>
    <row r="772" spans="1:17" ht="12.75" customHeight="1" x14ac:dyDescent="0.3">
      <c r="A772" s="42"/>
      <c r="B772" s="42" t="s">
        <v>1840</v>
      </c>
      <c r="C772" s="38"/>
      <c r="D772" s="38"/>
      <c r="E772" s="38"/>
      <c r="F772" s="38"/>
      <c r="G772" s="43" t="s">
        <v>1857</v>
      </c>
      <c r="H772" s="42" t="s">
        <v>1959</v>
      </c>
      <c r="I772" s="340">
        <f>continental!I160</f>
        <v>0</v>
      </c>
      <c r="J772" s="315"/>
      <c r="K772" s="315"/>
      <c r="L772" s="276"/>
      <c r="M772" s="276"/>
      <c r="N772" s="276"/>
      <c r="O772" s="276"/>
      <c r="P772" s="276"/>
      <c r="Q772" s="104"/>
    </row>
    <row r="773" spans="1:17" ht="12.75" customHeight="1" x14ac:dyDescent="0.3">
      <c r="A773" s="42"/>
      <c r="B773" s="42"/>
      <c r="C773" s="42" t="s">
        <v>1223</v>
      </c>
      <c r="D773" s="38"/>
      <c r="E773" s="38"/>
      <c r="F773" s="38"/>
      <c r="G773" s="63" t="s">
        <v>1055</v>
      </c>
      <c r="H773" s="64" t="s">
        <v>1958</v>
      </c>
      <c r="I773" s="340">
        <f>continental!I161</f>
        <v>0</v>
      </c>
      <c r="J773" s="315"/>
      <c r="K773" s="315"/>
      <c r="L773" s="276"/>
      <c r="M773" s="276"/>
      <c r="N773" s="276"/>
      <c r="O773" s="276"/>
      <c r="P773" s="276"/>
      <c r="Q773" s="104"/>
    </row>
    <row r="774" spans="1:17" ht="12.75" customHeight="1" x14ac:dyDescent="0.3">
      <c r="A774" s="42"/>
      <c r="B774" s="42"/>
      <c r="C774" s="64" t="s">
        <v>574</v>
      </c>
      <c r="D774" s="38"/>
      <c r="E774" s="38"/>
      <c r="F774" s="38"/>
      <c r="G774" s="63" t="s">
        <v>488</v>
      </c>
      <c r="H774" s="64" t="s">
        <v>1958</v>
      </c>
      <c r="I774" s="340">
        <f>continental!I162</f>
        <v>0</v>
      </c>
      <c r="J774" s="315"/>
      <c r="K774" s="315"/>
      <c r="L774" s="276"/>
      <c r="M774" s="276"/>
      <c r="N774" s="276"/>
      <c r="O774" s="276"/>
      <c r="P774" s="276"/>
      <c r="Q774" s="104"/>
    </row>
    <row r="775" spans="1:17" ht="12.75" customHeight="1" x14ac:dyDescent="0.3">
      <c r="A775" s="42"/>
      <c r="B775" s="42"/>
      <c r="C775" s="42" t="s">
        <v>1224</v>
      </c>
      <c r="D775" s="38"/>
      <c r="E775" s="38"/>
      <c r="F775" s="38"/>
      <c r="G775" s="63" t="s">
        <v>489</v>
      </c>
      <c r="H775" s="64" t="s">
        <v>1958</v>
      </c>
      <c r="I775" s="340">
        <f>continental!I163</f>
        <v>0</v>
      </c>
      <c r="J775" s="315"/>
      <c r="K775" s="315"/>
      <c r="L775" s="276"/>
      <c r="M775" s="276"/>
      <c r="N775" s="276"/>
      <c r="O775" s="276"/>
      <c r="P775" s="276"/>
      <c r="Q775" s="104"/>
    </row>
    <row r="776" spans="1:17" ht="12.75" customHeight="1" x14ac:dyDescent="0.3">
      <c r="A776" s="42"/>
      <c r="B776" s="42"/>
      <c r="C776" s="64" t="s">
        <v>575</v>
      </c>
      <c r="D776" s="38"/>
      <c r="E776" s="38"/>
      <c r="F776" s="38"/>
      <c r="G776" s="63" t="s">
        <v>490</v>
      </c>
      <c r="H776" s="64" t="s">
        <v>1958</v>
      </c>
      <c r="I776" s="340">
        <f>continental!I164</f>
        <v>0</v>
      </c>
      <c r="J776" s="315"/>
      <c r="K776" s="315"/>
      <c r="L776" s="276"/>
      <c r="M776" s="276"/>
      <c r="N776" s="276"/>
      <c r="O776" s="276"/>
      <c r="P776" s="276"/>
      <c r="Q776" s="104"/>
    </row>
    <row r="777" spans="1:17" ht="12.75" customHeight="1" x14ac:dyDescent="0.3">
      <c r="A777" s="42"/>
      <c r="B777" s="42"/>
      <c r="C777" s="38"/>
      <c r="D777" s="42" t="s">
        <v>576</v>
      </c>
      <c r="E777" s="64"/>
      <c r="F777" s="64"/>
      <c r="G777" s="63" t="s">
        <v>491</v>
      </c>
      <c r="H777" s="64" t="s">
        <v>1958</v>
      </c>
      <c r="I777" s="340">
        <f ca="1">continental!I165</f>
        <v>1.6733228262908979E-5</v>
      </c>
      <c r="J777" s="315"/>
      <c r="K777" s="315"/>
      <c r="L777" s="276"/>
      <c r="M777" s="276"/>
      <c r="N777" s="276"/>
      <c r="O777" s="276"/>
      <c r="P777" s="276"/>
      <c r="Q777" s="104"/>
    </row>
    <row r="778" spans="1:17" ht="12.75" customHeight="1" x14ac:dyDescent="0.3">
      <c r="A778" s="42"/>
      <c r="B778" s="42"/>
      <c r="C778" s="38"/>
      <c r="D778" s="42" t="s">
        <v>1324</v>
      </c>
      <c r="E778" s="64"/>
      <c r="F778" s="64"/>
      <c r="G778" s="63" t="s">
        <v>494</v>
      </c>
      <c r="H778" s="64" t="s">
        <v>1958</v>
      </c>
      <c r="I778" s="340">
        <f>continental!I166</f>
        <v>0</v>
      </c>
      <c r="J778" s="315"/>
      <c r="K778" s="315"/>
      <c r="L778" s="276"/>
      <c r="M778" s="276"/>
      <c r="N778" s="276"/>
      <c r="O778" s="276"/>
      <c r="P778" s="276"/>
      <c r="Q778" s="104"/>
    </row>
    <row r="779" spans="1:17" ht="12.75" customHeight="1" x14ac:dyDescent="0.3">
      <c r="A779" s="42"/>
      <c r="B779" s="42"/>
      <c r="C779" s="38"/>
      <c r="D779" s="42" t="s">
        <v>431</v>
      </c>
      <c r="E779" s="64"/>
      <c r="F779" s="64"/>
      <c r="G779" s="63" t="s">
        <v>654</v>
      </c>
      <c r="H779" s="64" t="s">
        <v>1958</v>
      </c>
      <c r="I779" s="340">
        <f>continental!I167</f>
        <v>0</v>
      </c>
      <c r="J779" s="315"/>
      <c r="K779" s="315">
        <v>2.24071533297921E-13</v>
      </c>
      <c r="L779" s="276">
        <v>2.24071533297921E-13</v>
      </c>
      <c r="M779" s="276">
        <v>2.24071533297921E-13</v>
      </c>
      <c r="N779" s="276">
        <v>2.24071533297921E-13</v>
      </c>
      <c r="O779" s="276">
        <v>2.24071533297921E-13</v>
      </c>
      <c r="P779" s="276">
        <v>2.24071533297921E-13</v>
      </c>
      <c r="Q779" s="104"/>
    </row>
    <row r="780" spans="1:17" ht="12.75" customHeight="1" x14ac:dyDescent="0.3">
      <c r="A780" s="42"/>
      <c r="B780" s="42"/>
      <c r="C780" s="38"/>
      <c r="D780" s="38"/>
      <c r="E780" s="42" t="s">
        <v>436</v>
      </c>
      <c r="F780" s="42"/>
      <c r="G780" s="63" t="s">
        <v>492</v>
      </c>
      <c r="H780" s="42" t="s">
        <v>1964</v>
      </c>
      <c r="I780" s="340">
        <f ca="1">continental!I168</f>
        <v>14.429565211613296</v>
      </c>
      <c r="J780" s="315"/>
      <c r="K780" s="315"/>
      <c r="L780" s="276"/>
      <c r="M780" s="276"/>
      <c r="N780" s="276"/>
      <c r="O780" s="276"/>
      <c r="P780" s="276"/>
      <c r="Q780" s="104"/>
    </row>
    <row r="781" spans="1:17" ht="12.75" customHeight="1" x14ac:dyDescent="0.3">
      <c r="A781" s="42"/>
      <c r="B781" s="42"/>
      <c r="C781" s="38"/>
      <c r="D781" s="38"/>
      <c r="E781" s="42" t="s">
        <v>1373</v>
      </c>
      <c r="F781" s="42"/>
      <c r="G781" s="63" t="s">
        <v>493</v>
      </c>
      <c r="H781" s="42" t="s">
        <v>1964</v>
      </c>
      <c r="I781" s="340">
        <f ca="1">continental!I169</f>
        <v>1.7192913840222812</v>
      </c>
      <c r="J781" s="315"/>
      <c r="K781" s="315"/>
      <c r="L781" s="276"/>
      <c r="M781" s="276"/>
      <c r="N781" s="276"/>
      <c r="O781" s="276"/>
      <c r="P781" s="276"/>
      <c r="Q781" s="104"/>
    </row>
    <row r="782" spans="1:17" ht="12.75" customHeight="1" x14ac:dyDescent="0.3">
      <c r="A782" s="38"/>
      <c r="B782" s="38" t="s">
        <v>1841</v>
      </c>
      <c r="C782" s="64"/>
      <c r="D782" s="64"/>
      <c r="E782" s="38"/>
      <c r="F782" s="38"/>
      <c r="G782" s="43" t="s">
        <v>1858</v>
      </c>
      <c r="H782" s="42" t="s">
        <v>1959</v>
      </c>
      <c r="I782" s="340">
        <f>continental!I170</f>
        <v>0</v>
      </c>
      <c r="J782" s="315"/>
      <c r="K782" s="315"/>
      <c r="L782" s="276"/>
      <c r="M782" s="276"/>
      <c r="N782" s="276"/>
      <c r="O782" s="276"/>
      <c r="P782" s="276"/>
      <c r="Q782" s="104"/>
    </row>
    <row r="783" spans="1:17" ht="12.75" customHeight="1" x14ac:dyDescent="0.3">
      <c r="A783" s="38"/>
      <c r="B783" s="38" t="s">
        <v>1842</v>
      </c>
      <c r="C783" s="64"/>
      <c r="D783" s="64"/>
      <c r="E783" s="38"/>
      <c r="F783" s="38"/>
      <c r="G783" s="43" t="s">
        <v>1859</v>
      </c>
      <c r="H783" s="42" t="s">
        <v>1959</v>
      </c>
      <c r="I783" s="340">
        <f>continental!I171</f>
        <v>0</v>
      </c>
      <c r="J783" s="315"/>
      <c r="K783" s="315"/>
      <c r="L783" s="276"/>
      <c r="M783" s="276"/>
      <c r="N783" s="276"/>
      <c r="O783" s="276"/>
      <c r="P783" s="276"/>
      <c r="Q783" s="104"/>
    </row>
    <row r="784" spans="1:17" ht="12.75" customHeight="1" x14ac:dyDescent="0.3">
      <c r="A784" s="38"/>
      <c r="B784" s="38" t="s">
        <v>1843</v>
      </c>
      <c r="C784" s="64"/>
      <c r="D784" s="64"/>
      <c r="E784" s="38"/>
      <c r="F784" s="64"/>
      <c r="G784" s="43" t="s">
        <v>1860</v>
      </c>
      <c r="H784" s="42" t="s">
        <v>1959</v>
      </c>
      <c r="I784" s="340">
        <f>continental!I172</f>
        <v>0</v>
      </c>
      <c r="J784" s="315"/>
      <c r="K784" s="315"/>
      <c r="L784" s="276"/>
      <c r="M784" s="276"/>
      <c r="N784" s="276"/>
      <c r="O784" s="276"/>
      <c r="P784" s="276"/>
      <c r="Q784" s="104"/>
    </row>
    <row r="785" spans="1:17" ht="12.75" customHeight="1" x14ac:dyDescent="0.3">
      <c r="A785" s="38"/>
      <c r="B785" s="38" t="s">
        <v>1844</v>
      </c>
      <c r="C785" s="64"/>
      <c r="D785" s="64"/>
      <c r="E785" s="38"/>
      <c r="F785" s="64"/>
      <c r="G785" s="43" t="s">
        <v>1861</v>
      </c>
      <c r="H785" s="42" t="s">
        <v>1959</v>
      </c>
      <c r="I785" s="340">
        <f>continental!I173</f>
        <v>0</v>
      </c>
      <c r="J785" s="315"/>
      <c r="K785" s="315"/>
      <c r="L785" s="276"/>
      <c r="M785" s="276"/>
      <c r="N785" s="276"/>
      <c r="O785" s="276"/>
      <c r="P785" s="276"/>
      <c r="Q785" s="104"/>
    </row>
    <row r="786" spans="1:17" ht="12.75" customHeight="1" x14ac:dyDescent="0.3">
      <c r="A786" s="42"/>
      <c r="B786" s="42"/>
      <c r="C786" s="38" t="s">
        <v>1069</v>
      </c>
      <c r="D786" s="38"/>
      <c r="E786" s="64"/>
      <c r="F786" s="64"/>
      <c r="G786" s="38" t="s">
        <v>659</v>
      </c>
      <c r="H786" s="64" t="s">
        <v>1958</v>
      </c>
      <c r="I786" s="340">
        <f ca="1">continental!I174</f>
        <v>2.436666059347993E-6</v>
      </c>
      <c r="J786" s="315"/>
      <c r="K786" s="315"/>
      <c r="L786" s="276"/>
      <c r="M786" s="276"/>
      <c r="N786" s="276"/>
      <c r="O786" s="276"/>
      <c r="P786" s="276"/>
      <c r="Q786" s="104"/>
    </row>
    <row r="787" spans="1:17" ht="12.75" customHeight="1" x14ac:dyDescent="0.3">
      <c r="A787" s="42"/>
      <c r="B787" s="42"/>
      <c r="C787" s="38" t="s">
        <v>1225</v>
      </c>
      <c r="D787" s="38"/>
      <c r="E787" s="64"/>
      <c r="F787" s="64"/>
      <c r="G787" s="38" t="s">
        <v>660</v>
      </c>
      <c r="H787" s="64" t="s">
        <v>1958</v>
      </c>
      <c r="I787" s="340">
        <f ca="1">continental!I175</f>
        <v>6.8641983845589833E-8</v>
      </c>
      <c r="J787" s="315"/>
      <c r="K787" s="315"/>
      <c r="L787" s="276"/>
      <c r="M787" s="276"/>
      <c r="N787" s="276"/>
      <c r="O787" s="276"/>
      <c r="P787" s="276"/>
      <c r="Q787" s="104"/>
    </row>
    <row r="788" spans="1:17" ht="12.75" customHeight="1" x14ac:dyDescent="0.3">
      <c r="A788" s="42"/>
      <c r="B788" s="38"/>
      <c r="C788" s="42"/>
      <c r="D788" s="64"/>
      <c r="E788" s="64"/>
      <c r="F788" s="38"/>
      <c r="G788" s="63"/>
      <c r="H788" s="63"/>
      <c r="I788" s="341"/>
      <c r="J788" s="294"/>
      <c r="K788" s="294"/>
      <c r="L788" s="185"/>
      <c r="M788" s="185"/>
      <c r="N788" s="185"/>
      <c r="O788" s="185"/>
      <c r="P788" s="336"/>
      <c r="Q788" s="104"/>
    </row>
    <row r="789" spans="1:17" ht="12.75" customHeight="1" x14ac:dyDescent="0.3">
      <c r="A789" s="42" t="s">
        <v>72</v>
      </c>
      <c r="B789" s="38"/>
      <c r="C789" s="38"/>
      <c r="D789" s="38"/>
      <c r="E789" s="38"/>
      <c r="F789" s="38"/>
      <c r="G789" s="43" t="s">
        <v>821</v>
      </c>
      <c r="H789" s="42" t="s">
        <v>1926</v>
      </c>
      <c r="I789" s="340">
        <f>continental!I177</f>
        <v>0</v>
      </c>
      <c r="J789" s="315"/>
      <c r="K789" s="315"/>
      <c r="L789" s="276"/>
      <c r="M789" s="276"/>
      <c r="N789" s="276"/>
      <c r="O789" s="276"/>
      <c r="P789" s="276"/>
      <c r="Q789" s="104"/>
    </row>
    <row r="790" spans="1:17" ht="12.75" customHeight="1" x14ac:dyDescent="0.3">
      <c r="A790" s="42" t="s">
        <v>73</v>
      </c>
      <c r="B790" s="38"/>
      <c r="C790" s="38"/>
      <c r="D790" s="38"/>
      <c r="E790" s="38"/>
      <c r="F790" s="38"/>
      <c r="G790" s="43" t="s">
        <v>822</v>
      </c>
      <c r="H790" s="42" t="s">
        <v>1926</v>
      </c>
      <c r="I790" s="340">
        <f>continental!I178</f>
        <v>0</v>
      </c>
      <c r="J790" s="315"/>
      <c r="K790" s="315"/>
      <c r="L790" s="276"/>
      <c r="M790" s="276"/>
      <c r="N790" s="276"/>
      <c r="O790" s="276"/>
      <c r="P790" s="276"/>
      <c r="Q790" s="104"/>
    </row>
    <row r="791" spans="1:17" ht="12.75" customHeight="1" x14ac:dyDescent="0.3">
      <c r="A791" s="42" t="s">
        <v>74</v>
      </c>
      <c r="B791" s="38"/>
      <c r="C791" s="38"/>
      <c r="D791" s="38"/>
      <c r="E791" s="38"/>
      <c r="F791" s="38"/>
      <c r="G791" s="43" t="s">
        <v>823</v>
      </c>
      <c r="H791" s="42" t="s">
        <v>1926</v>
      </c>
      <c r="I791" s="340">
        <f>continental!I179</f>
        <v>0</v>
      </c>
      <c r="J791" s="315"/>
      <c r="K791" s="315"/>
      <c r="L791" s="276"/>
      <c r="M791" s="276"/>
      <c r="N791" s="276"/>
      <c r="O791" s="276"/>
      <c r="P791" s="276"/>
      <c r="Q791" s="104"/>
    </row>
    <row r="792" spans="1:17" ht="12.75" customHeight="1" x14ac:dyDescent="0.3">
      <c r="A792" s="42"/>
      <c r="B792" s="64" t="s">
        <v>1080</v>
      </c>
      <c r="C792" s="38"/>
      <c r="D792" s="64"/>
      <c r="E792" s="64"/>
      <c r="F792" s="64"/>
      <c r="G792" s="63" t="s">
        <v>562</v>
      </c>
      <c r="H792" s="64" t="s">
        <v>1965</v>
      </c>
      <c r="I792" s="340">
        <f ca="1">continental!I180</f>
        <v>3.3096223778706801E-2</v>
      </c>
      <c r="J792" s="315"/>
      <c r="K792" s="315"/>
      <c r="L792" s="276"/>
      <c r="M792" s="276"/>
      <c r="N792" s="276"/>
      <c r="O792" s="276"/>
      <c r="P792" s="276"/>
      <c r="Q792" s="104"/>
    </row>
    <row r="793" spans="1:17" ht="12.75" customHeight="1" x14ac:dyDescent="0.3">
      <c r="A793" s="42"/>
      <c r="B793" s="64" t="s">
        <v>1081</v>
      </c>
      <c r="C793" s="38"/>
      <c r="D793" s="64"/>
      <c r="E793" s="64"/>
      <c r="F793" s="64"/>
      <c r="G793" s="63" t="s">
        <v>563</v>
      </c>
      <c r="H793" s="64" t="s">
        <v>1965</v>
      </c>
      <c r="I793" s="340">
        <f ca="1">continental!I181</f>
        <v>2.5527350894991658E-2</v>
      </c>
      <c r="J793" s="315"/>
      <c r="K793" s="315"/>
      <c r="L793" s="276"/>
      <c r="M793" s="276"/>
      <c r="N793" s="276"/>
      <c r="O793" s="276"/>
      <c r="P793" s="276"/>
      <c r="Q793" s="104"/>
    </row>
    <row r="794" spans="1:17" ht="12.75" customHeight="1" x14ac:dyDescent="0.3">
      <c r="A794" s="42"/>
      <c r="B794" s="64" t="s">
        <v>452</v>
      </c>
      <c r="C794" s="38"/>
      <c r="D794" s="64"/>
      <c r="E794" s="64"/>
      <c r="F794" s="64"/>
      <c r="G794" s="63" t="s">
        <v>1559</v>
      </c>
      <c r="H794" s="64" t="s">
        <v>1965</v>
      </c>
      <c r="I794" s="340">
        <f ca="1">continental!I182</f>
        <v>8.1283109655855522E-3</v>
      </c>
      <c r="J794" s="315"/>
      <c r="K794" s="315"/>
      <c r="L794" s="276"/>
      <c r="M794" s="276"/>
      <c r="N794" s="276"/>
      <c r="O794" s="276"/>
      <c r="P794" s="276"/>
      <c r="Q794" s="104"/>
    </row>
    <row r="795" spans="1:17" ht="12.75" customHeight="1" x14ac:dyDescent="0.3">
      <c r="A795" s="42"/>
      <c r="B795" s="42" t="s">
        <v>16</v>
      </c>
      <c r="C795" s="38"/>
      <c r="D795" s="64"/>
      <c r="E795" s="64"/>
      <c r="F795" s="64"/>
      <c r="G795" s="63" t="s">
        <v>970</v>
      </c>
      <c r="H795" s="42" t="s">
        <v>28</v>
      </c>
      <c r="I795" s="340">
        <f ca="1">continental!I183</f>
        <v>0.15415259585739199</v>
      </c>
      <c r="J795" s="315"/>
      <c r="K795" s="315"/>
      <c r="L795" s="276"/>
      <c r="M795" s="276"/>
      <c r="N795" s="276"/>
      <c r="O795" s="276"/>
      <c r="P795" s="276"/>
      <c r="Q795" s="104"/>
    </row>
    <row r="796" spans="1:17" ht="12.75" customHeight="1" x14ac:dyDescent="0.3">
      <c r="A796" s="42"/>
      <c r="B796" s="42" t="s">
        <v>727</v>
      </c>
      <c r="C796" s="38"/>
      <c r="D796" s="64"/>
      <c r="E796" s="64"/>
      <c r="F796" s="64"/>
      <c r="G796" s="63" t="s">
        <v>971</v>
      </c>
      <c r="H796" s="42" t="s">
        <v>28</v>
      </c>
      <c r="I796" s="340">
        <f ca="1">continental!I184</f>
        <v>0.11558979114209152</v>
      </c>
      <c r="J796" s="315"/>
      <c r="K796" s="315"/>
      <c r="L796" s="276"/>
      <c r="M796" s="276"/>
      <c r="N796" s="276"/>
      <c r="O796" s="276"/>
      <c r="P796" s="276"/>
      <c r="Q796" s="104"/>
    </row>
    <row r="797" spans="1:17" ht="12.75" customHeight="1" x14ac:dyDescent="0.3">
      <c r="A797" s="42"/>
      <c r="B797" s="42" t="s">
        <v>847</v>
      </c>
      <c r="C797" s="38"/>
      <c r="D797" s="64"/>
      <c r="E797" s="64"/>
      <c r="F797" s="64"/>
      <c r="G797" s="63" t="s">
        <v>972</v>
      </c>
      <c r="H797" s="42" t="s">
        <v>28</v>
      </c>
      <c r="I797" s="340">
        <f ca="1">continental!I185</f>
        <v>0.20413566913643225</v>
      </c>
      <c r="J797" s="315"/>
      <c r="K797" s="315"/>
      <c r="L797" s="276"/>
      <c r="M797" s="276"/>
      <c r="N797" s="276"/>
      <c r="O797" s="276"/>
      <c r="P797" s="276"/>
      <c r="Q797" s="104"/>
    </row>
    <row r="798" spans="1:17" ht="12.75" customHeight="1" x14ac:dyDescent="0.3">
      <c r="A798" s="42"/>
      <c r="B798" s="38" t="s">
        <v>177</v>
      </c>
      <c r="C798" s="38"/>
      <c r="D798" s="64"/>
      <c r="E798" s="64"/>
      <c r="F798" s="64"/>
      <c r="G798" s="43" t="s">
        <v>869</v>
      </c>
      <c r="H798" s="38" t="s">
        <v>28</v>
      </c>
      <c r="I798" s="340">
        <f>continental!I186</f>
        <v>0</v>
      </c>
      <c r="J798" s="315"/>
      <c r="K798" s="315">
        <v>1</v>
      </c>
      <c r="L798" s="276">
        <v>1</v>
      </c>
      <c r="M798" s="276">
        <v>1</v>
      </c>
      <c r="N798" s="276">
        <v>1</v>
      </c>
      <c r="O798" s="276"/>
      <c r="P798" s="276">
        <v>1</v>
      </c>
      <c r="Q798" s="104"/>
    </row>
    <row r="799" spans="1:17" ht="12.75" customHeight="1" x14ac:dyDescent="0.3">
      <c r="A799" s="42"/>
      <c r="B799" s="38" t="s">
        <v>177</v>
      </c>
      <c r="C799" s="38"/>
      <c r="D799" s="64"/>
      <c r="E799" s="64"/>
      <c r="F799" s="64"/>
      <c r="G799" s="43" t="s">
        <v>870</v>
      </c>
      <c r="H799" s="38" t="s">
        <v>28</v>
      </c>
      <c r="I799" s="340">
        <f>continental!I187</f>
        <v>0</v>
      </c>
      <c r="J799" s="315"/>
      <c r="K799" s="315">
        <v>1</v>
      </c>
      <c r="L799" s="276">
        <v>1</v>
      </c>
      <c r="M799" s="276">
        <v>1</v>
      </c>
      <c r="N799" s="276">
        <v>1</v>
      </c>
      <c r="O799" s="276"/>
      <c r="P799" s="276">
        <v>1</v>
      </c>
      <c r="Q799" s="104"/>
    </row>
    <row r="800" spans="1:17" ht="12.75" customHeight="1" x14ac:dyDescent="0.3">
      <c r="A800" s="42"/>
      <c r="B800" s="38" t="s">
        <v>177</v>
      </c>
      <c r="C800" s="38"/>
      <c r="D800" s="64"/>
      <c r="E800" s="64"/>
      <c r="F800" s="64"/>
      <c r="G800" s="43" t="s">
        <v>871</v>
      </c>
      <c r="H800" s="38" t="s">
        <v>28</v>
      </c>
      <c r="I800" s="340">
        <f>continental!I188</f>
        <v>0</v>
      </c>
      <c r="J800" s="315"/>
      <c r="K800" s="315">
        <v>1</v>
      </c>
      <c r="L800" s="276">
        <v>1</v>
      </c>
      <c r="M800" s="276">
        <v>1</v>
      </c>
      <c r="N800" s="276">
        <v>1</v>
      </c>
      <c r="O800" s="276"/>
      <c r="P800" s="276">
        <v>1</v>
      </c>
      <c r="Q800" s="104"/>
    </row>
    <row r="801" spans="1:17" ht="12.75" customHeight="1" x14ac:dyDescent="0.3">
      <c r="A801" s="38"/>
      <c r="B801" s="38"/>
      <c r="C801" s="38"/>
      <c r="D801" s="38"/>
      <c r="E801" s="38"/>
      <c r="F801" s="38"/>
      <c r="G801" s="38"/>
      <c r="H801" s="38"/>
      <c r="I801" s="178"/>
      <c r="J801" s="322"/>
      <c r="K801" s="322"/>
      <c r="L801" s="285"/>
      <c r="M801" s="285"/>
      <c r="N801" s="285"/>
      <c r="O801" s="285"/>
      <c r="P801" s="285"/>
      <c r="Q801" s="104"/>
    </row>
    <row r="802" spans="1:17" ht="12.75" customHeight="1" x14ac:dyDescent="0.3">
      <c r="A802" s="67" t="s">
        <v>414</v>
      </c>
      <c r="B802" s="66"/>
      <c r="C802" s="66"/>
      <c r="D802" s="66"/>
      <c r="E802" s="66"/>
      <c r="F802" s="66"/>
      <c r="G802" s="66"/>
      <c r="H802" s="66"/>
      <c r="I802" s="189" t="s">
        <v>748</v>
      </c>
      <c r="J802" s="319"/>
      <c r="K802" s="319"/>
      <c r="L802" s="281"/>
      <c r="M802" s="281"/>
      <c r="N802" s="281"/>
      <c r="O802" s="281"/>
      <c r="P802" s="281"/>
      <c r="Q802" s="104"/>
    </row>
    <row r="803" spans="1:17" ht="12.75" customHeight="1" x14ac:dyDescent="0.3">
      <c r="A803" s="42"/>
      <c r="B803" s="38"/>
      <c r="C803" s="38"/>
      <c r="D803" s="38"/>
      <c r="E803" s="38"/>
      <c r="F803" s="38"/>
      <c r="G803" s="38"/>
      <c r="H803" s="38"/>
      <c r="I803" s="162"/>
      <c r="J803" s="322"/>
      <c r="K803" s="322"/>
      <c r="L803" s="285"/>
      <c r="M803" s="285"/>
      <c r="N803" s="285"/>
      <c r="O803" s="285"/>
      <c r="P803" s="285"/>
      <c r="Q803" s="104"/>
    </row>
    <row r="804" spans="1:17" ht="12.75" customHeight="1" x14ac:dyDescent="0.3">
      <c r="A804" s="42" t="s">
        <v>216</v>
      </c>
      <c r="B804" s="38"/>
      <c r="C804" s="38"/>
      <c r="D804" s="38"/>
      <c r="E804" s="38"/>
      <c r="F804" s="38"/>
      <c r="G804" s="43" t="s">
        <v>824</v>
      </c>
      <c r="H804" s="42" t="s">
        <v>1926</v>
      </c>
      <c r="I804" s="340">
        <f>continental!I192</f>
        <v>0</v>
      </c>
      <c r="J804" s="315"/>
      <c r="K804" s="315"/>
      <c r="L804" s="276"/>
      <c r="M804" s="276"/>
      <c r="N804" s="276"/>
      <c r="O804" s="276"/>
      <c r="P804" s="276"/>
      <c r="Q804" s="104"/>
    </row>
    <row r="805" spans="1:17" ht="12.75" customHeight="1" x14ac:dyDescent="0.3">
      <c r="A805" s="42" t="s">
        <v>298</v>
      </c>
      <c r="B805" s="38"/>
      <c r="C805" s="38"/>
      <c r="D805" s="38"/>
      <c r="E805" s="38"/>
      <c r="F805" s="38"/>
      <c r="G805" s="43" t="s">
        <v>346</v>
      </c>
      <c r="H805" s="42" t="s">
        <v>1926</v>
      </c>
      <c r="I805" s="340">
        <f>continental!I193</f>
        <v>0</v>
      </c>
      <c r="J805" s="315"/>
      <c r="K805" s="315"/>
      <c r="L805" s="276"/>
      <c r="M805" s="276"/>
      <c r="N805" s="276"/>
      <c r="O805" s="276"/>
      <c r="P805" s="276"/>
      <c r="Q805" s="104"/>
    </row>
    <row r="806" spans="1:17" ht="12.75" customHeight="1" x14ac:dyDescent="0.3">
      <c r="A806" s="42" t="s">
        <v>245</v>
      </c>
      <c r="B806" s="38"/>
      <c r="C806" s="38"/>
      <c r="D806" s="38"/>
      <c r="E806" s="38"/>
      <c r="F806" s="38"/>
      <c r="G806" s="43" t="s">
        <v>825</v>
      </c>
      <c r="H806" s="42" t="s">
        <v>1926</v>
      </c>
      <c r="I806" s="340">
        <f>continental!I194</f>
        <v>0</v>
      </c>
      <c r="J806" s="315"/>
      <c r="K806" s="315"/>
      <c r="L806" s="276"/>
      <c r="M806" s="276"/>
      <c r="N806" s="276"/>
      <c r="O806" s="276"/>
      <c r="P806" s="276"/>
      <c r="Q806" s="104"/>
    </row>
    <row r="807" spans="1:17" ht="12.75" customHeight="1" x14ac:dyDescent="0.3">
      <c r="A807" s="42" t="s">
        <v>246</v>
      </c>
      <c r="B807" s="38"/>
      <c r="C807" s="38"/>
      <c r="D807" s="38"/>
      <c r="E807" s="38"/>
      <c r="F807" s="38"/>
      <c r="G807" s="43" t="s">
        <v>826</v>
      </c>
      <c r="H807" s="42" t="s">
        <v>1926</v>
      </c>
      <c r="I807" s="340">
        <f>continental!I195</f>
        <v>0</v>
      </c>
      <c r="J807" s="315"/>
      <c r="K807" s="315"/>
      <c r="L807" s="276"/>
      <c r="M807" s="276"/>
      <c r="N807" s="276"/>
      <c r="O807" s="276"/>
      <c r="P807" s="276"/>
      <c r="Q807" s="104"/>
    </row>
    <row r="808" spans="1:17" ht="12.75" customHeight="1" x14ac:dyDescent="0.3">
      <c r="A808" s="42" t="s">
        <v>248</v>
      </c>
      <c r="B808" s="38"/>
      <c r="C808" s="38"/>
      <c r="D808" s="38"/>
      <c r="E808" s="38"/>
      <c r="F808" s="38"/>
      <c r="G808" s="43" t="s">
        <v>827</v>
      </c>
      <c r="H808" s="42" t="s">
        <v>1926</v>
      </c>
      <c r="I808" s="340">
        <f>continental!I196</f>
        <v>0</v>
      </c>
      <c r="J808" s="315"/>
      <c r="K808" s="315"/>
      <c r="L808" s="276"/>
      <c r="M808" s="276"/>
      <c r="N808" s="276"/>
      <c r="O808" s="276"/>
      <c r="P808" s="276"/>
      <c r="Q808" s="104"/>
    </row>
    <row r="809" spans="1:17" ht="12.75" customHeight="1" x14ac:dyDescent="0.3">
      <c r="A809" s="42" t="s">
        <v>249</v>
      </c>
      <c r="B809" s="38"/>
      <c r="C809" s="38"/>
      <c r="D809" s="38"/>
      <c r="E809" s="38"/>
      <c r="F809" s="38"/>
      <c r="G809" s="43" t="s">
        <v>828</v>
      </c>
      <c r="H809" s="42" t="s">
        <v>1926</v>
      </c>
      <c r="I809" s="340">
        <f>continental!I197</f>
        <v>0</v>
      </c>
      <c r="J809" s="315"/>
      <c r="K809" s="315"/>
      <c r="L809" s="276"/>
      <c r="M809" s="276"/>
      <c r="N809" s="276"/>
      <c r="O809" s="276"/>
      <c r="P809" s="276"/>
      <c r="Q809" s="104"/>
    </row>
    <row r="810" spans="1:17" ht="12.75" customHeight="1" x14ac:dyDescent="0.3">
      <c r="A810" s="42" t="s">
        <v>218</v>
      </c>
      <c r="B810" s="38"/>
      <c r="C810" s="38"/>
      <c r="D810" s="38"/>
      <c r="E810" s="38"/>
      <c r="F810" s="38"/>
      <c r="G810" s="43" t="s">
        <v>829</v>
      </c>
      <c r="H810" s="42" t="s">
        <v>1926</v>
      </c>
      <c r="I810" s="340">
        <f>continental!I198</f>
        <v>0</v>
      </c>
      <c r="J810" s="315"/>
      <c r="K810" s="315"/>
      <c r="L810" s="276"/>
      <c r="M810" s="276"/>
      <c r="N810" s="276"/>
      <c r="O810" s="276"/>
      <c r="P810" s="276"/>
      <c r="Q810" s="104"/>
    </row>
    <row r="811" spans="1:17" ht="12.75" customHeight="1" x14ac:dyDescent="0.3">
      <c r="A811" s="42" t="s">
        <v>218</v>
      </c>
      <c r="B811" s="38"/>
      <c r="C811" s="38"/>
      <c r="D811" s="38"/>
      <c r="E811" s="38"/>
      <c r="F811" s="38"/>
      <c r="G811" s="43" t="s">
        <v>830</v>
      </c>
      <c r="H811" s="42" t="s">
        <v>1926</v>
      </c>
      <c r="I811" s="340">
        <f>continental!I199</f>
        <v>0</v>
      </c>
      <c r="J811" s="315"/>
      <c r="K811" s="315"/>
      <c r="L811" s="276"/>
      <c r="M811" s="276"/>
      <c r="N811" s="276"/>
      <c r="O811" s="276"/>
      <c r="P811" s="276"/>
      <c r="Q811" s="104"/>
    </row>
    <row r="812" spans="1:17" ht="12.75" customHeight="1" x14ac:dyDescent="0.3">
      <c r="A812" s="42" t="s">
        <v>218</v>
      </c>
      <c r="B812" s="38"/>
      <c r="C812" s="38"/>
      <c r="D812" s="38"/>
      <c r="E812" s="38"/>
      <c r="F812" s="38"/>
      <c r="G812" s="43" t="s">
        <v>831</v>
      </c>
      <c r="H812" s="42" t="s">
        <v>1926</v>
      </c>
      <c r="I812" s="340">
        <f>continental!I200</f>
        <v>0</v>
      </c>
      <c r="J812" s="315"/>
      <c r="K812" s="315"/>
      <c r="L812" s="276"/>
      <c r="M812" s="276"/>
      <c r="N812" s="276"/>
      <c r="O812" s="276"/>
      <c r="P812" s="276"/>
      <c r="Q812" s="104"/>
    </row>
    <row r="813" spans="1:17" ht="12.75" customHeight="1" x14ac:dyDescent="0.3">
      <c r="A813" s="42"/>
      <c r="B813" s="42" t="s">
        <v>791</v>
      </c>
      <c r="C813" s="64"/>
      <c r="D813" s="38"/>
      <c r="E813" s="38"/>
      <c r="F813" s="38"/>
      <c r="G813" s="63" t="s">
        <v>189</v>
      </c>
      <c r="H813" s="42" t="s">
        <v>1926</v>
      </c>
      <c r="I813" s="340">
        <f>continental!I201</f>
        <v>0</v>
      </c>
      <c r="J813" s="315"/>
      <c r="K813" s="315"/>
      <c r="L813" s="276"/>
      <c r="M813" s="276"/>
      <c r="N813" s="276"/>
      <c r="O813" s="276"/>
      <c r="P813" s="276"/>
      <c r="Q813" s="104"/>
    </row>
    <row r="814" spans="1:17" ht="12.75" customHeight="1" x14ac:dyDescent="0.3">
      <c r="A814" s="42"/>
      <c r="B814" s="42" t="s">
        <v>792</v>
      </c>
      <c r="C814" s="38"/>
      <c r="D814" s="38"/>
      <c r="E814" s="38"/>
      <c r="F814" s="38"/>
      <c r="G814" s="43" t="s">
        <v>1196</v>
      </c>
      <c r="H814" s="42" t="s">
        <v>1926</v>
      </c>
      <c r="I814" s="340">
        <f>continental!I202</f>
        <v>0</v>
      </c>
      <c r="J814" s="315"/>
      <c r="K814" s="315"/>
      <c r="L814" s="276"/>
      <c r="M814" s="276"/>
      <c r="N814" s="276"/>
      <c r="O814" s="276"/>
      <c r="P814" s="276"/>
      <c r="Q814" s="104"/>
    </row>
    <row r="815" spans="1:17" ht="12.75" customHeight="1" x14ac:dyDescent="0.3">
      <c r="A815" s="64"/>
      <c r="B815" s="64"/>
      <c r="C815" s="42" t="s">
        <v>179</v>
      </c>
      <c r="D815" s="38"/>
      <c r="E815" s="38"/>
      <c r="F815" s="38"/>
      <c r="G815" s="43" t="s">
        <v>180</v>
      </c>
      <c r="H815" s="42" t="s">
        <v>1927</v>
      </c>
      <c r="I815" s="340">
        <f>continental!I203</f>
        <v>0</v>
      </c>
      <c r="J815" s="315"/>
      <c r="K815" s="315"/>
      <c r="L815" s="276"/>
      <c r="M815" s="276"/>
      <c r="N815" s="276"/>
      <c r="O815" s="276"/>
      <c r="P815" s="276"/>
      <c r="Q815" s="104"/>
    </row>
    <row r="816" spans="1:17" ht="12.75" customHeight="1" x14ac:dyDescent="0.3">
      <c r="A816" s="64"/>
      <c r="B816" s="64"/>
      <c r="C816" s="42" t="s">
        <v>27</v>
      </c>
      <c r="D816" s="38"/>
      <c r="E816" s="38"/>
      <c r="F816" s="38"/>
      <c r="G816" s="43" t="s">
        <v>181</v>
      </c>
      <c r="H816" s="42" t="s">
        <v>28</v>
      </c>
      <c r="I816" s="340">
        <f>continental!I204</f>
        <v>0</v>
      </c>
      <c r="J816" s="315"/>
      <c r="K816" s="315"/>
      <c r="L816" s="276"/>
      <c r="M816" s="276"/>
      <c r="N816" s="276"/>
      <c r="O816" s="276"/>
      <c r="P816" s="276"/>
      <c r="Q816" s="104"/>
    </row>
    <row r="817" spans="1:17" ht="12.75" customHeight="1" x14ac:dyDescent="0.3">
      <c r="A817" s="42"/>
      <c r="B817" s="42" t="s">
        <v>318</v>
      </c>
      <c r="C817" s="38"/>
      <c r="D817" s="38"/>
      <c r="E817" s="38"/>
      <c r="F817" s="38"/>
      <c r="G817" s="43" t="s">
        <v>347</v>
      </c>
      <c r="H817" s="42" t="s">
        <v>1926</v>
      </c>
      <c r="I817" s="340">
        <f>continental!I205</f>
        <v>0</v>
      </c>
      <c r="J817" s="315"/>
      <c r="K817" s="315"/>
      <c r="L817" s="276"/>
      <c r="M817" s="276"/>
      <c r="N817" s="276"/>
      <c r="O817" s="276"/>
      <c r="P817" s="276"/>
      <c r="Q817" s="104"/>
    </row>
    <row r="818" spans="1:17" ht="12.75" customHeight="1" x14ac:dyDescent="0.3">
      <c r="A818" s="42"/>
      <c r="B818" s="42" t="s">
        <v>793</v>
      </c>
      <c r="C818" s="38"/>
      <c r="D818" s="38"/>
      <c r="E818" s="38"/>
      <c r="F818" s="38"/>
      <c r="G818" s="43" t="s">
        <v>973</v>
      </c>
      <c r="H818" s="42" t="s">
        <v>1926</v>
      </c>
      <c r="I818" s="340">
        <f>continental!I206</f>
        <v>0</v>
      </c>
      <c r="J818" s="315"/>
      <c r="K818" s="315"/>
      <c r="L818" s="276"/>
      <c r="M818" s="276"/>
      <c r="N818" s="276"/>
      <c r="O818" s="276"/>
      <c r="P818" s="276"/>
      <c r="Q818" s="104"/>
    </row>
    <row r="819" spans="1:17" ht="12.75" customHeight="1" x14ac:dyDescent="0.3">
      <c r="A819" s="42"/>
      <c r="B819" s="42" t="s">
        <v>794</v>
      </c>
      <c r="C819" s="38"/>
      <c r="D819" s="38"/>
      <c r="E819" s="38"/>
      <c r="F819" s="38"/>
      <c r="G819" s="43" t="s">
        <v>974</v>
      </c>
      <c r="H819" s="42" t="s">
        <v>1926</v>
      </c>
      <c r="I819" s="340">
        <f>continental!I207</f>
        <v>0</v>
      </c>
      <c r="J819" s="315"/>
      <c r="K819" s="315"/>
      <c r="L819" s="276"/>
      <c r="M819" s="276"/>
      <c r="N819" s="276"/>
      <c r="O819" s="276"/>
      <c r="P819" s="276"/>
      <c r="Q819" s="104"/>
    </row>
    <row r="820" spans="1:17" ht="12.75" customHeight="1" x14ac:dyDescent="0.3">
      <c r="A820" s="42"/>
      <c r="B820" s="42"/>
      <c r="C820" s="42" t="s">
        <v>319</v>
      </c>
      <c r="D820" s="38"/>
      <c r="E820" s="38"/>
      <c r="F820" s="38"/>
      <c r="G820" s="63" t="s">
        <v>348</v>
      </c>
      <c r="H820" s="42" t="s">
        <v>724</v>
      </c>
      <c r="I820" s="340">
        <f>continental!I208</f>
        <v>0</v>
      </c>
      <c r="J820" s="315"/>
      <c r="K820" s="315"/>
      <c r="L820" s="276"/>
      <c r="M820" s="276"/>
      <c r="N820" s="276"/>
      <c r="O820" s="276"/>
      <c r="P820" s="276"/>
      <c r="Q820" s="104"/>
    </row>
    <row r="821" spans="1:17" ht="12.75" customHeight="1" x14ac:dyDescent="0.3">
      <c r="A821" s="42"/>
      <c r="B821" s="42"/>
      <c r="C821" s="42" t="s">
        <v>579</v>
      </c>
      <c r="D821" s="38"/>
      <c r="E821" s="38"/>
      <c r="F821" s="38"/>
      <c r="G821" s="63" t="s">
        <v>680</v>
      </c>
      <c r="H821" s="42" t="s">
        <v>724</v>
      </c>
      <c r="I821" s="340">
        <f>continental!I209</f>
        <v>0</v>
      </c>
      <c r="J821" s="315"/>
      <c r="K821" s="315"/>
      <c r="L821" s="276"/>
      <c r="M821" s="276"/>
      <c r="N821" s="276"/>
      <c r="O821" s="276"/>
      <c r="P821" s="276"/>
      <c r="Q821" s="104"/>
    </row>
    <row r="822" spans="1:17" ht="12.75" customHeight="1" x14ac:dyDescent="0.3">
      <c r="A822" s="42"/>
      <c r="B822" s="42"/>
      <c r="C822" s="42" t="s">
        <v>1446</v>
      </c>
      <c r="D822" s="38"/>
      <c r="E822" s="38"/>
      <c r="F822" s="38"/>
      <c r="G822" s="63" t="s">
        <v>681</v>
      </c>
      <c r="H822" s="42" t="s">
        <v>724</v>
      </c>
      <c r="I822" s="340">
        <f>continental!I210</f>
        <v>0</v>
      </c>
      <c r="J822" s="315"/>
      <c r="K822" s="315"/>
      <c r="L822" s="276"/>
      <c r="M822" s="276"/>
      <c r="N822" s="276"/>
      <c r="O822" s="276"/>
      <c r="P822" s="276"/>
      <c r="Q822" s="104"/>
    </row>
    <row r="823" spans="1:17" ht="12.75" customHeight="1" x14ac:dyDescent="0.3">
      <c r="A823" s="64"/>
      <c r="B823" s="64"/>
      <c r="C823" s="42" t="s">
        <v>760</v>
      </c>
      <c r="D823" s="38"/>
      <c r="E823" s="38"/>
      <c r="F823" s="38"/>
      <c r="G823" s="43" t="s">
        <v>532</v>
      </c>
      <c r="H823" s="42" t="s">
        <v>28</v>
      </c>
      <c r="I823" s="340">
        <f>continental!I211</f>
        <v>0</v>
      </c>
      <c r="J823" s="315"/>
      <c r="K823" s="315"/>
      <c r="L823" s="276"/>
      <c r="M823" s="276"/>
      <c r="N823" s="276"/>
      <c r="O823" s="276"/>
      <c r="P823" s="276"/>
      <c r="Q823" s="104"/>
    </row>
    <row r="824" spans="1:17" ht="12.75" customHeight="1" x14ac:dyDescent="0.3">
      <c r="A824" s="42"/>
      <c r="B824" s="42" t="s">
        <v>795</v>
      </c>
      <c r="C824" s="38"/>
      <c r="D824" s="38"/>
      <c r="E824" s="38"/>
      <c r="F824" s="38"/>
      <c r="G824" s="43" t="s">
        <v>975</v>
      </c>
      <c r="H824" s="42" t="s">
        <v>1926</v>
      </c>
      <c r="I824" s="340">
        <f>continental!I212</f>
        <v>0</v>
      </c>
      <c r="J824" s="315"/>
      <c r="K824" s="315"/>
      <c r="L824" s="276"/>
      <c r="M824" s="276"/>
      <c r="N824" s="276"/>
      <c r="O824" s="276"/>
      <c r="P824" s="276"/>
      <c r="Q824" s="104"/>
    </row>
    <row r="825" spans="1:17" ht="12.75" customHeight="1" x14ac:dyDescent="0.3">
      <c r="A825" s="42"/>
      <c r="B825" s="42" t="s">
        <v>796</v>
      </c>
      <c r="C825" s="38"/>
      <c r="D825" s="38"/>
      <c r="E825" s="38"/>
      <c r="F825" s="38"/>
      <c r="G825" s="43" t="s">
        <v>1287</v>
      </c>
      <c r="H825" s="42" t="s">
        <v>1926</v>
      </c>
      <c r="I825" s="340">
        <f>continental!I213</f>
        <v>0</v>
      </c>
      <c r="J825" s="315"/>
      <c r="K825" s="315"/>
      <c r="L825" s="276"/>
      <c r="M825" s="276"/>
      <c r="N825" s="276"/>
      <c r="O825" s="276"/>
      <c r="P825" s="276"/>
      <c r="Q825" s="104"/>
    </row>
    <row r="826" spans="1:17" ht="12.75" customHeight="1" x14ac:dyDescent="0.3">
      <c r="A826" s="42"/>
      <c r="B826" s="42" t="s">
        <v>797</v>
      </c>
      <c r="C826" s="38"/>
      <c r="D826" s="38"/>
      <c r="E826" s="38"/>
      <c r="F826" s="38"/>
      <c r="G826" s="43" t="s">
        <v>1288</v>
      </c>
      <c r="H826" s="42" t="s">
        <v>1926</v>
      </c>
      <c r="I826" s="340">
        <f>continental!I214</f>
        <v>0</v>
      </c>
      <c r="J826" s="315"/>
      <c r="K826" s="315"/>
      <c r="L826" s="276"/>
      <c r="M826" s="276"/>
      <c r="N826" s="276"/>
      <c r="O826" s="276"/>
      <c r="P826" s="276"/>
      <c r="Q826" s="104"/>
    </row>
    <row r="827" spans="1:17" ht="12.75" customHeight="1" x14ac:dyDescent="0.3">
      <c r="A827" s="42"/>
      <c r="B827" s="42" t="s">
        <v>421</v>
      </c>
      <c r="C827" s="38"/>
      <c r="D827" s="38"/>
      <c r="E827" s="38"/>
      <c r="F827" s="38"/>
      <c r="G827" s="43" t="s">
        <v>1289</v>
      </c>
      <c r="H827" s="42" t="s">
        <v>1926</v>
      </c>
      <c r="I827" s="340">
        <f>continental!I215</f>
        <v>0</v>
      </c>
      <c r="J827" s="315"/>
      <c r="K827" s="315"/>
      <c r="L827" s="276"/>
      <c r="M827" s="276"/>
      <c r="N827" s="276"/>
      <c r="O827" s="276"/>
      <c r="P827" s="276"/>
      <c r="Q827" s="104"/>
    </row>
    <row r="828" spans="1:17" ht="12.75" customHeight="1" x14ac:dyDescent="0.3">
      <c r="A828" s="42"/>
      <c r="B828" s="42" t="s">
        <v>428</v>
      </c>
      <c r="C828" s="38"/>
      <c r="D828" s="38"/>
      <c r="E828" s="38"/>
      <c r="F828" s="38"/>
      <c r="G828" s="43" t="s">
        <v>1195</v>
      </c>
      <c r="H828" s="42" t="s">
        <v>1926</v>
      </c>
      <c r="I828" s="340">
        <f>continental!I216</f>
        <v>0</v>
      </c>
      <c r="J828" s="315"/>
      <c r="K828" s="315"/>
      <c r="L828" s="276"/>
      <c r="M828" s="276"/>
      <c r="N828" s="276"/>
      <c r="O828" s="276"/>
      <c r="P828" s="276"/>
      <c r="Q828" s="104"/>
    </row>
    <row r="829" spans="1:17" ht="12.75" customHeight="1" x14ac:dyDescent="0.3">
      <c r="A829" s="42"/>
      <c r="B829" s="42" t="s">
        <v>1050</v>
      </c>
      <c r="C829" s="38"/>
      <c r="D829" s="38"/>
      <c r="E829" s="38"/>
      <c r="F829" s="38"/>
      <c r="G829" s="63" t="s">
        <v>418</v>
      </c>
      <c r="H829" s="42" t="s">
        <v>28</v>
      </c>
      <c r="I829" s="340">
        <f ca="1">continental!I217</f>
        <v>0.23287942096687864</v>
      </c>
      <c r="J829" s="315"/>
      <c r="K829" s="315"/>
      <c r="L829" s="276"/>
      <c r="M829" s="276"/>
      <c r="N829" s="276"/>
      <c r="O829" s="276"/>
      <c r="P829" s="276"/>
      <c r="Q829" s="104"/>
    </row>
    <row r="830" spans="1:17" ht="12.75" customHeight="1" x14ac:dyDescent="0.3">
      <c r="A830" s="42"/>
      <c r="B830" s="42" t="s">
        <v>1051</v>
      </c>
      <c r="C830" s="38"/>
      <c r="D830" s="38"/>
      <c r="E830" s="38"/>
      <c r="F830" s="38"/>
      <c r="G830" s="63" t="s">
        <v>419</v>
      </c>
      <c r="H830" s="42" t="s">
        <v>28</v>
      </c>
      <c r="I830" s="340">
        <f ca="1">continental!I218</f>
        <v>0.30840266638016556</v>
      </c>
      <c r="J830" s="315"/>
      <c r="K830" s="315"/>
      <c r="L830" s="276"/>
      <c r="M830" s="276"/>
      <c r="N830" s="276"/>
      <c r="O830" s="276"/>
      <c r="P830" s="276"/>
      <c r="Q830" s="104"/>
    </row>
    <row r="831" spans="1:17" ht="12.75" customHeight="1" x14ac:dyDescent="0.3">
      <c r="A831" s="38"/>
      <c r="B831" s="42" t="s">
        <v>578</v>
      </c>
      <c r="C831" s="38"/>
      <c r="D831" s="38"/>
      <c r="E831" s="38"/>
      <c r="F831" s="38"/>
      <c r="G831" s="63" t="s">
        <v>420</v>
      </c>
      <c r="H831" s="42" t="s">
        <v>28</v>
      </c>
      <c r="I831" s="340">
        <f ca="1">continental!I219</f>
        <v>0.40570339535297184</v>
      </c>
      <c r="J831" s="315"/>
      <c r="K831" s="315"/>
      <c r="L831" s="276"/>
      <c r="M831" s="276"/>
      <c r="N831" s="276"/>
      <c r="O831" s="276"/>
      <c r="P831" s="276"/>
      <c r="Q831" s="104"/>
    </row>
    <row r="832" spans="1:17" ht="12.75" customHeight="1" x14ac:dyDescent="0.3">
      <c r="A832" s="42"/>
      <c r="B832" s="38" t="s">
        <v>177</v>
      </c>
      <c r="C832" s="38"/>
      <c r="D832" s="64"/>
      <c r="E832" s="64"/>
      <c r="F832" s="64"/>
      <c r="G832" s="43" t="s">
        <v>872</v>
      </c>
      <c r="H832" s="38" t="s">
        <v>28</v>
      </c>
      <c r="I832" s="340">
        <f>continental!I220</f>
        <v>0</v>
      </c>
      <c r="J832" s="315"/>
      <c r="K832" s="315">
        <v>1</v>
      </c>
      <c r="L832" s="276">
        <v>1</v>
      </c>
      <c r="M832" s="276">
        <v>1</v>
      </c>
      <c r="N832" s="276">
        <v>1</v>
      </c>
      <c r="O832" s="276"/>
      <c r="P832" s="276">
        <v>1</v>
      </c>
      <c r="Q832" s="104"/>
    </row>
    <row r="833" spans="1:17" ht="12.75" customHeight="1" x14ac:dyDescent="0.3">
      <c r="A833" s="42"/>
      <c r="B833" s="38" t="s">
        <v>177</v>
      </c>
      <c r="C833" s="38"/>
      <c r="D833" s="64"/>
      <c r="E833" s="64"/>
      <c r="F833" s="64"/>
      <c r="G833" s="43" t="s">
        <v>873</v>
      </c>
      <c r="H833" s="38" t="s">
        <v>28</v>
      </c>
      <c r="I833" s="340">
        <f>continental!I221</f>
        <v>0</v>
      </c>
      <c r="J833" s="315"/>
      <c r="K833" s="315">
        <v>1</v>
      </c>
      <c r="L833" s="276">
        <v>1</v>
      </c>
      <c r="M833" s="276">
        <v>1</v>
      </c>
      <c r="N833" s="276">
        <v>1</v>
      </c>
      <c r="O833" s="276"/>
      <c r="P833" s="276">
        <v>1</v>
      </c>
      <c r="Q833" s="104"/>
    </row>
    <row r="834" spans="1:17" ht="12.75" customHeight="1" x14ac:dyDescent="0.3">
      <c r="A834" s="42"/>
      <c r="B834" s="38" t="s">
        <v>177</v>
      </c>
      <c r="C834" s="38"/>
      <c r="D834" s="64"/>
      <c r="E834" s="64"/>
      <c r="F834" s="64"/>
      <c r="G834" s="43" t="s">
        <v>874</v>
      </c>
      <c r="H834" s="38" t="s">
        <v>28</v>
      </c>
      <c r="I834" s="340">
        <f>continental!I222</f>
        <v>0</v>
      </c>
      <c r="J834" s="315"/>
      <c r="K834" s="315">
        <v>1</v>
      </c>
      <c r="L834" s="276">
        <v>1</v>
      </c>
      <c r="M834" s="276">
        <v>1</v>
      </c>
      <c r="N834" s="276">
        <v>1</v>
      </c>
      <c r="O834" s="276"/>
      <c r="P834" s="276">
        <v>1</v>
      </c>
      <c r="Q834" s="104"/>
    </row>
    <row r="835" spans="1:17" ht="12.75" customHeight="1" x14ac:dyDescent="0.3">
      <c r="A835" s="76"/>
      <c r="B835" s="76"/>
      <c r="C835" s="76"/>
      <c r="D835" s="76"/>
      <c r="E835" s="76"/>
      <c r="F835" s="76"/>
      <c r="G835" s="76"/>
      <c r="H835" s="76"/>
      <c r="I835" s="342"/>
      <c r="J835" s="326"/>
      <c r="K835" s="326"/>
      <c r="L835" s="290"/>
      <c r="M835" s="290"/>
      <c r="N835" s="290"/>
      <c r="O835" s="290"/>
      <c r="P835" s="290"/>
      <c r="Q835" s="104"/>
    </row>
    <row r="836" spans="1:17" ht="12.75" customHeight="1" x14ac:dyDescent="0.3">
      <c r="A836" s="38"/>
      <c r="B836" s="38"/>
      <c r="C836" s="38"/>
      <c r="D836" s="38"/>
      <c r="E836" s="38"/>
      <c r="F836" s="38"/>
      <c r="G836" s="38"/>
      <c r="H836" s="38"/>
      <c r="I836" s="337"/>
      <c r="J836" s="322"/>
      <c r="K836" s="322"/>
      <c r="L836" s="285"/>
      <c r="M836" s="285"/>
      <c r="N836" s="285"/>
      <c r="O836" s="285"/>
      <c r="P836" s="285"/>
      <c r="Q836" s="104"/>
    </row>
    <row r="837" spans="1:17" ht="12.75" customHeight="1" x14ac:dyDescent="0.3">
      <c r="A837" s="52" t="s">
        <v>1321</v>
      </c>
      <c r="B837" s="38"/>
      <c r="C837" s="38"/>
      <c r="D837" s="38"/>
      <c r="E837" s="38"/>
      <c r="F837" s="38"/>
      <c r="G837" s="38"/>
      <c r="H837" s="38"/>
      <c r="I837" s="337"/>
      <c r="J837" s="322"/>
      <c r="K837" s="322"/>
      <c r="L837" s="285"/>
      <c r="M837" s="285"/>
      <c r="N837" s="285"/>
      <c r="O837" s="285"/>
      <c r="P837" s="285"/>
      <c r="Q837" s="104"/>
    </row>
    <row r="838" spans="1:17" ht="12.75" customHeight="1" x14ac:dyDescent="0.3">
      <c r="A838" s="65"/>
      <c r="B838" s="38"/>
      <c r="C838" s="38"/>
      <c r="D838" s="38"/>
      <c r="E838" s="38"/>
      <c r="F838" s="38"/>
      <c r="G838" s="38"/>
      <c r="H838" s="38"/>
      <c r="I838" s="178"/>
      <c r="J838" s="322"/>
      <c r="K838" s="322"/>
      <c r="L838" s="285"/>
      <c r="M838" s="285"/>
      <c r="N838" s="285"/>
      <c r="O838" s="285"/>
      <c r="P838" s="285"/>
      <c r="Q838" s="104"/>
    </row>
    <row r="839" spans="1:17" ht="12.75" customHeight="1" x14ac:dyDescent="0.3">
      <c r="A839" s="66" t="s">
        <v>1305</v>
      </c>
      <c r="B839" s="66"/>
      <c r="C839" s="66"/>
      <c r="D839" s="66"/>
      <c r="E839" s="66"/>
      <c r="F839" s="66"/>
      <c r="G839" s="66"/>
      <c r="H839" s="66"/>
      <c r="I839" s="189" t="s">
        <v>748</v>
      </c>
      <c r="J839" s="319"/>
      <c r="K839" s="319"/>
      <c r="L839" s="281"/>
      <c r="M839" s="281"/>
      <c r="N839" s="281"/>
      <c r="O839" s="281"/>
      <c r="P839" s="281"/>
      <c r="Q839" s="104"/>
    </row>
    <row r="840" spans="1:17" ht="12.75" customHeight="1" x14ac:dyDescent="0.3">
      <c r="A840" s="38"/>
      <c r="B840" s="38"/>
      <c r="C840" s="38"/>
      <c r="D840" s="38"/>
      <c r="E840" s="38"/>
      <c r="F840" s="38"/>
      <c r="G840" s="38"/>
      <c r="H840" s="38"/>
      <c r="I840" s="162"/>
      <c r="J840" s="322"/>
      <c r="K840" s="322"/>
      <c r="L840" s="285"/>
      <c r="M840" s="285"/>
      <c r="N840" s="285"/>
      <c r="O840" s="285"/>
      <c r="P840" s="285"/>
      <c r="Q840" s="104"/>
    </row>
    <row r="841" spans="1:17" ht="12.75" customHeight="1" x14ac:dyDescent="0.3">
      <c r="A841" s="42" t="s">
        <v>1082</v>
      </c>
      <c r="B841" s="38"/>
      <c r="C841" s="38"/>
      <c r="D841" s="38"/>
      <c r="E841" s="38"/>
      <c r="F841" s="38"/>
      <c r="G841" s="43" t="s">
        <v>24</v>
      </c>
      <c r="H841" s="38" t="s">
        <v>1937</v>
      </c>
      <c r="I841" s="340">
        <f>global!I5</f>
        <v>0</v>
      </c>
      <c r="J841" s="315"/>
      <c r="K841" s="315"/>
      <c r="L841" s="276"/>
      <c r="M841" s="276"/>
      <c r="N841" s="276"/>
      <c r="O841" s="276"/>
      <c r="P841" s="276"/>
      <c r="Q841" s="104"/>
    </row>
    <row r="842" spans="1:17" ht="12.75" customHeight="1" x14ac:dyDescent="0.3">
      <c r="A842" s="42" t="s">
        <v>898</v>
      </c>
      <c r="B842" s="38"/>
      <c r="C842" s="38"/>
      <c r="D842" s="38"/>
      <c r="E842" s="38"/>
      <c r="F842" s="38"/>
      <c r="G842" s="43" t="s">
        <v>897</v>
      </c>
      <c r="H842" s="38" t="s">
        <v>1937</v>
      </c>
      <c r="I842" s="340">
        <f>global!I6</f>
        <v>0</v>
      </c>
      <c r="J842" s="315"/>
      <c r="K842" s="315"/>
      <c r="L842" s="276"/>
      <c r="M842" s="276"/>
      <c r="N842" s="276"/>
      <c r="O842" s="276"/>
      <c r="P842" s="276"/>
      <c r="Q842" s="104"/>
    </row>
    <row r="843" spans="1:17" ht="12.75" customHeight="1" x14ac:dyDescent="0.3">
      <c r="A843" s="42" t="s">
        <v>900</v>
      </c>
      <c r="B843" s="38"/>
      <c r="C843" s="38"/>
      <c r="D843" s="38"/>
      <c r="E843" s="38"/>
      <c r="F843" s="38"/>
      <c r="G843" s="43" t="s">
        <v>899</v>
      </c>
      <c r="H843" s="38" t="s">
        <v>1937</v>
      </c>
      <c r="I843" s="340">
        <f>global!I7</f>
        <v>0</v>
      </c>
      <c r="J843" s="315"/>
      <c r="K843" s="315"/>
      <c r="L843" s="276"/>
      <c r="M843" s="276"/>
      <c r="N843" s="276"/>
      <c r="O843" s="276"/>
      <c r="P843" s="276"/>
      <c r="Q843" s="104"/>
    </row>
    <row r="844" spans="1:17" ht="12.75" customHeight="1" x14ac:dyDescent="0.3">
      <c r="A844" s="42" t="s">
        <v>728</v>
      </c>
      <c r="B844" s="38"/>
      <c r="C844" s="38"/>
      <c r="D844" s="38"/>
      <c r="E844" s="38"/>
      <c r="F844" s="38"/>
      <c r="G844" s="43" t="s">
        <v>25</v>
      </c>
      <c r="H844" s="38" t="s">
        <v>1937</v>
      </c>
      <c r="I844" s="340">
        <f>global!I8</f>
        <v>0</v>
      </c>
      <c r="J844" s="315"/>
      <c r="K844" s="315"/>
      <c r="L844" s="276"/>
      <c r="M844" s="276"/>
      <c r="N844" s="276"/>
      <c r="O844" s="276"/>
      <c r="P844" s="276"/>
      <c r="Q844" s="104"/>
    </row>
    <row r="845" spans="1:17" ht="12.75" customHeight="1" x14ac:dyDescent="0.3">
      <c r="A845" s="42" t="s">
        <v>729</v>
      </c>
      <c r="B845" s="38"/>
      <c r="C845" s="38"/>
      <c r="D845" s="38"/>
      <c r="E845" s="38"/>
      <c r="F845" s="38"/>
      <c r="G845" s="43" t="s">
        <v>1178</v>
      </c>
      <c r="H845" s="38" t="s">
        <v>1937</v>
      </c>
      <c r="I845" s="340">
        <f>global!I9</f>
        <v>0</v>
      </c>
      <c r="J845" s="315"/>
      <c r="K845" s="315"/>
      <c r="L845" s="276"/>
      <c r="M845" s="276"/>
      <c r="N845" s="276"/>
      <c r="O845" s="276"/>
      <c r="P845" s="276"/>
      <c r="Q845" s="104"/>
    </row>
    <row r="846" spans="1:17" ht="12.75" customHeight="1" x14ac:dyDescent="0.3">
      <c r="A846" s="38"/>
      <c r="B846" s="42" t="s">
        <v>981</v>
      </c>
      <c r="C846" s="38"/>
      <c r="D846" s="38"/>
      <c r="E846" s="38"/>
      <c r="F846" s="38"/>
      <c r="G846" s="43" t="s">
        <v>1179</v>
      </c>
      <c r="H846" s="38" t="s">
        <v>1934</v>
      </c>
      <c r="I846" s="340">
        <f>global!I10</f>
        <v>0</v>
      </c>
      <c r="J846" s="315"/>
      <c r="K846" s="315"/>
      <c r="L846" s="276"/>
      <c r="M846" s="276"/>
      <c r="N846" s="276"/>
      <c r="O846" s="276"/>
      <c r="P846" s="276"/>
      <c r="Q846" s="104"/>
    </row>
    <row r="847" spans="1:17" ht="12.75" customHeight="1" x14ac:dyDescent="0.3">
      <c r="A847" s="38"/>
      <c r="B847" s="42" t="s">
        <v>1975</v>
      </c>
      <c r="C847" s="38"/>
      <c r="D847" s="38"/>
      <c r="E847" s="38"/>
      <c r="F847" s="38"/>
      <c r="G847" s="63" t="s">
        <v>1180</v>
      </c>
      <c r="H847" s="38" t="s">
        <v>28</v>
      </c>
      <c r="I847" s="340">
        <f>global!I11</f>
        <v>0</v>
      </c>
      <c r="J847" s="315"/>
      <c r="K847" s="315"/>
      <c r="L847" s="276"/>
      <c r="M847" s="276"/>
      <c r="N847" s="276"/>
      <c r="O847" s="276"/>
      <c r="P847" s="276"/>
      <c r="Q847" s="104"/>
    </row>
    <row r="848" spans="1:17" ht="12.75" customHeight="1" x14ac:dyDescent="0.3">
      <c r="A848" s="38"/>
      <c r="B848" s="42" t="s">
        <v>1976</v>
      </c>
      <c r="C848" s="38"/>
      <c r="D848" s="38"/>
      <c r="E848" s="38"/>
      <c r="F848" s="38"/>
      <c r="G848" s="63" t="s">
        <v>1181</v>
      </c>
      <c r="H848" s="38" t="s">
        <v>28</v>
      </c>
      <c r="I848" s="340">
        <f>global!I12</f>
        <v>0</v>
      </c>
      <c r="J848" s="315"/>
      <c r="K848" s="315"/>
      <c r="L848" s="276"/>
      <c r="M848" s="276"/>
      <c r="N848" s="276"/>
      <c r="O848" s="276"/>
      <c r="P848" s="276"/>
      <c r="Q848" s="104"/>
    </row>
    <row r="849" spans="1:17" ht="12.75" customHeight="1" x14ac:dyDescent="0.3">
      <c r="A849" s="38"/>
      <c r="B849" s="38"/>
      <c r="C849" s="42" t="s">
        <v>761</v>
      </c>
      <c r="D849" s="38"/>
      <c r="E849" s="38"/>
      <c r="F849" s="38"/>
      <c r="G849" s="63" t="s">
        <v>1182</v>
      </c>
      <c r="H849" s="42" t="s">
        <v>713</v>
      </c>
      <c r="I849" s="340">
        <f>global!I13</f>
        <v>0</v>
      </c>
      <c r="J849" s="315"/>
      <c r="K849" s="315"/>
      <c r="L849" s="276"/>
      <c r="M849" s="276"/>
      <c r="N849" s="276"/>
      <c r="O849" s="276"/>
      <c r="P849" s="276"/>
      <c r="Q849" s="104"/>
    </row>
    <row r="850" spans="1:17" ht="12.75" customHeight="1" x14ac:dyDescent="0.3">
      <c r="A850" s="38"/>
      <c r="B850" s="38"/>
      <c r="C850" s="42" t="s">
        <v>907</v>
      </c>
      <c r="D850" s="38"/>
      <c r="E850" s="38"/>
      <c r="F850" s="38"/>
      <c r="G850" s="63" t="s">
        <v>902</v>
      </c>
      <c r="H850" s="42" t="s">
        <v>713</v>
      </c>
      <c r="I850" s="340">
        <f>global!I14</f>
        <v>0</v>
      </c>
      <c r="J850" s="315"/>
      <c r="K850" s="315">
        <v>990</v>
      </c>
      <c r="L850" s="276">
        <v>990</v>
      </c>
      <c r="M850" s="276"/>
      <c r="N850" s="276">
        <v>990</v>
      </c>
      <c r="O850" s="276">
        <v>990</v>
      </c>
      <c r="P850" s="276">
        <v>990</v>
      </c>
      <c r="Q850" s="104"/>
    </row>
    <row r="851" spans="1:17" ht="12.75" customHeight="1" x14ac:dyDescent="0.3">
      <c r="A851" s="38"/>
      <c r="B851" s="38"/>
      <c r="C851" s="42" t="s">
        <v>910</v>
      </c>
      <c r="D851" s="38"/>
      <c r="E851" s="38"/>
      <c r="F851" s="38"/>
      <c r="G851" s="63" t="s">
        <v>901</v>
      </c>
      <c r="H851" s="42" t="s">
        <v>713</v>
      </c>
      <c r="I851" s="340">
        <f>global!I15</f>
        <v>0</v>
      </c>
      <c r="J851" s="315"/>
      <c r="K851" s="315">
        <v>10</v>
      </c>
      <c r="L851" s="276">
        <v>10</v>
      </c>
      <c r="M851" s="276"/>
      <c r="N851" s="276">
        <v>10</v>
      </c>
      <c r="O851" s="276">
        <v>10</v>
      </c>
      <c r="P851" s="276">
        <v>10</v>
      </c>
      <c r="Q851" s="104"/>
    </row>
    <row r="852" spans="1:17" ht="12.75" customHeight="1" x14ac:dyDescent="0.3">
      <c r="A852" s="38"/>
      <c r="B852" s="38"/>
      <c r="C852" s="42" t="s">
        <v>1014</v>
      </c>
      <c r="D852" s="38"/>
      <c r="E852" s="38"/>
      <c r="F852" s="38"/>
      <c r="G852" s="63" t="s">
        <v>1348</v>
      </c>
      <c r="H852" s="42" t="s">
        <v>715</v>
      </c>
      <c r="I852" s="340">
        <f>global!I16</f>
        <v>0</v>
      </c>
      <c r="J852" s="315"/>
      <c r="K852" s="315"/>
      <c r="L852" s="276"/>
      <c r="M852" s="276"/>
      <c r="N852" s="276"/>
      <c r="O852" s="276"/>
      <c r="P852" s="276"/>
      <c r="Q852" s="104"/>
    </row>
    <row r="853" spans="1:17" ht="12.75" customHeight="1" x14ac:dyDescent="0.3">
      <c r="A853" s="42"/>
      <c r="B853" s="38"/>
      <c r="C853" s="42" t="s">
        <v>1977</v>
      </c>
      <c r="D853" s="64"/>
      <c r="E853" s="64"/>
      <c r="F853" s="38"/>
      <c r="G853" s="63" t="s">
        <v>1349</v>
      </c>
      <c r="H853" s="42" t="s">
        <v>713</v>
      </c>
      <c r="I853" s="340">
        <f>global!I17</f>
        <v>0</v>
      </c>
      <c r="J853" s="315"/>
      <c r="K853" s="315"/>
      <c r="L853" s="276"/>
      <c r="M853" s="276"/>
      <c r="N853" s="276"/>
      <c r="O853" s="276"/>
      <c r="P853" s="276"/>
      <c r="Q853" s="104"/>
    </row>
    <row r="854" spans="1:17" ht="12.75" customHeight="1" x14ac:dyDescent="0.3">
      <c r="A854" s="38"/>
      <c r="B854" s="38"/>
      <c r="C854" s="38" t="s">
        <v>208</v>
      </c>
      <c r="D854" s="38"/>
      <c r="E854" s="38"/>
      <c r="F854" s="38"/>
      <c r="G854" s="42" t="s">
        <v>1978</v>
      </c>
      <c r="H854" s="42" t="s">
        <v>716</v>
      </c>
      <c r="I854" s="340">
        <f>global!I18</f>
        <v>0</v>
      </c>
      <c r="J854" s="315"/>
      <c r="K854" s="315">
        <v>4.9999999999999995E-11</v>
      </c>
      <c r="L854" s="276">
        <v>4.9999999999999995E-11</v>
      </c>
      <c r="M854" s="276">
        <v>4.9999999999999995E-11</v>
      </c>
      <c r="N854" s="276">
        <v>4.9999999999999995E-11</v>
      </c>
      <c r="O854" s="276">
        <v>4.9999999999999995E-11</v>
      </c>
      <c r="P854" s="276"/>
      <c r="Q854" s="104"/>
    </row>
    <row r="855" spans="1:17" ht="12.75" customHeight="1" x14ac:dyDescent="0.3">
      <c r="A855" s="38"/>
      <c r="B855" s="38"/>
      <c r="C855" s="38" t="s">
        <v>209</v>
      </c>
      <c r="D855" s="38"/>
      <c r="E855" s="38"/>
      <c r="F855" s="38"/>
      <c r="G855" s="42" t="s">
        <v>1979</v>
      </c>
      <c r="H855" s="42" t="s">
        <v>716</v>
      </c>
      <c r="I855" s="340">
        <f>global!I19</f>
        <v>0</v>
      </c>
      <c r="J855" s="315"/>
      <c r="K855" s="315">
        <v>9.9999999999999995E-21</v>
      </c>
      <c r="L855" s="276">
        <v>9.9999999999999995E-21</v>
      </c>
      <c r="M855" s="276">
        <v>9.9999999999999995E-21</v>
      </c>
      <c r="N855" s="276">
        <v>9.9999999999999995E-21</v>
      </c>
      <c r="O855" s="276">
        <v>9.9999999999999995E-21</v>
      </c>
      <c r="P855" s="276"/>
      <c r="Q855" s="104"/>
    </row>
    <row r="856" spans="1:17" ht="12.75" customHeight="1" x14ac:dyDescent="0.3">
      <c r="A856" s="42"/>
      <c r="B856" s="38"/>
      <c r="C856" s="42" t="s">
        <v>1015</v>
      </c>
      <c r="D856" s="64"/>
      <c r="E856" s="64"/>
      <c r="F856" s="38"/>
      <c r="G856" s="63" t="s">
        <v>653</v>
      </c>
      <c r="H856" s="42" t="s">
        <v>716</v>
      </c>
      <c r="I856" s="340">
        <f>global!I20</f>
        <v>0</v>
      </c>
      <c r="J856" s="315"/>
      <c r="K856" s="315"/>
      <c r="L856" s="276"/>
      <c r="M856" s="276"/>
      <c r="N856" s="276"/>
      <c r="O856" s="276"/>
      <c r="P856" s="276"/>
      <c r="Q856" s="104"/>
    </row>
    <row r="857" spans="1:17" ht="12.75" customHeight="1" x14ac:dyDescent="0.3">
      <c r="A857" s="38"/>
      <c r="B857" s="38"/>
      <c r="C857" s="42" t="s">
        <v>1016</v>
      </c>
      <c r="D857" s="38"/>
      <c r="E857" s="38"/>
      <c r="F857" s="38"/>
      <c r="G857" s="63" t="s">
        <v>584</v>
      </c>
      <c r="H857" s="42" t="s">
        <v>716</v>
      </c>
      <c r="I857" s="340">
        <f>global!I21</f>
        <v>0</v>
      </c>
      <c r="J857" s="315"/>
      <c r="K857" s="315"/>
      <c r="L857" s="276"/>
      <c r="M857" s="276"/>
      <c r="N857" s="276"/>
      <c r="O857" s="276"/>
      <c r="P857" s="276"/>
      <c r="Q857" s="104"/>
    </row>
    <row r="858" spans="1:17" ht="12.75" customHeight="1" x14ac:dyDescent="0.3">
      <c r="A858" s="38"/>
      <c r="B858" s="38"/>
      <c r="C858" s="42" t="s">
        <v>1017</v>
      </c>
      <c r="D858" s="38"/>
      <c r="E858" s="38"/>
      <c r="F858" s="38"/>
      <c r="G858" s="63" t="s">
        <v>585</v>
      </c>
      <c r="H858" s="42" t="s">
        <v>716</v>
      </c>
      <c r="I858" s="340">
        <f>global!I22</f>
        <v>0</v>
      </c>
      <c r="J858" s="315"/>
      <c r="K858" s="315"/>
      <c r="L858" s="276"/>
      <c r="M858" s="276"/>
      <c r="N858" s="276"/>
      <c r="O858" s="276"/>
      <c r="P858" s="276"/>
      <c r="Q858" s="104"/>
    </row>
    <row r="859" spans="1:17" ht="12.75" customHeight="1" x14ac:dyDescent="0.3">
      <c r="A859" s="42"/>
      <c r="B859" s="38"/>
      <c r="C859" s="42" t="s">
        <v>429</v>
      </c>
      <c r="D859" s="64"/>
      <c r="E859" s="64"/>
      <c r="F859" s="38"/>
      <c r="G859" s="63" t="s">
        <v>586</v>
      </c>
      <c r="H859" s="42" t="s">
        <v>716</v>
      </c>
      <c r="I859" s="340">
        <f>global!I23</f>
        <v>0</v>
      </c>
      <c r="J859" s="315"/>
      <c r="K859" s="315"/>
      <c r="L859" s="276"/>
      <c r="M859" s="276"/>
      <c r="N859" s="276"/>
      <c r="O859" s="276"/>
      <c r="P859" s="276"/>
      <c r="Q859" s="104"/>
    </row>
    <row r="860" spans="1:17" ht="12.75" customHeight="1" x14ac:dyDescent="0.3">
      <c r="A860" s="42"/>
      <c r="B860" s="38"/>
      <c r="C860" s="42" t="s">
        <v>860</v>
      </c>
      <c r="D860" s="64"/>
      <c r="E860" s="64"/>
      <c r="F860" s="38"/>
      <c r="G860" s="63" t="s">
        <v>652</v>
      </c>
      <c r="H860" s="42" t="s">
        <v>716</v>
      </c>
      <c r="I860" s="340">
        <f>global!I24</f>
        <v>0</v>
      </c>
      <c r="J860" s="315"/>
      <c r="K860" s="315"/>
      <c r="L860" s="276"/>
      <c r="M860" s="276"/>
      <c r="N860" s="276"/>
      <c r="O860" s="276"/>
      <c r="P860" s="276"/>
      <c r="Q860" s="104"/>
    </row>
    <row r="861" spans="1:17" ht="12.75" customHeight="1" x14ac:dyDescent="0.3">
      <c r="A861" s="61"/>
      <c r="B861" s="61"/>
      <c r="C861" s="61"/>
      <c r="D861" s="61"/>
      <c r="E861" s="61"/>
      <c r="F861" s="61"/>
      <c r="G861" s="62"/>
      <c r="H861" s="75"/>
      <c r="I861" s="343"/>
      <c r="J861" s="318"/>
      <c r="K861" s="318"/>
      <c r="L861" s="280"/>
      <c r="M861" s="280"/>
      <c r="N861" s="280"/>
      <c r="O861" s="280"/>
      <c r="P861" s="280"/>
      <c r="Q861" s="104"/>
    </row>
    <row r="862" spans="1:17" ht="12.75" customHeight="1" x14ac:dyDescent="0.3">
      <c r="A862" s="42" t="s">
        <v>82</v>
      </c>
      <c r="B862" s="38"/>
      <c r="C862" s="38"/>
      <c r="D862" s="38"/>
      <c r="E862" s="38"/>
      <c r="F862" s="38"/>
      <c r="G862" s="42" t="s">
        <v>832</v>
      </c>
      <c r="H862" s="42" t="s">
        <v>1926</v>
      </c>
      <c r="I862" s="340">
        <f>global!I26</f>
        <v>0</v>
      </c>
      <c r="J862" s="315"/>
      <c r="K862" s="315"/>
      <c r="L862" s="276"/>
      <c r="M862" s="276"/>
      <c r="N862" s="276"/>
      <c r="O862" s="276"/>
      <c r="P862" s="276"/>
      <c r="Q862" s="104"/>
    </row>
    <row r="863" spans="1:17" ht="12.75" customHeight="1" x14ac:dyDescent="0.3">
      <c r="A863" s="42" t="s">
        <v>83</v>
      </c>
      <c r="B863" s="38"/>
      <c r="C863" s="38"/>
      <c r="D863" s="38"/>
      <c r="E863" s="38"/>
      <c r="F863" s="38"/>
      <c r="G863" s="42" t="s">
        <v>833</v>
      </c>
      <c r="H863" s="42" t="s">
        <v>1926</v>
      </c>
      <c r="I863" s="340">
        <f>global!I27</f>
        <v>0</v>
      </c>
      <c r="J863" s="315"/>
      <c r="K863" s="315"/>
      <c r="L863" s="276"/>
      <c r="M863" s="276"/>
      <c r="N863" s="276"/>
      <c r="O863" s="276"/>
      <c r="P863" s="276"/>
      <c r="Q863" s="104"/>
    </row>
    <row r="864" spans="1:17" ht="12.75" customHeight="1" x14ac:dyDescent="0.3">
      <c r="A864" s="42" t="s">
        <v>84</v>
      </c>
      <c r="B864" s="38"/>
      <c r="C864" s="38"/>
      <c r="D864" s="38"/>
      <c r="E864" s="38"/>
      <c r="F864" s="38"/>
      <c r="G864" s="42" t="s">
        <v>834</v>
      </c>
      <c r="H864" s="42" t="s">
        <v>1926</v>
      </c>
      <c r="I864" s="340">
        <f>global!I28</f>
        <v>0</v>
      </c>
      <c r="J864" s="315"/>
      <c r="K864" s="315"/>
      <c r="L864" s="276"/>
      <c r="M864" s="276"/>
      <c r="N864" s="276"/>
      <c r="O864" s="276"/>
      <c r="P864" s="276"/>
      <c r="Q864" s="104"/>
    </row>
    <row r="865" spans="1:17" ht="12.75" customHeight="1" x14ac:dyDescent="0.3">
      <c r="A865" s="38"/>
      <c r="B865" s="38"/>
      <c r="C865" s="38"/>
      <c r="D865" s="64"/>
      <c r="E865" s="38"/>
      <c r="F865" s="38"/>
      <c r="G865" s="43"/>
      <c r="H865" s="38"/>
      <c r="I865" s="337"/>
      <c r="J865" s="322"/>
      <c r="K865" s="322"/>
      <c r="L865" s="285"/>
      <c r="M865" s="285"/>
      <c r="N865" s="285"/>
      <c r="O865" s="285"/>
      <c r="P865" s="285"/>
      <c r="Q865" s="104"/>
    </row>
    <row r="866" spans="1:17" ht="12.75" customHeight="1" x14ac:dyDescent="0.3">
      <c r="A866" s="42" t="s">
        <v>1980</v>
      </c>
      <c r="B866" s="38"/>
      <c r="C866" s="38"/>
      <c r="D866" s="38"/>
      <c r="E866" s="38"/>
      <c r="F866" s="38"/>
      <c r="G866" s="42" t="s">
        <v>1247</v>
      </c>
      <c r="H866" s="42" t="s">
        <v>1926</v>
      </c>
      <c r="I866" s="340">
        <f>global!I30</f>
        <v>0</v>
      </c>
      <c r="J866" s="315"/>
      <c r="K866" s="315"/>
      <c r="L866" s="276"/>
      <c r="M866" s="276"/>
      <c r="N866" s="276"/>
      <c r="O866" s="276"/>
      <c r="P866" s="276"/>
      <c r="Q866" s="104"/>
    </row>
    <row r="867" spans="1:17" ht="12.75" customHeight="1" x14ac:dyDescent="0.3">
      <c r="A867" s="42" t="s">
        <v>1981</v>
      </c>
      <c r="B867" s="38"/>
      <c r="C867" s="38"/>
      <c r="D867" s="38"/>
      <c r="E867" s="38"/>
      <c r="F867" s="38"/>
      <c r="G867" s="42" t="s">
        <v>1266</v>
      </c>
      <c r="H867" s="42" t="s">
        <v>1926</v>
      </c>
      <c r="I867" s="340">
        <f>global!I31</f>
        <v>0</v>
      </c>
      <c r="J867" s="315"/>
      <c r="K867" s="315"/>
      <c r="L867" s="276"/>
      <c r="M867" s="276"/>
      <c r="N867" s="276"/>
      <c r="O867" s="276"/>
      <c r="P867" s="276"/>
      <c r="Q867" s="104"/>
    </row>
    <row r="868" spans="1:17" ht="12.75" customHeight="1" x14ac:dyDescent="0.3">
      <c r="A868" s="42" t="s">
        <v>1982</v>
      </c>
      <c r="B868" s="38"/>
      <c r="C868" s="38"/>
      <c r="D868" s="38"/>
      <c r="E868" s="38"/>
      <c r="F868" s="38"/>
      <c r="G868" s="42" t="s">
        <v>1267</v>
      </c>
      <c r="H868" s="42" t="s">
        <v>1926</v>
      </c>
      <c r="I868" s="340">
        <f>global!I32</f>
        <v>0</v>
      </c>
      <c r="J868" s="315"/>
      <c r="K868" s="315"/>
      <c r="L868" s="276"/>
      <c r="M868" s="276"/>
      <c r="N868" s="276"/>
      <c r="O868" s="276"/>
      <c r="P868" s="276"/>
      <c r="Q868" s="104"/>
    </row>
    <row r="869" spans="1:17" ht="12.75" customHeight="1" x14ac:dyDescent="0.3">
      <c r="A869" s="42" t="s">
        <v>1111</v>
      </c>
      <c r="B869" s="38"/>
      <c r="C869" s="38"/>
      <c r="D869" s="38"/>
      <c r="E869" s="38"/>
      <c r="F869" s="38"/>
      <c r="G869" s="42" t="s">
        <v>124</v>
      </c>
      <c r="H869" s="42" t="s">
        <v>1926</v>
      </c>
      <c r="I869" s="340">
        <f>global!I33</f>
        <v>0</v>
      </c>
      <c r="J869" s="315"/>
      <c r="K869" s="315"/>
      <c r="L869" s="276"/>
      <c r="M869" s="276"/>
      <c r="N869" s="276"/>
      <c r="O869" s="276"/>
      <c r="P869" s="276"/>
      <c r="Q869" s="104"/>
    </row>
    <row r="870" spans="1:17" ht="12.75" customHeight="1" x14ac:dyDescent="0.3">
      <c r="A870" s="42" t="s">
        <v>123</v>
      </c>
      <c r="B870" s="38"/>
      <c r="C870" s="38"/>
      <c r="D870" s="38"/>
      <c r="E870" s="38"/>
      <c r="F870" s="38"/>
      <c r="G870" s="42" t="s">
        <v>125</v>
      </c>
      <c r="H870" s="42" t="s">
        <v>1926</v>
      </c>
      <c r="I870" s="340">
        <f>global!I34</f>
        <v>0</v>
      </c>
      <c r="J870" s="315"/>
      <c r="K870" s="315">
        <v>9.9999999999999995E-21</v>
      </c>
      <c r="L870" s="276">
        <v>9.9999999999999995E-21</v>
      </c>
      <c r="M870" s="276"/>
      <c r="N870" s="276">
        <v>9.9999999999999995E-21</v>
      </c>
      <c r="O870" s="276">
        <v>9.9999999999999995E-21</v>
      </c>
      <c r="P870" s="276">
        <v>9.9999999999999995E-21</v>
      </c>
      <c r="Q870" s="104"/>
    </row>
    <row r="871" spans="1:17" ht="12.75" customHeight="1" x14ac:dyDescent="0.3">
      <c r="A871" s="42"/>
      <c r="B871" s="42" t="s">
        <v>1425</v>
      </c>
      <c r="C871" s="38"/>
      <c r="D871" s="38"/>
      <c r="E871" s="38"/>
      <c r="F871" s="38"/>
      <c r="G871" s="63" t="s">
        <v>896</v>
      </c>
      <c r="H871" s="38" t="s">
        <v>1943</v>
      </c>
      <c r="I871" s="340">
        <f>global!I35</f>
        <v>0</v>
      </c>
      <c r="J871" s="315"/>
      <c r="K871" s="315"/>
      <c r="L871" s="276"/>
      <c r="M871" s="276"/>
      <c r="N871" s="276"/>
      <c r="O871" s="276"/>
      <c r="P871" s="276"/>
      <c r="Q871" s="104"/>
    </row>
    <row r="872" spans="1:17" ht="12.75" customHeight="1" x14ac:dyDescent="0.3">
      <c r="A872" s="42"/>
      <c r="B872" s="42" t="s">
        <v>1426</v>
      </c>
      <c r="C872" s="38"/>
      <c r="D872" s="38"/>
      <c r="E872" s="38"/>
      <c r="F872" s="38"/>
      <c r="G872" s="63" t="s">
        <v>1273</v>
      </c>
      <c r="H872" s="38" t="s">
        <v>1943</v>
      </c>
      <c r="I872" s="340">
        <f>global!I36</f>
        <v>0</v>
      </c>
      <c r="J872" s="315"/>
      <c r="K872" s="315">
        <v>50497524.691810384</v>
      </c>
      <c r="L872" s="276">
        <v>50497524.691810384</v>
      </c>
      <c r="M872" s="276"/>
      <c r="N872" s="276">
        <v>50497524.691810384</v>
      </c>
      <c r="O872" s="276">
        <v>50497524.691810384</v>
      </c>
      <c r="P872" s="276">
        <v>50497524.691810384</v>
      </c>
      <c r="Q872" s="104"/>
    </row>
    <row r="873" spans="1:17" ht="12.75" customHeight="1" x14ac:dyDescent="0.3">
      <c r="A873" s="42"/>
      <c r="B873" s="42" t="s">
        <v>1427</v>
      </c>
      <c r="C873" s="38"/>
      <c r="D873" s="38"/>
      <c r="E873" s="38"/>
      <c r="F873" s="38"/>
      <c r="G873" s="63" t="s">
        <v>1274</v>
      </c>
      <c r="H873" s="38" t="s">
        <v>1943</v>
      </c>
      <c r="I873" s="340">
        <f>global!I37</f>
        <v>0</v>
      </c>
      <c r="J873" s="315"/>
      <c r="K873" s="315">
        <v>94472218.138455927</v>
      </c>
      <c r="L873" s="276">
        <v>94472218.138455927</v>
      </c>
      <c r="M873" s="276"/>
      <c r="N873" s="276">
        <v>94472218.138455927</v>
      </c>
      <c r="O873" s="276">
        <v>94472218.138455927</v>
      </c>
      <c r="P873" s="276">
        <v>94472218.138455927</v>
      </c>
      <c r="Q873" s="104"/>
    </row>
    <row r="874" spans="1:17" ht="12.75" customHeight="1" x14ac:dyDescent="0.3">
      <c r="A874" s="42"/>
      <c r="B874" s="42"/>
      <c r="C874" s="38" t="s">
        <v>1419</v>
      </c>
      <c r="D874" s="38"/>
      <c r="E874" s="38"/>
      <c r="F874" s="38"/>
      <c r="G874" s="43" t="s">
        <v>1272</v>
      </c>
      <c r="H874" s="38" t="s">
        <v>1943</v>
      </c>
      <c r="I874" s="340">
        <f>global!I38</f>
        <v>0</v>
      </c>
      <c r="J874" s="315"/>
      <c r="K874" s="315"/>
      <c r="L874" s="276"/>
      <c r="M874" s="276"/>
      <c r="N874" s="276"/>
      <c r="O874" s="276"/>
      <c r="P874" s="276"/>
      <c r="Q874" s="104"/>
    </row>
    <row r="875" spans="1:17" ht="12.75" customHeight="1" x14ac:dyDescent="0.3">
      <c r="A875" s="42" t="s">
        <v>1106</v>
      </c>
      <c r="B875" s="38"/>
      <c r="C875" s="38"/>
      <c r="D875" s="38"/>
      <c r="E875" s="38"/>
      <c r="F875" s="38"/>
      <c r="G875" s="42" t="s">
        <v>1109</v>
      </c>
      <c r="H875" s="42" t="s">
        <v>1926</v>
      </c>
      <c r="I875" s="340">
        <f>global!I39</f>
        <v>0</v>
      </c>
      <c r="J875" s="315"/>
      <c r="K875" s="315"/>
      <c r="L875" s="276"/>
      <c r="M875" s="276"/>
      <c r="N875" s="276"/>
      <c r="O875" s="276"/>
      <c r="P875" s="276"/>
      <c r="Q875" s="104"/>
    </row>
    <row r="876" spans="1:17" ht="12.75" customHeight="1" x14ac:dyDescent="0.3">
      <c r="A876" s="42" t="s">
        <v>1107</v>
      </c>
      <c r="B876" s="38"/>
      <c r="C876" s="38"/>
      <c r="D876" s="38"/>
      <c r="E876" s="38"/>
      <c r="F876" s="38"/>
      <c r="G876" s="42" t="s">
        <v>1110</v>
      </c>
      <c r="H876" s="42" t="s">
        <v>1926</v>
      </c>
      <c r="I876" s="340">
        <f>global!I40</f>
        <v>0</v>
      </c>
      <c r="J876" s="315"/>
      <c r="K876" s="315"/>
      <c r="L876" s="276"/>
      <c r="M876" s="276"/>
      <c r="N876" s="276"/>
      <c r="O876" s="276"/>
      <c r="P876" s="276"/>
      <c r="Q876" s="104"/>
    </row>
    <row r="877" spans="1:17" ht="12.75" customHeight="1" x14ac:dyDescent="0.3">
      <c r="A877" s="42"/>
      <c r="B877" s="38" t="s">
        <v>687</v>
      </c>
      <c r="C877" s="38"/>
      <c r="D877" s="38"/>
      <c r="E877" s="38"/>
      <c r="F877" s="38"/>
      <c r="G877" s="43" t="s">
        <v>1275</v>
      </c>
      <c r="H877" s="38" t="s">
        <v>1943</v>
      </c>
      <c r="I877" s="340">
        <f>global!I41</f>
        <v>0</v>
      </c>
      <c r="J877" s="315"/>
      <c r="K877" s="315"/>
      <c r="L877" s="276"/>
      <c r="M877" s="276"/>
      <c r="N877" s="276"/>
      <c r="O877" s="276"/>
      <c r="P877" s="276"/>
      <c r="Q877" s="104"/>
    </row>
    <row r="878" spans="1:17" ht="12.75" customHeight="1" x14ac:dyDescent="0.3">
      <c r="A878" s="42"/>
      <c r="B878" s="42"/>
      <c r="C878" s="38" t="s">
        <v>1213</v>
      </c>
      <c r="D878" s="38"/>
      <c r="E878" s="38"/>
      <c r="F878" s="38"/>
      <c r="G878" s="43" t="s">
        <v>803</v>
      </c>
      <c r="H878" s="38" t="s">
        <v>717</v>
      </c>
      <c r="I878" s="340">
        <f>global!I42</f>
        <v>0</v>
      </c>
      <c r="J878" s="315"/>
      <c r="K878" s="315"/>
      <c r="L878" s="276"/>
      <c r="M878" s="276"/>
      <c r="N878" s="276"/>
      <c r="O878" s="276"/>
      <c r="P878" s="276"/>
      <c r="Q878" s="104"/>
    </row>
    <row r="879" spans="1:17" ht="12.75" customHeight="1" x14ac:dyDescent="0.3">
      <c r="A879" s="38"/>
      <c r="B879" s="38"/>
      <c r="C879" s="38"/>
      <c r="D879" s="38"/>
      <c r="E879" s="38"/>
      <c r="F879" s="38"/>
      <c r="G879" s="38"/>
      <c r="H879" s="38"/>
      <c r="I879" s="178"/>
      <c r="J879" s="322"/>
      <c r="K879" s="322"/>
      <c r="L879" s="285"/>
      <c r="M879" s="285"/>
      <c r="N879" s="285"/>
      <c r="O879" s="285"/>
      <c r="P879" s="285"/>
      <c r="Q879" s="104"/>
    </row>
    <row r="880" spans="1:17" ht="12.75" customHeight="1" x14ac:dyDescent="0.3">
      <c r="A880" s="67" t="s">
        <v>201</v>
      </c>
      <c r="B880" s="66"/>
      <c r="C880" s="66"/>
      <c r="D880" s="66"/>
      <c r="E880" s="66"/>
      <c r="F880" s="66"/>
      <c r="G880" s="66"/>
      <c r="H880" s="66"/>
      <c r="I880" s="189" t="s">
        <v>748</v>
      </c>
      <c r="J880" s="319"/>
      <c r="K880" s="319"/>
      <c r="L880" s="281"/>
      <c r="M880" s="281"/>
      <c r="N880" s="281"/>
      <c r="O880" s="281"/>
      <c r="P880" s="281"/>
      <c r="Q880" s="104"/>
    </row>
    <row r="881" spans="1:17" ht="12.75" customHeight="1" x14ac:dyDescent="0.3">
      <c r="A881" s="38"/>
      <c r="B881" s="38"/>
      <c r="C881" s="38"/>
      <c r="D881" s="38"/>
      <c r="E881" s="38"/>
      <c r="F881" s="38"/>
      <c r="G881" s="38"/>
      <c r="H881" s="38"/>
      <c r="I881" s="162"/>
      <c r="J881" s="322"/>
      <c r="K881" s="322"/>
      <c r="L881" s="285"/>
      <c r="M881" s="285"/>
      <c r="N881" s="285"/>
      <c r="O881" s="285"/>
      <c r="P881" s="285"/>
      <c r="Q881" s="104"/>
    </row>
    <row r="882" spans="1:17" ht="12.75" customHeight="1" x14ac:dyDescent="0.3">
      <c r="A882" s="38"/>
      <c r="B882" s="42" t="s">
        <v>947</v>
      </c>
      <c r="C882" s="42"/>
      <c r="D882" s="42"/>
      <c r="E882" s="42"/>
      <c r="F882" s="42"/>
      <c r="G882" s="42" t="s">
        <v>1983</v>
      </c>
      <c r="H882" s="42" t="s">
        <v>28</v>
      </c>
      <c r="I882" s="340">
        <f>global!I46</f>
        <v>9.0082635795241117E-11</v>
      </c>
      <c r="J882" s="315"/>
      <c r="K882" s="315">
        <f>1-(0.0000258)/(IF(Tm&gt;298,EXP(-6.79*(1-Tm/298))*Pvap25*EXP((H0vap/8.314)*(1/298-1/TEMP.M)),Pvap25*EXP((H0vap/8.314)*(1/298-1/TEMP.M)))+(0.0000258))</f>
        <v>0.95982846805354882</v>
      </c>
      <c r="L882" s="276">
        <f>1-(0.0000258)/(IF(Tm&gt;298,EXP(-6.79*(1-Tm/298))*Pvap25*EXP((H0vap/8.314)*(1/298-1/TEMP.M)),Pvap25*EXP((H0vap/8.314)*(1/298-1/TEMP.M)))+(0.0000258))</f>
        <v>0.95982846805354882</v>
      </c>
      <c r="M882" s="276">
        <f>1-(0.0000258)/(IF(Tm&gt;298,EXP(-6.79*(1-Tm/298))*Pvap25*EXP((H0vap/8.314)*(1/298-1/TEMP.M)),Pvap25*EXP((H0vap/8.314)*(1/298-1/TEMP.M)))+(0.0000258))</f>
        <v>0.95982846805354882</v>
      </c>
      <c r="N882" s="276">
        <f>1-(0.0000258)/(IF(Tm&gt;298,EXP(-6.79*(1-Tm/298))*Pvap25*EXP((H0vap/8.314)*(1/298-1/TEMP.M)),Pvap25*EXP((H0vap/8.314)*(1/298-1/TEMP.M)))+(0.0000258))</f>
        <v>0.95982846805354882</v>
      </c>
      <c r="O882" s="276">
        <f>1-(0.0000258)/(IF(Tm&gt;298,EXP(-6.79*(1-Tm/298))*Pvap25*EXP((H0vap/8.314)*(1/298-1/TEMP.M)),Pvap25*EXP((H0vap/8.314)*(1/298-1/TEMP.M)))+(0.0000258))</f>
        <v>0.95982846805354882</v>
      </c>
      <c r="P882" s="276"/>
      <c r="Q882" s="104"/>
    </row>
    <row r="883" spans="1:17" ht="12.75" customHeight="1" x14ac:dyDescent="0.3">
      <c r="A883" s="38"/>
      <c r="B883" s="38" t="s">
        <v>609</v>
      </c>
      <c r="C883" s="38"/>
      <c r="D883" s="38"/>
      <c r="E883" s="38"/>
      <c r="F883" s="38"/>
      <c r="G883" s="38" t="s">
        <v>628</v>
      </c>
      <c r="H883" s="38" t="s">
        <v>28</v>
      </c>
      <c r="I883" s="340">
        <f>global!I47</f>
        <v>0</v>
      </c>
      <c r="J883" s="315"/>
      <c r="K883" s="315"/>
      <c r="L883" s="276"/>
      <c r="M883" s="276"/>
      <c r="N883" s="276"/>
      <c r="O883" s="276"/>
      <c r="P883" s="276"/>
      <c r="Q883" s="104"/>
    </row>
    <row r="884" spans="1:17" ht="12.75" customHeight="1" x14ac:dyDescent="0.3">
      <c r="A884" s="38"/>
      <c r="B884" s="38" t="s">
        <v>610</v>
      </c>
      <c r="C884" s="38"/>
      <c r="D884" s="38"/>
      <c r="E884" s="38"/>
      <c r="F884" s="38"/>
      <c r="G884" s="38" t="s">
        <v>629</v>
      </c>
      <c r="H884" s="38" t="s">
        <v>28</v>
      </c>
      <c r="I884" s="340">
        <f>global!I48</f>
        <v>0</v>
      </c>
      <c r="J884" s="315"/>
      <c r="K884" s="315">
        <f>(0.0000258)/(IF(Tm&gt;298,EXP(-6.79*(1-Tm/298))*Pvap25*EXP((H0vap/8.314)*(1/298-1/TEMP.M)),Pvap25*EXP((H0vap/8.314)*(1/298-1/TEMP.M)))+(0.0000258))</f>
        <v>4.0171531946451143E-2</v>
      </c>
      <c r="L884" s="276">
        <f>(0.0000258)/(IF(Tm&gt;298,EXP(-6.79*(1-Tm/298))*Pvap25*EXP((H0vap/8.314)*(1/298-1/TEMP.M)),Pvap25*EXP((H0vap/8.314)*(1/298-1/TEMP.M)))+(0.0000258))</f>
        <v>4.0171531946451143E-2</v>
      </c>
      <c r="M884" s="276">
        <f>(0.0000258)/(IF(Tm&gt;298,EXP(-6.79*(1-Tm/298))*Pvap25*EXP((H0vap/8.314)*(1/298-1/TEMP.M)),Pvap25*EXP((H0vap/8.314)*(1/298-1/TEMP.M)))+(0.0000258))</f>
        <v>4.0171531946451143E-2</v>
      </c>
      <c r="N884" s="276">
        <f>(0.0000258)/(IF(Tm&gt;298,EXP(-6.79*(1-Tm/298))*Pvap25*EXP((H0vap/8.314)*(1/298-1/TEMP.M)),Pvap25*EXP((H0vap/8.314)*(1/298-1/TEMP.M)))+(0.0000258))</f>
        <v>4.0171531946451143E-2</v>
      </c>
      <c r="O884" s="276">
        <f>(0.0000258)/(IF(Tm&gt;298,EXP(-6.79*(1-Tm/298))*Pvap25*EXP((H0vap/8.314)*(1/298-1/TEMP.M)),Pvap25*EXP((H0vap/8.314)*(1/298-1/TEMP.M)))+(0.0000258))</f>
        <v>4.0171531946451143E-2</v>
      </c>
      <c r="P884" s="276"/>
      <c r="Q884" s="104"/>
    </row>
    <row r="885" spans="1:17" ht="12.75" customHeight="1" x14ac:dyDescent="0.3">
      <c r="A885" s="38"/>
      <c r="B885" s="42" t="s">
        <v>1004</v>
      </c>
      <c r="C885" s="42"/>
      <c r="D885" s="42"/>
      <c r="E885" s="42"/>
      <c r="F885" s="42"/>
      <c r="G885" s="42" t="s">
        <v>1984</v>
      </c>
      <c r="H885" s="42" t="s">
        <v>28</v>
      </c>
      <c r="I885" s="340">
        <f>global!I49</f>
        <v>0</v>
      </c>
      <c r="J885" s="315"/>
      <c r="K885" s="315"/>
      <c r="L885" s="276"/>
      <c r="M885" s="276"/>
      <c r="N885" s="276"/>
      <c r="O885" s="276"/>
      <c r="P885" s="276"/>
      <c r="Q885" s="104"/>
    </row>
    <row r="886" spans="1:17" ht="12.75" customHeight="1" x14ac:dyDescent="0.3">
      <c r="A886" s="42"/>
      <c r="B886" s="42"/>
      <c r="C886" s="42" t="s">
        <v>535</v>
      </c>
      <c r="D886" s="42"/>
      <c r="E886" s="42"/>
      <c r="F886" s="42"/>
      <c r="G886" s="42" t="s">
        <v>787</v>
      </c>
      <c r="H886" s="42" t="s">
        <v>1924</v>
      </c>
      <c r="I886" s="340">
        <f>global!I50</f>
        <v>0</v>
      </c>
      <c r="J886" s="315"/>
      <c r="K886" s="315"/>
      <c r="L886" s="276"/>
      <c r="M886" s="276"/>
      <c r="N886" s="276"/>
      <c r="O886" s="276"/>
      <c r="P886" s="276"/>
      <c r="Q886" s="104"/>
    </row>
    <row r="887" spans="1:17" ht="12.75" customHeight="1" x14ac:dyDescent="0.4">
      <c r="A887" s="38"/>
      <c r="B887" s="38"/>
      <c r="C887" s="38" t="s">
        <v>606</v>
      </c>
      <c r="D887" s="38"/>
      <c r="E887" s="38"/>
      <c r="F887" s="38"/>
      <c r="G887" s="38" t="s">
        <v>631</v>
      </c>
      <c r="H887" s="38" t="s">
        <v>1949</v>
      </c>
      <c r="I887" s="340">
        <f>global!I51</f>
        <v>0</v>
      </c>
      <c r="J887" s="315"/>
      <c r="K887" s="315"/>
      <c r="L887" s="276"/>
      <c r="M887" s="276"/>
      <c r="N887" s="276"/>
      <c r="O887" s="276"/>
      <c r="P887" s="276"/>
      <c r="Q887" s="104"/>
    </row>
    <row r="888" spans="1:17" ht="12.75" customHeight="1" x14ac:dyDescent="0.4">
      <c r="A888" s="38"/>
      <c r="B888" s="38"/>
      <c r="C888" s="38" t="s">
        <v>607</v>
      </c>
      <c r="D888" s="38"/>
      <c r="E888" s="38"/>
      <c r="F888" s="38"/>
      <c r="G888" s="38" t="s">
        <v>632</v>
      </c>
      <c r="H888" s="38" t="s">
        <v>1950</v>
      </c>
      <c r="I888" s="340">
        <f>global!I52</f>
        <v>0</v>
      </c>
      <c r="J888" s="315"/>
      <c r="K888" s="315"/>
      <c r="L888" s="276"/>
      <c r="M888" s="276"/>
      <c r="N888" s="276"/>
      <c r="O888" s="276"/>
      <c r="P888" s="276"/>
      <c r="Q888" s="104"/>
    </row>
    <row r="889" spans="1:17" ht="12.75" customHeight="1" x14ac:dyDescent="0.3">
      <c r="A889" s="42"/>
      <c r="B889" s="42" t="s">
        <v>1985</v>
      </c>
      <c r="C889" s="64"/>
      <c r="D889" s="38"/>
      <c r="E889" s="38"/>
      <c r="F889" s="38"/>
      <c r="G889" s="43" t="s">
        <v>126</v>
      </c>
      <c r="H889" s="42" t="s">
        <v>28</v>
      </c>
      <c r="I889" s="340">
        <f>global!I53</f>
        <v>0</v>
      </c>
      <c r="J889" s="315"/>
      <c r="K889" s="315">
        <f ca="1">1/(1+Kp.susp2M*SUSP.w2M/1000+0.05*Kow*0.001/1000)</f>
        <v>0.96807963985956813</v>
      </c>
      <c r="L889" s="276">
        <f ca="1">1/(1+Kp.susp2M*SUSP.w2M/1000+0.05*Kow*0.001/1000)</f>
        <v>0.96807963985956813</v>
      </c>
      <c r="M889" s="276">
        <f ca="1">1/(1+Kp.susp2M*SUSP.w2M/1000+0.05*Kow*0.001/1000)</f>
        <v>0.96807963985956813</v>
      </c>
      <c r="N889" s="276">
        <f ca="1">1/(1+Kp.susp2M*SUSP.w2M/1000+0.05*Kow*0.001/1000)</f>
        <v>0.96807963985956813</v>
      </c>
      <c r="O889" s="276">
        <f ca="1">1/(1+Kp.susp2M*SUSP.w2M/1000+0.05*Kow*0.001/1000)</f>
        <v>0.96807963985956813</v>
      </c>
      <c r="P889" s="276"/>
      <c r="Q889" s="104"/>
    </row>
    <row r="890" spans="1:17" ht="12.75" customHeight="1" x14ac:dyDescent="0.3">
      <c r="A890" s="42"/>
      <c r="B890" s="42" t="s">
        <v>1112</v>
      </c>
      <c r="C890" s="64"/>
      <c r="D890" s="38"/>
      <c r="E890" s="38"/>
      <c r="F890" s="38"/>
      <c r="G890" s="43" t="s">
        <v>127</v>
      </c>
      <c r="H890" s="42" t="s">
        <v>28</v>
      </c>
      <c r="I890" s="340">
        <f>global!I54</f>
        <v>0</v>
      </c>
      <c r="J890" s="315"/>
      <c r="K890" s="315">
        <f ca="1">1/(1+Kp.susp3M*SUSP.w3M/1000+0.05*Kow*0.001/1000)</f>
        <v>0.96807963985956813</v>
      </c>
      <c r="L890" s="276">
        <f ca="1">1/(1+Kp.susp3M*SUSP.w3M/1000+0.05*Kow*0.001/1000)</f>
        <v>0.96807963985956813</v>
      </c>
      <c r="M890" s="276">
        <f ca="1">1/(1+Kp.susp3M*SUSP.w3M/1000+0.05*Kow*0.001/1000)</f>
        <v>0.96807963985956813</v>
      </c>
      <c r="N890" s="276">
        <f ca="1">1/(1+Kp.susp3M*SUSP.w3M/1000+0.05*Kow*0.001/1000)</f>
        <v>0.96807963985956813</v>
      </c>
      <c r="O890" s="276">
        <f ca="1">1/(1+Kp.susp3M*SUSP.w3M/1000+0.05*Kow*0.001/1000)</f>
        <v>0.96807963985956813</v>
      </c>
      <c r="P890" s="276"/>
      <c r="Q890" s="104"/>
    </row>
    <row r="891" spans="1:17" ht="12.75" customHeight="1" x14ac:dyDescent="0.3">
      <c r="A891" s="42"/>
      <c r="B891" s="38"/>
      <c r="C891" s="42" t="s">
        <v>1986</v>
      </c>
      <c r="D891" s="38"/>
      <c r="E891" s="38"/>
      <c r="F891" s="38"/>
      <c r="G891" s="63" t="s">
        <v>128</v>
      </c>
      <c r="H891" s="42" t="s">
        <v>1951</v>
      </c>
      <c r="I891" s="340">
        <f>global!I55</f>
        <v>0</v>
      </c>
      <c r="J891" s="315"/>
      <c r="K891" s="315"/>
      <c r="L891" s="276"/>
      <c r="M891" s="276"/>
      <c r="N891" s="276"/>
      <c r="O891" s="276"/>
      <c r="P891" s="276"/>
      <c r="Q891" s="104"/>
    </row>
    <row r="892" spans="1:17" ht="12.75" customHeight="1" x14ac:dyDescent="0.3">
      <c r="A892" s="42"/>
      <c r="B892" s="38"/>
      <c r="C892" s="42" t="s">
        <v>1115</v>
      </c>
      <c r="D892" s="38"/>
      <c r="E892" s="38"/>
      <c r="F892" s="38"/>
      <c r="G892" s="63" t="s">
        <v>129</v>
      </c>
      <c r="H892" s="42" t="s">
        <v>1525</v>
      </c>
      <c r="I892" s="340">
        <f>global!I56</f>
        <v>0</v>
      </c>
      <c r="J892" s="315"/>
      <c r="K892" s="315"/>
      <c r="L892" s="276"/>
      <c r="M892" s="276"/>
      <c r="N892" s="276"/>
      <c r="O892" s="276"/>
      <c r="P892" s="276"/>
      <c r="Q892" s="104"/>
    </row>
    <row r="893" spans="1:17" ht="12.75" customHeight="1" x14ac:dyDescent="0.3">
      <c r="A893" s="42"/>
      <c r="B893" s="38"/>
      <c r="C893" s="42" t="s">
        <v>1987</v>
      </c>
      <c r="D893" s="38"/>
      <c r="E893" s="38"/>
      <c r="F893" s="38"/>
      <c r="G893" s="63" t="s">
        <v>1447</v>
      </c>
      <c r="H893" s="42" t="s">
        <v>28</v>
      </c>
      <c r="I893" s="340">
        <f>global!I57</f>
        <v>0</v>
      </c>
      <c r="J893" s="315"/>
      <c r="K893" s="315"/>
      <c r="L893" s="276"/>
      <c r="M893" s="276"/>
      <c r="N893" s="276"/>
      <c r="O893" s="276"/>
      <c r="P893" s="276"/>
      <c r="Q893" s="104"/>
    </row>
    <row r="894" spans="1:17" ht="12.75" customHeight="1" x14ac:dyDescent="0.3">
      <c r="A894" s="42"/>
      <c r="B894" s="38"/>
      <c r="C894" s="42" t="s">
        <v>1117</v>
      </c>
      <c r="D894" s="38"/>
      <c r="E894" s="38"/>
      <c r="F894" s="38"/>
      <c r="G894" s="63" t="s">
        <v>1448</v>
      </c>
      <c r="H894" s="42" t="s">
        <v>28</v>
      </c>
      <c r="I894" s="340">
        <f>global!I58</f>
        <v>0</v>
      </c>
      <c r="J894" s="315"/>
      <c r="K894" s="315"/>
      <c r="L894" s="276"/>
      <c r="M894" s="276"/>
      <c r="N894" s="276"/>
      <c r="O894" s="276"/>
      <c r="P894" s="276"/>
      <c r="Q894" s="104"/>
    </row>
    <row r="895" spans="1:17" ht="12.75" customHeight="1" x14ac:dyDescent="0.3">
      <c r="A895" s="42"/>
      <c r="B895" s="38"/>
      <c r="C895" s="42" t="s">
        <v>1988</v>
      </c>
      <c r="D895" s="38"/>
      <c r="E895" s="38"/>
      <c r="F895" s="38"/>
      <c r="G895" s="63" t="s">
        <v>130</v>
      </c>
      <c r="H895" s="42" t="s">
        <v>1923</v>
      </c>
      <c r="I895" s="340">
        <f>global!I59</f>
        <v>0</v>
      </c>
      <c r="J895" s="315"/>
      <c r="K895" s="315"/>
      <c r="L895" s="276"/>
      <c r="M895" s="276"/>
      <c r="N895" s="276"/>
      <c r="O895" s="276"/>
      <c r="P895" s="276"/>
      <c r="Q895" s="104"/>
    </row>
    <row r="896" spans="1:17" ht="12.75" customHeight="1" x14ac:dyDescent="0.3">
      <c r="A896" s="42"/>
      <c r="B896" s="38"/>
      <c r="C896" s="42" t="s">
        <v>1119</v>
      </c>
      <c r="D896" s="38"/>
      <c r="E896" s="38"/>
      <c r="F896" s="38"/>
      <c r="G896" s="63" t="s">
        <v>131</v>
      </c>
      <c r="H896" s="42" t="s">
        <v>1923</v>
      </c>
      <c r="I896" s="340">
        <f>global!I60</f>
        <v>0</v>
      </c>
      <c r="J896" s="315"/>
      <c r="K896" s="315"/>
      <c r="L896" s="276"/>
      <c r="M896" s="276"/>
      <c r="N896" s="276"/>
      <c r="O896" s="276"/>
      <c r="P896" s="276"/>
      <c r="Q896" s="104"/>
    </row>
    <row r="897" spans="1:17" ht="12.75" customHeight="1" x14ac:dyDescent="0.3">
      <c r="A897" s="42"/>
      <c r="B897" s="38"/>
      <c r="C897" s="42" t="s">
        <v>1989</v>
      </c>
      <c r="D897" s="38"/>
      <c r="E897" s="38"/>
      <c r="F897" s="38"/>
      <c r="G897" s="63" t="s">
        <v>132</v>
      </c>
      <c r="H897" s="42" t="s">
        <v>1000</v>
      </c>
      <c r="I897" s="340">
        <f>global!I61</f>
        <v>0</v>
      </c>
      <c r="J897" s="315"/>
      <c r="K897" s="315"/>
      <c r="L897" s="276"/>
      <c r="M897" s="276"/>
      <c r="N897" s="276"/>
      <c r="O897" s="276"/>
      <c r="P897" s="276"/>
      <c r="Q897" s="104"/>
    </row>
    <row r="898" spans="1:17" ht="12.75" customHeight="1" x14ac:dyDescent="0.3">
      <c r="A898" s="42"/>
      <c r="B898" s="38"/>
      <c r="C898" s="42" t="s">
        <v>1136</v>
      </c>
      <c r="D898" s="38"/>
      <c r="E898" s="38"/>
      <c r="F898" s="38"/>
      <c r="G898" s="63" t="s">
        <v>133</v>
      </c>
      <c r="H898" s="42" t="s">
        <v>1000</v>
      </c>
      <c r="I898" s="340">
        <f>global!I62</f>
        <v>0</v>
      </c>
      <c r="J898" s="315"/>
      <c r="K898" s="315"/>
      <c r="L898" s="276"/>
      <c r="M898" s="276"/>
      <c r="N898" s="276"/>
      <c r="O898" s="276"/>
      <c r="P898" s="276"/>
      <c r="Q898" s="104"/>
    </row>
    <row r="899" spans="1:17" ht="12.75" customHeight="1" x14ac:dyDescent="0.3">
      <c r="A899" s="42"/>
      <c r="B899" s="38"/>
      <c r="C899" s="42" t="s">
        <v>1990</v>
      </c>
      <c r="D899" s="38"/>
      <c r="E899" s="38"/>
      <c r="F899" s="38"/>
      <c r="G899" s="63" t="s">
        <v>134</v>
      </c>
      <c r="H899" s="42" t="s">
        <v>999</v>
      </c>
      <c r="I899" s="340">
        <f>global!I63</f>
        <v>0</v>
      </c>
      <c r="J899" s="315"/>
      <c r="K899" s="315"/>
      <c r="L899" s="276"/>
      <c r="M899" s="276"/>
      <c r="N899" s="276"/>
      <c r="O899" s="276"/>
      <c r="P899" s="276"/>
      <c r="Q899" s="104"/>
    </row>
    <row r="900" spans="1:17" ht="12.75" customHeight="1" x14ac:dyDescent="0.3">
      <c r="A900" s="42"/>
      <c r="B900" s="38"/>
      <c r="C900" s="42" t="s">
        <v>1123</v>
      </c>
      <c r="D900" s="38"/>
      <c r="E900" s="38"/>
      <c r="F900" s="38"/>
      <c r="G900" s="63" t="s">
        <v>135</v>
      </c>
      <c r="H900" s="42" t="s">
        <v>999</v>
      </c>
      <c r="I900" s="340">
        <f>global!I64</f>
        <v>0</v>
      </c>
      <c r="J900" s="315"/>
      <c r="K900" s="315"/>
      <c r="L900" s="276"/>
      <c r="M900" s="276"/>
      <c r="N900" s="276"/>
      <c r="O900" s="276"/>
      <c r="P900" s="276"/>
      <c r="Q900" s="104"/>
    </row>
    <row r="901" spans="1:17" ht="12.75" customHeight="1" x14ac:dyDescent="0.3">
      <c r="A901" s="42"/>
      <c r="B901" s="42" t="s">
        <v>1370</v>
      </c>
      <c r="C901" s="64"/>
      <c r="D901" s="38"/>
      <c r="E901" s="38"/>
      <c r="F901" s="38"/>
      <c r="G901" s="63" t="s">
        <v>433</v>
      </c>
      <c r="H901" s="42" t="s">
        <v>28</v>
      </c>
      <c r="I901" s="340">
        <f>global!I65</f>
        <v>0</v>
      </c>
      <c r="J901" s="315"/>
      <c r="K901" s="315"/>
      <c r="L901" s="276"/>
      <c r="M901" s="276"/>
      <c r="N901" s="276"/>
      <c r="O901" s="276"/>
      <c r="P901" s="276"/>
      <c r="Q901" s="104"/>
    </row>
    <row r="902" spans="1:17" ht="12.75" customHeight="1" x14ac:dyDescent="0.3">
      <c r="A902" s="42"/>
      <c r="B902" s="38"/>
      <c r="C902" s="42" t="s">
        <v>1371</v>
      </c>
      <c r="D902" s="38"/>
      <c r="E902" s="38"/>
      <c r="F902" s="38"/>
      <c r="G902" s="63" t="s">
        <v>169</v>
      </c>
      <c r="H902" s="42" t="s">
        <v>1951</v>
      </c>
      <c r="I902" s="340">
        <f>global!I66</f>
        <v>0</v>
      </c>
      <c r="J902" s="315"/>
      <c r="K902" s="315"/>
      <c r="L902" s="276"/>
      <c r="M902" s="276"/>
      <c r="N902" s="276"/>
      <c r="O902" s="276"/>
      <c r="P902" s="276"/>
      <c r="Q902" s="104"/>
    </row>
    <row r="903" spans="1:17" ht="12.75" customHeight="1" x14ac:dyDescent="0.3">
      <c r="A903" s="42"/>
      <c r="B903" s="38"/>
      <c r="C903" s="42" t="s">
        <v>538</v>
      </c>
      <c r="D903" s="38"/>
      <c r="E903" s="38"/>
      <c r="F903" s="38"/>
      <c r="G903" s="63" t="s">
        <v>432</v>
      </c>
      <c r="H903" s="42" t="s">
        <v>28</v>
      </c>
      <c r="I903" s="340">
        <f>global!I67</f>
        <v>0</v>
      </c>
      <c r="J903" s="315"/>
      <c r="K903" s="315"/>
      <c r="L903" s="276"/>
      <c r="M903" s="276"/>
      <c r="N903" s="276"/>
      <c r="O903" s="276"/>
      <c r="P903" s="276"/>
      <c r="Q903" s="104"/>
    </row>
    <row r="904" spans="1:17" ht="12.75" customHeight="1" x14ac:dyDescent="0.3">
      <c r="A904" s="42"/>
      <c r="B904" s="42" t="s">
        <v>1367</v>
      </c>
      <c r="C904" s="64"/>
      <c r="D904" s="38"/>
      <c r="E904" s="38"/>
      <c r="F904" s="38"/>
      <c r="G904" s="63" t="s">
        <v>1991</v>
      </c>
      <c r="H904" s="42" t="s">
        <v>28</v>
      </c>
      <c r="I904" s="340">
        <f>global!I68</f>
        <v>0</v>
      </c>
      <c r="J904" s="315"/>
      <c r="K904" s="315"/>
      <c r="L904" s="276"/>
      <c r="M904" s="276"/>
      <c r="N904" s="276"/>
      <c r="O904" s="276"/>
      <c r="P904" s="276"/>
      <c r="Q904" s="104"/>
    </row>
    <row r="905" spans="1:17" ht="12.75" customHeight="1" x14ac:dyDescent="0.3">
      <c r="A905" s="42"/>
      <c r="B905" s="42" t="s">
        <v>40</v>
      </c>
      <c r="C905" s="64"/>
      <c r="D905" s="38"/>
      <c r="E905" s="38"/>
      <c r="F905" s="38"/>
      <c r="G905" s="63" t="s">
        <v>583</v>
      </c>
      <c r="H905" s="42" t="s">
        <v>28</v>
      </c>
      <c r="I905" s="340">
        <f>global!I69</f>
        <v>0</v>
      </c>
      <c r="J905" s="315"/>
      <c r="K905" s="315"/>
      <c r="L905" s="276"/>
      <c r="M905" s="276"/>
      <c r="N905" s="276"/>
      <c r="O905" s="276"/>
      <c r="P905" s="276"/>
      <c r="Q905" s="104"/>
    </row>
    <row r="906" spans="1:17" ht="12.75" customHeight="1" x14ac:dyDescent="0.3">
      <c r="A906" s="42"/>
      <c r="B906" s="42" t="s">
        <v>1296</v>
      </c>
      <c r="C906" s="64"/>
      <c r="D906" s="38"/>
      <c r="E906" s="38"/>
      <c r="F906" s="38"/>
      <c r="G906" s="63" t="s">
        <v>36</v>
      </c>
      <c r="H906" s="42" t="s">
        <v>28</v>
      </c>
      <c r="I906" s="340">
        <f>global!I70</f>
        <v>0</v>
      </c>
      <c r="J906" s="315"/>
      <c r="K906" s="315"/>
      <c r="L906" s="276"/>
      <c r="M906" s="276"/>
      <c r="N906" s="276"/>
      <c r="O906" s="276"/>
      <c r="P906" s="276"/>
      <c r="Q906" s="104"/>
    </row>
    <row r="907" spans="1:17" ht="12.75" customHeight="1" x14ac:dyDescent="0.3">
      <c r="A907" s="42"/>
      <c r="B907" s="38"/>
      <c r="C907" s="42" t="s">
        <v>1368</v>
      </c>
      <c r="D907" s="38"/>
      <c r="E907" s="38"/>
      <c r="F907" s="38"/>
      <c r="G907" s="63" t="s">
        <v>171</v>
      </c>
      <c r="H907" s="42" t="s">
        <v>1951</v>
      </c>
      <c r="I907" s="340">
        <f>global!I71</f>
        <v>0</v>
      </c>
      <c r="J907" s="315"/>
      <c r="K907" s="315"/>
      <c r="L907" s="276"/>
      <c r="M907" s="276"/>
      <c r="N907" s="276"/>
      <c r="O907" s="276"/>
      <c r="P907" s="276"/>
      <c r="Q907" s="104"/>
    </row>
    <row r="908" spans="1:17" ht="12.75" customHeight="1" x14ac:dyDescent="0.3">
      <c r="A908" s="42"/>
      <c r="B908" s="38"/>
      <c r="C908" s="42" t="s">
        <v>1369</v>
      </c>
      <c r="D908" s="38"/>
      <c r="E908" s="38"/>
      <c r="F908" s="38"/>
      <c r="G908" s="63" t="s">
        <v>918</v>
      </c>
      <c r="H908" s="42" t="s">
        <v>28</v>
      </c>
      <c r="I908" s="340">
        <f>global!I72</f>
        <v>0</v>
      </c>
      <c r="J908" s="315"/>
      <c r="K908" s="315"/>
      <c r="L908" s="276"/>
      <c r="M908" s="276"/>
      <c r="N908" s="276"/>
      <c r="O908" s="276"/>
      <c r="P908" s="276"/>
      <c r="Q908" s="104"/>
    </row>
    <row r="909" spans="1:17" ht="12.75" customHeight="1" x14ac:dyDescent="0.3">
      <c r="A909" s="38"/>
      <c r="B909" s="38"/>
      <c r="C909" s="38"/>
      <c r="D909" s="38"/>
      <c r="E909" s="38"/>
      <c r="F909" s="38"/>
      <c r="G909" s="38"/>
      <c r="H909" s="38"/>
      <c r="I909" s="178"/>
      <c r="J909" s="322"/>
      <c r="K909" s="322"/>
      <c r="L909" s="285"/>
      <c r="M909" s="285"/>
      <c r="N909" s="285"/>
      <c r="O909" s="285"/>
      <c r="P909" s="285"/>
      <c r="Q909" s="104"/>
    </row>
    <row r="910" spans="1:17" ht="12.75" customHeight="1" x14ac:dyDescent="0.3">
      <c r="A910" s="67" t="s">
        <v>1306</v>
      </c>
      <c r="B910" s="66"/>
      <c r="C910" s="66"/>
      <c r="D910" s="66"/>
      <c r="E910" s="66"/>
      <c r="F910" s="66"/>
      <c r="G910" s="66"/>
      <c r="H910" s="66"/>
      <c r="I910" s="189" t="s">
        <v>748</v>
      </c>
      <c r="J910" s="319"/>
      <c r="K910" s="319"/>
      <c r="L910" s="281"/>
      <c r="M910" s="281"/>
      <c r="N910" s="281"/>
      <c r="O910" s="281"/>
      <c r="P910" s="281"/>
      <c r="Q910" s="104"/>
    </row>
    <row r="911" spans="1:17" ht="12.75" customHeight="1" x14ac:dyDescent="0.3">
      <c r="A911" s="38"/>
      <c r="B911" s="38"/>
      <c r="C911" s="38"/>
      <c r="D911" s="38"/>
      <c r="E911" s="38"/>
      <c r="F911" s="38"/>
      <c r="G911" s="38"/>
      <c r="H911" s="38"/>
      <c r="I911" s="162"/>
      <c r="J911" s="322"/>
      <c r="K911" s="322"/>
      <c r="L911" s="285"/>
      <c r="M911" s="285"/>
      <c r="N911" s="285"/>
      <c r="O911" s="285"/>
      <c r="P911" s="285"/>
      <c r="Q911" s="104"/>
    </row>
    <row r="912" spans="1:17" ht="12.75" customHeight="1" x14ac:dyDescent="0.3">
      <c r="A912" s="42" t="s">
        <v>85</v>
      </c>
      <c r="B912" s="38"/>
      <c r="C912" s="38"/>
      <c r="D912" s="38"/>
      <c r="E912" s="38"/>
      <c r="F912" s="38"/>
      <c r="G912" s="42" t="s">
        <v>1246</v>
      </c>
      <c r="H912" s="42" t="s">
        <v>1926</v>
      </c>
      <c r="I912" s="340">
        <f>global!I76</f>
        <v>0</v>
      </c>
      <c r="J912" s="315"/>
      <c r="K912" s="315">
        <f ca="1">((DRYDEPaerosol.M+AerosolWashout.M+GasWashout.M+GASABS.aM.wM)/HEIGHT.aC)*AREAFRAC.wM</f>
        <v>28.515311339419792</v>
      </c>
      <c r="L912" s="315">
        <f ca="1">((DRYDEPaerosol.M+AerosolWashout.M+GasWashout.M+GASABS.aM.wM)/HEIGHT.aC)*AREAFRAC.wM</f>
        <v>28.515311339419792</v>
      </c>
      <c r="M912" s="315">
        <f ca="1">((DRYDEPaerosol.M+AerosolWashout.M+GasWashout.M+GASABS.aM.wM)/HEIGHT.aC)*AREAFRAC.wM</f>
        <v>28.515311339419792</v>
      </c>
      <c r="N912" s="315">
        <f ca="1">((DRYDEPaerosol.M+AerosolWashout.M+GasWashout.M+GASABS.aM.wM)/HEIGHT.aC)*AREAFRAC.wM</f>
        <v>28.515311339419792</v>
      </c>
      <c r="O912" s="315">
        <f ca="1">((DRYDEPaerosol.M+AerosolWashout.M+GasWashout.M+GASABS.aM.wM)/HEIGHT.aC)*AREAFRAC.wM</f>
        <v>28.515311339419792</v>
      </c>
      <c r="P912" s="276"/>
      <c r="Q912" s="104"/>
    </row>
    <row r="913" spans="1:17" ht="12.75" customHeight="1" x14ac:dyDescent="0.3">
      <c r="A913" s="42" t="s">
        <v>86</v>
      </c>
      <c r="B913" s="38"/>
      <c r="C913" s="38"/>
      <c r="D913" s="38"/>
      <c r="E913" s="38"/>
      <c r="F913" s="38"/>
      <c r="G913" s="42" t="s">
        <v>835</v>
      </c>
      <c r="H913" s="42" t="s">
        <v>1926</v>
      </c>
      <c r="I913" s="340">
        <f>global!I77</f>
        <v>0</v>
      </c>
      <c r="J913" s="315"/>
      <c r="K913" s="315">
        <f ca="1">((DRYDEPaerosol.M+AerosolWashout.M+GasWashout.M+GASABS.aM.sM)/HEIGHT.aC)*AREAFRAC.sM</f>
        <v>28.515311339419792</v>
      </c>
      <c r="L913" s="276">
        <f ca="1">((DRYDEPaerosol.M+AerosolWashout.M+GasWashout.M+GASABS.aM.sM)/HEIGHT.aC)*AREAFRAC.sM</f>
        <v>28.515311339419792</v>
      </c>
      <c r="M913" s="276">
        <f ca="1">((DRYDEPaerosol.M+AerosolWashout.M+GasWashout.M+GASABS.aM.sM)/HEIGHT.aC)*AREAFRAC.sM</f>
        <v>28.515311339419792</v>
      </c>
      <c r="N913" s="276">
        <f ca="1">((DRYDEPaerosol.M+AerosolWashout.M+GasWashout.M+GASABS.aM.sM)/HEIGHT.aC)*AREAFRAC.sM</f>
        <v>28.515311339419792</v>
      </c>
      <c r="O913" s="276">
        <f ca="1">((DRYDEPaerosol.M+AerosolWashout.M+GasWashout.M+GASABS.aM.sM)/HEIGHT.aC)*AREAFRAC.sM</f>
        <v>28.515311339419792</v>
      </c>
      <c r="P913" s="276"/>
      <c r="Q913" s="104"/>
    </row>
    <row r="914" spans="1:17" ht="12.75" customHeight="1" x14ac:dyDescent="0.3">
      <c r="A914" s="42" t="s">
        <v>87</v>
      </c>
      <c r="B914" s="38"/>
      <c r="C914" s="38"/>
      <c r="D914" s="38"/>
      <c r="E914" s="38"/>
      <c r="F914" s="38"/>
      <c r="G914" s="42" t="s">
        <v>1248</v>
      </c>
      <c r="H914" s="42" t="s">
        <v>1926</v>
      </c>
      <c r="I914" s="340">
        <f>global!I78</f>
        <v>0</v>
      </c>
      <c r="J914" s="315"/>
      <c r="K914" s="315"/>
      <c r="L914" s="276"/>
      <c r="M914" s="276"/>
      <c r="N914" s="276"/>
      <c r="O914" s="276"/>
      <c r="P914" s="276"/>
      <c r="Q914" s="104"/>
    </row>
    <row r="915" spans="1:17" ht="12.75" customHeight="1" x14ac:dyDescent="0.3">
      <c r="A915" s="42" t="s">
        <v>88</v>
      </c>
      <c r="B915" s="38"/>
      <c r="C915" s="38"/>
      <c r="D915" s="38"/>
      <c r="E915" s="38"/>
      <c r="F915" s="38"/>
      <c r="G915" s="42" t="s">
        <v>836</v>
      </c>
      <c r="H915" s="42" t="s">
        <v>1926</v>
      </c>
      <c r="I915" s="340">
        <f>global!I79</f>
        <v>0</v>
      </c>
      <c r="J915" s="315"/>
      <c r="K915" s="315"/>
      <c r="L915" s="276"/>
      <c r="M915" s="276"/>
      <c r="N915" s="276"/>
      <c r="O915" s="276"/>
      <c r="P915" s="276"/>
      <c r="Q915" s="104"/>
    </row>
    <row r="916" spans="1:17" ht="12.75" customHeight="1" x14ac:dyDescent="0.3">
      <c r="A916" s="42"/>
      <c r="B916" s="42" t="s">
        <v>1874</v>
      </c>
      <c r="C916" s="38"/>
      <c r="D916" s="38"/>
      <c r="E916" s="38"/>
      <c r="F916" s="38"/>
      <c r="G916" s="43" t="s">
        <v>1889</v>
      </c>
      <c r="H916" s="42" t="s">
        <v>1926</v>
      </c>
      <c r="I916" s="340">
        <f>global!I80</f>
        <v>0</v>
      </c>
      <c r="J916" s="315"/>
      <c r="K916" s="315"/>
      <c r="L916" s="276"/>
      <c r="M916" s="276"/>
      <c r="N916" s="276"/>
      <c r="O916" s="276"/>
      <c r="P916" s="276"/>
      <c r="Q916" s="104"/>
    </row>
    <row r="917" spans="1:17" ht="12.75" customHeight="1" x14ac:dyDescent="0.3">
      <c r="A917" s="42"/>
      <c r="B917" s="42"/>
      <c r="C917" s="38" t="s">
        <v>1875</v>
      </c>
      <c r="D917" s="38"/>
      <c r="E917" s="38"/>
      <c r="F917" s="38"/>
      <c r="G917" s="43" t="s">
        <v>1890</v>
      </c>
      <c r="H917" s="42" t="s">
        <v>1926</v>
      </c>
      <c r="I917" s="340">
        <f>global!I81</f>
        <v>0</v>
      </c>
      <c r="J917" s="315"/>
      <c r="K917" s="315"/>
      <c r="L917" s="276"/>
      <c r="M917" s="276"/>
      <c r="N917" s="276"/>
      <c r="O917" s="276"/>
      <c r="P917" s="276"/>
      <c r="Q917" s="104"/>
    </row>
    <row r="918" spans="1:17" ht="12.75" customHeight="1" x14ac:dyDescent="0.3">
      <c r="A918" s="42"/>
      <c r="B918" s="42"/>
      <c r="C918" s="42"/>
      <c r="D918" s="42" t="s">
        <v>1956</v>
      </c>
      <c r="E918" s="38"/>
      <c r="F918" s="38"/>
      <c r="G918" s="43" t="s">
        <v>745</v>
      </c>
      <c r="H918" s="42" t="s">
        <v>1926</v>
      </c>
      <c r="I918" s="340">
        <f>global!I82</f>
        <v>0</v>
      </c>
      <c r="J918" s="315"/>
      <c r="K918" s="315"/>
      <c r="L918" s="276"/>
      <c r="M918" s="276"/>
      <c r="N918" s="276"/>
      <c r="O918" s="276"/>
      <c r="P918" s="276"/>
      <c r="Q918" s="104"/>
    </row>
    <row r="919" spans="1:17" ht="12.75" customHeight="1" x14ac:dyDescent="0.3">
      <c r="A919" s="42"/>
      <c r="B919" s="42"/>
      <c r="C919" s="42"/>
      <c r="D919" s="42" t="s">
        <v>1957</v>
      </c>
      <c r="E919" s="38"/>
      <c r="F919" s="38"/>
      <c r="G919" s="43" t="s">
        <v>746</v>
      </c>
      <c r="H919" s="42" t="s">
        <v>1926</v>
      </c>
      <c r="I919" s="340">
        <f>global!I83</f>
        <v>0</v>
      </c>
      <c r="J919" s="315"/>
      <c r="K919" s="315"/>
      <c r="L919" s="276"/>
      <c r="M919" s="276"/>
      <c r="N919" s="276"/>
      <c r="O919" s="276"/>
      <c r="P919" s="276"/>
      <c r="Q919" s="104"/>
    </row>
    <row r="920" spans="1:17" ht="12.75" customHeight="1" x14ac:dyDescent="0.3">
      <c r="A920" s="42"/>
      <c r="B920" s="38" t="s">
        <v>890</v>
      </c>
      <c r="C920" s="38"/>
      <c r="D920" s="38"/>
      <c r="E920" s="38"/>
      <c r="F920" s="38"/>
      <c r="G920" s="38" t="s">
        <v>749</v>
      </c>
      <c r="H920" s="38" t="s">
        <v>1779</v>
      </c>
      <c r="I920" s="340">
        <f>global!I84</f>
        <v>0</v>
      </c>
      <c r="J920" s="315"/>
      <c r="K920" s="315"/>
      <c r="L920" s="276"/>
      <c r="M920" s="276"/>
      <c r="N920" s="276"/>
      <c r="O920" s="276"/>
      <c r="P920" s="276"/>
      <c r="Q920" s="104"/>
    </row>
    <row r="921" spans="1:17" ht="12.75" customHeight="1" x14ac:dyDescent="0.3">
      <c r="A921" s="42"/>
      <c r="B921" s="38" t="s">
        <v>892</v>
      </c>
      <c r="C921" s="38"/>
      <c r="D921" s="38"/>
      <c r="E921" s="38"/>
      <c r="F921" s="38"/>
      <c r="G921" s="38" t="s">
        <v>750</v>
      </c>
      <c r="H921" s="38" t="s">
        <v>1779</v>
      </c>
      <c r="I921" s="340">
        <f>global!I85</f>
        <v>0</v>
      </c>
      <c r="J921" s="315"/>
      <c r="K921" s="315"/>
      <c r="L921" s="276"/>
      <c r="M921" s="276"/>
      <c r="N921" s="276"/>
      <c r="O921" s="276"/>
      <c r="P921" s="276"/>
      <c r="Q921" s="104"/>
    </row>
    <row r="922" spans="1:17" ht="12.75" customHeight="1" x14ac:dyDescent="0.3">
      <c r="A922" s="42"/>
      <c r="B922" s="42" t="s">
        <v>484</v>
      </c>
      <c r="C922" s="38"/>
      <c r="D922" s="38"/>
      <c r="E922" s="38"/>
      <c r="F922" s="38"/>
      <c r="G922" s="63" t="s">
        <v>920</v>
      </c>
      <c r="H922" s="39" t="s">
        <v>1958</v>
      </c>
      <c r="I922" s="340">
        <f>global!I86</f>
        <v>0</v>
      </c>
      <c r="J922" s="315"/>
      <c r="K922" s="315">
        <f>AEROSOLdeprate.M*FRaers.aM</f>
        <v>2.2340578623133254E-4</v>
      </c>
      <c r="L922" s="276">
        <f>AEROSOLdeprate.M*FRaers.aM</f>
        <v>2.2340578623133254E-4</v>
      </c>
      <c r="M922" s="276">
        <f>AEROSOLdeprate.M*FRaers.aM</f>
        <v>2.2340578623133254E-4</v>
      </c>
      <c r="N922" s="276">
        <f>AEROSOLdeprate.M*FRaers.aM</f>
        <v>2.2340578623133254E-4</v>
      </c>
      <c r="O922" s="276">
        <f>AEROSOLdeprate.M*FRaers.aM</f>
        <v>2.2340578623133254E-4</v>
      </c>
      <c r="P922" s="276"/>
      <c r="Q922" s="104"/>
    </row>
    <row r="923" spans="1:17" ht="12.75" customHeight="1" x14ac:dyDescent="0.3">
      <c r="A923" s="42"/>
      <c r="B923" s="42" t="s">
        <v>739</v>
      </c>
      <c r="C923" s="38"/>
      <c r="D923" s="38"/>
      <c r="E923" s="38"/>
      <c r="F923" s="38"/>
      <c r="G923" s="43" t="s">
        <v>539</v>
      </c>
      <c r="H923" s="64" t="s">
        <v>1958</v>
      </c>
      <c r="I923" s="340">
        <f>global!I87</f>
        <v>0</v>
      </c>
      <c r="J923" s="315"/>
      <c r="K923" s="315">
        <f>(1-FRgas.aM)*COLLECTeff.M*RAINrate.M</f>
        <v>4.4393708773271317E-3</v>
      </c>
      <c r="L923" s="276">
        <f>(1-FRgas.aM)*COLLECTeff.M*RAINrate.M</f>
        <v>4.4393708773271317E-3</v>
      </c>
      <c r="M923" s="276">
        <f>(1-FRgas.aM)*COLLECTeff.M*RAINrate.M</f>
        <v>4.4393708773271317E-3</v>
      </c>
      <c r="N923" s="276">
        <f>(1-FRgas.aM)*COLLECTeff.M*RAINrate.M</f>
        <v>4.4393708773271317E-3</v>
      </c>
      <c r="O923" s="276">
        <f>(1-FRgas.aM)*COLLECTeff.M*RAINrate.M</f>
        <v>4.4393708773271317E-3</v>
      </c>
      <c r="P923" s="276"/>
      <c r="Q923" s="104"/>
    </row>
    <row r="924" spans="1:17" ht="12.75" customHeight="1" x14ac:dyDescent="0.3">
      <c r="A924" s="42"/>
      <c r="B924" s="42" t="s">
        <v>740</v>
      </c>
      <c r="C924" s="38"/>
      <c r="D924" s="38"/>
      <c r="E924" s="38"/>
      <c r="F924" s="38"/>
      <c r="G924" s="43" t="s">
        <v>540</v>
      </c>
      <c r="H924" s="64" t="s">
        <v>1958</v>
      </c>
      <c r="I924" s="340">
        <f>global!I88</f>
        <v>0</v>
      </c>
      <c r="J924" s="315"/>
      <c r="K924" s="315">
        <f>FRgas.aM*RAINrate.M/Kaw.M</f>
        <v>861.89826554302988</v>
      </c>
      <c r="L924" s="276">
        <f>FRgas.aM*RAINrate.M/Kaw.M</f>
        <v>861.89826554302988</v>
      </c>
      <c r="M924" s="276">
        <f>FRgas.aM*RAINrate.M/Kaw.M</f>
        <v>861.89826554302988</v>
      </c>
      <c r="N924" s="276">
        <f>FRgas.aM*RAINrate.M/Kaw.M</f>
        <v>861.89826554302988</v>
      </c>
      <c r="O924" s="276">
        <f>FRgas.aM*RAINrate.M/Kaw.M</f>
        <v>861.89826554302988</v>
      </c>
      <c r="P924" s="276"/>
      <c r="Q924" s="104"/>
    </row>
    <row r="925" spans="1:17" ht="12.75" customHeight="1" x14ac:dyDescent="0.3">
      <c r="A925" s="42"/>
      <c r="B925" s="38"/>
      <c r="C925" s="64" t="s">
        <v>741</v>
      </c>
      <c r="D925" s="64"/>
      <c r="E925" s="64"/>
      <c r="F925" s="64"/>
      <c r="G925" s="63" t="s">
        <v>921</v>
      </c>
      <c r="H925" s="39" t="s">
        <v>1958</v>
      </c>
      <c r="I925" s="340">
        <f>global!I89</f>
        <v>0</v>
      </c>
      <c r="J925" s="315"/>
      <c r="K925" s="315"/>
      <c r="L925" s="276"/>
      <c r="M925" s="276"/>
      <c r="N925" s="276"/>
      <c r="O925" s="276"/>
      <c r="P925" s="276"/>
      <c r="Q925" s="104"/>
    </row>
    <row r="926" spans="1:17" ht="12.75" customHeight="1" x14ac:dyDescent="0.3">
      <c r="A926" s="42"/>
      <c r="B926" s="38"/>
      <c r="C926" s="42" t="s">
        <v>742</v>
      </c>
      <c r="D926" s="64"/>
      <c r="E926" s="64"/>
      <c r="F926" s="64"/>
      <c r="G926" s="63" t="s">
        <v>922</v>
      </c>
      <c r="H926" s="64" t="s">
        <v>1965</v>
      </c>
      <c r="I926" s="340">
        <f>global!I90</f>
        <v>0</v>
      </c>
      <c r="J926" s="315"/>
      <c r="K926" s="315"/>
      <c r="L926" s="276"/>
      <c r="M926" s="276"/>
      <c r="N926" s="276"/>
      <c r="O926" s="276"/>
      <c r="P926" s="276"/>
      <c r="Q926" s="104"/>
    </row>
    <row r="927" spans="1:17" ht="12.75" customHeight="1" x14ac:dyDescent="0.3">
      <c r="A927" s="42"/>
      <c r="B927" s="38"/>
      <c r="C927" s="42" t="s">
        <v>440</v>
      </c>
      <c r="D927" s="38"/>
      <c r="E927" s="38"/>
      <c r="F927" s="38"/>
      <c r="G927" s="63" t="s">
        <v>923</v>
      </c>
      <c r="H927" s="42" t="s">
        <v>28</v>
      </c>
      <c r="I927" s="340">
        <f>global!I91</f>
        <v>0</v>
      </c>
      <c r="J927" s="315"/>
      <c r="K927" s="315"/>
      <c r="L927" s="276"/>
      <c r="M927" s="276"/>
      <c r="N927" s="276"/>
      <c r="O927" s="276"/>
      <c r="P927" s="276"/>
      <c r="Q927" s="104"/>
    </row>
    <row r="928" spans="1:17" ht="12.75" customHeight="1" x14ac:dyDescent="0.3">
      <c r="A928" s="42"/>
      <c r="B928" s="42" t="s">
        <v>1825</v>
      </c>
      <c r="C928" s="38"/>
      <c r="D928" s="38"/>
      <c r="E928" s="64"/>
      <c r="F928" s="64"/>
      <c r="G928" s="43" t="s">
        <v>1876</v>
      </c>
      <c r="H928" s="42" t="s">
        <v>1959</v>
      </c>
      <c r="I928" s="340">
        <f>global!I92</f>
        <v>0</v>
      </c>
      <c r="J928" s="315"/>
      <c r="K928" s="315"/>
      <c r="L928" s="276"/>
      <c r="M928" s="276"/>
      <c r="N928" s="276"/>
      <c r="O928" s="276"/>
      <c r="P928" s="276"/>
      <c r="Q928" s="104"/>
    </row>
    <row r="929" spans="1:17" ht="12.75" customHeight="1" x14ac:dyDescent="0.3">
      <c r="A929" s="42"/>
      <c r="B929" s="42" t="s">
        <v>1826</v>
      </c>
      <c r="C929" s="38"/>
      <c r="D929" s="38"/>
      <c r="E929" s="64"/>
      <c r="F929" s="64"/>
      <c r="G929" s="43" t="s">
        <v>1877</v>
      </c>
      <c r="H929" s="42" t="s">
        <v>1959</v>
      </c>
      <c r="I929" s="340">
        <f>global!I93</f>
        <v>0</v>
      </c>
      <c r="J929" s="315"/>
      <c r="K929" s="315"/>
      <c r="L929" s="276"/>
      <c r="M929" s="276"/>
      <c r="N929" s="276"/>
      <c r="O929" s="276"/>
      <c r="P929" s="276"/>
      <c r="Q929" s="104"/>
    </row>
    <row r="930" spans="1:17" ht="12.75" customHeight="1" x14ac:dyDescent="0.3">
      <c r="A930" s="42"/>
      <c r="B930" s="42" t="s">
        <v>1878</v>
      </c>
      <c r="C930" s="38"/>
      <c r="D930" s="38"/>
      <c r="E930" s="38"/>
      <c r="F930" s="38"/>
      <c r="G930" s="43" t="s">
        <v>1879</v>
      </c>
      <c r="H930" s="42" t="s">
        <v>1959</v>
      </c>
      <c r="I930" s="340">
        <f>global!I94</f>
        <v>0</v>
      </c>
      <c r="J930" s="315"/>
      <c r="K930" s="315"/>
      <c r="L930" s="276"/>
      <c r="M930" s="276"/>
      <c r="N930" s="276"/>
      <c r="O930" s="276"/>
      <c r="P930" s="276"/>
      <c r="Q930" s="104"/>
    </row>
    <row r="931" spans="1:17" ht="12.75" customHeight="1" x14ac:dyDescent="0.3">
      <c r="A931" s="42"/>
      <c r="B931" s="42" t="s">
        <v>1880</v>
      </c>
      <c r="C931" s="38"/>
      <c r="D931" s="38"/>
      <c r="E931" s="64"/>
      <c r="F931" s="64"/>
      <c r="G931" s="43" t="s">
        <v>1896</v>
      </c>
      <c r="H931" s="42" t="s">
        <v>1959</v>
      </c>
      <c r="I931" s="340">
        <f>global!I95</f>
        <v>0</v>
      </c>
      <c r="J931" s="315"/>
      <c r="K931" s="315"/>
      <c r="L931" s="276"/>
      <c r="M931" s="276"/>
      <c r="N931" s="276"/>
      <c r="O931" s="276"/>
      <c r="P931" s="276"/>
      <c r="Q931" s="104"/>
    </row>
    <row r="932" spans="1:17" ht="12.75" customHeight="1" x14ac:dyDescent="0.3">
      <c r="A932" s="42"/>
      <c r="B932" s="42"/>
      <c r="C932" s="38" t="s">
        <v>1070</v>
      </c>
      <c r="D932" s="38"/>
      <c r="E932" s="38"/>
      <c r="F932" s="38"/>
      <c r="G932" s="38" t="s">
        <v>1992</v>
      </c>
      <c r="H932" s="39" t="s">
        <v>1958</v>
      </c>
      <c r="I932" s="340">
        <f>global!I96</f>
        <v>0</v>
      </c>
      <c r="J932" s="315"/>
      <c r="K932" s="315"/>
      <c r="L932" s="276"/>
      <c r="M932" s="276"/>
      <c r="N932" s="276"/>
      <c r="O932" s="276"/>
      <c r="P932" s="276"/>
      <c r="Q932" s="104"/>
    </row>
    <row r="933" spans="1:17" ht="12.75" customHeight="1" x14ac:dyDescent="0.3">
      <c r="A933" s="42"/>
      <c r="B933" s="42"/>
      <c r="C933" s="38" t="s">
        <v>1009</v>
      </c>
      <c r="D933" s="38"/>
      <c r="E933" s="38"/>
      <c r="F933" s="38"/>
      <c r="G933" s="38" t="s">
        <v>1993</v>
      </c>
      <c r="H933" s="39" t="s">
        <v>1958</v>
      </c>
      <c r="I933" s="340">
        <f>global!I97</f>
        <v>0</v>
      </c>
      <c r="J933" s="315"/>
      <c r="K933" s="315"/>
      <c r="L933" s="276"/>
      <c r="M933" s="276"/>
      <c r="N933" s="276"/>
      <c r="O933" s="276"/>
      <c r="P933" s="276"/>
      <c r="Q933" s="104"/>
    </row>
    <row r="934" spans="1:17" ht="12.75" customHeight="1" x14ac:dyDescent="0.3">
      <c r="A934" s="42"/>
      <c r="B934" s="42"/>
      <c r="C934" s="38"/>
      <c r="D934" s="64" t="s">
        <v>699</v>
      </c>
      <c r="E934" s="38"/>
      <c r="F934" s="38"/>
      <c r="G934" s="43" t="s">
        <v>559</v>
      </c>
      <c r="H934" s="39" t="s">
        <v>1958</v>
      </c>
      <c r="I934" s="340">
        <f>global!I98</f>
        <v>0</v>
      </c>
      <c r="J934" s="315"/>
      <c r="K934" s="315"/>
      <c r="L934" s="276"/>
      <c r="M934" s="276"/>
      <c r="N934" s="276"/>
      <c r="O934" s="276"/>
      <c r="P934" s="276"/>
      <c r="Q934" s="104"/>
    </row>
    <row r="935" spans="1:17" ht="12.75" customHeight="1" x14ac:dyDescent="0.3">
      <c r="A935" s="42"/>
      <c r="B935" s="42"/>
      <c r="C935" s="38" t="s">
        <v>1010</v>
      </c>
      <c r="D935" s="38"/>
      <c r="E935" s="64"/>
      <c r="F935" s="64"/>
      <c r="G935" s="38" t="s">
        <v>1994</v>
      </c>
      <c r="H935" s="39" t="s">
        <v>1958</v>
      </c>
      <c r="I935" s="340">
        <f>global!I99</f>
        <v>0</v>
      </c>
      <c r="J935" s="315"/>
      <c r="K935" s="315"/>
      <c r="L935" s="276"/>
      <c r="M935" s="276"/>
      <c r="N935" s="276"/>
      <c r="O935" s="276"/>
      <c r="P935" s="276"/>
      <c r="Q935" s="104"/>
    </row>
    <row r="936" spans="1:17" ht="12.75" customHeight="1" x14ac:dyDescent="0.3">
      <c r="A936" s="42"/>
      <c r="B936" s="42"/>
      <c r="C936" s="38" t="s">
        <v>850</v>
      </c>
      <c r="D936" s="38"/>
      <c r="E936" s="38"/>
      <c r="F936" s="64"/>
      <c r="G936" s="38" t="s">
        <v>1995</v>
      </c>
      <c r="H936" s="64" t="s">
        <v>1958</v>
      </c>
      <c r="I936" s="340">
        <f>global!I100</f>
        <v>0</v>
      </c>
      <c r="J936" s="315"/>
      <c r="K936" s="315">
        <v>1.1468924229780271E-8</v>
      </c>
      <c r="L936" s="276">
        <v>1.1468924229780271E-8</v>
      </c>
      <c r="M936" s="276">
        <v>1.1468924229780271E-8</v>
      </c>
      <c r="N936" s="276">
        <v>1.1468924229780271E-8</v>
      </c>
      <c r="O936" s="276"/>
      <c r="P936" s="276">
        <v>1.1468924229780271E-8</v>
      </c>
      <c r="Q936" s="104"/>
    </row>
    <row r="937" spans="1:17" ht="12.75" customHeight="1" x14ac:dyDescent="0.3">
      <c r="A937" s="42"/>
      <c r="B937" s="42"/>
      <c r="C937" s="38" t="s">
        <v>177</v>
      </c>
      <c r="D937" s="38"/>
      <c r="E937" s="64"/>
      <c r="F937" s="64"/>
      <c r="G937" s="43" t="s">
        <v>875</v>
      </c>
      <c r="H937" s="38" t="s">
        <v>28</v>
      </c>
      <c r="I937" s="340">
        <f>global!I101</f>
        <v>0</v>
      </c>
      <c r="J937" s="315"/>
      <c r="K937" s="315">
        <v>1</v>
      </c>
      <c r="L937" s="276">
        <v>1</v>
      </c>
      <c r="M937" s="276">
        <v>1</v>
      </c>
      <c r="N937" s="276">
        <v>1</v>
      </c>
      <c r="O937" s="276"/>
      <c r="P937" s="276">
        <v>1</v>
      </c>
      <c r="Q937" s="104"/>
    </row>
    <row r="938" spans="1:17" ht="12.75" customHeight="1" x14ac:dyDescent="0.3">
      <c r="A938" s="38"/>
      <c r="B938" s="38"/>
      <c r="C938" s="38"/>
      <c r="D938" s="38"/>
      <c r="E938" s="38"/>
      <c r="F938" s="38"/>
      <c r="G938" s="38"/>
      <c r="H938" s="38"/>
      <c r="I938" s="343"/>
      <c r="J938" s="318"/>
      <c r="K938" s="318"/>
      <c r="L938" s="280"/>
      <c r="M938" s="280"/>
      <c r="N938" s="280"/>
      <c r="O938" s="280"/>
      <c r="P938" s="280"/>
      <c r="Q938" s="104"/>
    </row>
    <row r="939" spans="1:17" ht="12.75" customHeight="1" x14ac:dyDescent="0.3">
      <c r="A939" s="42" t="s">
        <v>89</v>
      </c>
      <c r="B939" s="38"/>
      <c r="C939" s="38"/>
      <c r="D939" s="38"/>
      <c r="E939" s="38"/>
      <c r="F939" s="38"/>
      <c r="G939" s="43" t="s">
        <v>139</v>
      </c>
      <c r="H939" s="42" t="s">
        <v>1926</v>
      </c>
      <c r="I939" s="340">
        <f>global!I103</f>
        <v>0</v>
      </c>
      <c r="J939" s="315"/>
      <c r="K939" s="315"/>
      <c r="L939" s="276"/>
      <c r="M939" s="276"/>
      <c r="N939" s="276"/>
      <c r="O939" s="276"/>
      <c r="P939" s="276"/>
      <c r="Q939" s="104"/>
    </row>
    <row r="940" spans="1:17" ht="12.75" customHeight="1" x14ac:dyDescent="0.3">
      <c r="A940" s="42" t="s">
        <v>90</v>
      </c>
      <c r="B940" s="38"/>
      <c r="C940" s="38"/>
      <c r="D940" s="38"/>
      <c r="E940" s="38"/>
      <c r="F940" s="38"/>
      <c r="G940" s="43" t="s">
        <v>140</v>
      </c>
      <c r="H940" s="42" t="s">
        <v>1926</v>
      </c>
      <c r="I940" s="340">
        <f>global!I104</f>
        <v>0</v>
      </c>
      <c r="J940" s="315"/>
      <c r="K940" s="315"/>
      <c r="L940" s="276"/>
      <c r="M940" s="276"/>
      <c r="N940" s="276"/>
      <c r="O940" s="276"/>
      <c r="P940" s="276"/>
      <c r="Q940" s="104"/>
    </row>
    <row r="941" spans="1:17" ht="12.75" customHeight="1" x14ac:dyDescent="0.3">
      <c r="A941" s="42"/>
      <c r="B941" s="42" t="s">
        <v>1881</v>
      </c>
      <c r="C941" s="38"/>
      <c r="D941" s="38"/>
      <c r="E941" s="38"/>
      <c r="F941" s="38"/>
      <c r="G941" s="43" t="s">
        <v>1885</v>
      </c>
      <c r="H941" s="42" t="s">
        <v>1959</v>
      </c>
      <c r="I941" s="340">
        <f>global!I105</f>
        <v>0</v>
      </c>
      <c r="J941" s="315"/>
      <c r="K941" s="315"/>
      <c r="L941" s="276"/>
      <c r="M941" s="276"/>
      <c r="N941" s="276"/>
      <c r="O941" s="276"/>
      <c r="P941" s="276"/>
      <c r="Q941" s="104"/>
    </row>
    <row r="942" spans="1:17" ht="12.75" customHeight="1" x14ac:dyDescent="0.3">
      <c r="A942" s="42"/>
      <c r="B942" s="42" t="s">
        <v>1882</v>
      </c>
      <c r="C942" s="38"/>
      <c r="D942" s="38"/>
      <c r="E942" s="38"/>
      <c r="F942" s="38"/>
      <c r="G942" s="43" t="s">
        <v>1886</v>
      </c>
      <c r="H942" s="42" t="s">
        <v>1959</v>
      </c>
      <c r="I942" s="340">
        <f>global!I106</f>
        <v>0</v>
      </c>
      <c r="J942" s="315"/>
      <c r="K942" s="315"/>
      <c r="L942" s="276"/>
      <c r="M942" s="276"/>
      <c r="N942" s="276"/>
      <c r="O942" s="276"/>
      <c r="P942" s="276"/>
      <c r="Q942" s="104"/>
    </row>
    <row r="943" spans="1:17" ht="12.75" customHeight="1" x14ac:dyDescent="0.3">
      <c r="A943" s="42"/>
      <c r="B943" s="42"/>
      <c r="C943" s="42" t="s">
        <v>1223</v>
      </c>
      <c r="D943" s="42"/>
      <c r="E943" s="38"/>
      <c r="F943" s="38"/>
      <c r="G943" s="63" t="s">
        <v>146</v>
      </c>
      <c r="H943" s="39" t="s">
        <v>1958</v>
      </c>
      <c r="I943" s="340">
        <f>global!I107</f>
        <v>0</v>
      </c>
      <c r="J943" s="315"/>
      <c r="K943" s="315"/>
      <c r="L943" s="276"/>
      <c r="M943" s="276"/>
      <c r="N943" s="276"/>
      <c r="O943" s="276"/>
      <c r="P943" s="276"/>
      <c r="Q943" s="104"/>
    </row>
    <row r="944" spans="1:17" ht="12.75" customHeight="1" x14ac:dyDescent="0.3">
      <c r="A944" s="42"/>
      <c r="B944" s="42"/>
      <c r="C944" s="64" t="s">
        <v>574</v>
      </c>
      <c r="D944" s="42"/>
      <c r="E944" s="38"/>
      <c r="F944" s="38"/>
      <c r="G944" s="63" t="s">
        <v>1327</v>
      </c>
      <c r="H944" s="39" t="s">
        <v>1958</v>
      </c>
      <c r="I944" s="340">
        <f>global!I108</f>
        <v>0</v>
      </c>
      <c r="J944" s="315"/>
      <c r="K944" s="315"/>
      <c r="L944" s="276"/>
      <c r="M944" s="276"/>
      <c r="N944" s="276"/>
      <c r="O944" s="276"/>
      <c r="P944" s="276"/>
      <c r="Q944" s="104"/>
    </row>
    <row r="945" spans="1:17" ht="12.75" customHeight="1" x14ac:dyDescent="0.3">
      <c r="A945" s="42"/>
      <c r="B945" s="42"/>
      <c r="C945" s="38"/>
      <c r="D945" s="42" t="s">
        <v>576</v>
      </c>
      <c r="E945" s="64"/>
      <c r="F945" s="64"/>
      <c r="G945" s="63" t="s">
        <v>192</v>
      </c>
      <c r="H945" s="39" t="s">
        <v>1958</v>
      </c>
      <c r="I945" s="340">
        <f>global!I109</f>
        <v>0</v>
      </c>
      <c r="J945" s="315"/>
      <c r="K945" s="315"/>
      <c r="L945" s="276"/>
      <c r="M945" s="276"/>
      <c r="N945" s="276"/>
      <c r="O945" s="276"/>
      <c r="P945" s="276"/>
      <c r="Q945" s="104"/>
    </row>
    <row r="946" spans="1:17" ht="12.75" customHeight="1" x14ac:dyDescent="0.3">
      <c r="A946" s="42"/>
      <c r="B946" s="42"/>
      <c r="C946" s="38"/>
      <c r="D946" s="42" t="s">
        <v>557</v>
      </c>
      <c r="E946" s="64"/>
      <c r="F946" s="64"/>
      <c r="G946" s="63" t="s">
        <v>194</v>
      </c>
      <c r="H946" s="39" t="s">
        <v>1958</v>
      </c>
      <c r="I946" s="340">
        <f>global!I110</f>
        <v>0</v>
      </c>
      <c r="J946" s="315"/>
      <c r="K946" s="315"/>
      <c r="L946" s="276"/>
      <c r="M946" s="276"/>
      <c r="N946" s="276"/>
      <c r="O946" s="276"/>
      <c r="P946" s="276"/>
      <c r="Q946" s="104"/>
    </row>
    <row r="947" spans="1:17" ht="12.75" customHeight="1" x14ac:dyDescent="0.3">
      <c r="A947" s="42"/>
      <c r="B947" s="42"/>
      <c r="C947" s="42"/>
      <c r="D947" s="38"/>
      <c r="E947" s="42" t="s">
        <v>798</v>
      </c>
      <c r="F947" s="42"/>
      <c r="G947" s="63" t="s">
        <v>193</v>
      </c>
      <c r="H947" s="42" t="s">
        <v>1964</v>
      </c>
      <c r="I947" s="340">
        <f>global!I111</f>
        <v>0</v>
      </c>
      <c r="J947" s="315"/>
      <c r="K947" s="315"/>
      <c r="L947" s="276"/>
      <c r="M947" s="276"/>
      <c r="N947" s="276"/>
      <c r="O947" s="276"/>
      <c r="P947" s="276"/>
      <c r="Q947" s="104"/>
    </row>
    <row r="948" spans="1:17" ht="12.75" customHeight="1" x14ac:dyDescent="0.3">
      <c r="A948" s="38"/>
      <c r="B948" s="38" t="s">
        <v>1883</v>
      </c>
      <c r="C948" s="64"/>
      <c r="D948" s="64"/>
      <c r="E948" s="38"/>
      <c r="F948" s="38"/>
      <c r="G948" s="43" t="s">
        <v>1887</v>
      </c>
      <c r="H948" s="42" t="s">
        <v>1959</v>
      </c>
      <c r="I948" s="340">
        <f>global!I112</f>
        <v>0</v>
      </c>
      <c r="J948" s="315"/>
      <c r="K948" s="315"/>
      <c r="L948" s="276"/>
      <c r="M948" s="276"/>
      <c r="N948" s="276"/>
      <c r="O948" s="276"/>
      <c r="P948" s="276"/>
      <c r="Q948" s="104"/>
    </row>
    <row r="949" spans="1:17" ht="12.75" customHeight="1" x14ac:dyDescent="0.3">
      <c r="A949" s="38"/>
      <c r="B949" s="38" t="s">
        <v>1884</v>
      </c>
      <c r="C949" s="64"/>
      <c r="D949" s="64"/>
      <c r="E949" s="38"/>
      <c r="F949" s="38"/>
      <c r="G949" s="43" t="s">
        <v>1888</v>
      </c>
      <c r="H949" s="42" t="s">
        <v>1959</v>
      </c>
      <c r="I949" s="340">
        <f>global!I113</f>
        <v>0</v>
      </c>
      <c r="J949" s="315"/>
      <c r="K949" s="315"/>
      <c r="L949" s="276"/>
      <c r="M949" s="276"/>
      <c r="N949" s="276"/>
      <c r="O949" s="276"/>
      <c r="P949" s="276"/>
      <c r="Q949" s="104"/>
    </row>
    <row r="950" spans="1:17" ht="12.75" customHeight="1" x14ac:dyDescent="0.3">
      <c r="A950" s="42"/>
      <c r="B950" s="42"/>
      <c r="C950" s="38" t="s">
        <v>1069</v>
      </c>
      <c r="D950" s="38"/>
      <c r="E950" s="38"/>
      <c r="F950" s="38"/>
      <c r="G950" s="38" t="s">
        <v>458</v>
      </c>
      <c r="H950" s="39" t="s">
        <v>1958</v>
      </c>
      <c r="I950" s="340">
        <f>global!I114</f>
        <v>0</v>
      </c>
      <c r="J950" s="315"/>
      <c r="K950" s="315"/>
      <c r="L950" s="276"/>
      <c r="M950" s="276"/>
      <c r="N950" s="276"/>
      <c r="O950" s="276"/>
      <c r="P950" s="276"/>
      <c r="Q950" s="104"/>
    </row>
    <row r="951" spans="1:17" ht="12.75" customHeight="1" x14ac:dyDescent="0.3">
      <c r="A951" s="42"/>
      <c r="B951" s="42"/>
      <c r="C951" s="38" t="s">
        <v>1225</v>
      </c>
      <c r="D951" s="38"/>
      <c r="E951" s="38"/>
      <c r="F951" s="38"/>
      <c r="G951" s="38" t="s">
        <v>459</v>
      </c>
      <c r="H951" s="39" t="s">
        <v>1958</v>
      </c>
      <c r="I951" s="340">
        <f>global!I115</f>
        <v>0</v>
      </c>
      <c r="J951" s="315"/>
      <c r="K951" s="315"/>
      <c r="L951" s="276"/>
      <c r="M951" s="276"/>
      <c r="N951" s="276"/>
      <c r="O951" s="276"/>
      <c r="P951" s="276"/>
      <c r="Q951" s="104"/>
    </row>
    <row r="952" spans="1:17" ht="12.75" customHeight="1" x14ac:dyDescent="0.3">
      <c r="A952" s="38"/>
      <c r="B952" s="38"/>
      <c r="C952" s="38"/>
      <c r="D952" s="38"/>
      <c r="E952" s="38"/>
      <c r="F952" s="38"/>
      <c r="G952" s="38"/>
      <c r="H952" s="38"/>
      <c r="I952" s="343"/>
      <c r="J952" s="318"/>
      <c r="K952" s="318"/>
      <c r="L952" s="280"/>
      <c r="M952" s="280"/>
      <c r="N952" s="280"/>
      <c r="O952" s="280"/>
      <c r="P952" s="280"/>
      <c r="Q952" s="104"/>
    </row>
    <row r="953" spans="1:17" ht="12.75" customHeight="1" x14ac:dyDescent="0.3">
      <c r="A953" s="42" t="s">
        <v>91</v>
      </c>
      <c r="B953" s="38"/>
      <c r="C953" s="38"/>
      <c r="D953" s="38"/>
      <c r="E953" s="38"/>
      <c r="F953" s="38"/>
      <c r="G953" s="43" t="s">
        <v>1249</v>
      </c>
      <c r="H953" s="42" t="s">
        <v>1926</v>
      </c>
      <c r="I953" s="340">
        <f>global!I117</f>
        <v>0</v>
      </c>
      <c r="J953" s="315"/>
      <c r="K953" s="315"/>
      <c r="L953" s="276"/>
      <c r="M953" s="276"/>
      <c r="N953" s="276"/>
      <c r="O953" s="276"/>
      <c r="P953" s="276"/>
      <c r="Q953" s="104"/>
    </row>
    <row r="954" spans="1:17" ht="12.75" customHeight="1" x14ac:dyDescent="0.3">
      <c r="A954" s="38"/>
      <c r="B954" s="64" t="s">
        <v>203</v>
      </c>
      <c r="C954" s="38"/>
      <c r="D954" s="38"/>
      <c r="E954" s="38"/>
      <c r="F954" s="38"/>
      <c r="G954" s="63" t="s">
        <v>182</v>
      </c>
      <c r="H954" s="64" t="s">
        <v>1965</v>
      </c>
      <c r="I954" s="340">
        <f>global!I118</f>
        <v>0</v>
      </c>
      <c r="J954" s="315"/>
      <c r="K954" s="315"/>
      <c r="L954" s="276"/>
      <c r="M954" s="276"/>
      <c r="N954" s="276"/>
      <c r="O954" s="276"/>
      <c r="P954" s="276"/>
      <c r="Q954" s="104"/>
    </row>
    <row r="955" spans="1:17" ht="12.75" customHeight="1" x14ac:dyDescent="0.3">
      <c r="A955" s="38"/>
      <c r="B955" s="42" t="s">
        <v>963</v>
      </c>
      <c r="C955" s="38"/>
      <c r="D955" s="38"/>
      <c r="E955" s="38"/>
      <c r="F955" s="38"/>
      <c r="G955" s="63" t="s">
        <v>183</v>
      </c>
      <c r="H955" s="42" t="s">
        <v>28</v>
      </c>
      <c r="I955" s="340">
        <f>global!I119</f>
        <v>0</v>
      </c>
      <c r="J955" s="315"/>
      <c r="K955" s="315"/>
      <c r="L955" s="276"/>
      <c r="M955" s="276"/>
      <c r="N955" s="276"/>
      <c r="O955" s="276"/>
      <c r="P955" s="276"/>
      <c r="Q955" s="104"/>
    </row>
    <row r="956" spans="1:17" ht="12.75" customHeight="1" x14ac:dyDescent="0.3">
      <c r="A956" s="42"/>
      <c r="B956" s="38" t="s">
        <v>177</v>
      </c>
      <c r="C956" s="38"/>
      <c r="D956" s="64"/>
      <c r="E956" s="64"/>
      <c r="F956" s="38"/>
      <c r="G956" s="43" t="s">
        <v>876</v>
      </c>
      <c r="H956" s="38" t="s">
        <v>28</v>
      </c>
      <c r="I956" s="340">
        <f>global!I120</f>
        <v>0</v>
      </c>
      <c r="J956" s="315"/>
      <c r="K956" s="315">
        <v>1</v>
      </c>
      <c r="L956" s="276">
        <v>1</v>
      </c>
      <c r="M956" s="276">
        <v>1</v>
      </c>
      <c r="N956" s="276">
        <v>1</v>
      </c>
      <c r="O956" s="276"/>
      <c r="P956" s="276">
        <v>1</v>
      </c>
      <c r="Q956" s="104"/>
    </row>
    <row r="957" spans="1:17" ht="12.75" customHeight="1" x14ac:dyDescent="0.3">
      <c r="A957" s="38"/>
      <c r="B957" s="38"/>
      <c r="C957" s="38"/>
      <c r="D957" s="38"/>
      <c r="E957" s="38"/>
      <c r="F957" s="38"/>
      <c r="G957" s="38"/>
      <c r="H957" s="38"/>
      <c r="I957" s="178"/>
      <c r="J957" s="322"/>
      <c r="K957" s="322"/>
      <c r="L957" s="285"/>
      <c r="M957" s="285"/>
      <c r="N957" s="285"/>
      <c r="O957" s="285"/>
      <c r="P957" s="285"/>
      <c r="Q957" s="104"/>
    </row>
    <row r="958" spans="1:17" ht="12.75" customHeight="1" x14ac:dyDescent="0.3">
      <c r="A958" s="67" t="s">
        <v>414</v>
      </c>
      <c r="B958" s="66"/>
      <c r="C958" s="66"/>
      <c r="D958" s="66"/>
      <c r="E958" s="66"/>
      <c r="F958" s="66"/>
      <c r="G958" s="66"/>
      <c r="H958" s="66"/>
      <c r="I958" s="189" t="s">
        <v>748</v>
      </c>
      <c r="J958" s="319"/>
      <c r="K958" s="319"/>
      <c r="L958" s="281"/>
      <c r="M958" s="281"/>
      <c r="N958" s="281"/>
      <c r="O958" s="281"/>
      <c r="P958" s="281"/>
      <c r="Q958" s="104"/>
    </row>
    <row r="959" spans="1:17" ht="12.75" customHeight="1" x14ac:dyDescent="0.3">
      <c r="A959" s="42"/>
      <c r="B959" s="38"/>
      <c r="C959" s="38"/>
      <c r="D959" s="38"/>
      <c r="E959" s="38"/>
      <c r="F959" s="38"/>
      <c r="G959" s="38"/>
      <c r="H959" s="38"/>
      <c r="I959" s="162"/>
      <c r="J959" s="322"/>
      <c r="K959" s="322"/>
      <c r="L959" s="285"/>
      <c r="M959" s="285"/>
      <c r="N959" s="285"/>
      <c r="O959" s="285"/>
      <c r="P959" s="285"/>
      <c r="Q959" s="104"/>
    </row>
    <row r="960" spans="1:17" ht="12.75" customHeight="1" x14ac:dyDescent="0.3">
      <c r="A960" s="42" t="s">
        <v>216</v>
      </c>
      <c r="B960" s="38"/>
      <c r="C960" s="38"/>
      <c r="D960" s="38"/>
      <c r="E960" s="38"/>
      <c r="F960" s="38"/>
      <c r="G960" s="43" t="s">
        <v>837</v>
      </c>
      <c r="H960" s="42" t="s">
        <v>1926</v>
      </c>
      <c r="I960" s="340">
        <f>global!I124</f>
        <v>0</v>
      </c>
      <c r="J960" s="315"/>
      <c r="K960" s="315"/>
      <c r="L960" s="276"/>
      <c r="M960" s="276"/>
      <c r="N960" s="276"/>
      <c r="O960" s="276"/>
      <c r="P960" s="276"/>
      <c r="Q960" s="104"/>
    </row>
    <row r="961" spans="1:17" ht="12.75" customHeight="1" x14ac:dyDescent="0.3">
      <c r="A961" s="42" t="s">
        <v>1996</v>
      </c>
      <c r="B961" s="38"/>
      <c r="C961" s="38"/>
      <c r="D961" s="38"/>
      <c r="E961" s="38"/>
      <c r="F961" s="38"/>
      <c r="G961" s="43" t="s">
        <v>1006</v>
      </c>
      <c r="H961" s="42" t="s">
        <v>1926</v>
      </c>
      <c r="I961" s="340">
        <f>global!I125</f>
        <v>0</v>
      </c>
      <c r="J961" s="315"/>
      <c r="K961" s="315"/>
      <c r="L961" s="276"/>
      <c r="M961" s="276"/>
      <c r="N961" s="276"/>
      <c r="O961" s="276"/>
      <c r="P961" s="276"/>
      <c r="Q961" s="104"/>
    </row>
    <row r="962" spans="1:17" ht="12.75" customHeight="1" x14ac:dyDescent="0.3">
      <c r="A962" s="42" t="s">
        <v>1161</v>
      </c>
      <c r="B962" s="38"/>
      <c r="C962" s="38"/>
      <c r="D962" s="38"/>
      <c r="E962" s="38"/>
      <c r="F962" s="38"/>
      <c r="G962" s="43" t="s">
        <v>1162</v>
      </c>
      <c r="H962" s="42" t="s">
        <v>1926</v>
      </c>
      <c r="I962" s="340">
        <f>global!I126</f>
        <v>0</v>
      </c>
      <c r="J962" s="315"/>
      <c r="K962" s="315"/>
      <c r="L962" s="276"/>
      <c r="M962" s="276"/>
      <c r="N962" s="276"/>
      <c r="O962" s="276"/>
      <c r="P962" s="276"/>
      <c r="Q962" s="104"/>
    </row>
    <row r="963" spans="1:17" ht="12.75" customHeight="1" x14ac:dyDescent="0.3">
      <c r="A963" s="42" t="s">
        <v>217</v>
      </c>
      <c r="B963" s="38"/>
      <c r="C963" s="38"/>
      <c r="D963" s="38"/>
      <c r="E963" s="38"/>
      <c r="F963" s="38"/>
      <c r="G963" s="43" t="s">
        <v>1250</v>
      </c>
      <c r="H963" s="42" t="s">
        <v>1926</v>
      </c>
      <c r="I963" s="340">
        <f>global!I127</f>
        <v>0</v>
      </c>
      <c r="J963" s="315"/>
      <c r="K963" s="315"/>
      <c r="L963" s="276"/>
      <c r="M963" s="276"/>
      <c r="N963" s="276"/>
      <c r="O963" s="276"/>
      <c r="P963" s="276"/>
      <c r="Q963" s="104"/>
    </row>
    <row r="964" spans="1:17" ht="12.75" customHeight="1" x14ac:dyDescent="0.3">
      <c r="A964" s="42" t="s">
        <v>838</v>
      </c>
      <c r="B964" s="38"/>
      <c r="C964" s="38"/>
      <c r="D964" s="38"/>
      <c r="E964" s="38"/>
      <c r="F964" s="38"/>
      <c r="G964" s="43" t="s">
        <v>839</v>
      </c>
      <c r="H964" s="42" t="s">
        <v>1926</v>
      </c>
      <c r="I964" s="340">
        <f>global!I128</f>
        <v>0</v>
      </c>
      <c r="J964" s="315"/>
      <c r="K964" s="315"/>
      <c r="L964" s="276"/>
      <c r="M964" s="276"/>
      <c r="N964" s="276"/>
      <c r="O964" s="276"/>
      <c r="P964" s="276"/>
      <c r="Q964" s="104"/>
    </row>
    <row r="965" spans="1:17" ht="12.75" customHeight="1" x14ac:dyDescent="0.3">
      <c r="A965" s="42"/>
      <c r="B965" s="42" t="s">
        <v>791</v>
      </c>
      <c r="C965" s="64"/>
      <c r="D965" s="38"/>
      <c r="E965" s="38"/>
      <c r="F965" s="38"/>
      <c r="G965" s="63" t="s">
        <v>772</v>
      </c>
      <c r="H965" s="42" t="s">
        <v>1926</v>
      </c>
      <c r="I965" s="340">
        <f>global!I129</f>
        <v>0</v>
      </c>
      <c r="J965" s="315"/>
      <c r="K965" s="315"/>
      <c r="L965" s="276"/>
      <c r="M965" s="276"/>
      <c r="N965" s="276"/>
      <c r="O965" s="276"/>
      <c r="P965" s="276"/>
      <c r="Q965" s="104"/>
    </row>
    <row r="966" spans="1:17" ht="12.75" customHeight="1" x14ac:dyDescent="0.3">
      <c r="A966" s="42"/>
      <c r="B966" s="42" t="s">
        <v>792</v>
      </c>
      <c r="C966" s="38"/>
      <c r="D966" s="38"/>
      <c r="E966" s="38"/>
      <c r="F966" s="38"/>
      <c r="G966" s="43" t="s">
        <v>184</v>
      </c>
      <c r="H966" s="42" t="s">
        <v>1926</v>
      </c>
      <c r="I966" s="340">
        <f>global!I130</f>
        <v>0</v>
      </c>
      <c r="J966" s="315"/>
      <c r="K966" s="315"/>
      <c r="L966" s="276"/>
      <c r="M966" s="276"/>
      <c r="N966" s="276"/>
      <c r="O966" s="276"/>
      <c r="P966" s="276"/>
      <c r="Q966" s="104"/>
    </row>
    <row r="967" spans="1:17" ht="12.75" customHeight="1" x14ac:dyDescent="0.3">
      <c r="A967" s="64"/>
      <c r="B967" s="64"/>
      <c r="C967" s="42" t="s">
        <v>979</v>
      </c>
      <c r="D967" s="38"/>
      <c r="E967" s="38"/>
      <c r="F967" s="38"/>
      <c r="G967" s="43" t="s">
        <v>964</v>
      </c>
      <c r="H967" s="42" t="s">
        <v>1927</v>
      </c>
      <c r="I967" s="340">
        <f>global!I131</f>
        <v>0</v>
      </c>
      <c r="J967" s="315"/>
      <c r="K967" s="315"/>
      <c r="L967" s="276"/>
      <c r="M967" s="276"/>
      <c r="N967" s="276"/>
      <c r="O967" s="276"/>
      <c r="P967" s="276"/>
      <c r="Q967" s="104"/>
    </row>
    <row r="968" spans="1:17" ht="12.75" customHeight="1" x14ac:dyDescent="0.3">
      <c r="A968" s="64"/>
      <c r="B968" s="64"/>
      <c r="C968" s="42" t="s">
        <v>27</v>
      </c>
      <c r="D968" s="38"/>
      <c r="E968" s="38"/>
      <c r="F968" s="38"/>
      <c r="G968" s="43" t="s">
        <v>965</v>
      </c>
      <c r="H968" s="42" t="s">
        <v>28</v>
      </c>
      <c r="I968" s="340">
        <f>global!I132</f>
        <v>0</v>
      </c>
      <c r="J968" s="315"/>
      <c r="K968" s="315"/>
      <c r="L968" s="276"/>
      <c r="M968" s="276"/>
      <c r="N968" s="276"/>
      <c r="O968" s="276"/>
      <c r="P968" s="276"/>
      <c r="Q968" s="104"/>
    </row>
    <row r="969" spans="1:17" ht="12.75" customHeight="1" x14ac:dyDescent="0.3">
      <c r="A969" s="42"/>
      <c r="B969" s="42" t="s">
        <v>1997</v>
      </c>
      <c r="C969" s="38"/>
      <c r="D969" s="38"/>
      <c r="E969" s="38"/>
      <c r="F969" s="38"/>
      <c r="G969" s="43" t="s">
        <v>141</v>
      </c>
      <c r="H969" s="42" t="s">
        <v>1926</v>
      </c>
      <c r="I969" s="340">
        <f>global!I133</f>
        <v>0</v>
      </c>
      <c r="J969" s="315"/>
      <c r="K969" s="315"/>
      <c r="L969" s="276"/>
      <c r="M969" s="276"/>
      <c r="N969" s="276"/>
      <c r="O969" s="276"/>
      <c r="P969" s="276"/>
      <c r="Q969" s="104"/>
    </row>
    <row r="970" spans="1:17" ht="12.75" customHeight="1" x14ac:dyDescent="0.3">
      <c r="A970" s="42"/>
      <c r="B970" s="42" t="s">
        <v>1131</v>
      </c>
      <c r="C970" s="38"/>
      <c r="D970" s="38"/>
      <c r="E970" s="38"/>
      <c r="F970" s="38"/>
      <c r="G970" s="43" t="s">
        <v>142</v>
      </c>
      <c r="H970" s="42" t="s">
        <v>1926</v>
      </c>
      <c r="I970" s="340">
        <f>global!I134</f>
        <v>0</v>
      </c>
      <c r="J970" s="315"/>
      <c r="K970" s="315"/>
      <c r="L970" s="276"/>
      <c r="M970" s="276"/>
      <c r="N970" s="276"/>
      <c r="O970" s="276"/>
      <c r="P970" s="276"/>
      <c r="Q970" s="104"/>
    </row>
    <row r="971" spans="1:17" ht="12.75" customHeight="1" x14ac:dyDescent="0.3">
      <c r="A971" s="42"/>
      <c r="B971" s="42"/>
      <c r="C971" s="42" t="s">
        <v>1998</v>
      </c>
      <c r="D971" s="38"/>
      <c r="E971" s="38"/>
      <c r="F971" s="38"/>
      <c r="G971" s="63" t="s">
        <v>678</v>
      </c>
      <c r="H971" s="42" t="s">
        <v>724</v>
      </c>
      <c r="I971" s="340">
        <f>global!I135</f>
        <v>0</v>
      </c>
      <c r="J971" s="315"/>
      <c r="K971" s="315"/>
      <c r="L971" s="276"/>
      <c r="M971" s="276"/>
      <c r="N971" s="276"/>
      <c r="O971" s="276"/>
      <c r="P971" s="276"/>
      <c r="Q971" s="104"/>
    </row>
    <row r="972" spans="1:17" ht="12.75" customHeight="1" x14ac:dyDescent="0.3">
      <c r="A972" s="42"/>
      <c r="B972" s="42"/>
      <c r="C972" s="42" t="s">
        <v>677</v>
      </c>
      <c r="D972" s="38"/>
      <c r="E972" s="38"/>
      <c r="F972" s="38"/>
      <c r="G972" s="63" t="s">
        <v>679</v>
      </c>
      <c r="H972" s="42" t="s">
        <v>724</v>
      </c>
      <c r="I972" s="340">
        <f>global!I136</f>
        <v>0</v>
      </c>
      <c r="J972" s="315"/>
      <c r="K972" s="315"/>
      <c r="L972" s="276"/>
      <c r="M972" s="276"/>
      <c r="N972" s="276"/>
      <c r="O972" s="276"/>
      <c r="P972" s="276"/>
      <c r="Q972" s="104"/>
    </row>
    <row r="973" spans="1:17" ht="12.75" customHeight="1" x14ac:dyDescent="0.3">
      <c r="A973" s="64"/>
      <c r="B973" s="64"/>
      <c r="C973" s="42" t="s">
        <v>760</v>
      </c>
      <c r="D973" s="38"/>
      <c r="E973" s="38"/>
      <c r="F973" s="38"/>
      <c r="G973" s="43" t="s">
        <v>533</v>
      </c>
      <c r="H973" s="42" t="s">
        <v>28</v>
      </c>
      <c r="I973" s="340">
        <f>global!I137</f>
        <v>0</v>
      </c>
      <c r="J973" s="315"/>
      <c r="K973" s="315"/>
      <c r="L973" s="276"/>
      <c r="M973" s="276"/>
      <c r="N973" s="276"/>
      <c r="O973" s="276"/>
      <c r="P973" s="276"/>
      <c r="Q973" s="104"/>
    </row>
    <row r="974" spans="1:17" ht="12.75" customHeight="1" x14ac:dyDescent="0.3">
      <c r="A974" s="42"/>
      <c r="B974" s="42" t="s">
        <v>766</v>
      </c>
      <c r="C974" s="38"/>
      <c r="D974" s="38"/>
      <c r="E974" s="38"/>
      <c r="F974" s="38"/>
      <c r="G974" s="43" t="s">
        <v>185</v>
      </c>
      <c r="H974" s="42" t="s">
        <v>1926</v>
      </c>
      <c r="I974" s="340">
        <f>global!I138</f>
        <v>0</v>
      </c>
      <c r="J974" s="315"/>
      <c r="K974" s="315"/>
      <c r="L974" s="276"/>
      <c r="M974" s="276"/>
      <c r="N974" s="276"/>
      <c r="O974" s="276"/>
      <c r="P974" s="276"/>
      <c r="Q974" s="104"/>
    </row>
    <row r="975" spans="1:17" ht="12.75" customHeight="1" x14ac:dyDescent="0.3">
      <c r="A975" s="42"/>
      <c r="B975" s="42" t="s">
        <v>767</v>
      </c>
      <c r="C975" s="38"/>
      <c r="D975" s="38"/>
      <c r="E975" s="38"/>
      <c r="F975" s="38"/>
      <c r="G975" s="43" t="s">
        <v>186</v>
      </c>
      <c r="H975" s="42" t="s">
        <v>1926</v>
      </c>
      <c r="I975" s="340">
        <f>global!I139</f>
        <v>0</v>
      </c>
      <c r="J975" s="315"/>
      <c r="K975" s="315"/>
      <c r="L975" s="276"/>
      <c r="M975" s="276"/>
      <c r="N975" s="276"/>
      <c r="O975" s="276"/>
      <c r="P975" s="276"/>
      <c r="Q975" s="104"/>
    </row>
    <row r="976" spans="1:17" ht="12.75" customHeight="1" x14ac:dyDescent="0.3">
      <c r="A976" s="38"/>
      <c r="B976" s="42" t="s">
        <v>997</v>
      </c>
      <c r="C976" s="38"/>
      <c r="D976" s="38"/>
      <c r="E976" s="38"/>
      <c r="F976" s="38"/>
      <c r="G976" s="63" t="s">
        <v>264</v>
      </c>
      <c r="H976" s="42" t="s">
        <v>28</v>
      </c>
      <c r="I976" s="340">
        <f>global!I140</f>
        <v>0</v>
      </c>
      <c r="J976" s="315"/>
      <c r="K976" s="315"/>
      <c r="L976" s="276"/>
      <c r="M976" s="276"/>
      <c r="N976" s="276"/>
      <c r="O976" s="276"/>
      <c r="P976" s="276"/>
      <c r="Q976" s="104"/>
    </row>
    <row r="977" spans="1:17" ht="12.75" customHeight="1" x14ac:dyDescent="0.3">
      <c r="A977" s="42"/>
      <c r="B977" s="38" t="s">
        <v>177</v>
      </c>
      <c r="C977" s="38"/>
      <c r="D977" s="64"/>
      <c r="E977" s="64"/>
      <c r="F977" s="64"/>
      <c r="G977" s="43" t="s">
        <v>877</v>
      </c>
      <c r="H977" s="38" t="s">
        <v>28</v>
      </c>
      <c r="I977" s="340">
        <f>global!I141</f>
        <v>0</v>
      </c>
      <c r="J977" s="315"/>
      <c r="K977" s="315">
        <v>1</v>
      </c>
      <c r="L977" s="276">
        <v>1</v>
      </c>
      <c r="M977" s="276">
        <v>1</v>
      </c>
      <c r="N977" s="276">
        <v>1</v>
      </c>
      <c r="O977" s="276"/>
      <c r="P977" s="276">
        <v>1</v>
      </c>
      <c r="Q977" s="104"/>
    </row>
    <row r="978" spans="1:17" ht="12.75" customHeight="1" x14ac:dyDescent="0.3">
      <c r="A978" s="76"/>
      <c r="B978" s="76"/>
      <c r="C978" s="76"/>
      <c r="D978" s="76"/>
      <c r="E978" s="76"/>
      <c r="F978" s="76"/>
      <c r="G978" s="76"/>
      <c r="H978" s="76"/>
      <c r="I978" s="178"/>
      <c r="J978" s="326"/>
      <c r="K978" s="326"/>
      <c r="L978" s="290"/>
      <c r="M978" s="290"/>
      <c r="N978" s="290"/>
      <c r="O978" s="290"/>
      <c r="P978" s="290"/>
      <c r="Q978" s="104"/>
    </row>
    <row r="979" spans="1:17" ht="12.75" customHeight="1" x14ac:dyDescent="0.3">
      <c r="A979" s="49"/>
      <c r="B979" s="38"/>
      <c r="C979" s="38"/>
      <c r="D979" s="38"/>
      <c r="E979" s="38"/>
      <c r="F979" s="38"/>
      <c r="G979" s="38"/>
      <c r="H979" s="38"/>
      <c r="I979" s="162"/>
      <c r="J979" s="322"/>
      <c r="K979" s="322"/>
      <c r="L979" s="285"/>
      <c r="M979" s="285"/>
      <c r="N979" s="285"/>
      <c r="O979" s="285"/>
      <c r="P979" s="285"/>
      <c r="Q979" s="104"/>
    </row>
    <row r="980" spans="1:17" ht="12.75" customHeight="1" x14ac:dyDescent="0.3">
      <c r="A980" s="49"/>
      <c r="B980" s="38"/>
      <c r="C980" s="38"/>
      <c r="D980" s="38"/>
      <c r="E980" s="38"/>
      <c r="F980" s="38"/>
      <c r="G980" s="38"/>
      <c r="H980" s="38"/>
      <c r="I980" s="162"/>
      <c r="J980" s="322"/>
      <c r="K980" s="322"/>
      <c r="L980" s="285"/>
      <c r="M980" s="285"/>
      <c r="N980" s="285"/>
      <c r="O980" s="285"/>
      <c r="P980" s="285"/>
      <c r="Q980" s="104"/>
    </row>
    <row r="981" spans="1:17" ht="12.75" customHeight="1" x14ac:dyDescent="0.3">
      <c r="A981" s="52" t="s">
        <v>1303</v>
      </c>
      <c r="B981" s="38"/>
      <c r="C981" s="38"/>
      <c r="D981" s="38"/>
      <c r="E981" s="38"/>
      <c r="F981" s="38"/>
      <c r="G981" s="38"/>
      <c r="H981" s="38"/>
      <c r="I981" s="162"/>
      <c r="J981" s="322"/>
      <c r="K981" s="322"/>
      <c r="L981" s="285"/>
      <c r="M981" s="285"/>
      <c r="N981" s="285"/>
      <c r="O981" s="285"/>
      <c r="P981" s="285"/>
      <c r="Q981" s="104"/>
    </row>
    <row r="982" spans="1:17" ht="12.75" customHeight="1" x14ac:dyDescent="0.3">
      <c r="A982" s="38"/>
      <c r="B982" s="38"/>
      <c r="C982" s="38"/>
      <c r="D982" s="38"/>
      <c r="E982" s="38"/>
      <c r="F982" s="38"/>
      <c r="G982" s="38"/>
      <c r="H982" s="38"/>
      <c r="I982" s="178"/>
      <c r="J982" s="322"/>
      <c r="K982" s="322"/>
      <c r="L982" s="285"/>
      <c r="M982" s="285"/>
      <c r="N982" s="285"/>
      <c r="O982" s="285"/>
      <c r="P982" s="285"/>
      <c r="Q982" s="104"/>
    </row>
    <row r="983" spans="1:17" ht="12.75" customHeight="1" x14ac:dyDescent="0.3">
      <c r="A983" s="66" t="s">
        <v>1305</v>
      </c>
      <c r="B983" s="66"/>
      <c r="C983" s="66"/>
      <c r="D983" s="66"/>
      <c r="E983" s="66"/>
      <c r="F983" s="66"/>
      <c r="G983" s="66"/>
      <c r="H983" s="66"/>
      <c r="I983" s="189" t="s">
        <v>748</v>
      </c>
      <c r="J983" s="319"/>
      <c r="K983" s="319"/>
      <c r="L983" s="281"/>
      <c r="M983" s="281"/>
      <c r="N983" s="281"/>
      <c r="O983" s="281"/>
      <c r="P983" s="281"/>
      <c r="Q983" s="104"/>
    </row>
    <row r="984" spans="1:17" ht="12.75" customHeight="1" x14ac:dyDescent="0.3">
      <c r="A984" s="61"/>
      <c r="B984" s="61"/>
      <c r="C984" s="61"/>
      <c r="D984" s="61"/>
      <c r="E984" s="61"/>
      <c r="F984" s="61"/>
      <c r="G984" s="61"/>
      <c r="H984" s="61"/>
      <c r="I984" s="162"/>
      <c r="J984" s="328"/>
      <c r="K984" s="328"/>
      <c r="L984" s="292"/>
      <c r="M984" s="292"/>
      <c r="N984" s="292"/>
      <c r="O984" s="292"/>
      <c r="P984" s="292"/>
      <c r="Q984" s="104"/>
    </row>
    <row r="985" spans="1:17" ht="12.75" customHeight="1" x14ac:dyDescent="0.3">
      <c r="A985" s="42" t="s">
        <v>1082</v>
      </c>
      <c r="B985" s="38"/>
      <c r="C985" s="38"/>
      <c r="D985" s="38"/>
      <c r="E985" s="38"/>
      <c r="F985" s="38"/>
      <c r="G985" s="43" t="s">
        <v>265</v>
      </c>
      <c r="H985" s="38" t="s">
        <v>1937</v>
      </c>
      <c r="I985" s="340">
        <f>global!I149</f>
        <v>0</v>
      </c>
      <c r="J985" s="315"/>
      <c r="K985" s="315"/>
      <c r="L985" s="276"/>
      <c r="M985" s="276"/>
      <c r="N985" s="276"/>
      <c r="O985" s="276"/>
      <c r="P985" s="276"/>
      <c r="Q985" s="104"/>
    </row>
    <row r="986" spans="1:17" ht="12.75" customHeight="1" x14ac:dyDescent="0.3">
      <c r="A986" s="38" t="s">
        <v>1999</v>
      </c>
      <c r="B986" s="38"/>
      <c r="C986" s="38"/>
      <c r="D986" s="38"/>
      <c r="E986" s="38"/>
      <c r="F986" s="38"/>
      <c r="G986" s="43" t="s">
        <v>904</v>
      </c>
      <c r="H986" s="38" t="s">
        <v>1937</v>
      </c>
      <c r="I986" s="340">
        <f>global!I150</f>
        <v>0</v>
      </c>
      <c r="J986" s="315"/>
      <c r="K986" s="315"/>
      <c r="L986" s="276"/>
      <c r="M986" s="276"/>
      <c r="N986" s="276"/>
      <c r="O986" s="276"/>
      <c r="P986" s="276"/>
      <c r="Q986" s="104"/>
    </row>
    <row r="987" spans="1:17" ht="12.75" customHeight="1" x14ac:dyDescent="0.3">
      <c r="A987" s="42" t="s">
        <v>96</v>
      </c>
      <c r="B987" s="38"/>
      <c r="C987" s="38"/>
      <c r="D987" s="38"/>
      <c r="E987" s="38"/>
      <c r="F987" s="38"/>
      <c r="G987" s="43" t="s">
        <v>903</v>
      </c>
      <c r="H987" s="38" t="s">
        <v>1937</v>
      </c>
      <c r="I987" s="340">
        <f>global!I151</f>
        <v>0</v>
      </c>
      <c r="J987" s="315"/>
      <c r="K987" s="315"/>
      <c r="L987" s="276"/>
      <c r="M987" s="276"/>
      <c r="N987" s="276"/>
      <c r="O987" s="276"/>
      <c r="P987" s="276"/>
      <c r="Q987" s="104"/>
    </row>
    <row r="988" spans="1:17" ht="12.75" customHeight="1" x14ac:dyDescent="0.3">
      <c r="A988" s="42" t="s">
        <v>728</v>
      </c>
      <c r="B988" s="38"/>
      <c r="C988" s="38"/>
      <c r="D988" s="38"/>
      <c r="E988" s="38"/>
      <c r="F988" s="38"/>
      <c r="G988" s="43" t="s">
        <v>266</v>
      </c>
      <c r="H988" s="38" t="s">
        <v>1937</v>
      </c>
      <c r="I988" s="340">
        <f>global!I152</f>
        <v>0</v>
      </c>
      <c r="J988" s="315"/>
      <c r="K988" s="315"/>
      <c r="L988" s="276"/>
      <c r="M988" s="276"/>
      <c r="N988" s="276"/>
      <c r="O988" s="276"/>
      <c r="P988" s="276"/>
      <c r="Q988" s="104"/>
    </row>
    <row r="989" spans="1:17" ht="12.75" customHeight="1" x14ac:dyDescent="0.3">
      <c r="A989" s="42" t="s">
        <v>729</v>
      </c>
      <c r="B989" s="38"/>
      <c r="C989" s="38"/>
      <c r="D989" s="38"/>
      <c r="E989" s="38"/>
      <c r="F989" s="38"/>
      <c r="G989" s="43" t="s">
        <v>267</v>
      </c>
      <c r="H989" s="38" t="s">
        <v>1937</v>
      </c>
      <c r="I989" s="340">
        <f>global!I153</f>
        <v>0</v>
      </c>
      <c r="J989" s="315"/>
      <c r="K989" s="315"/>
      <c r="L989" s="276"/>
      <c r="M989" s="276"/>
      <c r="N989" s="276"/>
      <c r="O989" s="276"/>
      <c r="P989" s="276"/>
      <c r="Q989" s="104"/>
    </row>
    <row r="990" spans="1:17" ht="12.75" customHeight="1" x14ac:dyDescent="0.3">
      <c r="A990" s="38"/>
      <c r="B990" s="42" t="s">
        <v>980</v>
      </c>
      <c r="C990" s="38"/>
      <c r="D990" s="38"/>
      <c r="E990" s="38"/>
      <c r="F990" s="38"/>
      <c r="G990" s="43" t="s">
        <v>268</v>
      </c>
      <c r="H990" s="38" t="s">
        <v>1934</v>
      </c>
      <c r="I990" s="340">
        <f>global!I154</f>
        <v>0</v>
      </c>
      <c r="J990" s="315"/>
      <c r="K990" s="315"/>
      <c r="L990" s="276"/>
      <c r="M990" s="276"/>
      <c r="N990" s="276"/>
      <c r="O990" s="276"/>
      <c r="P990" s="276"/>
      <c r="Q990" s="104"/>
    </row>
    <row r="991" spans="1:17" ht="12.75" customHeight="1" x14ac:dyDescent="0.3">
      <c r="A991" s="38"/>
      <c r="B991" s="42" t="s">
        <v>1975</v>
      </c>
      <c r="C991" s="38"/>
      <c r="D991" s="38"/>
      <c r="E991" s="38"/>
      <c r="F991" s="38"/>
      <c r="G991" s="63" t="s">
        <v>17</v>
      </c>
      <c r="H991" s="38" t="s">
        <v>28</v>
      </c>
      <c r="I991" s="340">
        <f>global!I155</f>
        <v>0</v>
      </c>
      <c r="J991" s="315"/>
      <c r="K991" s="315"/>
      <c r="L991" s="276"/>
      <c r="M991" s="276"/>
      <c r="N991" s="276"/>
      <c r="O991" s="276"/>
      <c r="P991" s="276"/>
      <c r="Q991" s="104"/>
    </row>
    <row r="992" spans="1:17" ht="12.75" customHeight="1" x14ac:dyDescent="0.3">
      <c r="A992" s="38"/>
      <c r="B992" s="42" t="s">
        <v>1976</v>
      </c>
      <c r="C992" s="38"/>
      <c r="D992" s="38"/>
      <c r="E992" s="38"/>
      <c r="F992" s="38"/>
      <c r="G992" s="63" t="s">
        <v>18</v>
      </c>
      <c r="H992" s="38" t="s">
        <v>28</v>
      </c>
      <c r="I992" s="340">
        <f>global!I156</f>
        <v>0</v>
      </c>
      <c r="J992" s="315"/>
      <c r="K992" s="315"/>
      <c r="L992" s="276"/>
      <c r="M992" s="276"/>
      <c r="N992" s="276"/>
      <c r="O992" s="276"/>
      <c r="P992" s="276"/>
      <c r="Q992" s="104"/>
    </row>
    <row r="993" spans="1:17" ht="12.75" customHeight="1" x14ac:dyDescent="0.3">
      <c r="A993" s="38"/>
      <c r="B993" s="38"/>
      <c r="C993" s="42" t="s">
        <v>761</v>
      </c>
      <c r="D993" s="38"/>
      <c r="E993" s="38"/>
      <c r="F993" s="38"/>
      <c r="G993" s="63" t="s">
        <v>19</v>
      </c>
      <c r="H993" s="42" t="s">
        <v>713</v>
      </c>
      <c r="I993" s="340">
        <f>global!I157</f>
        <v>0</v>
      </c>
      <c r="J993" s="315"/>
      <c r="K993" s="315"/>
      <c r="L993" s="276"/>
      <c r="M993" s="276"/>
      <c r="N993" s="276"/>
      <c r="O993" s="276"/>
      <c r="P993" s="276"/>
      <c r="Q993" s="104"/>
    </row>
    <row r="994" spans="1:17" ht="12.75" customHeight="1" x14ac:dyDescent="0.3">
      <c r="A994" s="38"/>
      <c r="B994" s="38"/>
      <c r="C994" s="42" t="s">
        <v>98</v>
      </c>
      <c r="D994" s="38"/>
      <c r="E994" s="38"/>
      <c r="F994" s="38"/>
      <c r="G994" s="63" t="s">
        <v>911</v>
      </c>
      <c r="H994" s="42" t="s">
        <v>713</v>
      </c>
      <c r="I994" s="340">
        <f>global!I158</f>
        <v>0</v>
      </c>
      <c r="J994" s="315"/>
      <c r="K994" s="315">
        <v>990</v>
      </c>
      <c r="L994" s="276">
        <v>990</v>
      </c>
      <c r="M994" s="276"/>
      <c r="N994" s="276">
        <v>990</v>
      </c>
      <c r="O994" s="276">
        <v>990</v>
      </c>
      <c r="P994" s="276">
        <v>990</v>
      </c>
      <c r="Q994" s="104"/>
    </row>
    <row r="995" spans="1:17" ht="12.75" customHeight="1" x14ac:dyDescent="0.3">
      <c r="A995" s="38"/>
      <c r="B995" s="38"/>
      <c r="C995" s="42" t="s">
        <v>97</v>
      </c>
      <c r="D995" s="38"/>
      <c r="E995" s="38"/>
      <c r="F995" s="38"/>
      <c r="G995" s="63" t="s">
        <v>912</v>
      </c>
      <c r="H995" s="42" t="s">
        <v>713</v>
      </c>
      <c r="I995" s="340">
        <f>global!I159</f>
        <v>0</v>
      </c>
      <c r="J995" s="315"/>
      <c r="K995" s="315">
        <v>10</v>
      </c>
      <c r="L995" s="276">
        <v>10</v>
      </c>
      <c r="M995" s="276"/>
      <c r="N995" s="276">
        <v>10</v>
      </c>
      <c r="O995" s="276">
        <v>10</v>
      </c>
      <c r="P995" s="276">
        <v>10</v>
      </c>
      <c r="Q995" s="104"/>
    </row>
    <row r="996" spans="1:17" ht="12.75" customHeight="1" x14ac:dyDescent="0.3">
      <c r="A996" s="38"/>
      <c r="B996" s="38"/>
      <c r="C996" s="42" t="s">
        <v>1014</v>
      </c>
      <c r="D996" s="38"/>
      <c r="E996" s="38"/>
      <c r="F996" s="38"/>
      <c r="G996" s="63" t="s">
        <v>20</v>
      </c>
      <c r="H996" s="42" t="s">
        <v>715</v>
      </c>
      <c r="I996" s="340">
        <f>global!I160</f>
        <v>0</v>
      </c>
      <c r="J996" s="315"/>
      <c r="K996" s="315"/>
      <c r="L996" s="276"/>
      <c r="M996" s="276"/>
      <c r="N996" s="276"/>
      <c r="O996" s="276"/>
      <c r="P996" s="276"/>
      <c r="Q996" s="104"/>
    </row>
    <row r="997" spans="1:17" ht="12.75" customHeight="1" x14ac:dyDescent="0.3">
      <c r="A997" s="42"/>
      <c r="B997" s="38"/>
      <c r="C997" s="42" t="s">
        <v>1977</v>
      </c>
      <c r="D997" s="64"/>
      <c r="E997" s="64"/>
      <c r="F997" s="64"/>
      <c r="G997" s="63" t="s">
        <v>21</v>
      </c>
      <c r="H997" s="42" t="s">
        <v>713</v>
      </c>
      <c r="I997" s="340">
        <f>global!I161</f>
        <v>0</v>
      </c>
      <c r="J997" s="315"/>
      <c r="K997" s="315"/>
      <c r="L997" s="276"/>
      <c r="M997" s="276"/>
      <c r="N997" s="276"/>
      <c r="O997" s="276"/>
      <c r="P997" s="276"/>
      <c r="Q997" s="104"/>
    </row>
    <row r="998" spans="1:17" ht="12.75" customHeight="1" x14ac:dyDescent="0.3">
      <c r="A998" s="38"/>
      <c r="B998" s="38"/>
      <c r="C998" s="38" t="s">
        <v>208</v>
      </c>
      <c r="D998" s="38"/>
      <c r="E998" s="38"/>
      <c r="F998" s="38"/>
      <c r="G998" s="42" t="s">
        <v>2000</v>
      </c>
      <c r="H998" s="42" t="s">
        <v>716</v>
      </c>
      <c r="I998" s="340">
        <f>global!I162</f>
        <v>0</v>
      </c>
      <c r="J998" s="315"/>
      <c r="K998" s="315">
        <v>4.9999999999999995E-11</v>
      </c>
      <c r="L998" s="276">
        <v>4.9999999999999995E-11</v>
      </c>
      <c r="M998" s="276">
        <v>4.9999999999999995E-11</v>
      </c>
      <c r="N998" s="276">
        <v>4.9999999999999995E-11</v>
      </c>
      <c r="O998" s="276">
        <v>4.9999999999999995E-11</v>
      </c>
      <c r="P998" s="276"/>
      <c r="Q998" s="104"/>
    </row>
    <row r="999" spans="1:17" ht="12.75" customHeight="1" x14ac:dyDescent="0.3">
      <c r="A999" s="38"/>
      <c r="B999" s="38"/>
      <c r="C999" s="38" t="s">
        <v>209</v>
      </c>
      <c r="D999" s="38"/>
      <c r="E999" s="38"/>
      <c r="F999" s="38"/>
      <c r="G999" s="42" t="s">
        <v>2001</v>
      </c>
      <c r="H999" s="42" t="s">
        <v>716</v>
      </c>
      <c r="I999" s="340">
        <f>global!I163</f>
        <v>0</v>
      </c>
      <c r="J999" s="315"/>
      <c r="K999" s="315">
        <v>9.9999999999999995E-21</v>
      </c>
      <c r="L999" s="276">
        <v>9.9999999999999995E-21</v>
      </c>
      <c r="M999" s="276">
        <v>9.9999999999999995E-21</v>
      </c>
      <c r="N999" s="276">
        <v>9.9999999999999995E-21</v>
      </c>
      <c r="O999" s="276">
        <v>9.9999999999999995E-21</v>
      </c>
      <c r="P999" s="276"/>
      <c r="Q999" s="104"/>
    </row>
    <row r="1000" spans="1:17" ht="12.75" customHeight="1" x14ac:dyDescent="0.3">
      <c r="A1000" s="38"/>
      <c r="B1000" s="38"/>
      <c r="C1000" s="42" t="s">
        <v>1015</v>
      </c>
      <c r="D1000" s="64"/>
      <c r="E1000" s="64"/>
      <c r="F1000" s="64"/>
      <c r="G1000" s="63" t="s">
        <v>465</v>
      </c>
      <c r="H1000" s="42" t="s">
        <v>716</v>
      </c>
      <c r="I1000" s="340">
        <f>global!I164</f>
        <v>0</v>
      </c>
      <c r="J1000" s="315"/>
      <c r="K1000" s="315"/>
      <c r="L1000" s="276"/>
      <c r="M1000" s="276"/>
      <c r="N1000" s="276"/>
      <c r="O1000" s="276"/>
      <c r="P1000" s="276"/>
      <c r="Q1000" s="104"/>
    </row>
    <row r="1001" spans="1:17" ht="12.75" customHeight="1" x14ac:dyDescent="0.3">
      <c r="A1001" s="38"/>
      <c r="B1001" s="38"/>
      <c r="C1001" s="42" t="s">
        <v>1016</v>
      </c>
      <c r="D1001" s="38"/>
      <c r="E1001" s="38"/>
      <c r="F1001" s="38"/>
      <c r="G1001" s="63" t="s">
        <v>1299</v>
      </c>
      <c r="H1001" s="42" t="s">
        <v>716</v>
      </c>
      <c r="I1001" s="340">
        <f>global!I165</f>
        <v>0</v>
      </c>
      <c r="J1001" s="315"/>
      <c r="K1001" s="315"/>
      <c r="L1001" s="276"/>
      <c r="M1001" s="276"/>
      <c r="N1001" s="276"/>
      <c r="O1001" s="276"/>
      <c r="P1001" s="276"/>
      <c r="Q1001" s="104"/>
    </row>
    <row r="1002" spans="1:17" ht="12.75" customHeight="1" x14ac:dyDescent="0.3">
      <c r="A1002" s="38"/>
      <c r="B1002" s="38"/>
      <c r="C1002" s="42" t="s">
        <v>1017</v>
      </c>
      <c r="D1002" s="38"/>
      <c r="E1002" s="38"/>
      <c r="F1002" s="38"/>
      <c r="G1002" s="63" t="s">
        <v>1300</v>
      </c>
      <c r="H1002" s="42" t="s">
        <v>716</v>
      </c>
      <c r="I1002" s="340">
        <f>global!I166</f>
        <v>0</v>
      </c>
      <c r="J1002" s="315"/>
      <c r="K1002" s="315"/>
      <c r="L1002" s="276"/>
      <c r="M1002" s="276"/>
      <c r="N1002" s="276"/>
      <c r="O1002" s="276"/>
      <c r="P1002" s="276"/>
      <c r="Q1002" s="104"/>
    </row>
    <row r="1003" spans="1:17" ht="12.75" customHeight="1" x14ac:dyDescent="0.3">
      <c r="A1003" s="42"/>
      <c r="B1003" s="38"/>
      <c r="C1003" s="42" t="s">
        <v>429</v>
      </c>
      <c r="D1003" s="64"/>
      <c r="E1003" s="64"/>
      <c r="F1003" s="64"/>
      <c r="G1003" s="63" t="s">
        <v>1301</v>
      </c>
      <c r="H1003" s="42" t="s">
        <v>716</v>
      </c>
      <c r="I1003" s="340">
        <f>global!I167</f>
        <v>0</v>
      </c>
      <c r="J1003" s="315"/>
      <c r="K1003" s="315"/>
      <c r="L1003" s="276"/>
      <c r="M1003" s="276"/>
      <c r="N1003" s="276"/>
      <c r="O1003" s="276"/>
      <c r="P1003" s="276"/>
      <c r="Q1003" s="104"/>
    </row>
    <row r="1004" spans="1:17" ht="12.75" customHeight="1" x14ac:dyDescent="0.3">
      <c r="A1004" s="42"/>
      <c r="B1004" s="38"/>
      <c r="C1004" s="42" t="s">
        <v>466</v>
      </c>
      <c r="D1004" s="64"/>
      <c r="E1004" s="64"/>
      <c r="F1004" s="64"/>
      <c r="G1004" s="63" t="s">
        <v>467</v>
      </c>
      <c r="H1004" s="42" t="s">
        <v>716</v>
      </c>
      <c r="I1004" s="340">
        <f>global!I168</f>
        <v>0</v>
      </c>
      <c r="J1004" s="315"/>
      <c r="K1004" s="315"/>
      <c r="L1004" s="276"/>
      <c r="M1004" s="276"/>
      <c r="N1004" s="276"/>
      <c r="O1004" s="276"/>
      <c r="P1004" s="276"/>
      <c r="Q1004" s="104"/>
    </row>
    <row r="1005" spans="1:17" ht="12.75" customHeight="1" x14ac:dyDescent="0.3">
      <c r="A1005" s="61"/>
      <c r="B1005" s="61"/>
      <c r="C1005" s="61"/>
      <c r="D1005" s="61"/>
      <c r="E1005" s="61"/>
      <c r="F1005" s="61"/>
      <c r="G1005" s="62"/>
      <c r="H1005" s="75"/>
      <c r="I1005" s="343"/>
      <c r="J1005" s="318"/>
      <c r="K1005" s="318"/>
      <c r="L1005" s="280"/>
      <c r="M1005" s="280"/>
      <c r="N1005" s="280"/>
      <c r="O1005" s="280"/>
      <c r="P1005" s="280"/>
      <c r="Q1005" s="104"/>
    </row>
    <row r="1006" spans="1:17" ht="12.75" customHeight="1" x14ac:dyDescent="0.3">
      <c r="A1006" s="42" t="s">
        <v>92</v>
      </c>
      <c r="B1006" s="38"/>
      <c r="C1006" s="38"/>
      <c r="D1006" s="38"/>
      <c r="E1006" s="38"/>
      <c r="F1006" s="38"/>
      <c r="G1006" s="42" t="s">
        <v>1253</v>
      </c>
      <c r="H1006" s="42" t="s">
        <v>1926</v>
      </c>
      <c r="I1006" s="340">
        <f>global!I170</f>
        <v>0</v>
      </c>
      <c r="J1006" s="315"/>
      <c r="K1006" s="315"/>
      <c r="L1006" s="276"/>
      <c r="M1006" s="276"/>
      <c r="N1006" s="276"/>
      <c r="O1006" s="276"/>
      <c r="P1006" s="276"/>
      <c r="Q1006" s="104"/>
    </row>
    <row r="1007" spans="1:17" ht="12.75" customHeight="1" x14ac:dyDescent="0.3">
      <c r="A1007" s="42"/>
      <c r="B1007" s="42" t="s">
        <v>536</v>
      </c>
      <c r="C1007" s="38"/>
      <c r="D1007" s="38"/>
      <c r="E1007" s="38"/>
      <c r="F1007" s="38"/>
      <c r="G1007" s="43" t="s">
        <v>401</v>
      </c>
      <c r="H1007" s="38" t="s">
        <v>717</v>
      </c>
      <c r="I1007" s="340">
        <f>global!I171</f>
        <v>0</v>
      </c>
      <c r="J1007" s="315"/>
      <c r="K1007" s="315"/>
      <c r="L1007" s="276"/>
      <c r="M1007" s="276"/>
      <c r="N1007" s="276"/>
      <c r="O1007" s="276"/>
      <c r="P1007" s="276"/>
      <c r="Q1007" s="104"/>
    </row>
    <row r="1008" spans="1:17" ht="12.75" customHeight="1" x14ac:dyDescent="0.3">
      <c r="A1008" s="61"/>
      <c r="B1008" s="61"/>
      <c r="C1008" s="61"/>
      <c r="D1008" s="61"/>
      <c r="E1008" s="61"/>
      <c r="F1008" s="61"/>
      <c r="G1008" s="62"/>
      <c r="H1008" s="75"/>
      <c r="I1008" s="343"/>
      <c r="J1008" s="318"/>
      <c r="K1008" s="318"/>
      <c r="L1008" s="280"/>
      <c r="M1008" s="280"/>
      <c r="N1008" s="280"/>
      <c r="O1008" s="280"/>
      <c r="P1008" s="280"/>
      <c r="Q1008" s="104"/>
    </row>
    <row r="1009" spans="1:17" ht="12.75" customHeight="1" x14ac:dyDescent="0.3">
      <c r="A1009" s="42" t="s">
        <v>1139</v>
      </c>
      <c r="B1009" s="38"/>
      <c r="C1009" s="38"/>
      <c r="D1009" s="38"/>
      <c r="E1009" s="38"/>
      <c r="F1009" s="38"/>
      <c r="G1009" s="42" t="s">
        <v>1252</v>
      </c>
      <c r="H1009" s="42" t="s">
        <v>1926</v>
      </c>
      <c r="I1009" s="340">
        <f>global!I173</f>
        <v>0</v>
      </c>
      <c r="J1009" s="315"/>
      <c r="K1009" s="315"/>
      <c r="L1009" s="276"/>
      <c r="M1009" s="276"/>
      <c r="N1009" s="276"/>
      <c r="O1009" s="276"/>
      <c r="P1009" s="276"/>
      <c r="Q1009" s="104"/>
    </row>
    <row r="1010" spans="1:17" ht="12.75" customHeight="1" x14ac:dyDescent="0.3">
      <c r="A1010" s="42" t="s">
        <v>1138</v>
      </c>
      <c r="B1010" s="38"/>
      <c r="C1010" s="38"/>
      <c r="D1010" s="38"/>
      <c r="E1010" s="38"/>
      <c r="F1010" s="38"/>
      <c r="G1010" s="42" t="s">
        <v>1108</v>
      </c>
      <c r="H1010" s="42" t="s">
        <v>1926</v>
      </c>
      <c r="I1010" s="340">
        <f>global!I174</f>
        <v>0</v>
      </c>
      <c r="J1010" s="315"/>
      <c r="K1010" s="315">
        <v>9.9999999999999995E-21</v>
      </c>
      <c r="L1010" s="276">
        <v>9.9999999999999995E-21</v>
      </c>
      <c r="M1010" s="276"/>
      <c r="N1010" s="276">
        <v>9.9999999999999995E-21</v>
      </c>
      <c r="O1010" s="276">
        <v>9.9999999999999995E-21</v>
      </c>
      <c r="P1010" s="276">
        <v>9.9999999999999995E-21</v>
      </c>
      <c r="Q1010" s="104"/>
    </row>
    <row r="1011" spans="1:17" ht="12.75" customHeight="1" x14ac:dyDescent="0.3">
      <c r="A1011" s="42"/>
      <c r="B1011" s="42" t="s">
        <v>537</v>
      </c>
      <c r="C1011" s="38"/>
      <c r="D1011" s="38"/>
      <c r="E1011" s="38"/>
      <c r="F1011" s="38"/>
      <c r="G1011" s="63" t="s">
        <v>1277</v>
      </c>
      <c r="H1011" s="38" t="s">
        <v>1943</v>
      </c>
      <c r="I1011" s="340">
        <f>global!I175</f>
        <v>0</v>
      </c>
      <c r="J1011" s="315"/>
      <c r="K1011" s="315">
        <v>50497524.691810384</v>
      </c>
      <c r="L1011" s="276">
        <v>50497524.691810384</v>
      </c>
      <c r="M1011" s="276"/>
      <c r="N1011" s="276">
        <v>50497524.691810384</v>
      </c>
      <c r="O1011" s="276">
        <v>50497524.691810384</v>
      </c>
      <c r="P1011" s="276">
        <v>50497524.691810384</v>
      </c>
      <c r="Q1011" s="104"/>
    </row>
    <row r="1012" spans="1:17" ht="12.75" customHeight="1" x14ac:dyDescent="0.3">
      <c r="A1012" s="42" t="s">
        <v>121</v>
      </c>
      <c r="B1012" s="38"/>
      <c r="C1012" s="38"/>
      <c r="D1012" s="38"/>
      <c r="E1012" s="38"/>
      <c r="F1012" s="38"/>
      <c r="G1012" s="42" t="s">
        <v>119</v>
      </c>
      <c r="H1012" s="42" t="s">
        <v>1926</v>
      </c>
      <c r="I1012" s="340">
        <f>global!I176</f>
        <v>0</v>
      </c>
      <c r="J1012" s="315"/>
      <c r="K1012" s="315"/>
      <c r="L1012" s="276"/>
      <c r="M1012" s="276"/>
      <c r="N1012" s="276"/>
      <c r="O1012" s="276"/>
      <c r="P1012" s="276"/>
      <c r="Q1012" s="104"/>
    </row>
    <row r="1013" spans="1:17" ht="12.75" customHeight="1" x14ac:dyDescent="0.3">
      <c r="A1013" s="42" t="s">
        <v>122</v>
      </c>
      <c r="B1013" s="38"/>
      <c r="C1013" s="38"/>
      <c r="D1013" s="38"/>
      <c r="E1013" s="38"/>
      <c r="F1013" s="38"/>
      <c r="G1013" s="42" t="s">
        <v>120</v>
      </c>
      <c r="H1013" s="42" t="s">
        <v>1926</v>
      </c>
      <c r="I1013" s="340">
        <f>global!I177</f>
        <v>0</v>
      </c>
      <c r="J1013" s="315"/>
      <c r="K1013" s="315"/>
      <c r="L1013" s="276"/>
      <c r="M1013" s="276"/>
      <c r="N1013" s="276"/>
      <c r="O1013" s="276"/>
      <c r="P1013" s="276"/>
      <c r="Q1013" s="104"/>
    </row>
    <row r="1014" spans="1:17" ht="12.75" customHeight="1" x14ac:dyDescent="0.3">
      <c r="A1014" s="42"/>
      <c r="B1014" s="38" t="s">
        <v>687</v>
      </c>
      <c r="C1014" s="38"/>
      <c r="D1014" s="38"/>
      <c r="E1014" s="38"/>
      <c r="F1014" s="38"/>
      <c r="G1014" s="43" t="s">
        <v>1276</v>
      </c>
      <c r="H1014" s="38" t="s">
        <v>1943</v>
      </c>
      <c r="I1014" s="340">
        <f>global!I178</f>
        <v>0</v>
      </c>
      <c r="J1014" s="315"/>
      <c r="K1014" s="315"/>
      <c r="L1014" s="276"/>
      <c r="M1014" s="276"/>
      <c r="N1014" s="276"/>
      <c r="O1014" s="276"/>
      <c r="P1014" s="276"/>
      <c r="Q1014" s="104"/>
    </row>
    <row r="1015" spans="1:17" ht="12.75" customHeight="1" x14ac:dyDescent="0.3">
      <c r="A1015" s="42"/>
      <c r="B1015" s="42"/>
      <c r="C1015" s="38" t="s">
        <v>1213</v>
      </c>
      <c r="D1015" s="38"/>
      <c r="E1015" s="38"/>
      <c r="F1015" s="38"/>
      <c r="G1015" s="43" t="s">
        <v>801</v>
      </c>
      <c r="H1015" s="38" t="s">
        <v>717</v>
      </c>
      <c r="I1015" s="340">
        <f>global!I179</f>
        <v>0</v>
      </c>
      <c r="J1015" s="315"/>
      <c r="K1015" s="315"/>
      <c r="L1015" s="276"/>
      <c r="M1015" s="276"/>
      <c r="N1015" s="276"/>
      <c r="O1015" s="276"/>
      <c r="P1015" s="276"/>
      <c r="Q1015" s="104"/>
    </row>
    <row r="1016" spans="1:17" ht="12.75" customHeight="1" x14ac:dyDescent="0.3">
      <c r="A1016" s="38"/>
      <c r="B1016" s="38"/>
      <c r="C1016" s="38"/>
      <c r="D1016" s="38"/>
      <c r="E1016" s="38"/>
      <c r="F1016" s="38"/>
      <c r="G1016" s="38"/>
      <c r="H1016" s="38"/>
      <c r="I1016" s="178"/>
      <c r="J1016" s="322"/>
      <c r="K1016" s="322"/>
      <c r="L1016" s="285"/>
      <c r="M1016" s="285"/>
      <c r="N1016" s="285"/>
      <c r="O1016" s="285"/>
      <c r="P1016" s="285"/>
      <c r="Q1016" s="104"/>
    </row>
    <row r="1017" spans="1:17" ht="12.75" customHeight="1" x14ac:dyDescent="0.3">
      <c r="A1017" s="67" t="s">
        <v>201</v>
      </c>
      <c r="B1017" s="66"/>
      <c r="C1017" s="66"/>
      <c r="D1017" s="66"/>
      <c r="E1017" s="66"/>
      <c r="F1017" s="66"/>
      <c r="G1017" s="66"/>
      <c r="H1017" s="66"/>
      <c r="I1017" s="189" t="s">
        <v>748</v>
      </c>
      <c r="J1017" s="319"/>
      <c r="K1017" s="319"/>
      <c r="L1017" s="281"/>
      <c r="M1017" s="281"/>
      <c r="N1017" s="281"/>
      <c r="O1017" s="281"/>
      <c r="P1017" s="281"/>
      <c r="Q1017" s="104"/>
    </row>
    <row r="1018" spans="1:17" ht="12.75" customHeight="1" x14ac:dyDescent="0.3">
      <c r="A1018" s="42"/>
      <c r="B1018" s="42"/>
      <c r="C1018" s="38"/>
      <c r="D1018" s="38"/>
      <c r="E1018" s="38"/>
      <c r="F1018" s="38"/>
      <c r="G1018" s="38"/>
      <c r="H1018" s="38"/>
      <c r="I1018" s="162"/>
      <c r="J1018" s="322"/>
      <c r="K1018" s="322"/>
      <c r="L1018" s="285"/>
      <c r="M1018" s="285"/>
      <c r="N1018" s="285"/>
      <c r="O1018" s="285"/>
      <c r="P1018" s="285"/>
      <c r="Q1018" s="104"/>
    </row>
    <row r="1019" spans="1:17" ht="12.75" customHeight="1" x14ac:dyDescent="0.3">
      <c r="A1019" s="38"/>
      <c r="B1019" s="38" t="s">
        <v>947</v>
      </c>
      <c r="C1019" s="38"/>
      <c r="D1019" s="38"/>
      <c r="E1019" s="38"/>
      <c r="F1019" s="38"/>
      <c r="G1019" s="42" t="s">
        <v>2002</v>
      </c>
      <c r="H1019" s="42" t="s">
        <v>28</v>
      </c>
      <c r="I1019" s="340">
        <f>global!I183</f>
        <v>9.0082635795241117E-11</v>
      </c>
      <c r="J1019" s="315"/>
      <c r="K1019" s="315">
        <f>1-(0.0000258)/(IF(Tm&gt;298,EXP(-6.79*(1-Tm/298))*Pvap25*EXP((H0vap/8.314)*(1/298-1/TEMP.A)),Pvap25*EXP((H0vap/8.314)*(1/298-1/TEMP.A)))+(0.0000258))</f>
        <v>0.48336980398570095</v>
      </c>
      <c r="L1019" s="276">
        <f>1-(0.0000258)/(IF(Tm&gt;298,EXP(-6.79*(1-Tm/298))*Pvap25*EXP((H0vap/8.314)*(1/298-1/TEMP.A)),Pvap25*EXP((H0vap/8.314)*(1/298-1/TEMP.A)))+(0.0000258))</f>
        <v>0.48336980398570095</v>
      </c>
      <c r="M1019" s="276">
        <f>1-(0.0000258)/(IF(Tm&gt;298,EXP(-6.79*(1-Tm/298))*Pvap25*EXP((H0vap/8.314)*(1/298-1/TEMP.A)),Pvap25*EXP((H0vap/8.314)*(1/298-1/TEMP.A)))+(0.0000258))</f>
        <v>0.48336980398570095</v>
      </c>
      <c r="N1019" s="276">
        <f>1-(0.0000258)/(IF(Tm&gt;298,EXP(-6.79*(1-Tm/298))*Pvap25*EXP((H0vap/8.314)*(1/298-1/TEMP.A)),Pvap25*EXP((H0vap/8.314)*(1/298-1/TEMP.A)))+(0.0000258))</f>
        <v>0.48336980398570095</v>
      </c>
      <c r="O1019" s="276">
        <f>1-(0.0000258)/(IF(Tm&gt;298,EXP(-6.79*(1-Tm/298))*Pvap25*EXP((H0vap/8.314)*(1/298-1/TEMP.A)),Pvap25*EXP((H0vap/8.314)*(1/298-1/TEMP.A)))+(0.0000258))</f>
        <v>0.48336980398570095</v>
      </c>
      <c r="P1019" s="276"/>
      <c r="Q1019" s="104"/>
    </row>
    <row r="1020" spans="1:17" ht="12.75" customHeight="1" x14ac:dyDescent="0.3">
      <c r="A1020" s="38"/>
      <c r="B1020" s="38" t="s">
        <v>609</v>
      </c>
      <c r="C1020" s="38"/>
      <c r="D1020" s="38"/>
      <c r="E1020" s="38"/>
      <c r="F1020" s="38"/>
      <c r="G1020" s="38" t="s">
        <v>633</v>
      </c>
      <c r="H1020" s="38" t="s">
        <v>28</v>
      </c>
      <c r="I1020" s="340">
        <f>global!I184</f>
        <v>0</v>
      </c>
      <c r="J1020" s="315"/>
      <c r="K1020" s="315"/>
      <c r="L1020" s="276"/>
      <c r="M1020" s="276"/>
      <c r="N1020" s="276"/>
      <c r="O1020" s="276"/>
      <c r="P1020" s="276"/>
      <c r="Q1020" s="104"/>
    </row>
    <row r="1021" spans="1:17" ht="12.75" customHeight="1" x14ac:dyDescent="0.3">
      <c r="A1021" s="38"/>
      <c r="B1021" s="38" t="s">
        <v>610</v>
      </c>
      <c r="C1021" s="38"/>
      <c r="D1021" s="38"/>
      <c r="E1021" s="38"/>
      <c r="F1021" s="38"/>
      <c r="G1021" s="38" t="s">
        <v>634</v>
      </c>
      <c r="H1021" s="38" t="s">
        <v>28</v>
      </c>
      <c r="I1021" s="340">
        <f>global!I185</f>
        <v>0</v>
      </c>
      <c r="J1021" s="315"/>
      <c r="K1021" s="315">
        <f>(0.0000258)/(IF(Tm&gt;298,EXP(-6.79*(1-Tm/298))*Pvap25*EXP((H0vap/8.314)*(1/298-1/TEMP.A)),Pvap25*EXP((H0vap/8.314)*(1/298-1/TEMP.A)))+(0.0000258))</f>
        <v>0.51663019601429905</v>
      </c>
      <c r="L1021" s="276">
        <f>(0.0000258)/(IF(Tm&gt;298,EXP(-6.79*(1-Tm/298))*Pvap25*EXP((H0vap/8.314)*(1/298-1/TEMP.A)),Pvap25*EXP((H0vap/8.314)*(1/298-1/TEMP.A)))+(0.0000258))</f>
        <v>0.51663019601429905</v>
      </c>
      <c r="M1021" s="276">
        <f>(0.0000258)/(IF(Tm&gt;298,EXP(-6.79*(1-Tm/298))*Pvap25*EXP((H0vap/8.314)*(1/298-1/TEMP.A)),Pvap25*EXP((H0vap/8.314)*(1/298-1/TEMP.A)))+(0.0000258))</f>
        <v>0.51663019601429905</v>
      </c>
      <c r="N1021" s="276">
        <f>(0.0000258)/(IF(Tm&gt;298,EXP(-6.79*(1-Tm/298))*Pvap25*EXP((H0vap/8.314)*(1/298-1/TEMP.A)),Pvap25*EXP((H0vap/8.314)*(1/298-1/TEMP.A)))+(0.0000258))</f>
        <v>0.51663019601429905</v>
      </c>
      <c r="O1021" s="276">
        <f>(0.0000258)/(IF(Tm&gt;298,EXP(-6.79*(1-Tm/298))*Pvap25*EXP((H0vap/8.314)*(1/298-1/TEMP.A)),Pvap25*EXP((H0vap/8.314)*(1/298-1/TEMP.A)))+(0.0000258))</f>
        <v>0.51663019601429905</v>
      </c>
      <c r="P1021" s="276"/>
      <c r="Q1021" s="104"/>
    </row>
    <row r="1022" spans="1:17" ht="12.75" customHeight="1" x14ac:dyDescent="0.3">
      <c r="A1022" s="38"/>
      <c r="B1022" s="38"/>
      <c r="C1022" s="42" t="s">
        <v>1004</v>
      </c>
      <c r="D1022" s="42"/>
      <c r="E1022" s="42"/>
      <c r="F1022" s="42"/>
      <c r="G1022" s="42" t="s">
        <v>2003</v>
      </c>
      <c r="H1022" s="42" t="s">
        <v>28</v>
      </c>
      <c r="I1022" s="340">
        <f>global!I186</f>
        <v>0</v>
      </c>
      <c r="J1022" s="315"/>
      <c r="K1022" s="315"/>
      <c r="L1022" s="276"/>
      <c r="M1022" s="276"/>
      <c r="N1022" s="276"/>
      <c r="O1022" s="276"/>
      <c r="P1022" s="276"/>
      <c r="Q1022" s="104"/>
    </row>
    <row r="1023" spans="1:17" ht="12.75" customHeight="1" x14ac:dyDescent="0.3">
      <c r="A1023" s="42"/>
      <c r="B1023" s="38"/>
      <c r="C1023" s="38" t="s">
        <v>978</v>
      </c>
      <c r="D1023" s="38"/>
      <c r="E1023" s="38"/>
      <c r="F1023" s="38"/>
      <c r="G1023" s="38" t="s">
        <v>403</v>
      </c>
      <c r="H1023" s="38" t="s">
        <v>1924</v>
      </c>
      <c r="I1023" s="340">
        <f>global!I187</f>
        <v>0</v>
      </c>
      <c r="J1023" s="315"/>
      <c r="K1023" s="315"/>
      <c r="L1023" s="276"/>
      <c r="M1023" s="276"/>
      <c r="N1023" s="276"/>
      <c r="O1023" s="276"/>
      <c r="P1023" s="276"/>
      <c r="Q1023" s="104"/>
    </row>
    <row r="1024" spans="1:17" ht="12.75" customHeight="1" x14ac:dyDescent="0.4">
      <c r="A1024" s="38"/>
      <c r="B1024" s="38"/>
      <c r="C1024" s="38" t="s">
        <v>606</v>
      </c>
      <c r="D1024" s="38"/>
      <c r="E1024" s="38"/>
      <c r="F1024" s="38"/>
      <c r="G1024" s="38" t="s">
        <v>636</v>
      </c>
      <c r="H1024" s="38" t="s">
        <v>1949</v>
      </c>
      <c r="I1024" s="340">
        <f>global!I188</f>
        <v>0</v>
      </c>
      <c r="J1024" s="315"/>
      <c r="K1024" s="315"/>
      <c r="L1024" s="276"/>
      <c r="M1024" s="276"/>
      <c r="N1024" s="276"/>
      <c r="O1024" s="276"/>
      <c r="P1024" s="276"/>
      <c r="Q1024" s="104"/>
    </row>
    <row r="1025" spans="1:17" ht="12.75" customHeight="1" x14ac:dyDescent="0.4">
      <c r="A1025" s="38"/>
      <c r="B1025" s="38"/>
      <c r="C1025" s="38" t="s">
        <v>607</v>
      </c>
      <c r="D1025" s="38"/>
      <c r="E1025" s="38"/>
      <c r="F1025" s="38"/>
      <c r="G1025" s="38" t="s">
        <v>637</v>
      </c>
      <c r="H1025" s="38" t="s">
        <v>1950</v>
      </c>
      <c r="I1025" s="340">
        <f>global!I189</f>
        <v>0</v>
      </c>
      <c r="J1025" s="315"/>
      <c r="K1025" s="315"/>
      <c r="L1025" s="276"/>
      <c r="M1025" s="276"/>
      <c r="N1025" s="276"/>
      <c r="O1025" s="276"/>
      <c r="P1025" s="276"/>
      <c r="Q1025" s="104"/>
    </row>
    <row r="1026" spans="1:17" ht="12.75" customHeight="1" x14ac:dyDescent="0.3">
      <c r="A1026" s="42"/>
      <c r="B1026" s="42" t="s">
        <v>1985</v>
      </c>
      <c r="C1026" s="64"/>
      <c r="D1026" s="38"/>
      <c r="E1026" s="38"/>
      <c r="F1026" s="38"/>
      <c r="G1026" s="43" t="s">
        <v>1140</v>
      </c>
      <c r="H1026" s="42" t="s">
        <v>28</v>
      </c>
      <c r="I1026" s="340">
        <f>global!I190</f>
        <v>0</v>
      </c>
      <c r="J1026" s="315"/>
      <c r="K1026" s="315">
        <f ca="1">1/(1+Kp.susp2A*SUSP.w2A/1000+0.05*Kow*0.001/1000)</f>
        <v>0.96807963985956813</v>
      </c>
      <c r="L1026" s="276">
        <f ca="1">1/(1+Kp.susp2A*SUSP.w2A/1000+0.05*Kow*0.001/1000)</f>
        <v>0.96807963985956813</v>
      </c>
      <c r="M1026" s="276">
        <f ca="1">1/(1+Kp.susp2A*SUSP.w2A/1000+0.05*Kow*0.001/1000)</f>
        <v>0.96807963985956813</v>
      </c>
      <c r="N1026" s="276">
        <f ca="1">1/(1+Kp.susp2A*SUSP.w2A/1000+0.05*Kow*0.001/1000)</f>
        <v>0.96807963985956813</v>
      </c>
      <c r="O1026" s="276">
        <f ca="1">1/(1+Kp.susp2A*SUSP.w2A/1000+0.05*Kow*0.001/1000)</f>
        <v>0.96807963985956813</v>
      </c>
      <c r="P1026" s="276"/>
      <c r="Q1026" s="104"/>
    </row>
    <row r="1027" spans="1:17" ht="12.75" customHeight="1" x14ac:dyDescent="0.3">
      <c r="A1027" s="42"/>
      <c r="B1027" s="42" t="s">
        <v>1112</v>
      </c>
      <c r="C1027" s="64"/>
      <c r="D1027" s="38"/>
      <c r="E1027" s="38"/>
      <c r="F1027" s="38"/>
      <c r="G1027" s="43" t="s">
        <v>1141</v>
      </c>
      <c r="H1027" s="42" t="s">
        <v>28</v>
      </c>
      <c r="I1027" s="340">
        <f>global!I191</f>
        <v>0</v>
      </c>
      <c r="J1027" s="315"/>
      <c r="K1027" s="315">
        <f ca="1">1/(1+Kp.susp3A*SUSP.w3A/1000+0.05*Kow*0.001/1000)</f>
        <v>0.96807963985956813</v>
      </c>
      <c r="L1027" s="276">
        <f ca="1">1/(1+Kp.susp3A*SUSP.w3A/1000+0.05*Kow*0.001/1000)</f>
        <v>0.96807963985956813</v>
      </c>
      <c r="M1027" s="276">
        <f ca="1">1/(1+Kp.susp3A*SUSP.w3A/1000+0.05*Kow*0.001/1000)</f>
        <v>0.96807963985956813</v>
      </c>
      <c r="N1027" s="276">
        <f ca="1">1/(1+Kp.susp3A*SUSP.w3A/1000+0.05*Kow*0.001/1000)</f>
        <v>0.96807963985956813</v>
      </c>
      <c r="O1027" s="276">
        <f ca="1">1/(1+Kp.susp3A*SUSP.w3A/1000+0.05*Kow*0.001/1000)</f>
        <v>0.96807963985956813</v>
      </c>
      <c r="P1027" s="276"/>
      <c r="Q1027" s="104"/>
    </row>
    <row r="1028" spans="1:17" ht="12.75" customHeight="1" x14ac:dyDescent="0.3">
      <c r="A1028" s="42"/>
      <c r="B1028" s="38"/>
      <c r="C1028" s="42" t="s">
        <v>1986</v>
      </c>
      <c r="D1028" s="38"/>
      <c r="E1028" s="38"/>
      <c r="F1028" s="38"/>
      <c r="G1028" s="63" t="s">
        <v>1142</v>
      </c>
      <c r="H1028" s="42" t="s">
        <v>1951</v>
      </c>
      <c r="I1028" s="340">
        <f>global!I192</f>
        <v>0</v>
      </c>
      <c r="J1028" s="315"/>
      <c r="K1028" s="315"/>
      <c r="L1028" s="276"/>
      <c r="M1028" s="276"/>
      <c r="N1028" s="276"/>
      <c r="O1028" s="276"/>
      <c r="P1028" s="276"/>
      <c r="Q1028" s="104"/>
    </row>
    <row r="1029" spans="1:17" ht="12.75" customHeight="1" x14ac:dyDescent="0.3">
      <c r="A1029" s="42"/>
      <c r="B1029" s="38"/>
      <c r="C1029" s="42" t="s">
        <v>1115</v>
      </c>
      <c r="D1029" s="38"/>
      <c r="E1029" s="38"/>
      <c r="F1029" s="38"/>
      <c r="G1029" s="63" t="s">
        <v>1143</v>
      </c>
      <c r="H1029" s="42" t="s">
        <v>1951</v>
      </c>
      <c r="I1029" s="340">
        <f>global!I193</f>
        <v>0</v>
      </c>
      <c r="J1029" s="315"/>
      <c r="K1029" s="315"/>
      <c r="L1029" s="276"/>
      <c r="M1029" s="276"/>
      <c r="N1029" s="276"/>
      <c r="O1029" s="276"/>
      <c r="P1029" s="276"/>
      <c r="Q1029" s="104"/>
    </row>
    <row r="1030" spans="1:17" ht="12.75" customHeight="1" x14ac:dyDescent="0.3">
      <c r="A1030" s="42"/>
      <c r="B1030" s="38"/>
      <c r="C1030" s="42" t="s">
        <v>1987</v>
      </c>
      <c r="D1030" s="38"/>
      <c r="E1030" s="38"/>
      <c r="F1030" s="38"/>
      <c r="G1030" s="63" t="s">
        <v>1453</v>
      </c>
      <c r="H1030" s="42" t="s">
        <v>28</v>
      </c>
      <c r="I1030" s="340">
        <f>global!I194</f>
        <v>0</v>
      </c>
      <c r="J1030" s="315"/>
      <c r="K1030" s="315"/>
      <c r="L1030" s="276"/>
      <c r="M1030" s="276"/>
      <c r="N1030" s="276"/>
      <c r="O1030" s="276"/>
      <c r="P1030" s="276"/>
      <c r="Q1030" s="104"/>
    </row>
    <row r="1031" spans="1:17" ht="12.75" customHeight="1" x14ac:dyDescent="0.3">
      <c r="A1031" s="42"/>
      <c r="B1031" s="38"/>
      <c r="C1031" s="42" t="s">
        <v>1117</v>
      </c>
      <c r="D1031" s="38"/>
      <c r="E1031" s="38"/>
      <c r="F1031" s="38"/>
      <c r="G1031" s="63" t="s">
        <v>1454</v>
      </c>
      <c r="H1031" s="42" t="s">
        <v>28</v>
      </c>
      <c r="I1031" s="340">
        <f>global!I195</f>
        <v>0</v>
      </c>
      <c r="J1031" s="315"/>
      <c r="K1031" s="315"/>
      <c r="L1031" s="276"/>
      <c r="M1031" s="276"/>
      <c r="N1031" s="276"/>
      <c r="O1031" s="276"/>
      <c r="P1031" s="276"/>
      <c r="Q1031" s="104"/>
    </row>
    <row r="1032" spans="1:17" ht="12.75" customHeight="1" x14ac:dyDescent="0.3">
      <c r="A1032" s="42"/>
      <c r="B1032" s="38"/>
      <c r="C1032" s="42" t="s">
        <v>1988</v>
      </c>
      <c r="D1032" s="38"/>
      <c r="E1032" s="38"/>
      <c r="F1032" s="38"/>
      <c r="G1032" s="63" t="s">
        <v>1144</v>
      </c>
      <c r="H1032" s="42" t="s">
        <v>1923</v>
      </c>
      <c r="I1032" s="340">
        <f>global!I196</f>
        <v>0</v>
      </c>
      <c r="J1032" s="315"/>
      <c r="K1032" s="315"/>
      <c r="L1032" s="276"/>
      <c r="M1032" s="276"/>
      <c r="N1032" s="276"/>
      <c r="O1032" s="276"/>
      <c r="P1032" s="276"/>
      <c r="Q1032" s="104"/>
    </row>
    <row r="1033" spans="1:17" ht="12.75" customHeight="1" x14ac:dyDescent="0.3">
      <c r="A1033" s="42"/>
      <c r="B1033" s="38"/>
      <c r="C1033" s="42" t="s">
        <v>1119</v>
      </c>
      <c r="D1033" s="38"/>
      <c r="E1033" s="38"/>
      <c r="F1033" s="38"/>
      <c r="G1033" s="63" t="s">
        <v>1145</v>
      </c>
      <c r="H1033" s="42" t="s">
        <v>1923</v>
      </c>
      <c r="I1033" s="340">
        <f>global!I197</f>
        <v>0</v>
      </c>
      <c r="J1033" s="315"/>
      <c r="K1033" s="315"/>
      <c r="L1033" s="276"/>
      <c r="M1033" s="276"/>
      <c r="N1033" s="276"/>
      <c r="O1033" s="276"/>
      <c r="P1033" s="276"/>
      <c r="Q1033" s="104"/>
    </row>
    <row r="1034" spans="1:17" ht="12.75" customHeight="1" x14ac:dyDescent="0.3">
      <c r="A1034" s="42"/>
      <c r="B1034" s="38"/>
      <c r="C1034" s="42" t="s">
        <v>1989</v>
      </c>
      <c r="D1034" s="38"/>
      <c r="E1034" s="38"/>
      <c r="F1034" s="38"/>
      <c r="G1034" s="63" t="s">
        <v>1146</v>
      </c>
      <c r="H1034" s="42" t="s">
        <v>1000</v>
      </c>
      <c r="I1034" s="340">
        <f>global!I198</f>
        <v>0</v>
      </c>
      <c r="J1034" s="315"/>
      <c r="K1034" s="315"/>
      <c r="L1034" s="276"/>
      <c r="M1034" s="276"/>
      <c r="N1034" s="276"/>
      <c r="O1034" s="276"/>
      <c r="P1034" s="276"/>
      <c r="Q1034" s="104"/>
    </row>
    <row r="1035" spans="1:17" ht="12.75" customHeight="1" x14ac:dyDescent="0.3">
      <c r="A1035" s="42"/>
      <c r="B1035" s="38"/>
      <c r="C1035" s="42" t="s">
        <v>1136</v>
      </c>
      <c r="D1035" s="38"/>
      <c r="E1035" s="38"/>
      <c r="F1035" s="38"/>
      <c r="G1035" s="63" t="s">
        <v>1147</v>
      </c>
      <c r="H1035" s="42" t="s">
        <v>1000</v>
      </c>
      <c r="I1035" s="340">
        <f>global!I199</f>
        <v>0</v>
      </c>
      <c r="J1035" s="315"/>
      <c r="K1035" s="315"/>
      <c r="L1035" s="276"/>
      <c r="M1035" s="276"/>
      <c r="N1035" s="276"/>
      <c r="O1035" s="276"/>
      <c r="P1035" s="276"/>
      <c r="Q1035" s="104"/>
    </row>
    <row r="1036" spans="1:17" ht="12.75" customHeight="1" x14ac:dyDescent="0.3">
      <c r="A1036" s="42"/>
      <c r="B1036" s="38"/>
      <c r="C1036" s="42" t="s">
        <v>1990</v>
      </c>
      <c r="D1036" s="38"/>
      <c r="E1036" s="38"/>
      <c r="F1036" s="38"/>
      <c r="G1036" s="63" t="s">
        <v>1148</v>
      </c>
      <c r="H1036" s="42" t="s">
        <v>999</v>
      </c>
      <c r="I1036" s="340">
        <f>global!I200</f>
        <v>0</v>
      </c>
      <c r="J1036" s="315"/>
      <c r="K1036" s="315"/>
      <c r="L1036" s="276"/>
      <c r="M1036" s="276"/>
      <c r="N1036" s="276"/>
      <c r="O1036" s="276"/>
      <c r="P1036" s="276"/>
      <c r="Q1036" s="104"/>
    </row>
    <row r="1037" spans="1:17" ht="12.75" customHeight="1" x14ac:dyDescent="0.3">
      <c r="A1037" s="42"/>
      <c r="B1037" s="38"/>
      <c r="C1037" s="42" t="s">
        <v>1123</v>
      </c>
      <c r="D1037" s="38"/>
      <c r="E1037" s="38"/>
      <c r="F1037" s="38"/>
      <c r="G1037" s="63" t="s">
        <v>1149</v>
      </c>
      <c r="H1037" s="42" t="s">
        <v>999</v>
      </c>
      <c r="I1037" s="340">
        <f>global!I201</f>
        <v>0</v>
      </c>
      <c r="J1037" s="315"/>
      <c r="K1037" s="315"/>
      <c r="L1037" s="276"/>
      <c r="M1037" s="276"/>
      <c r="N1037" s="276"/>
      <c r="O1037" s="276"/>
      <c r="P1037" s="276"/>
      <c r="Q1037" s="104"/>
    </row>
    <row r="1038" spans="1:17" ht="12.75" customHeight="1" x14ac:dyDescent="0.3">
      <c r="A1038" s="42"/>
      <c r="B1038" s="42" t="s">
        <v>1370</v>
      </c>
      <c r="C1038" s="64"/>
      <c r="D1038" s="38"/>
      <c r="E1038" s="38"/>
      <c r="F1038" s="38"/>
      <c r="G1038" s="63" t="s">
        <v>406</v>
      </c>
      <c r="H1038" s="42" t="s">
        <v>28</v>
      </c>
      <c r="I1038" s="340">
        <f>global!I202</f>
        <v>0</v>
      </c>
      <c r="J1038" s="315"/>
      <c r="K1038" s="315"/>
      <c r="L1038" s="276"/>
      <c r="M1038" s="276"/>
      <c r="N1038" s="276"/>
      <c r="O1038" s="276"/>
      <c r="P1038" s="276"/>
      <c r="Q1038" s="104"/>
    </row>
    <row r="1039" spans="1:17" ht="12.75" customHeight="1" x14ac:dyDescent="0.3">
      <c r="A1039" s="42"/>
      <c r="B1039" s="38"/>
      <c r="C1039" s="42" t="s">
        <v>1371</v>
      </c>
      <c r="D1039" s="38"/>
      <c r="E1039" s="38"/>
      <c r="F1039" s="38"/>
      <c r="G1039" s="63" t="s">
        <v>168</v>
      </c>
      <c r="H1039" s="42" t="s">
        <v>1951</v>
      </c>
      <c r="I1039" s="340">
        <f>global!I203</f>
        <v>0</v>
      </c>
      <c r="J1039" s="315"/>
      <c r="K1039" s="315"/>
      <c r="L1039" s="276"/>
      <c r="M1039" s="276"/>
      <c r="N1039" s="276"/>
      <c r="O1039" s="276"/>
      <c r="P1039" s="276"/>
      <c r="Q1039" s="104"/>
    </row>
    <row r="1040" spans="1:17" ht="12.75" customHeight="1" x14ac:dyDescent="0.3">
      <c r="A1040" s="42"/>
      <c r="B1040" s="38"/>
      <c r="C1040" s="42" t="s">
        <v>538</v>
      </c>
      <c r="D1040" s="38"/>
      <c r="E1040" s="38"/>
      <c r="F1040" s="38"/>
      <c r="G1040" s="63" t="s">
        <v>404</v>
      </c>
      <c r="H1040" s="42" t="s">
        <v>28</v>
      </c>
      <c r="I1040" s="340">
        <f>global!I204</f>
        <v>0</v>
      </c>
      <c r="J1040" s="315"/>
      <c r="K1040" s="315"/>
      <c r="L1040" s="276"/>
      <c r="M1040" s="276"/>
      <c r="N1040" s="276"/>
      <c r="O1040" s="276"/>
      <c r="P1040" s="276"/>
      <c r="Q1040" s="104"/>
    </row>
    <row r="1041" spans="1:17" ht="12.75" customHeight="1" x14ac:dyDescent="0.3">
      <c r="A1041" s="42"/>
      <c r="B1041" s="42" t="s">
        <v>1367</v>
      </c>
      <c r="C1041" s="64"/>
      <c r="D1041" s="38"/>
      <c r="E1041" s="38"/>
      <c r="F1041" s="38"/>
      <c r="G1041" s="63" t="s">
        <v>2004</v>
      </c>
      <c r="H1041" s="42" t="s">
        <v>28</v>
      </c>
      <c r="I1041" s="340">
        <f>global!I205</f>
        <v>0</v>
      </c>
      <c r="J1041" s="315"/>
      <c r="K1041" s="315"/>
      <c r="L1041" s="276"/>
      <c r="M1041" s="276"/>
      <c r="N1041" s="276"/>
      <c r="O1041" s="276"/>
      <c r="P1041" s="276"/>
      <c r="Q1041" s="104"/>
    </row>
    <row r="1042" spans="1:17" ht="12.75" customHeight="1" x14ac:dyDescent="0.3">
      <c r="A1042" s="42"/>
      <c r="B1042" s="42" t="s">
        <v>40</v>
      </c>
      <c r="C1042" s="64"/>
      <c r="D1042" s="38"/>
      <c r="E1042" s="38"/>
      <c r="F1042" s="38"/>
      <c r="G1042" s="63" t="s">
        <v>1297</v>
      </c>
      <c r="H1042" s="42" t="s">
        <v>28</v>
      </c>
      <c r="I1042" s="340">
        <f>global!I206</f>
        <v>0</v>
      </c>
      <c r="J1042" s="315"/>
      <c r="K1042" s="315"/>
      <c r="L1042" s="276"/>
      <c r="M1042" s="276"/>
      <c r="N1042" s="276"/>
      <c r="O1042" s="276"/>
      <c r="P1042" s="276"/>
      <c r="Q1042" s="104"/>
    </row>
    <row r="1043" spans="1:17" ht="12.75" customHeight="1" x14ac:dyDescent="0.3">
      <c r="A1043" s="42"/>
      <c r="B1043" s="42" t="s">
        <v>1296</v>
      </c>
      <c r="C1043" s="64"/>
      <c r="D1043" s="38"/>
      <c r="E1043" s="38"/>
      <c r="F1043" s="38"/>
      <c r="G1043" s="63" t="s">
        <v>1298</v>
      </c>
      <c r="H1043" s="42" t="s">
        <v>28</v>
      </c>
      <c r="I1043" s="340">
        <f>global!I207</f>
        <v>0</v>
      </c>
      <c r="J1043" s="315"/>
      <c r="K1043" s="315"/>
      <c r="L1043" s="276"/>
      <c r="M1043" s="276"/>
      <c r="N1043" s="276"/>
      <c r="O1043" s="276"/>
      <c r="P1043" s="276"/>
      <c r="Q1043" s="104"/>
    </row>
    <row r="1044" spans="1:17" ht="12.75" customHeight="1" x14ac:dyDescent="0.3">
      <c r="A1044" s="42"/>
      <c r="B1044" s="38"/>
      <c r="C1044" s="42" t="s">
        <v>1368</v>
      </c>
      <c r="D1044" s="38"/>
      <c r="E1044" s="38"/>
      <c r="F1044" s="38"/>
      <c r="G1044" s="63" t="s">
        <v>163</v>
      </c>
      <c r="H1044" s="42" t="s">
        <v>1951</v>
      </c>
      <c r="I1044" s="340">
        <f>global!I208</f>
        <v>0</v>
      </c>
      <c r="J1044" s="315"/>
      <c r="K1044" s="315"/>
      <c r="L1044" s="276"/>
      <c r="M1044" s="276"/>
      <c r="N1044" s="276"/>
      <c r="O1044" s="276"/>
      <c r="P1044" s="276"/>
      <c r="Q1044" s="104"/>
    </row>
    <row r="1045" spans="1:17" ht="12.75" customHeight="1" x14ac:dyDescent="0.3">
      <c r="A1045" s="42"/>
      <c r="B1045" s="38"/>
      <c r="C1045" s="42" t="s">
        <v>1369</v>
      </c>
      <c r="D1045" s="38"/>
      <c r="E1045" s="38"/>
      <c r="F1045" s="38"/>
      <c r="G1045" s="63" t="s">
        <v>405</v>
      </c>
      <c r="H1045" s="42" t="s">
        <v>28</v>
      </c>
      <c r="I1045" s="340">
        <f>global!I209</f>
        <v>0</v>
      </c>
      <c r="J1045" s="315"/>
      <c r="K1045" s="315"/>
      <c r="L1045" s="276"/>
      <c r="M1045" s="276"/>
      <c r="N1045" s="276"/>
      <c r="O1045" s="276"/>
      <c r="P1045" s="276"/>
      <c r="Q1045" s="104"/>
    </row>
    <row r="1046" spans="1:17" ht="12.75" customHeight="1" x14ac:dyDescent="0.3">
      <c r="A1046" s="38"/>
      <c r="B1046" s="38"/>
      <c r="C1046" s="38"/>
      <c r="D1046" s="38"/>
      <c r="E1046" s="38"/>
      <c r="F1046" s="38"/>
      <c r="G1046" s="38"/>
      <c r="H1046" s="38"/>
      <c r="I1046" s="178"/>
      <c r="J1046" s="322"/>
      <c r="K1046" s="322"/>
      <c r="L1046" s="285"/>
      <c r="M1046" s="285"/>
      <c r="N1046" s="285"/>
      <c r="O1046" s="285"/>
      <c r="P1046" s="285"/>
      <c r="Q1046" s="104"/>
    </row>
    <row r="1047" spans="1:17" ht="12.75" customHeight="1" x14ac:dyDescent="0.3">
      <c r="A1047" s="67" t="s">
        <v>1306</v>
      </c>
      <c r="B1047" s="66"/>
      <c r="C1047" s="66"/>
      <c r="D1047" s="66"/>
      <c r="E1047" s="66"/>
      <c r="F1047" s="66"/>
      <c r="G1047" s="66"/>
      <c r="H1047" s="66"/>
      <c r="I1047" s="189" t="s">
        <v>748</v>
      </c>
      <c r="J1047" s="319"/>
      <c r="K1047" s="319"/>
      <c r="L1047" s="281"/>
      <c r="M1047" s="281"/>
      <c r="N1047" s="281"/>
      <c r="O1047" s="281"/>
      <c r="P1047" s="281"/>
      <c r="Q1047" s="104"/>
    </row>
    <row r="1048" spans="1:17" ht="12.75" customHeight="1" x14ac:dyDescent="0.3">
      <c r="A1048" s="38"/>
      <c r="B1048" s="38"/>
      <c r="C1048" s="38"/>
      <c r="D1048" s="38"/>
      <c r="E1048" s="38"/>
      <c r="F1048" s="38"/>
      <c r="G1048" s="38"/>
      <c r="H1048" s="38"/>
      <c r="I1048" s="162"/>
      <c r="J1048" s="322"/>
      <c r="K1048" s="322"/>
      <c r="L1048" s="285"/>
      <c r="M1048" s="285"/>
      <c r="N1048" s="285"/>
      <c r="O1048" s="285"/>
      <c r="P1048" s="285"/>
      <c r="Q1048" s="104"/>
    </row>
    <row r="1049" spans="1:17" ht="12.75" customHeight="1" x14ac:dyDescent="0.3">
      <c r="A1049" s="42" t="s">
        <v>85</v>
      </c>
      <c r="B1049" s="38"/>
      <c r="C1049" s="38"/>
      <c r="D1049" s="38"/>
      <c r="E1049" s="38"/>
      <c r="F1049" s="38"/>
      <c r="G1049" s="42" t="s">
        <v>1254</v>
      </c>
      <c r="H1049" s="42" t="s">
        <v>1926</v>
      </c>
      <c r="I1049" s="340">
        <f>global!I213</f>
        <v>0</v>
      </c>
      <c r="J1049" s="315"/>
      <c r="K1049" s="315">
        <f ca="1">((DRYDEPaerosol.A+AerosolWashout.A+GasWashout.A+GASABS.aA.wA)/HEIGHT.aC)*AREAFRAC.wA</f>
        <v>202.33363905900671</v>
      </c>
      <c r="L1049" s="315">
        <f ca="1">((DRYDEPaerosol.A+AerosolWashout.A+GasWashout.A+GASABS.aA.wA)/HEIGHT.aC)*AREAFRAC.wA</f>
        <v>202.33363905900671</v>
      </c>
      <c r="M1049" s="315">
        <f ca="1">((DRYDEPaerosol.A+AerosolWashout.A+GasWashout.A+GASABS.aA.wA)/HEIGHT.aC)*AREAFRAC.wA</f>
        <v>202.33363905900671</v>
      </c>
      <c r="N1049" s="315">
        <f ca="1">((DRYDEPaerosol.A+AerosolWashout.A+GasWashout.A+GASABS.aA.wA)/HEIGHT.aC)*AREAFRAC.wA</f>
        <v>202.33363905900671</v>
      </c>
      <c r="O1049" s="315">
        <f ca="1">((DRYDEPaerosol.A+AerosolWashout.A+GasWashout.A+GASABS.aA.wA)/HEIGHT.aC)*AREAFRAC.wA</f>
        <v>202.33363905900671</v>
      </c>
      <c r="P1049" s="276"/>
      <c r="Q1049" s="104"/>
    </row>
    <row r="1050" spans="1:17" ht="12.75" customHeight="1" x14ac:dyDescent="0.3">
      <c r="A1050" s="42" t="s">
        <v>86</v>
      </c>
      <c r="B1050" s="38"/>
      <c r="C1050" s="38"/>
      <c r="D1050" s="38"/>
      <c r="E1050" s="38"/>
      <c r="F1050" s="38"/>
      <c r="G1050" s="42" t="s">
        <v>841</v>
      </c>
      <c r="H1050" s="42" t="s">
        <v>1926</v>
      </c>
      <c r="I1050" s="340">
        <f>global!I214</f>
        <v>0</v>
      </c>
      <c r="J1050" s="315"/>
      <c r="K1050" s="315">
        <f ca="1">((DRYDEPaerosol.A+AerosolWashout.A+GasWashout.A+GASABS.aA.sA)/HEIGHT.aC)*AREAFRAC.sA</f>
        <v>134.88909270600448</v>
      </c>
      <c r="L1050" s="315">
        <f ca="1">((DRYDEPaerosol.A+AerosolWashout.A+GasWashout.A+GASABS.aA.sA)/HEIGHT.aC)*AREAFRAC.sA</f>
        <v>134.88909270600448</v>
      </c>
      <c r="M1050" s="315">
        <f ca="1">((DRYDEPaerosol.A+AerosolWashout.A+GasWashout.A+GASABS.aA.sA)/HEIGHT.aC)*AREAFRAC.sA</f>
        <v>134.88909270600448</v>
      </c>
      <c r="N1050" s="315">
        <f ca="1">((DRYDEPaerosol.A+AerosolWashout.A+GasWashout.A+GASABS.aA.sA)/HEIGHT.aC)*AREAFRAC.sA</f>
        <v>134.88909270600448</v>
      </c>
      <c r="O1050" s="315">
        <f ca="1">((DRYDEPaerosol.A+AerosolWashout.A+GasWashout.A+GASABS.aA.sA)/HEIGHT.aC)*AREAFRAC.sA</f>
        <v>134.88909270600448</v>
      </c>
      <c r="P1050" s="276"/>
      <c r="Q1050" s="104"/>
    </row>
    <row r="1051" spans="1:17" ht="12.75" customHeight="1" x14ac:dyDescent="0.3">
      <c r="A1051" s="42" t="s">
        <v>87</v>
      </c>
      <c r="B1051" s="38"/>
      <c r="C1051" s="38"/>
      <c r="D1051" s="38"/>
      <c r="E1051" s="38"/>
      <c r="F1051" s="38"/>
      <c r="G1051" s="42" t="s">
        <v>1255</v>
      </c>
      <c r="H1051" s="42" t="s">
        <v>1926</v>
      </c>
      <c r="I1051" s="340">
        <f>global!I215</f>
        <v>0</v>
      </c>
      <c r="J1051" s="315"/>
      <c r="K1051" s="315"/>
      <c r="L1051" s="276"/>
      <c r="M1051" s="276"/>
      <c r="N1051" s="276"/>
      <c r="O1051" s="276"/>
      <c r="P1051" s="276"/>
      <c r="Q1051" s="104"/>
    </row>
    <row r="1052" spans="1:17" ht="12.75" customHeight="1" x14ac:dyDescent="0.3">
      <c r="A1052" s="42" t="s">
        <v>88</v>
      </c>
      <c r="B1052" s="38"/>
      <c r="C1052" s="38"/>
      <c r="D1052" s="38"/>
      <c r="E1052" s="38"/>
      <c r="F1052" s="38"/>
      <c r="G1052" s="42" t="s">
        <v>842</v>
      </c>
      <c r="H1052" s="42" t="s">
        <v>1926</v>
      </c>
      <c r="I1052" s="340">
        <f>global!I216</f>
        <v>0</v>
      </c>
      <c r="J1052" s="315"/>
      <c r="K1052" s="315"/>
      <c r="L1052" s="276"/>
      <c r="M1052" s="276"/>
      <c r="N1052" s="276"/>
      <c r="O1052" s="276"/>
      <c r="P1052" s="276"/>
      <c r="Q1052" s="104"/>
    </row>
    <row r="1053" spans="1:17" ht="12.75" customHeight="1" x14ac:dyDescent="0.3">
      <c r="A1053" s="42"/>
      <c r="B1053" s="42" t="s">
        <v>1874</v>
      </c>
      <c r="C1053" s="38"/>
      <c r="D1053" s="38"/>
      <c r="E1053" s="38"/>
      <c r="F1053" s="38"/>
      <c r="G1053" s="43" t="s">
        <v>1891</v>
      </c>
      <c r="H1053" s="42" t="s">
        <v>1926</v>
      </c>
      <c r="I1053" s="340">
        <f>global!I217</f>
        <v>0</v>
      </c>
      <c r="J1053" s="315"/>
      <c r="K1053" s="315"/>
      <c r="L1053" s="276"/>
      <c r="M1053" s="276"/>
      <c r="N1053" s="276"/>
      <c r="O1053" s="276"/>
      <c r="P1053" s="276"/>
      <c r="Q1053" s="104"/>
    </row>
    <row r="1054" spans="1:17" ht="12.75" customHeight="1" x14ac:dyDescent="0.3">
      <c r="A1054" s="42"/>
      <c r="B1054" s="42"/>
      <c r="C1054" s="38" t="s">
        <v>1875</v>
      </c>
      <c r="D1054" s="38"/>
      <c r="E1054" s="38"/>
      <c r="F1054" s="38"/>
      <c r="G1054" s="43" t="s">
        <v>1892</v>
      </c>
      <c r="H1054" s="42" t="s">
        <v>1926</v>
      </c>
      <c r="I1054" s="340">
        <f>global!I218</f>
        <v>0</v>
      </c>
      <c r="J1054" s="315"/>
      <c r="K1054" s="315"/>
      <c r="L1054" s="276"/>
      <c r="M1054" s="276"/>
      <c r="N1054" s="276"/>
      <c r="O1054" s="276"/>
      <c r="P1054" s="276"/>
      <c r="Q1054" s="104"/>
    </row>
    <row r="1055" spans="1:17" ht="12.75" customHeight="1" x14ac:dyDescent="0.3">
      <c r="A1055" s="42"/>
      <c r="B1055" s="42"/>
      <c r="C1055" s="42"/>
      <c r="D1055" s="42" t="s">
        <v>1956</v>
      </c>
      <c r="E1055" s="38"/>
      <c r="F1055" s="38"/>
      <c r="G1055" s="43" t="s">
        <v>753</v>
      </c>
      <c r="H1055" s="42" t="s">
        <v>1926</v>
      </c>
      <c r="I1055" s="340">
        <f>global!I219</f>
        <v>0</v>
      </c>
      <c r="J1055" s="315"/>
      <c r="K1055" s="315"/>
      <c r="L1055" s="276"/>
      <c r="M1055" s="276"/>
      <c r="N1055" s="276"/>
      <c r="O1055" s="276"/>
      <c r="P1055" s="276"/>
      <c r="Q1055" s="104"/>
    </row>
    <row r="1056" spans="1:17" ht="12.75" customHeight="1" x14ac:dyDescent="0.3">
      <c r="A1056" s="42"/>
      <c r="B1056" s="42"/>
      <c r="C1056" s="42"/>
      <c r="D1056" s="42" t="s">
        <v>1957</v>
      </c>
      <c r="E1056" s="38"/>
      <c r="F1056" s="38"/>
      <c r="G1056" s="43" t="s">
        <v>754</v>
      </c>
      <c r="H1056" s="42" t="s">
        <v>1926</v>
      </c>
      <c r="I1056" s="340">
        <f>global!I220</f>
        <v>0</v>
      </c>
      <c r="J1056" s="315"/>
      <c r="K1056" s="315"/>
      <c r="L1056" s="276"/>
      <c r="M1056" s="276"/>
      <c r="N1056" s="276"/>
      <c r="O1056" s="276"/>
      <c r="P1056" s="276"/>
      <c r="Q1056" s="104"/>
    </row>
    <row r="1057" spans="1:17" ht="12.75" customHeight="1" x14ac:dyDescent="0.3">
      <c r="A1057" s="42"/>
      <c r="B1057" s="38" t="s">
        <v>890</v>
      </c>
      <c r="C1057" s="38"/>
      <c r="D1057" s="38"/>
      <c r="E1057" s="38"/>
      <c r="F1057" s="38"/>
      <c r="G1057" s="38" t="s">
        <v>755</v>
      </c>
      <c r="H1057" s="38" t="s">
        <v>1779</v>
      </c>
      <c r="I1057" s="340">
        <f>global!I221</f>
        <v>0</v>
      </c>
      <c r="J1057" s="315"/>
      <c r="K1057" s="315"/>
      <c r="L1057" s="276"/>
      <c r="M1057" s="276"/>
      <c r="N1057" s="276"/>
      <c r="O1057" s="276"/>
      <c r="P1057" s="276"/>
      <c r="Q1057" s="104"/>
    </row>
    <row r="1058" spans="1:17" ht="12.75" customHeight="1" x14ac:dyDescent="0.3">
      <c r="A1058" s="42"/>
      <c r="B1058" s="38" t="s">
        <v>892</v>
      </c>
      <c r="C1058" s="38"/>
      <c r="D1058" s="38"/>
      <c r="E1058" s="38"/>
      <c r="F1058" s="38"/>
      <c r="G1058" s="38" t="s">
        <v>756</v>
      </c>
      <c r="H1058" s="38" t="s">
        <v>1779</v>
      </c>
      <c r="I1058" s="340">
        <f>global!I222</f>
        <v>0</v>
      </c>
      <c r="J1058" s="315"/>
      <c r="K1058" s="315"/>
      <c r="L1058" s="276"/>
      <c r="M1058" s="276"/>
      <c r="N1058" s="276"/>
      <c r="O1058" s="276"/>
      <c r="P1058" s="276"/>
      <c r="Q1058" s="104"/>
    </row>
    <row r="1059" spans="1:17" ht="12.75" customHeight="1" x14ac:dyDescent="0.3">
      <c r="A1059" s="42"/>
      <c r="B1059" s="42" t="s">
        <v>484</v>
      </c>
      <c r="C1059" s="38"/>
      <c r="D1059" s="38"/>
      <c r="E1059" s="38"/>
      <c r="F1059" s="38"/>
      <c r="G1059" s="63" t="s">
        <v>408</v>
      </c>
      <c r="H1059" s="39" t="s">
        <v>1958</v>
      </c>
      <c r="I1059" s="340">
        <f>global!I223</f>
        <v>0</v>
      </c>
      <c r="J1059" s="315"/>
      <c r="K1059" s="315">
        <f>AEROSOLdeprate.A*FRaers.aA</f>
        <v>2.2340578623133254E-4</v>
      </c>
      <c r="L1059" s="315">
        <f>AEROSOLdeprate.A*FRaers.aA</f>
        <v>2.2340578623133254E-4</v>
      </c>
      <c r="M1059" s="315">
        <f>AEROSOLdeprate.A*FRaers.aA</f>
        <v>2.2340578623133254E-4</v>
      </c>
      <c r="N1059" s="315">
        <f>AEROSOLdeprate.A*FRaers.aA</f>
        <v>2.2340578623133254E-4</v>
      </c>
      <c r="O1059" s="315">
        <f>AEROSOLdeprate.A*FRaers.aA</f>
        <v>2.2340578623133254E-4</v>
      </c>
      <c r="P1059" s="276"/>
      <c r="Q1059" s="104"/>
    </row>
    <row r="1060" spans="1:17" ht="12.75" customHeight="1" x14ac:dyDescent="0.3">
      <c r="A1060" s="42"/>
      <c r="B1060" s="42" t="s">
        <v>739</v>
      </c>
      <c r="C1060" s="38"/>
      <c r="D1060" s="38"/>
      <c r="E1060" s="38"/>
      <c r="F1060" s="38"/>
      <c r="G1060" s="43" t="s">
        <v>984</v>
      </c>
      <c r="H1060" s="64" t="s">
        <v>1958</v>
      </c>
      <c r="I1060" s="340">
        <f>global!I224</f>
        <v>0</v>
      </c>
      <c r="J1060" s="315"/>
      <c r="K1060" s="315">
        <f>(1-FRgas.aA)*COLLECTeff.A*RAINrate.A</f>
        <v>1.5854895990454042E-3</v>
      </c>
      <c r="L1060" s="276">
        <f>(1-FRgas.aA)*COLLECTeff.A*RAINrate.A</f>
        <v>1.5854895990454042E-3</v>
      </c>
      <c r="M1060" s="276">
        <f>(1-FRgas.aA)*COLLECTeff.A*RAINrate.A</f>
        <v>1.5854895990454042E-3</v>
      </c>
      <c r="N1060" s="276">
        <f>(1-FRgas.aA)*COLLECTeff.A*RAINrate.A</f>
        <v>1.5854895990454042E-3</v>
      </c>
      <c r="O1060" s="276">
        <f>(1-FRgas.aA)*COLLECTeff.A*RAINrate.A</f>
        <v>1.5854895990454042E-3</v>
      </c>
      <c r="P1060" s="276"/>
      <c r="Q1060" s="104"/>
    </row>
    <row r="1061" spans="1:17" ht="12.75" customHeight="1" x14ac:dyDescent="0.3">
      <c r="A1061" s="42"/>
      <c r="B1061" s="42" t="s">
        <v>740</v>
      </c>
      <c r="C1061" s="38"/>
      <c r="D1061" s="38"/>
      <c r="E1061" s="38"/>
      <c r="F1061" s="38"/>
      <c r="G1061" s="43" t="s">
        <v>985</v>
      </c>
      <c r="H1061" s="64" t="s">
        <v>1958</v>
      </c>
      <c r="I1061" s="340">
        <f>global!I225</f>
        <v>0</v>
      </c>
      <c r="J1061" s="315"/>
      <c r="K1061" s="315">
        <f>FRgas.aA*RAINrate.A/Kaw.A</f>
        <v>5096.4202216186395</v>
      </c>
      <c r="L1061" s="276">
        <f>FRgas.aA*RAINrate.A/Kaw.A</f>
        <v>5096.4202216186395</v>
      </c>
      <c r="M1061" s="276">
        <f>FRgas.aA*RAINrate.A/Kaw.A</f>
        <v>5096.4202216186395</v>
      </c>
      <c r="N1061" s="276">
        <f>FRgas.aA*RAINrate.A/Kaw.A</f>
        <v>5096.4202216186395</v>
      </c>
      <c r="O1061" s="276">
        <f>FRgas.aA*RAINrate.A/Kaw.A</f>
        <v>5096.4202216186395</v>
      </c>
      <c r="P1061" s="276"/>
      <c r="Q1061" s="104"/>
    </row>
    <row r="1062" spans="1:17" ht="12.75" customHeight="1" x14ac:dyDescent="0.3">
      <c r="A1062" s="42"/>
      <c r="B1062" s="38"/>
      <c r="C1062" s="64" t="s">
        <v>741</v>
      </c>
      <c r="D1062" s="64"/>
      <c r="E1062" s="64"/>
      <c r="F1062" s="64"/>
      <c r="G1062" s="63" t="s">
        <v>485</v>
      </c>
      <c r="H1062" s="39" t="s">
        <v>1958</v>
      </c>
      <c r="I1062" s="340">
        <f>global!I226</f>
        <v>0</v>
      </c>
      <c r="J1062" s="315"/>
      <c r="K1062" s="315"/>
      <c r="L1062" s="276"/>
      <c r="M1062" s="276"/>
      <c r="N1062" s="276"/>
      <c r="O1062" s="276"/>
      <c r="P1062" s="276"/>
      <c r="Q1062" s="104"/>
    </row>
    <row r="1063" spans="1:17" ht="12.75" customHeight="1" x14ac:dyDescent="0.3">
      <c r="A1063" s="42"/>
      <c r="B1063" s="38"/>
      <c r="C1063" s="42" t="s">
        <v>742</v>
      </c>
      <c r="D1063" s="64"/>
      <c r="E1063" s="64"/>
      <c r="F1063" s="64"/>
      <c r="G1063" s="63" t="s">
        <v>486</v>
      </c>
      <c r="H1063" s="64" t="s">
        <v>1965</v>
      </c>
      <c r="I1063" s="340">
        <f>global!I227</f>
        <v>0</v>
      </c>
      <c r="J1063" s="315"/>
      <c r="K1063" s="315"/>
      <c r="L1063" s="276"/>
      <c r="M1063" s="276"/>
      <c r="N1063" s="276"/>
      <c r="O1063" s="276"/>
      <c r="P1063" s="276"/>
      <c r="Q1063" s="104"/>
    </row>
    <row r="1064" spans="1:17" ht="12.75" customHeight="1" x14ac:dyDescent="0.3">
      <c r="A1064" s="42"/>
      <c r="B1064" s="38"/>
      <c r="C1064" s="42" t="s">
        <v>440</v>
      </c>
      <c r="D1064" s="38"/>
      <c r="E1064" s="38"/>
      <c r="F1064" s="38"/>
      <c r="G1064" s="63" t="s">
        <v>487</v>
      </c>
      <c r="H1064" s="42" t="s">
        <v>28</v>
      </c>
      <c r="I1064" s="340">
        <f>global!I228</f>
        <v>0</v>
      </c>
      <c r="J1064" s="315"/>
      <c r="K1064" s="315"/>
      <c r="L1064" s="276"/>
      <c r="M1064" s="276"/>
      <c r="N1064" s="276"/>
      <c r="O1064" s="276"/>
      <c r="P1064" s="276"/>
      <c r="Q1064" s="104"/>
    </row>
    <row r="1065" spans="1:17" ht="12.75" customHeight="1" x14ac:dyDescent="0.3">
      <c r="A1065" s="42"/>
      <c r="B1065" s="42" t="s">
        <v>1825</v>
      </c>
      <c r="C1065" s="38"/>
      <c r="D1065" s="38"/>
      <c r="E1065" s="64"/>
      <c r="F1065" s="64"/>
      <c r="G1065" s="43" t="s">
        <v>1893</v>
      </c>
      <c r="H1065" s="42" t="s">
        <v>1959</v>
      </c>
      <c r="I1065" s="340">
        <f>global!I229</f>
        <v>0</v>
      </c>
      <c r="J1065" s="315"/>
      <c r="K1065" s="315"/>
      <c r="L1065" s="276"/>
      <c r="M1065" s="276"/>
      <c r="N1065" s="276"/>
      <c r="O1065" s="276"/>
      <c r="P1065" s="276"/>
      <c r="Q1065" s="104"/>
    </row>
    <row r="1066" spans="1:17" ht="12.75" customHeight="1" x14ac:dyDescent="0.3">
      <c r="A1066" s="42"/>
      <c r="B1066" s="42" t="s">
        <v>1826</v>
      </c>
      <c r="C1066" s="38"/>
      <c r="D1066" s="38"/>
      <c r="E1066" s="64"/>
      <c r="F1066" s="64"/>
      <c r="G1066" s="43" t="s">
        <v>1894</v>
      </c>
      <c r="H1066" s="42" t="s">
        <v>1959</v>
      </c>
      <c r="I1066" s="340">
        <f>global!I230</f>
        <v>0</v>
      </c>
      <c r="J1066" s="315"/>
      <c r="K1066" s="315"/>
      <c r="L1066" s="276"/>
      <c r="M1066" s="276"/>
      <c r="N1066" s="276"/>
      <c r="O1066" s="276"/>
      <c r="P1066" s="276"/>
      <c r="Q1066" s="104"/>
    </row>
    <row r="1067" spans="1:17" ht="12.75" customHeight="1" x14ac:dyDescent="0.3">
      <c r="A1067" s="42"/>
      <c r="B1067" s="42" t="s">
        <v>1878</v>
      </c>
      <c r="C1067" s="38"/>
      <c r="D1067" s="38"/>
      <c r="E1067" s="38"/>
      <c r="F1067" s="38"/>
      <c r="G1067" s="43" t="s">
        <v>1895</v>
      </c>
      <c r="H1067" s="42" t="s">
        <v>1959</v>
      </c>
      <c r="I1067" s="340">
        <f>global!I231</f>
        <v>0</v>
      </c>
      <c r="J1067" s="315"/>
      <c r="K1067" s="315"/>
      <c r="L1067" s="276"/>
      <c r="M1067" s="276"/>
      <c r="N1067" s="276"/>
      <c r="O1067" s="276"/>
      <c r="P1067" s="276"/>
      <c r="Q1067" s="104"/>
    </row>
    <row r="1068" spans="1:17" ht="12.75" customHeight="1" x14ac:dyDescent="0.3">
      <c r="A1068" s="42"/>
      <c r="B1068" s="42" t="s">
        <v>1880</v>
      </c>
      <c r="C1068" s="38"/>
      <c r="D1068" s="38"/>
      <c r="E1068" s="64"/>
      <c r="F1068" s="64"/>
      <c r="G1068" s="43" t="s">
        <v>1897</v>
      </c>
      <c r="H1068" s="42" t="s">
        <v>1959</v>
      </c>
      <c r="I1068" s="340">
        <f>global!I232</f>
        <v>0</v>
      </c>
      <c r="J1068" s="315"/>
      <c r="K1068" s="315"/>
      <c r="L1068" s="276"/>
      <c r="M1068" s="276"/>
      <c r="N1068" s="276"/>
      <c r="O1068" s="276"/>
      <c r="P1068" s="276"/>
      <c r="Q1068" s="104"/>
    </row>
    <row r="1069" spans="1:17" ht="12.75" customHeight="1" x14ac:dyDescent="0.3">
      <c r="A1069" s="38"/>
      <c r="B1069" s="42"/>
      <c r="C1069" s="38" t="s">
        <v>1070</v>
      </c>
      <c r="D1069" s="38"/>
      <c r="E1069" s="38"/>
      <c r="F1069" s="38"/>
      <c r="G1069" s="38" t="s">
        <v>2005</v>
      </c>
      <c r="H1069" s="39" t="s">
        <v>1958</v>
      </c>
      <c r="I1069" s="340">
        <f>global!I233</f>
        <v>0</v>
      </c>
      <c r="J1069" s="315"/>
      <c r="K1069" s="315"/>
      <c r="L1069" s="276"/>
      <c r="M1069" s="276"/>
      <c r="N1069" s="276"/>
      <c r="O1069" s="276"/>
      <c r="P1069" s="276"/>
      <c r="Q1069" s="104"/>
    </row>
    <row r="1070" spans="1:17" ht="12.75" customHeight="1" x14ac:dyDescent="0.3">
      <c r="A1070" s="38"/>
      <c r="B1070" s="42"/>
      <c r="C1070" s="38" t="s">
        <v>1009</v>
      </c>
      <c r="D1070" s="38"/>
      <c r="E1070" s="38"/>
      <c r="F1070" s="38"/>
      <c r="G1070" s="38" t="s">
        <v>2006</v>
      </c>
      <c r="H1070" s="39" t="s">
        <v>1958</v>
      </c>
      <c r="I1070" s="340">
        <f>global!I234</f>
        <v>0</v>
      </c>
      <c r="J1070" s="315"/>
      <c r="K1070" s="315"/>
      <c r="L1070" s="276"/>
      <c r="M1070" s="276"/>
      <c r="N1070" s="276"/>
      <c r="O1070" s="276"/>
      <c r="P1070" s="276"/>
      <c r="Q1070" s="104"/>
    </row>
    <row r="1071" spans="1:17" ht="12.75" customHeight="1" x14ac:dyDescent="0.3">
      <c r="A1071" s="42"/>
      <c r="B1071" s="38"/>
      <c r="C1071" s="38"/>
      <c r="D1071" s="64" t="s">
        <v>699</v>
      </c>
      <c r="E1071" s="38"/>
      <c r="F1071" s="38"/>
      <c r="G1071" s="43" t="s">
        <v>402</v>
      </c>
      <c r="H1071" s="39" t="s">
        <v>1958</v>
      </c>
      <c r="I1071" s="340">
        <f>global!I235</f>
        <v>0</v>
      </c>
      <c r="J1071" s="315"/>
      <c r="K1071" s="315"/>
      <c r="L1071" s="276"/>
      <c r="M1071" s="276"/>
      <c r="N1071" s="276"/>
      <c r="O1071" s="276"/>
      <c r="P1071" s="276"/>
      <c r="Q1071" s="104"/>
    </row>
    <row r="1072" spans="1:17" ht="12.75" customHeight="1" x14ac:dyDescent="0.3">
      <c r="A1072" s="42"/>
      <c r="B1072" s="42"/>
      <c r="C1072" s="38" t="s">
        <v>1010</v>
      </c>
      <c r="D1072" s="38"/>
      <c r="E1072" s="64"/>
      <c r="F1072" s="64"/>
      <c r="G1072" s="38" t="s">
        <v>2007</v>
      </c>
      <c r="H1072" s="39" t="s">
        <v>1958</v>
      </c>
      <c r="I1072" s="340">
        <f>global!I236</f>
        <v>0</v>
      </c>
      <c r="J1072" s="315"/>
      <c r="K1072" s="315"/>
      <c r="L1072" s="276"/>
      <c r="M1072" s="276"/>
      <c r="N1072" s="276"/>
      <c r="O1072" s="276"/>
      <c r="P1072" s="276"/>
      <c r="Q1072" s="104"/>
    </row>
    <row r="1073" spans="1:17" ht="12.75" customHeight="1" x14ac:dyDescent="0.3">
      <c r="A1073" s="42"/>
      <c r="B1073" s="42"/>
      <c r="C1073" s="38" t="s">
        <v>850</v>
      </c>
      <c r="D1073" s="38"/>
      <c r="E1073" s="38"/>
      <c r="F1073" s="38"/>
      <c r="G1073" s="38" t="s">
        <v>2008</v>
      </c>
      <c r="H1073" s="64" t="s">
        <v>1958</v>
      </c>
      <c r="I1073" s="340">
        <f>global!I237</f>
        <v>0</v>
      </c>
      <c r="J1073" s="315"/>
      <c r="K1073" s="315">
        <v>2.799723603513301E-9</v>
      </c>
      <c r="L1073" s="276">
        <v>2.799723603513301E-9</v>
      </c>
      <c r="M1073" s="276">
        <v>2.799723603513301E-9</v>
      </c>
      <c r="N1073" s="276">
        <v>2.799723603513301E-9</v>
      </c>
      <c r="O1073" s="276"/>
      <c r="P1073" s="276">
        <v>2.799723603513301E-9</v>
      </c>
      <c r="Q1073" s="104"/>
    </row>
    <row r="1074" spans="1:17" ht="12.75" customHeight="1" x14ac:dyDescent="0.3">
      <c r="A1074" s="42"/>
      <c r="B1074" s="42"/>
      <c r="C1074" s="38" t="s">
        <v>177</v>
      </c>
      <c r="D1074" s="38"/>
      <c r="E1074" s="64"/>
      <c r="F1074" s="38"/>
      <c r="G1074" s="43" t="s">
        <v>878</v>
      </c>
      <c r="H1074" s="38" t="s">
        <v>28</v>
      </c>
      <c r="I1074" s="340">
        <f>global!I238</f>
        <v>0</v>
      </c>
      <c r="J1074" s="315"/>
      <c r="K1074" s="315">
        <v>1</v>
      </c>
      <c r="L1074" s="276">
        <v>1</v>
      </c>
      <c r="M1074" s="276">
        <v>1</v>
      </c>
      <c r="N1074" s="276">
        <v>1</v>
      </c>
      <c r="O1074" s="276"/>
      <c r="P1074" s="276">
        <v>1</v>
      </c>
      <c r="Q1074" s="104"/>
    </row>
    <row r="1075" spans="1:17" ht="12.75" customHeight="1" x14ac:dyDescent="0.3">
      <c r="A1075" s="38"/>
      <c r="B1075" s="38"/>
      <c r="C1075" s="38"/>
      <c r="D1075" s="38"/>
      <c r="E1075" s="38"/>
      <c r="F1075" s="38"/>
      <c r="G1075" s="38"/>
      <c r="H1075" s="38"/>
      <c r="I1075" s="343"/>
      <c r="J1075" s="318"/>
      <c r="K1075" s="318"/>
      <c r="L1075" s="280"/>
      <c r="M1075" s="280"/>
      <c r="N1075" s="280"/>
      <c r="O1075" s="280"/>
      <c r="P1075" s="280"/>
      <c r="Q1075" s="104"/>
    </row>
    <row r="1076" spans="1:17" ht="12.75" customHeight="1" x14ac:dyDescent="0.3">
      <c r="A1076" s="42" t="s">
        <v>89</v>
      </c>
      <c r="B1076" s="38"/>
      <c r="C1076" s="38"/>
      <c r="D1076" s="38"/>
      <c r="E1076" s="38"/>
      <c r="F1076" s="38"/>
      <c r="G1076" s="43" t="s">
        <v>1157</v>
      </c>
      <c r="H1076" s="42" t="s">
        <v>1926</v>
      </c>
      <c r="I1076" s="340">
        <f>global!I240</f>
        <v>0</v>
      </c>
      <c r="J1076" s="315"/>
      <c r="K1076" s="315"/>
      <c r="L1076" s="276"/>
      <c r="M1076" s="276"/>
      <c r="N1076" s="276"/>
      <c r="O1076" s="276"/>
      <c r="P1076" s="276"/>
      <c r="Q1076" s="104"/>
    </row>
    <row r="1077" spans="1:17" ht="12.75" customHeight="1" x14ac:dyDescent="0.3">
      <c r="A1077" s="42" t="s">
        <v>90</v>
      </c>
      <c r="B1077" s="38"/>
      <c r="C1077" s="38"/>
      <c r="D1077" s="38"/>
      <c r="E1077" s="38"/>
      <c r="F1077" s="38"/>
      <c r="G1077" s="43" t="s">
        <v>1158</v>
      </c>
      <c r="H1077" s="42" t="s">
        <v>1926</v>
      </c>
      <c r="I1077" s="340">
        <f>global!I241</f>
        <v>0</v>
      </c>
      <c r="J1077" s="315"/>
      <c r="K1077" s="315"/>
      <c r="L1077" s="276"/>
      <c r="M1077" s="276"/>
      <c r="N1077" s="276"/>
      <c r="O1077" s="276"/>
      <c r="P1077" s="276"/>
      <c r="Q1077" s="104"/>
    </row>
    <row r="1078" spans="1:17" ht="12.75" customHeight="1" x14ac:dyDescent="0.3">
      <c r="A1078" s="42"/>
      <c r="B1078" s="42" t="s">
        <v>1881</v>
      </c>
      <c r="C1078" s="38"/>
      <c r="D1078" s="38"/>
      <c r="E1078" s="38"/>
      <c r="F1078" s="38"/>
      <c r="G1078" s="43" t="s">
        <v>1898</v>
      </c>
      <c r="H1078" s="42" t="s">
        <v>1959</v>
      </c>
      <c r="I1078" s="340">
        <f>global!I242</f>
        <v>0</v>
      </c>
      <c r="J1078" s="315"/>
      <c r="K1078" s="315"/>
      <c r="L1078" s="276"/>
      <c r="M1078" s="276"/>
      <c r="N1078" s="276"/>
      <c r="O1078" s="276"/>
      <c r="P1078" s="276"/>
      <c r="Q1078" s="104"/>
    </row>
    <row r="1079" spans="1:17" ht="12.75" customHeight="1" x14ac:dyDescent="0.3">
      <c r="A1079" s="42"/>
      <c r="B1079" s="42" t="s">
        <v>1882</v>
      </c>
      <c r="C1079" s="38"/>
      <c r="D1079" s="38"/>
      <c r="E1079" s="38"/>
      <c r="F1079" s="38"/>
      <c r="G1079" s="43" t="s">
        <v>1899</v>
      </c>
      <c r="H1079" s="42" t="s">
        <v>1959</v>
      </c>
      <c r="I1079" s="340">
        <f>global!I243</f>
        <v>0</v>
      </c>
      <c r="J1079" s="315"/>
      <c r="K1079" s="315"/>
      <c r="L1079" s="276"/>
      <c r="M1079" s="276"/>
      <c r="N1079" s="276"/>
      <c r="O1079" s="276"/>
      <c r="P1079" s="276"/>
      <c r="Q1079" s="104"/>
    </row>
    <row r="1080" spans="1:17" ht="12.75" customHeight="1" x14ac:dyDescent="0.3">
      <c r="A1080" s="42"/>
      <c r="B1080" s="42"/>
      <c r="C1080" s="42" t="s">
        <v>1223</v>
      </c>
      <c r="D1080" s="42"/>
      <c r="E1080" s="38"/>
      <c r="F1080" s="38"/>
      <c r="G1080" s="63" t="s">
        <v>154</v>
      </c>
      <c r="H1080" s="39" t="s">
        <v>1958</v>
      </c>
      <c r="I1080" s="340">
        <f>global!I244</f>
        <v>0</v>
      </c>
      <c r="J1080" s="315"/>
      <c r="K1080" s="315"/>
      <c r="L1080" s="276"/>
      <c r="M1080" s="276"/>
      <c r="N1080" s="276"/>
      <c r="O1080" s="276"/>
      <c r="P1080" s="276"/>
      <c r="Q1080" s="104"/>
    </row>
    <row r="1081" spans="1:17" ht="12.75" customHeight="1" x14ac:dyDescent="0.3">
      <c r="A1081" s="42"/>
      <c r="B1081" s="42"/>
      <c r="C1081" s="64" t="s">
        <v>574</v>
      </c>
      <c r="D1081" s="42"/>
      <c r="E1081" s="38"/>
      <c r="F1081" s="38"/>
      <c r="G1081" s="63" t="s">
        <v>1279</v>
      </c>
      <c r="H1081" s="39" t="s">
        <v>1958</v>
      </c>
      <c r="I1081" s="340">
        <f>global!I245</f>
        <v>0</v>
      </c>
      <c r="J1081" s="315"/>
      <c r="K1081" s="315"/>
      <c r="L1081" s="276"/>
      <c r="M1081" s="276"/>
      <c r="N1081" s="276"/>
      <c r="O1081" s="276"/>
      <c r="P1081" s="276"/>
      <c r="Q1081" s="104"/>
    </row>
    <row r="1082" spans="1:17" ht="12.75" customHeight="1" x14ac:dyDescent="0.3">
      <c r="A1082" s="42"/>
      <c r="B1082" s="42"/>
      <c r="C1082" s="38"/>
      <c r="D1082" s="42" t="s">
        <v>576</v>
      </c>
      <c r="E1082" s="64"/>
      <c r="F1082" s="64"/>
      <c r="G1082" s="63" t="s">
        <v>1280</v>
      </c>
      <c r="H1082" s="39" t="s">
        <v>1958</v>
      </c>
      <c r="I1082" s="340">
        <f>global!I246</f>
        <v>0</v>
      </c>
      <c r="J1082" s="315"/>
      <c r="K1082" s="315"/>
      <c r="L1082" s="276"/>
      <c r="M1082" s="276"/>
      <c r="N1082" s="276"/>
      <c r="O1082" s="276"/>
      <c r="P1082" s="276"/>
      <c r="Q1082" s="104"/>
    </row>
    <row r="1083" spans="1:17" ht="12.75" customHeight="1" x14ac:dyDescent="0.3">
      <c r="A1083" s="42"/>
      <c r="B1083" s="42"/>
      <c r="C1083" s="38"/>
      <c r="D1083" s="42" t="s">
        <v>557</v>
      </c>
      <c r="E1083" s="64"/>
      <c r="F1083" s="64"/>
      <c r="G1083" s="63" t="s">
        <v>1282</v>
      </c>
      <c r="H1083" s="39" t="s">
        <v>1958</v>
      </c>
      <c r="I1083" s="340">
        <f>global!I247</f>
        <v>0</v>
      </c>
      <c r="J1083" s="315"/>
      <c r="K1083" s="315"/>
      <c r="L1083" s="276"/>
      <c r="M1083" s="276"/>
      <c r="N1083" s="276"/>
      <c r="O1083" s="276"/>
      <c r="P1083" s="276"/>
      <c r="Q1083" s="104"/>
    </row>
    <row r="1084" spans="1:17" ht="12.75" customHeight="1" x14ac:dyDescent="0.3">
      <c r="A1084" s="42"/>
      <c r="B1084" s="42"/>
      <c r="C1084" s="42"/>
      <c r="D1084" s="38"/>
      <c r="E1084" s="42" t="s">
        <v>798</v>
      </c>
      <c r="F1084" s="42"/>
      <c r="G1084" s="63" t="s">
        <v>1281</v>
      </c>
      <c r="H1084" s="42" t="s">
        <v>1964</v>
      </c>
      <c r="I1084" s="340">
        <f>global!I248</f>
        <v>0</v>
      </c>
      <c r="J1084" s="315"/>
      <c r="K1084" s="315"/>
      <c r="L1084" s="276"/>
      <c r="M1084" s="276"/>
      <c r="N1084" s="276"/>
      <c r="O1084" s="276"/>
      <c r="P1084" s="276"/>
      <c r="Q1084" s="104"/>
    </row>
    <row r="1085" spans="1:17" ht="12.75" customHeight="1" x14ac:dyDescent="0.3">
      <c r="A1085" s="38"/>
      <c r="B1085" s="38" t="s">
        <v>1883</v>
      </c>
      <c r="C1085" s="64"/>
      <c r="D1085" s="64"/>
      <c r="E1085" s="38"/>
      <c r="F1085" s="38"/>
      <c r="G1085" s="43" t="s">
        <v>1900</v>
      </c>
      <c r="H1085" s="42" t="s">
        <v>1959</v>
      </c>
      <c r="I1085" s="340">
        <f>global!I249</f>
        <v>0</v>
      </c>
      <c r="J1085" s="315"/>
      <c r="K1085" s="315"/>
      <c r="L1085" s="276"/>
      <c r="M1085" s="276"/>
      <c r="N1085" s="276"/>
      <c r="O1085" s="276"/>
      <c r="P1085" s="276"/>
      <c r="Q1085" s="104"/>
    </row>
    <row r="1086" spans="1:17" ht="12.75" customHeight="1" x14ac:dyDescent="0.3">
      <c r="A1086" s="38"/>
      <c r="B1086" s="38" t="s">
        <v>1884</v>
      </c>
      <c r="C1086" s="64"/>
      <c r="D1086" s="64"/>
      <c r="E1086" s="38"/>
      <c r="F1086" s="38"/>
      <c r="G1086" s="43" t="s">
        <v>1901</v>
      </c>
      <c r="H1086" s="42" t="s">
        <v>1959</v>
      </c>
      <c r="I1086" s="340">
        <f>global!I250</f>
        <v>0</v>
      </c>
      <c r="J1086" s="315"/>
      <c r="K1086" s="315"/>
      <c r="L1086" s="276"/>
      <c r="M1086" s="276"/>
      <c r="N1086" s="276"/>
      <c r="O1086" s="276"/>
      <c r="P1086" s="276"/>
      <c r="Q1086" s="104"/>
    </row>
    <row r="1087" spans="1:17" ht="12.75" customHeight="1" x14ac:dyDescent="0.3">
      <c r="A1087" s="42"/>
      <c r="B1087" s="42"/>
      <c r="C1087" s="38" t="s">
        <v>1069</v>
      </c>
      <c r="D1087" s="38"/>
      <c r="E1087" s="38"/>
      <c r="F1087" s="38"/>
      <c r="G1087" s="38" t="s">
        <v>1283</v>
      </c>
      <c r="H1087" s="39" t="s">
        <v>1958</v>
      </c>
      <c r="I1087" s="340">
        <f>global!I251</f>
        <v>0</v>
      </c>
      <c r="J1087" s="315"/>
      <c r="K1087" s="315"/>
      <c r="L1087" s="276"/>
      <c r="M1087" s="276"/>
      <c r="N1087" s="276"/>
      <c r="O1087" s="276"/>
      <c r="P1087" s="276"/>
      <c r="Q1087" s="104"/>
    </row>
    <row r="1088" spans="1:17" ht="12.75" customHeight="1" x14ac:dyDescent="0.3">
      <c r="A1088" s="42"/>
      <c r="B1088" s="42"/>
      <c r="C1088" s="38" t="s">
        <v>1225</v>
      </c>
      <c r="D1088" s="38"/>
      <c r="E1088" s="38"/>
      <c r="F1088" s="38"/>
      <c r="G1088" s="38" t="s">
        <v>1284</v>
      </c>
      <c r="H1088" s="39" t="s">
        <v>1958</v>
      </c>
      <c r="I1088" s="340">
        <f>global!I252</f>
        <v>0</v>
      </c>
      <c r="J1088" s="315"/>
      <c r="K1088" s="315"/>
      <c r="L1088" s="276"/>
      <c r="M1088" s="276"/>
      <c r="N1088" s="276"/>
      <c r="O1088" s="276"/>
      <c r="P1088" s="276"/>
      <c r="Q1088" s="104"/>
    </row>
    <row r="1089" spans="1:17" ht="12.75" customHeight="1" x14ac:dyDescent="0.3">
      <c r="A1089" s="38"/>
      <c r="B1089" s="38"/>
      <c r="C1089" s="38"/>
      <c r="D1089" s="38"/>
      <c r="E1089" s="38"/>
      <c r="F1089" s="38"/>
      <c r="G1089" s="38"/>
      <c r="H1089" s="38"/>
      <c r="I1089" s="343"/>
      <c r="J1089" s="318"/>
      <c r="K1089" s="318"/>
      <c r="L1089" s="280"/>
      <c r="M1089" s="280"/>
      <c r="N1089" s="280"/>
      <c r="O1089" s="280"/>
      <c r="P1089" s="280"/>
      <c r="Q1089" s="104"/>
    </row>
    <row r="1090" spans="1:17" ht="12.75" customHeight="1" x14ac:dyDescent="0.3">
      <c r="A1090" s="42" t="s">
        <v>81</v>
      </c>
      <c r="B1090" s="38"/>
      <c r="C1090" s="38"/>
      <c r="D1090" s="38"/>
      <c r="E1090" s="38"/>
      <c r="F1090" s="38"/>
      <c r="G1090" s="43" t="s">
        <v>1256</v>
      </c>
      <c r="H1090" s="42" t="s">
        <v>1926</v>
      </c>
      <c r="I1090" s="340">
        <f>global!I254</f>
        <v>0</v>
      </c>
      <c r="J1090" s="315"/>
      <c r="K1090" s="315"/>
      <c r="L1090" s="276"/>
      <c r="M1090" s="276"/>
      <c r="N1090" s="276"/>
      <c r="O1090" s="276"/>
      <c r="P1090" s="276"/>
      <c r="Q1090" s="104"/>
    </row>
    <row r="1091" spans="1:17" ht="12.75" customHeight="1" x14ac:dyDescent="0.3">
      <c r="A1091" s="38"/>
      <c r="B1091" s="38"/>
      <c r="C1091" s="64" t="s">
        <v>203</v>
      </c>
      <c r="D1091" s="38"/>
      <c r="E1091" s="38"/>
      <c r="F1091" s="38"/>
      <c r="G1091" s="63" t="s">
        <v>663</v>
      </c>
      <c r="H1091" s="64" t="s">
        <v>1965</v>
      </c>
      <c r="I1091" s="340">
        <f>global!I255</f>
        <v>0</v>
      </c>
      <c r="J1091" s="315"/>
      <c r="K1091" s="315"/>
      <c r="L1091" s="276"/>
      <c r="M1091" s="276"/>
      <c r="N1091" s="276"/>
      <c r="O1091" s="276"/>
      <c r="P1091" s="276"/>
      <c r="Q1091" s="104"/>
    </row>
    <row r="1092" spans="1:17" ht="12.75" customHeight="1" x14ac:dyDescent="0.3">
      <c r="A1092" s="38"/>
      <c r="B1092" s="38"/>
      <c r="C1092" s="42" t="s">
        <v>963</v>
      </c>
      <c r="D1092" s="38"/>
      <c r="E1092" s="38"/>
      <c r="F1092" s="38"/>
      <c r="G1092" s="63" t="s">
        <v>664</v>
      </c>
      <c r="H1092" s="42" t="s">
        <v>28</v>
      </c>
      <c r="I1092" s="340">
        <f>global!I256</f>
        <v>0</v>
      </c>
      <c r="J1092" s="315"/>
      <c r="K1092" s="315"/>
      <c r="L1092" s="276"/>
      <c r="M1092" s="276"/>
      <c r="N1092" s="276"/>
      <c r="O1092" s="276"/>
      <c r="P1092" s="276"/>
      <c r="Q1092" s="104"/>
    </row>
    <row r="1093" spans="1:17" ht="12.75" customHeight="1" x14ac:dyDescent="0.3">
      <c r="A1093" s="42"/>
      <c r="B1093" s="42"/>
      <c r="C1093" s="38" t="s">
        <v>177</v>
      </c>
      <c r="D1093" s="38"/>
      <c r="E1093" s="64"/>
      <c r="F1093" s="64"/>
      <c r="G1093" s="43" t="s">
        <v>879</v>
      </c>
      <c r="H1093" s="38" t="s">
        <v>28</v>
      </c>
      <c r="I1093" s="340">
        <f>global!I257</f>
        <v>0</v>
      </c>
      <c r="J1093" s="315"/>
      <c r="K1093" s="315">
        <v>1</v>
      </c>
      <c r="L1093" s="276">
        <v>1</v>
      </c>
      <c r="M1093" s="276">
        <v>1</v>
      </c>
      <c r="N1093" s="276">
        <v>1</v>
      </c>
      <c r="O1093" s="276"/>
      <c r="P1093" s="276">
        <v>1</v>
      </c>
      <c r="Q1093" s="104"/>
    </row>
    <row r="1094" spans="1:17" ht="12.75" customHeight="1" x14ac:dyDescent="0.3">
      <c r="A1094" s="38"/>
      <c r="B1094" s="38"/>
      <c r="C1094" s="38"/>
      <c r="D1094" s="64"/>
      <c r="E1094" s="38"/>
      <c r="F1094" s="38"/>
      <c r="G1094" s="38"/>
      <c r="H1094" s="38"/>
      <c r="I1094" s="178"/>
      <c r="J1094" s="322"/>
      <c r="K1094" s="322"/>
      <c r="L1094" s="285"/>
      <c r="M1094" s="285"/>
      <c r="N1094" s="285"/>
      <c r="O1094" s="285"/>
      <c r="P1094" s="285"/>
      <c r="Q1094" s="104"/>
    </row>
    <row r="1095" spans="1:17" ht="12.75" customHeight="1" x14ac:dyDescent="0.3">
      <c r="A1095" s="67" t="s">
        <v>414</v>
      </c>
      <c r="B1095" s="66"/>
      <c r="C1095" s="66"/>
      <c r="D1095" s="66"/>
      <c r="E1095" s="66"/>
      <c r="F1095" s="66"/>
      <c r="G1095" s="66"/>
      <c r="H1095" s="66"/>
      <c r="I1095" s="189" t="s">
        <v>748</v>
      </c>
      <c r="J1095" s="319"/>
      <c r="K1095" s="319"/>
      <c r="L1095" s="281"/>
      <c r="M1095" s="281"/>
      <c r="N1095" s="281"/>
      <c r="O1095" s="281"/>
      <c r="P1095" s="281"/>
      <c r="Q1095" s="104"/>
    </row>
    <row r="1096" spans="1:17" ht="12.75" customHeight="1" x14ac:dyDescent="0.3">
      <c r="A1096" s="42"/>
      <c r="B1096" s="38"/>
      <c r="C1096" s="38"/>
      <c r="D1096" s="38"/>
      <c r="E1096" s="38"/>
      <c r="F1096" s="38"/>
      <c r="G1096" s="38"/>
      <c r="H1096" s="38"/>
      <c r="I1096" s="162"/>
      <c r="J1096" s="322"/>
      <c r="K1096" s="322"/>
      <c r="L1096" s="285"/>
      <c r="M1096" s="285"/>
      <c r="N1096" s="285"/>
      <c r="O1096" s="285"/>
      <c r="P1096" s="285"/>
      <c r="Q1096" s="104"/>
    </row>
    <row r="1097" spans="1:17" ht="12.75" customHeight="1" x14ac:dyDescent="0.3">
      <c r="A1097" s="42" t="s">
        <v>216</v>
      </c>
      <c r="B1097" s="38"/>
      <c r="C1097" s="38"/>
      <c r="D1097" s="38"/>
      <c r="E1097" s="38"/>
      <c r="F1097" s="38"/>
      <c r="G1097" s="43" t="s">
        <v>1360</v>
      </c>
      <c r="H1097" s="42" t="s">
        <v>1926</v>
      </c>
      <c r="I1097" s="340">
        <f>global!I261</f>
        <v>0</v>
      </c>
      <c r="J1097" s="315"/>
      <c r="K1097" s="315"/>
      <c r="L1097" s="276"/>
      <c r="M1097" s="276"/>
      <c r="N1097" s="276"/>
      <c r="O1097" s="276"/>
      <c r="P1097" s="276"/>
      <c r="Q1097" s="104"/>
    </row>
    <row r="1098" spans="1:17" ht="12.75" customHeight="1" x14ac:dyDescent="0.3">
      <c r="A1098" s="42" t="s">
        <v>1996</v>
      </c>
      <c r="B1098" s="38"/>
      <c r="C1098" s="38"/>
      <c r="D1098" s="38"/>
      <c r="E1098" s="38"/>
      <c r="F1098" s="38"/>
      <c r="G1098" s="43" t="s">
        <v>1007</v>
      </c>
      <c r="H1098" s="42" t="s">
        <v>1926</v>
      </c>
      <c r="I1098" s="340">
        <f>global!I262</f>
        <v>0</v>
      </c>
      <c r="J1098" s="315"/>
      <c r="K1098" s="315"/>
      <c r="L1098" s="276"/>
      <c r="M1098" s="276"/>
      <c r="N1098" s="276"/>
      <c r="O1098" s="276"/>
      <c r="P1098" s="276"/>
      <c r="Q1098" s="104"/>
    </row>
    <row r="1099" spans="1:17" ht="12.75" customHeight="1" x14ac:dyDescent="0.3">
      <c r="A1099" s="42" t="s">
        <v>1161</v>
      </c>
      <c r="B1099" s="38"/>
      <c r="C1099" s="38"/>
      <c r="D1099" s="38"/>
      <c r="E1099" s="38"/>
      <c r="F1099" s="38"/>
      <c r="G1099" s="43" t="s">
        <v>1163</v>
      </c>
      <c r="H1099" s="42" t="s">
        <v>1926</v>
      </c>
      <c r="I1099" s="340">
        <f>global!I263</f>
        <v>0</v>
      </c>
      <c r="J1099" s="315"/>
      <c r="K1099" s="315"/>
      <c r="L1099" s="276"/>
      <c r="M1099" s="276"/>
      <c r="N1099" s="276"/>
      <c r="O1099" s="276"/>
      <c r="P1099" s="276"/>
      <c r="Q1099" s="104"/>
    </row>
    <row r="1100" spans="1:17" ht="12.75" customHeight="1" x14ac:dyDescent="0.3">
      <c r="A1100" s="42" t="s">
        <v>217</v>
      </c>
      <c r="B1100" s="38"/>
      <c r="C1100" s="38"/>
      <c r="D1100" s="38"/>
      <c r="E1100" s="38"/>
      <c r="F1100" s="38"/>
      <c r="G1100" s="43" t="s">
        <v>1257</v>
      </c>
      <c r="H1100" s="42" t="s">
        <v>1926</v>
      </c>
      <c r="I1100" s="340">
        <f>global!I264</f>
        <v>0</v>
      </c>
      <c r="J1100" s="315"/>
      <c r="K1100" s="315"/>
      <c r="L1100" s="276"/>
      <c r="M1100" s="276"/>
      <c r="N1100" s="276"/>
      <c r="O1100" s="276"/>
      <c r="P1100" s="276"/>
      <c r="Q1100" s="104"/>
    </row>
    <row r="1101" spans="1:17" ht="12.75" customHeight="1" x14ac:dyDescent="0.3">
      <c r="A1101" s="42" t="s">
        <v>838</v>
      </c>
      <c r="B1101" s="38"/>
      <c r="C1101" s="38"/>
      <c r="D1101" s="38"/>
      <c r="E1101" s="38"/>
      <c r="F1101" s="38"/>
      <c r="G1101" s="43" t="s">
        <v>1361</v>
      </c>
      <c r="H1101" s="42" t="s">
        <v>1926</v>
      </c>
      <c r="I1101" s="340">
        <f>global!I265</f>
        <v>0</v>
      </c>
      <c r="J1101" s="315"/>
      <c r="K1101" s="315"/>
      <c r="L1101" s="276"/>
      <c r="M1101" s="276"/>
      <c r="N1101" s="276"/>
      <c r="O1101" s="276"/>
      <c r="P1101" s="276"/>
      <c r="Q1101" s="104"/>
    </row>
    <row r="1102" spans="1:17" ht="12.75" customHeight="1" x14ac:dyDescent="0.3">
      <c r="A1102" s="42"/>
      <c r="B1102" s="42" t="s">
        <v>791</v>
      </c>
      <c r="C1102" s="64"/>
      <c r="D1102" s="38"/>
      <c r="E1102" s="38"/>
      <c r="F1102" s="38"/>
      <c r="G1102" s="63" t="s">
        <v>668</v>
      </c>
      <c r="H1102" s="42" t="s">
        <v>1926</v>
      </c>
      <c r="I1102" s="340">
        <f>global!I266</f>
        <v>0</v>
      </c>
      <c r="J1102" s="315"/>
      <c r="K1102" s="315"/>
      <c r="L1102" s="276"/>
      <c r="M1102" s="276"/>
      <c r="N1102" s="276"/>
      <c r="O1102" s="276"/>
      <c r="P1102" s="276"/>
      <c r="Q1102" s="104"/>
    </row>
    <row r="1103" spans="1:17" ht="12.75" customHeight="1" x14ac:dyDescent="0.3">
      <c r="A1103" s="42"/>
      <c r="B1103" s="42" t="s">
        <v>792</v>
      </c>
      <c r="C1103" s="38"/>
      <c r="D1103" s="38"/>
      <c r="E1103" s="38"/>
      <c r="F1103" s="38"/>
      <c r="G1103" s="43" t="s">
        <v>665</v>
      </c>
      <c r="H1103" s="42" t="s">
        <v>1926</v>
      </c>
      <c r="I1103" s="340">
        <f>global!I267</f>
        <v>0</v>
      </c>
      <c r="J1103" s="315"/>
      <c r="K1103" s="315"/>
      <c r="L1103" s="276"/>
      <c r="M1103" s="276"/>
      <c r="N1103" s="276"/>
      <c r="O1103" s="276"/>
      <c r="P1103" s="276"/>
      <c r="Q1103" s="104"/>
    </row>
    <row r="1104" spans="1:17" ht="12.75" customHeight="1" x14ac:dyDescent="0.3">
      <c r="A1104" s="64"/>
      <c r="B1104" s="64"/>
      <c r="C1104" s="42" t="s">
        <v>982</v>
      </c>
      <c r="D1104" s="38"/>
      <c r="E1104" s="38"/>
      <c r="F1104" s="38"/>
      <c r="G1104" s="43" t="s">
        <v>799</v>
      </c>
      <c r="H1104" s="42" t="s">
        <v>1927</v>
      </c>
      <c r="I1104" s="340">
        <f>global!I268</f>
        <v>0</v>
      </c>
      <c r="J1104" s="315"/>
      <c r="K1104" s="315"/>
      <c r="L1104" s="276"/>
      <c r="M1104" s="276"/>
      <c r="N1104" s="276"/>
      <c r="O1104" s="276"/>
      <c r="P1104" s="276"/>
      <c r="Q1104" s="104"/>
    </row>
    <row r="1105" spans="1:17" ht="12.75" customHeight="1" x14ac:dyDescent="0.3">
      <c r="A1105" s="64"/>
      <c r="B1105" s="64"/>
      <c r="C1105" s="42" t="s">
        <v>27</v>
      </c>
      <c r="D1105" s="38"/>
      <c r="E1105" s="38"/>
      <c r="F1105" s="38"/>
      <c r="G1105" s="43" t="s">
        <v>800</v>
      </c>
      <c r="H1105" s="42" t="s">
        <v>28</v>
      </c>
      <c r="I1105" s="340">
        <f>global!I269</f>
        <v>0</v>
      </c>
      <c r="J1105" s="315"/>
      <c r="K1105" s="315"/>
      <c r="L1105" s="276"/>
      <c r="M1105" s="276"/>
      <c r="N1105" s="276"/>
      <c r="O1105" s="276"/>
      <c r="P1105" s="276"/>
      <c r="Q1105" s="104"/>
    </row>
    <row r="1106" spans="1:17" ht="12.75" customHeight="1" x14ac:dyDescent="0.3">
      <c r="A1106" s="42"/>
      <c r="B1106" s="42" t="s">
        <v>1997</v>
      </c>
      <c r="C1106" s="38"/>
      <c r="D1106" s="38"/>
      <c r="E1106" s="38"/>
      <c r="F1106" s="38"/>
      <c r="G1106" s="43" t="s">
        <v>1151</v>
      </c>
      <c r="H1106" s="42" t="s">
        <v>1926</v>
      </c>
      <c r="I1106" s="340">
        <f>global!I270</f>
        <v>0</v>
      </c>
      <c r="J1106" s="315"/>
      <c r="K1106" s="315"/>
      <c r="L1106" s="276"/>
      <c r="M1106" s="276"/>
      <c r="N1106" s="276"/>
      <c r="O1106" s="276"/>
      <c r="P1106" s="276"/>
      <c r="Q1106" s="104"/>
    </row>
    <row r="1107" spans="1:17" ht="12.75" customHeight="1" x14ac:dyDescent="0.3">
      <c r="A1107" s="42"/>
      <c r="B1107" s="42" t="s">
        <v>1131</v>
      </c>
      <c r="C1107" s="38"/>
      <c r="D1107" s="38"/>
      <c r="E1107" s="38"/>
      <c r="F1107" s="38"/>
      <c r="G1107" s="43" t="s">
        <v>1152</v>
      </c>
      <c r="H1107" s="42" t="s">
        <v>1926</v>
      </c>
      <c r="I1107" s="340">
        <f>global!I271</f>
        <v>0</v>
      </c>
      <c r="J1107" s="315"/>
      <c r="K1107" s="315"/>
      <c r="L1107" s="276"/>
      <c r="M1107" s="276"/>
      <c r="N1107" s="276"/>
      <c r="O1107" s="276"/>
      <c r="P1107" s="276"/>
      <c r="Q1107" s="104"/>
    </row>
    <row r="1108" spans="1:17" ht="12.75" customHeight="1" x14ac:dyDescent="0.3">
      <c r="A1108" s="42"/>
      <c r="B1108" s="42"/>
      <c r="C1108" s="42" t="s">
        <v>1998</v>
      </c>
      <c r="D1108" s="38"/>
      <c r="E1108" s="38"/>
      <c r="F1108" s="38"/>
      <c r="G1108" s="63" t="s">
        <v>1153</v>
      </c>
      <c r="H1108" s="42" t="s">
        <v>724</v>
      </c>
      <c r="I1108" s="340">
        <f>global!I272</f>
        <v>0</v>
      </c>
      <c r="J1108" s="315"/>
      <c r="K1108" s="315"/>
      <c r="L1108" s="276"/>
      <c r="M1108" s="276"/>
      <c r="N1108" s="276"/>
      <c r="O1108" s="276"/>
      <c r="P1108" s="276"/>
      <c r="Q1108" s="104"/>
    </row>
    <row r="1109" spans="1:17" ht="12.75" customHeight="1" x14ac:dyDescent="0.3">
      <c r="A1109" s="42"/>
      <c r="B1109" s="42"/>
      <c r="C1109" s="42" t="s">
        <v>1133</v>
      </c>
      <c r="D1109" s="38"/>
      <c r="E1109" s="38"/>
      <c r="F1109" s="38"/>
      <c r="G1109" s="63" t="s">
        <v>1154</v>
      </c>
      <c r="H1109" s="42" t="s">
        <v>724</v>
      </c>
      <c r="I1109" s="340">
        <f>global!I273</f>
        <v>0</v>
      </c>
      <c r="J1109" s="315"/>
      <c r="K1109" s="315"/>
      <c r="L1109" s="276"/>
      <c r="M1109" s="276"/>
      <c r="N1109" s="276"/>
      <c r="O1109" s="276"/>
      <c r="P1109" s="276"/>
      <c r="Q1109" s="104"/>
    </row>
    <row r="1110" spans="1:17" ht="12.75" customHeight="1" x14ac:dyDescent="0.3">
      <c r="A1110" s="64"/>
      <c r="B1110" s="64"/>
      <c r="C1110" s="42" t="s">
        <v>760</v>
      </c>
      <c r="D1110" s="38"/>
      <c r="E1110" s="38"/>
      <c r="F1110" s="38"/>
      <c r="G1110" s="43" t="s">
        <v>534</v>
      </c>
      <c r="H1110" s="42" t="s">
        <v>28</v>
      </c>
      <c r="I1110" s="340">
        <f>global!I274</f>
        <v>0</v>
      </c>
      <c r="J1110" s="315"/>
      <c r="K1110" s="315"/>
      <c r="L1110" s="276"/>
      <c r="M1110" s="276"/>
      <c r="N1110" s="276"/>
      <c r="O1110" s="276"/>
      <c r="P1110" s="276"/>
      <c r="Q1110" s="104"/>
    </row>
    <row r="1111" spans="1:17" ht="12.75" customHeight="1" x14ac:dyDescent="0.3">
      <c r="A1111" s="42"/>
      <c r="B1111" s="42" t="s">
        <v>766</v>
      </c>
      <c r="C1111" s="38"/>
      <c r="D1111" s="38"/>
      <c r="E1111" s="38"/>
      <c r="F1111" s="38"/>
      <c r="G1111" s="43" t="s">
        <v>666</v>
      </c>
      <c r="H1111" s="42" t="s">
        <v>1926</v>
      </c>
      <c r="I1111" s="340">
        <f>global!I275</f>
        <v>0</v>
      </c>
      <c r="J1111" s="315"/>
      <c r="K1111" s="315"/>
      <c r="L1111" s="276"/>
      <c r="M1111" s="276"/>
      <c r="N1111" s="276"/>
      <c r="O1111" s="276"/>
      <c r="P1111" s="276"/>
      <c r="Q1111" s="104"/>
    </row>
    <row r="1112" spans="1:17" ht="12.75" customHeight="1" x14ac:dyDescent="0.3">
      <c r="A1112" s="42"/>
      <c r="B1112" s="42" t="s">
        <v>767</v>
      </c>
      <c r="C1112" s="38"/>
      <c r="D1112" s="38"/>
      <c r="E1112" s="38"/>
      <c r="F1112" s="38"/>
      <c r="G1112" s="43" t="s">
        <v>667</v>
      </c>
      <c r="H1112" s="42" t="s">
        <v>1926</v>
      </c>
      <c r="I1112" s="340">
        <f>global!I276</f>
        <v>0</v>
      </c>
      <c r="J1112" s="315"/>
      <c r="K1112" s="315"/>
      <c r="L1112" s="276"/>
      <c r="M1112" s="276"/>
      <c r="N1112" s="276"/>
      <c r="O1112" s="276"/>
      <c r="P1112" s="276"/>
      <c r="Q1112" s="104"/>
    </row>
    <row r="1113" spans="1:17" ht="12.75" customHeight="1" x14ac:dyDescent="0.3">
      <c r="A1113" s="38"/>
      <c r="B1113" s="42" t="s">
        <v>997</v>
      </c>
      <c r="C1113" s="38"/>
      <c r="D1113" s="38"/>
      <c r="E1113" s="38"/>
      <c r="F1113" s="38"/>
      <c r="G1113" s="63" t="s">
        <v>855</v>
      </c>
      <c r="H1113" s="42" t="s">
        <v>28</v>
      </c>
      <c r="I1113" s="340">
        <f>global!I277</f>
        <v>0</v>
      </c>
      <c r="J1113" s="315"/>
      <c r="K1113" s="315"/>
      <c r="L1113" s="276"/>
      <c r="M1113" s="276"/>
      <c r="N1113" s="276"/>
      <c r="O1113" s="276"/>
      <c r="P1113" s="276"/>
      <c r="Q1113" s="104"/>
    </row>
    <row r="1114" spans="1:17" ht="12.75" customHeight="1" x14ac:dyDescent="0.3">
      <c r="A1114" s="42"/>
      <c r="B1114" s="38" t="s">
        <v>177</v>
      </c>
      <c r="C1114" s="38"/>
      <c r="D1114" s="38"/>
      <c r="E1114" s="64"/>
      <c r="F1114" s="64"/>
      <c r="G1114" s="43" t="s">
        <v>880</v>
      </c>
      <c r="H1114" s="38" t="s">
        <v>28</v>
      </c>
      <c r="I1114" s="340">
        <f>global!I278</f>
        <v>0</v>
      </c>
      <c r="J1114" s="315"/>
      <c r="K1114" s="315">
        <v>1</v>
      </c>
      <c r="L1114" s="276">
        <v>1</v>
      </c>
      <c r="M1114" s="276">
        <v>1</v>
      </c>
      <c r="N1114" s="276">
        <v>1</v>
      </c>
      <c r="O1114" s="276"/>
      <c r="P1114" s="276">
        <v>1</v>
      </c>
      <c r="Q1114" s="104"/>
    </row>
    <row r="1115" spans="1:17" ht="12.75" customHeight="1" x14ac:dyDescent="0.3">
      <c r="A1115" s="76"/>
      <c r="B1115" s="76"/>
      <c r="C1115" s="76"/>
      <c r="D1115" s="76"/>
      <c r="E1115" s="76"/>
      <c r="F1115" s="76"/>
      <c r="G1115" s="76"/>
      <c r="H1115" s="76"/>
      <c r="I1115" s="178"/>
      <c r="J1115" s="326"/>
      <c r="K1115" s="326"/>
      <c r="L1115" s="290"/>
      <c r="M1115" s="290"/>
      <c r="N1115" s="290"/>
      <c r="O1115" s="290"/>
      <c r="P1115" s="290"/>
      <c r="Q1115" s="104"/>
    </row>
    <row r="1116" spans="1:17" ht="12.75" customHeight="1" x14ac:dyDescent="0.3">
      <c r="A1116" s="49"/>
      <c r="B1116" s="4"/>
      <c r="C1116" s="38"/>
      <c r="D1116" s="38"/>
      <c r="E1116" s="38"/>
      <c r="F1116" s="38"/>
      <c r="G1116" s="38"/>
      <c r="H1116" s="38"/>
      <c r="I1116" s="162"/>
      <c r="J1116" s="322"/>
      <c r="K1116" s="322"/>
      <c r="L1116" s="285"/>
      <c r="M1116" s="285"/>
      <c r="N1116" s="285"/>
      <c r="O1116" s="285"/>
      <c r="P1116" s="285"/>
      <c r="Q1116" s="104"/>
    </row>
    <row r="1117" spans="1:17" ht="12.75" customHeight="1" x14ac:dyDescent="0.3">
      <c r="A1117" s="49"/>
      <c r="B1117" s="4"/>
      <c r="C1117" s="38"/>
      <c r="D1117" s="38"/>
      <c r="E1117" s="38"/>
      <c r="F1117" s="38"/>
      <c r="G1117" s="38"/>
      <c r="H1117" s="38"/>
      <c r="I1117" s="162"/>
      <c r="J1117" s="322"/>
      <c r="K1117" s="322"/>
      <c r="L1117" s="285"/>
      <c r="M1117" s="285"/>
      <c r="N1117" s="285"/>
      <c r="O1117" s="285"/>
      <c r="P1117" s="285"/>
      <c r="Q1117" s="104"/>
    </row>
    <row r="1118" spans="1:17" ht="12.75" customHeight="1" x14ac:dyDescent="0.3">
      <c r="A1118" s="52" t="s">
        <v>1399</v>
      </c>
      <c r="B1118" s="4"/>
      <c r="C1118" s="38"/>
      <c r="D1118" s="38"/>
      <c r="E1118" s="38"/>
      <c r="F1118" s="38"/>
      <c r="G1118" s="38"/>
      <c r="H1118" s="38"/>
      <c r="I1118" s="162"/>
      <c r="J1118" s="322"/>
      <c r="K1118" s="322"/>
      <c r="L1118" s="285"/>
      <c r="M1118" s="285"/>
      <c r="N1118" s="285"/>
      <c r="O1118" s="285"/>
      <c r="P1118" s="285"/>
      <c r="Q1118" s="104"/>
    </row>
    <row r="1119" spans="1:17" ht="12.75" customHeight="1" x14ac:dyDescent="0.3">
      <c r="A1119" s="38"/>
      <c r="B1119" s="38"/>
      <c r="C1119" s="38"/>
      <c r="D1119" s="38"/>
      <c r="E1119" s="38"/>
      <c r="F1119" s="38"/>
      <c r="G1119" s="38"/>
      <c r="H1119" s="38"/>
      <c r="I1119" s="178"/>
      <c r="J1119" s="322"/>
      <c r="K1119" s="322"/>
      <c r="L1119" s="285"/>
      <c r="M1119" s="285"/>
      <c r="N1119" s="285"/>
      <c r="O1119" s="285"/>
      <c r="P1119" s="285"/>
      <c r="Q1119" s="104"/>
    </row>
    <row r="1120" spans="1:17" ht="12.75" customHeight="1" x14ac:dyDescent="0.3">
      <c r="A1120" s="66" t="s">
        <v>1305</v>
      </c>
      <c r="B1120" s="66"/>
      <c r="C1120" s="66"/>
      <c r="D1120" s="66"/>
      <c r="E1120" s="66"/>
      <c r="F1120" s="66"/>
      <c r="G1120" s="66"/>
      <c r="H1120" s="66"/>
      <c r="I1120" s="189" t="s">
        <v>748</v>
      </c>
      <c r="J1120" s="319"/>
      <c r="K1120" s="319"/>
      <c r="L1120" s="281"/>
      <c r="M1120" s="281"/>
      <c r="N1120" s="281"/>
      <c r="O1120" s="281"/>
      <c r="P1120" s="281"/>
      <c r="Q1120" s="104"/>
    </row>
    <row r="1121" spans="1:17" ht="12.75" customHeight="1" x14ac:dyDescent="0.3">
      <c r="A1121" s="38"/>
      <c r="B1121" s="38"/>
      <c r="C1121" s="38"/>
      <c r="D1121" s="38"/>
      <c r="E1121" s="38"/>
      <c r="F1121" s="38"/>
      <c r="G1121" s="38"/>
      <c r="H1121" s="38"/>
      <c r="I1121" s="162"/>
      <c r="J1121" s="322"/>
      <c r="K1121" s="322"/>
      <c r="L1121" s="285"/>
      <c r="M1121" s="285"/>
      <c r="N1121" s="285"/>
      <c r="O1121" s="285"/>
      <c r="P1121" s="285"/>
      <c r="Q1121" s="104"/>
    </row>
    <row r="1122" spans="1:17" ht="12.75" customHeight="1" x14ac:dyDescent="0.3">
      <c r="A1122" s="42" t="s">
        <v>1082</v>
      </c>
      <c r="B1122" s="38"/>
      <c r="C1122" s="38"/>
      <c r="D1122" s="38"/>
      <c r="E1122" s="38"/>
      <c r="F1122" s="38"/>
      <c r="G1122" s="43" t="s">
        <v>1401</v>
      </c>
      <c r="H1122" s="42" t="s">
        <v>1937</v>
      </c>
      <c r="I1122" s="340">
        <f>global!I286</f>
        <v>0</v>
      </c>
      <c r="J1122" s="315"/>
      <c r="K1122" s="315"/>
      <c r="L1122" s="276"/>
      <c r="M1122" s="276"/>
      <c r="N1122" s="276"/>
      <c r="O1122" s="276"/>
      <c r="P1122" s="276"/>
      <c r="Q1122" s="104"/>
    </row>
    <row r="1123" spans="1:17" ht="12.75" customHeight="1" x14ac:dyDescent="0.3">
      <c r="A1123" s="38" t="s">
        <v>1999</v>
      </c>
      <c r="B1123" s="38"/>
      <c r="C1123" s="38"/>
      <c r="D1123" s="38"/>
      <c r="E1123" s="38"/>
      <c r="F1123" s="38"/>
      <c r="G1123" s="43" t="s">
        <v>905</v>
      </c>
      <c r="H1123" s="38" t="s">
        <v>1937</v>
      </c>
      <c r="I1123" s="340">
        <f>global!I287</f>
        <v>0</v>
      </c>
      <c r="J1123" s="315"/>
      <c r="K1123" s="315"/>
      <c r="L1123" s="276"/>
      <c r="M1123" s="276"/>
      <c r="N1123" s="276"/>
      <c r="O1123" s="276"/>
      <c r="P1123" s="276"/>
      <c r="Q1123" s="104"/>
    </row>
    <row r="1124" spans="1:17" ht="12.75" customHeight="1" x14ac:dyDescent="0.3">
      <c r="A1124" s="42" t="s">
        <v>96</v>
      </c>
      <c r="B1124" s="38"/>
      <c r="C1124" s="38"/>
      <c r="D1124" s="38"/>
      <c r="E1124" s="38"/>
      <c r="F1124" s="38"/>
      <c r="G1124" s="43" t="s">
        <v>906</v>
      </c>
      <c r="H1124" s="38" t="s">
        <v>1937</v>
      </c>
      <c r="I1124" s="340">
        <f>global!I288</f>
        <v>0</v>
      </c>
      <c r="J1124" s="315"/>
      <c r="K1124" s="315"/>
      <c r="L1124" s="276"/>
      <c r="M1124" s="276"/>
      <c r="N1124" s="276"/>
      <c r="O1124" s="276"/>
      <c r="P1124" s="276"/>
      <c r="Q1124" s="104"/>
    </row>
    <row r="1125" spans="1:17" ht="12.75" customHeight="1" x14ac:dyDescent="0.3">
      <c r="A1125" s="42" t="s">
        <v>728</v>
      </c>
      <c r="B1125" s="38"/>
      <c r="C1125" s="38"/>
      <c r="D1125" s="38"/>
      <c r="E1125" s="38"/>
      <c r="F1125" s="38"/>
      <c r="G1125" s="43" t="s">
        <v>1402</v>
      </c>
      <c r="H1125" s="42" t="s">
        <v>1937</v>
      </c>
      <c r="I1125" s="340">
        <f>global!I289</f>
        <v>0</v>
      </c>
      <c r="J1125" s="315"/>
      <c r="K1125" s="315"/>
      <c r="L1125" s="276"/>
      <c r="M1125" s="276"/>
      <c r="N1125" s="276"/>
      <c r="O1125" s="276"/>
      <c r="P1125" s="276"/>
      <c r="Q1125" s="104"/>
    </row>
    <row r="1126" spans="1:17" ht="12.75" customHeight="1" x14ac:dyDescent="0.3">
      <c r="A1126" s="42" t="s">
        <v>729</v>
      </c>
      <c r="B1126" s="38"/>
      <c r="C1126" s="38"/>
      <c r="D1126" s="38"/>
      <c r="E1126" s="38"/>
      <c r="F1126" s="38"/>
      <c r="G1126" s="43" t="s">
        <v>1403</v>
      </c>
      <c r="H1126" s="42" t="s">
        <v>1937</v>
      </c>
      <c r="I1126" s="340">
        <f>global!I290</f>
        <v>0</v>
      </c>
      <c r="J1126" s="315"/>
      <c r="K1126" s="315"/>
      <c r="L1126" s="276"/>
      <c r="M1126" s="276"/>
      <c r="N1126" s="276"/>
      <c r="O1126" s="276"/>
      <c r="P1126" s="276"/>
      <c r="Q1126" s="104"/>
    </row>
    <row r="1127" spans="1:17" ht="12.75" customHeight="1" x14ac:dyDescent="0.3">
      <c r="A1127" s="38"/>
      <c r="B1127" s="42" t="s">
        <v>983</v>
      </c>
      <c r="C1127" s="38"/>
      <c r="D1127" s="38"/>
      <c r="E1127" s="38"/>
      <c r="F1127" s="38"/>
      <c r="G1127" s="43" t="s">
        <v>1404</v>
      </c>
      <c r="H1127" s="42" t="s">
        <v>1934</v>
      </c>
      <c r="I1127" s="340">
        <f>global!I291</f>
        <v>0</v>
      </c>
      <c r="J1127" s="315"/>
      <c r="K1127" s="315"/>
      <c r="L1127" s="276"/>
      <c r="M1127" s="276"/>
      <c r="N1127" s="276"/>
      <c r="O1127" s="276"/>
      <c r="P1127" s="276"/>
      <c r="Q1127" s="104"/>
    </row>
    <row r="1128" spans="1:17" ht="12.75" customHeight="1" x14ac:dyDescent="0.3">
      <c r="A1128" s="38"/>
      <c r="B1128" s="42" t="s">
        <v>1975</v>
      </c>
      <c r="C1128" s="38"/>
      <c r="D1128" s="38"/>
      <c r="E1128" s="38"/>
      <c r="F1128" s="38"/>
      <c r="G1128" s="63" t="s">
        <v>1405</v>
      </c>
      <c r="H1128" s="42" t="s">
        <v>28</v>
      </c>
      <c r="I1128" s="340">
        <f>global!I292</f>
        <v>0</v>
      </c>
      <c r="J1128" s="315"/>
      <c r="K1128" s="315"/>
      <c r="L1128" s="276"/>
      <c r="M1128" s="276"/>
      <c r="N1128" s="276"/>
      <c r="O1128" s="276"/>
      <c r="P1128" s="276"/>
      <c r="Q1128" s="104"/>
    </row>
    <row r="1129" spans="1:17" ht="12.75" customHeight="1" x14ac:dyDescent="0.3">
      <c r="A1129" s="38"/>
      <c r="B1129" s="42" t="s">
        <v>1976</v>
      </c>
      <c r="C1129" s="38"/>
      <c r="D1129" s="38"/>
      <c r="E1129" s="38"/>
      <c r="F1129" s="38"/>
      <c r="G1129" s="63" t="s">
        <v>1406</v>
      </c>
      <c r="H1129" s="42" t="s">
        <v>28</v>
      </c>
      <c r="I1129" s="340">
        <f>global!I293</f>
        <v>0</v>
      </c>
      <c r="J1129" s="315"/>
      <c r="K1129" s="315"/>
      <c r="L1129" s="276"/>
      <c r="M1129" s="276"/>
      <c r="N1129" s="276"/>
      <c r="O1129" s="276"/>
      <c r="P1129" s="276"/>
      <c r="Q1129" s="104"/>
    </row>
    <row r="1130" spans="1:17" ht="12.75" customHeight="1" x14ac:dyDescent="0.3">
      <c r="A1130" s="38"/>
      <c r="B1130" s="38"/>
      <c r="C1130" s="42" t="s">
        <v>761</v>
      </c>
      <c r="D1130" s="38"/>
      <c r="E1130" s="38"/>
      <c r="F1130" s="38"/>
      <c r="G1130" s="63" t="s">
        <v>1407</v>
      </c>
      <c r="H1130" s="42" t="s">
        <v>713</v>
      </c>
      <c r="I1130" s="340">
        <f>global!I294</f>
        <v>0</v>
      </c>
      <c r="J1130" s="315"/>
      <c r="K1130" s="315"/>
      <c r="L1130" s="276"/>
      <c r="M1130" s="276"/>
      <c r="N1130" s="276"/>
      <c r="O1130" s="276"/>
      <c r="P1130" s="276"/>
      <c r="Q1130" s="104"/>
    </row>
    <row r="1131" spans="1:17" ht="12.75" customHeight="1" x14ac:dyDescent="0.3">
      <c r="A1131" s="38"/>
      <c r="B1131" s="38"/>
      <c r="C1131" s="42" t="s">
        <v>98</v>
      </c>
      <c r="D1131" s="38"/>
      <c r="E1131" s="38"/>
      <c r="F1131" s="38"/>
      <c r="G1131" s="63" t="s">
        <v>908</v>
      </c>
      <c r="H1131" s="42" t="s">
        <v>713</v>
      </c>
      <c r="I1131" s="340">
        <f>global!I295</f>
        <v>0</v>
      </c>
      <c r="J1131" s="315"/>
      <c r="K1131" s="315">
        <v>990</v>
      </c>
      <c r="L1131" s="276">
        <v>990</v>
      </c>
      <c r="M1131" s="276"/>
      <c r="N1131" s="276">
        <v>990</v>
      </c>
      <c r="O1131" s="276">
        <v>990</v>
      </c>
      <c r="P1131" s="276">
        <v>990</v>
      </c>
      <c r="Q1131" s="104"/>
    </row>
    <row r="1132" spans="1:17" ht="12.75" customHeight="1" x14ac:dyDescent="0.3">
      <c r="A1132" s="38"/>
      <c r="B1132" s="38"/>
      <c r="C1132" s="42" t="s">
        <v>97</v>
      </c>
      <c r="D1132" s="38"/>
      <c r="E1132" s="38"/>
      <c r="F1132" s="38"/>
      <c r="G1132" s="63" t="s">
        <v>909</v>
      </c>
      <c r="H1132" s="42" t="s">
        <v>713</v>
      </c>
      <c r="I1132" s="340">
        <f>global!I296</f>
        <v>0</v>
      </c>
      <c r="J1132" s="315"/>
      <c r="K1132" s="315">
        <v>10</v>
      </c>
      <c r="L1132" s="276">
        <v>10</v>
      </c>
      <c r="M1132" s="276"/>
      <c r="N1132" s="276">
        <v>10</v>
      </c>
      <c r="O1132" s="276">
        <v>10</v>
      </c>
      <c r="P1132" s="276">
        <v>10</v>
      </c>
      <c r="Q1132" s="104"/>
    </row>
    <row r="1133" spans="1:17" ht="12.75" customHeight="1" x14ac:dyDescent="0.3">
      <c r="A1133" s="38"/>
      <c r="B1133" s="38"/>
      <c r="C1133" s="42" t="s">
        <v>1014</v>
      </c>
      <c r="D1133" s="38"/>
      <c r="E1133" s="38"/>
      <c r="F1133" s="38"/>
      <c r="G1133" s="63" t="s">
        <v>1408</v>
      </c>
      <c r="H1133" s="42" t="s">
        <v>715</v>
      </c>
      <c r="I1133" s="340">
        <f>global!I297</f>
        <v>0</v>
      </c>
      <c r="J1133" s="315"/>
      <c r="K1133" s="315"/>
      <c r="L1133" s="276"/>
      <c r="M1133" s="276"/>
      <c r="N1133" s="276"/>
      <c r="O1133" s="276"/>
      <c r="P1133" s="276"/>
      <c r="Q1133" s="104"/>
    </row>
    <row r="1134" spans="1:17" ht="12.75" customHeight="1" x14ac:dyDescent="0.3">
      <c r="A1134" s="42"/>
      <c r="B1134" s="38"/>
      <c r="C1134" s="42" t="s">
        <v>1977</v>
      </c>
      <c r="D1134" s="64"/>
      <c r="E1134" s="64"/>
      <c r="F1134" s="64"/>
      <c r="G1134" s="63" t="s">
        <v>1409</v>
      </c>
      <c r="H1134" s="42" t="s">
        <v>713</v>
      </c>
      <c r="I1134" s="340">
        <f>global!I298</f>
        <v>0</v>
      </c>
      <c r="J1134" s="315"/>
      <c r="K1134" s="315"/>
      <c r="L1134" s="276"/>
      <c r="M1134" s="276"/>
      <c r="N1134" s="276"/>
      <c r="O1134" s="276"/>
      <c r="P1134" s="276"/>
      <c r="Q1134" s="104"/>
    </row>
    <row r="1135" spans="1:17" ht="12.75" customHeight="1" x14ac:dyDescent="0.3">
      <c r="A1135" s="38"/>
      <c r="B1135" s="38"/>
      <c r="C1135" s="38" t="s">
        <v>208</v>
      </c>
      <c r="D1135" s="38"/>
      <c r="E1135" s="38"/>
      <c r="F1135" s="38"/>
      <c r="G1135" s="42" t="s">
        <v>2009</v>
      </c>
      <c r="H1135" s="42" t="s">
        <v>716</v>
      </c>
      <c r="I1135" s="340">
        <f>global!I299</f>
        <v>0</v>
      </c>
      <c r="J1135" s="315"/>
      <c r="K1135" s="315">
        <v>4.9999999999999995E-11</v>
      </c>
      <c r="L1135" s="276">
        <v>4.9999999999999995E-11</v>
      </c>
      <c r="M1135" s="276">
        <v>4.9999999999999995E-11</v>
      </c>
      <c r="N1135" s="276">
        <v>4.9999999999999995E-11</v>
      </c>
      <c r="O1135" s="276">
        <v>4.9999999999999995E-11</v>
      </c>
      <c r="P1135" s="276"/>
      <c r="Q1135" s="104"/>
    </row>
    <row r="1136" spans="1:17" ht="12.75" customHeight="1" x14ac:dyDescent="0.3">
      <c r="A1136" s="38"/>
      <c r="B1136" s="38"/>
      <c r="C1136" s="38" t="s">
        <v>209</v>
      </c>
      <c r="D1136" s="38"/>
      <c r="E1136" s="38"/>
      <c r="F1136" s="38"/>
      <c r="G1136" s="42" t="s">
        <v>2010</v>
      </c>
      <c r="H1136" s="42" t="s">
        <v>716</v>
      </c>
      <c r="I1136" s="340">
        <f>global!I300</f>
        <v>0</v>
      </c>
      <c r="J1136" s="315"/>
      <c r="K1136" s="315">
        <v>9.9999999999999995E-21</v>
      </c>
      <c r="L1136" s="276">
        <v>9.9999999999999995E-21</v>
      </c>
      <c r="M1136" s="276">
        <v>9.9999999999999995E-21</v>
      </c>
      <c r="N1136" s="276">
        <v>9.9999999999999995E-21</v>
      </c>
      <c r="O1136" s="276">
        <v>9.9999999999999995E-21</v>
      </c>
      <c r="P1136" s="276"/>
      <c r="Q1136" s="104"/>
    </row>
    <row r="1137" spans="1:17" ht="12.75" customHeight="1" x14ac:dyDescent="0.3">
      <c r="A1137" s="38"/>
      <c r="B1137" s="38"/>
      <c r="C1137" s="42" t="s">
        <v>1015</v>
      </c>
      <c r="D1137" s="64"/>
      <c r="E1137" s="64"/>
      <c r="F1137" s="64"/>
      <c r="G1137" s="63" t="s">
        <v>1074</v>
      </c>
      <c r="H1137" s="42" t="s">
        <v>716</v>
      </c>
      <c r="I1137" s="340">
        <f>global!I301</f>
        <v>0</v>
      </c>
      <c r="J1137" s="315"/>
      <c r="K1137" s="315"/>
      <c r="L1137" s="276"/>
      <c r="M1137" s="276"/>
      <c r="N1137" s="276"/>
      <c r="O1137" s="276"/>
      <c r="P1137" s="276"/>
      <c r="Q1137" s="104"/>
    </row>
    <row r="1138" spans="1:17" ht="12.75" customHeight="1" x14ac:dyDescent="0.3">
      <c r="A1138" s="38"/>
      <c r="B1138" s="38"/>
      <c r="C1138" s="42" t="s">
        <v>1016</v>
      </c>
      <c r="D1138" s="38"/>
      <c r="E1138" s="38"/>
      <c r="F1138" s="38"/>
      <c r="G1138" s="63" t="s">
        <v>1072</v>
      </c>
      <c r="H1138" s="42" t="s">
        <v>716</v>
      </c>
      <c r="I1138" s="340">
        <f>global!I302</f>
        <v>0</v>
      </c>
      <c r="J1138" s="315"/>
      <c r="K1138" s="315"/>
      <c r="L1138" s="276"/>
      <c r="M1138" s="276"/>
      <c r="N1138" s="276"/>
      <c r="O1138" s="276"/>
      <c r="P1138" s="276"/>
      <c r="Q1138" s="104"/>
    </row>
    <row r="1139" spans="1:17" ht="12.75" customHeight="1" x14ac:dyDescent="0.3">
      <c r="A1139" s="38"/>
      <c r="B1139" s="38"/>
      <c r="C1139" s="42" t="s">
        <v>1017</v>
      </c>
      <c r="D1139" s="38"/>
      <c r="E1139" s="38"/>
      <c r="F1139" s="38"/>
      <c r="G1139" s="63" t="s">
        <v>1073</v>
      </c>
      <c r="H1139" s="42" t="s">
        <v>716</v>
      </c>
      <c r="I1139" s="340">
        <f>global!I303</f>
        <v>0</v>
      </c>
      <c r="J1139" s="315"/>
      <c r="K1139" s="315"/>
      <c r="L1139" s="276"/>
      <c r="M1139" s="276"/>
      <c r="N1139" s="276"/>
      <c r="O1139" s="276"/>
      <c r="P1139" s="276"/>
      <c r="Q1139" s="104"/>
    </row>
    <row r="1140" spans="1:17" ht="12.75" customHeight="1" x14ac:dyDescent="0.3">
      <c r="A1140" s="42"/>
      <c r="B1140" s="38"/>
      <c r="C1140" s="42" t="s">
        <v>429</v>
      </c>
      <c r="D1140" s="64"/>
      <c r="E1140" s="64"/>
      <c r="F1140" s="64"/>
      <c r="G1140" s="63" t="s">
        <v>1071</v>
      </c>
      <c r="H1140" s="42" t="s">
        <v>716</v>
      </c>
      <c r="I1140" s="340">
        <f>global!I304</f>
        <v>0</v>
      </c>
      <c r="J1140" s="315"/>
      <c r="K1140" s="315"/>
      <c r="L1140" s="276"/>
      <c r="M1140" s="276"/>
      <c r="N1140" s="276"/>
      <c r="O1140" s="276"/>
      <c r="P1140" s="276"/>
      <c r="Q1140" s="104"/>
    </row>
    <row r="1141" spans="1:17" ht="12.75" customHeight="1" x14ac:dyDescent="0.3">
      <c r="A1141" s="42"/>
      <c r="B1141" s="38"/>
      <c r="C1141" s="42" t="s">
        <v>860</v>
      </c>
      <c r="D1141" s="64"/>
      <c r="E1141" s="64"/>
      <c r="F1141" s="64"/>
      <c r="G1141" s="63" t="s">
        <v>1075</v>
      </c>
      <c r="H1141" s="42" t="s">
        <v>716</v>
      </c>
      <c r="I1141" s="340">
        <f>global!I305</f>
        <v>0</v>
      </c>
      <c r="J1141" s="315"/>
      <c r="K1141" s="315"/>
      <c r="L1141" s="276"/>
      <c r="M1141" s="276"/>
      <c r="N1141" s="276"/>
      <c r="O1141" s="276"/>
      <c r="P1141" s="276"/>
      <c r="Q1141" s="104"/>
    </row>
    <row r="1142" spans="1:17" ht="12.75" customHeight="1" x14ac:dyDescent="0.3">
      <c r="A1142" s="61"/>
      <c r="B1142" s="61"/>
      <c r="C1142" s="61"/>
      <c r="D1142" s="61"/>
      <c r="E1142" s="61"/>
      <c r="F1142" s="61"/>
      <c r="G1142" s="62"/>
      <c r="H1142" s="75"/>
      <c r="I1142" s="246"/>
      <c r="J1142" s="315"/>
      <c r="K1142" s="315"/>
      <c r="L1142" s="276"/>
      <c r="M1142" s="276"/>
      <c r="N1142" s="276"/>
      <c r="O1142" s="276"/>
      <c r="P1142" s="276"/>
      <c r="Q1142" s="104"/>
    </row>
    <row r="1143" spans="1:17" ht="12.75" customHeight="1" x14ac:dyDescent="0.3">
      <c r="A1143" s="42" t="s">
        <v>93</v>
      </c>
      <c r="B1143" s="38"/>
      <c r="C1143" s="38"/>
      <c r="D1143" s="38"/>
      <c r="E1143" s="38"/>
      <c r="F1143" s="38"/>
      <c r="G1143" s="42" t="s">
        <v>840</v>
      </c>
      <c r="H1143" s="42" t="s">
        <v>1926</v>
      </c>
      <c r="I1143" s="340">
        <f>global!I307</f>
        <v>0</v>
      </c>
      <c r="J1143" s="315"/>
      <c r="K1143" s="315"/>
      <c r="L1143" s="276"/>
      <c r="M1143" s="276"/>
      <c r="N1143" s="276"/>
      <c r="O1143" s="276"/>
      <c r="P1143" s="276"/>
      <c r="Q1143" s="104"/>
    </row>
    <row r="1144" spans="1:17" ht="12.75" customHeight="1" x14ac:dyDescent="0.3">
      <c r="A1144" s="42"/>
      <c r="B1144" s="42" t="s">
        <v>503</v>
      </c>
      <c r="C1144" s="38"/>
      <c r="D1144" s="38"/>
      <c r="E1144" s="38"/>
      <c r="F1144" s="38"/>
      <c r="G1144" s="43" t="s">
        <v>1198</v>
      </c>
      <c r="H1144" s="38" t="s">
        <v>717</v>
      </c>
      <c r="I1144" s="340">
        <f>global!I308</f>
        <v>0</v>
      </c>
      <c r="J1144" s="315"/>
      <c r="K1144" s="315"/>
      <c r="L1144" s="276"/>
      <c r="M1144" s="276"/>
      <c r="N1144" s="276"/>
      <c r="O1144" s="276"/>
      <c r="P1144" s="276"/>
      <c r="Q1144" s="104"/>
    </row>
    <row r="1145" spans="1:17" ht="12.75" customHeight="1" x14ac:dyDescent="0.3">
      <c r="A1145" s="61"/>
      <c r="B1145" s="61"/>
      <c r="C1145" s="61"/>
      <c r="D1145" s="61"/>
      <c r="E1145" s="61"/>
      <c r="F1145" s="61"/>
      <c r="G1145" s="62"/>
      <c r="H1145" s="75"/>
      <c r="I1145" s="246"/>
      <c r="J1145" s="315"/>
      <c r="K1145" s="315"/>
      <c r="L1145" s="276"/>
      <c r="M1145" s="276"/>
      <c r="N1145" s="276"/>
      <c r="O1145" s="276"/>
      <c r="P1145" s="276"/>
      <c r="Q1145" s="104"/>
    </row>
    <row r="1146" spans="1:17" ht="12.75" customHeight="1" x14ac:dyDescent="0.3">
      <c r="A1146" s="42" t="s">
        <v>94</v>
      </c>
      <c r="B1146" s="38"/>
      <c r="C1146" s="38"/>
      <c r="D1146" s="38"/>
      <c r="E1146" s="38"/>
      <c r="F1146" s="38"/>
      <c r="G1146" s="42" t="s">
        <v>1258</v>
      </c>
      <c r="H1146" s="42" t="s">
        <v>1926</v>
      </c>
      <c r="I1146" s="340">
        <f>global!I310</f>
        <v>0</v>
      </c>
      <c r="J1146" s="315"/>
      <c r="K1146" s="315"/>
      <c r="L1146" s="276"/>
      <c r="M1146" s="276"/>
      <c r="N1146" s="276"/>
      <c r="O1146" s="276"/>
      <c r="P1146" s="276"/>
      <c r="Q1146" s="104"/>
    </row>
    <row r="1147" spans="1:17" ht="12.75" customHeight="1" x14ac:dyDescent="0.3">
      <c r="A1147" s="42" t="s">
        <v>95</v>
      </c>
      <c r="B1147" s="38"/>
      <c r="C1147" s="38"/>
      <c r="D1147" s="38"/>
      <c r="E1147" s="38"/>
      <c r="F1147" s="38"/>
      <c r="G1147" s="42" t="s">
        <v>51</v>
      </c>
      <c r="H1147" s="42" t="s">
        <v>1926</v>
      </c>
      <c r="I1147" s="340">
        <f>global!I311</f>
        <v>0</v>
      </c>
      <c r="J1147" s="315"/>
      <c r="K1147" s="315">
        <v>9.9999999999999995E-21</v>
      </c>
      <c r="L1147" s="276">
        <v>9.9999999999999995E-21</v>
      </c>
      <c r="M1147" s="276"/>
      <c r="N1147" s="276">
        <v>9.9999999999999995E-21</v>
      </c>
      <c r="O1147" s="276">
        <v>9.9999999999999995E-21</v>
      </c>
      <c r="P1147" s="276">
        <v>9.9999999999999995E-21</v>
      </c>
      <c r="Q1147" s="104"/>
    </row>
    <row r="1148" spans="1:17" ht="12.75" customHeight="1" x14ac:dyDescent="0.3">
      <c r="A1148" s="42"/>
      <c r="B1148" s="42" t="s">
        <v>504</v>
      </c>
      <c r="C1148" s="38"/>
      <c r="D1148" s="38"/>
      <c r="E1148" s="38"/>
      <c r="F1148" s="38"/>
      <c r="G1148" s="63" t="s">
        <v>54</v>
      </c>
      <c r="H1148" s="38" t="s">
        <v>1943</v>
      </c>
      <c r="I1148" s="340">
        <f>global!I312</f>
        <v>0</v>
      </c>
      <c r="J1148" s="315"/>
      <c r="K1148" s="315">
        <v>94472218.138455927</v>
      </c>
      <c r="L1148" s="276">
        <v>94472218.138455927</v>
      </c>
      <c r="M1148" s="276"/>
      <c r="N1148" s="276">
        <v>94472218.138455927</v>
      </c>
      <c r="O1148" s="276">
        <v>94472218.138455927</v>
      </c>
      <c r="P1148" s="276">
        <v>94472218.138455927</v>
      </c>
      <c r="Q1148" s="104"/>
    </row>
    <row r="1149" spans="1:17" ht="12.75" customHeight="1" x14ac:dyDescent="0.3">
      <c r="A1149" s="42" t="s">
        <v>121</v>
      </c>
      <c r="B1149" s="38"/>
      <c r="C1149" s="38"/>
      <c r="D1149" s="38"/>
      <c r="E1149" s="38"/>
      <c r="F1149" s="38"/>
      <c r="G1149" s="42" t="s">
        <v>52</v>
      </c>
      <c r="H1149" s="42" t="s">
        <v>1926</v>
      </c>
      <c r="I1149" s="340">
        <f>global!I313</f>
        <v>0</v>
      </c>
      <c r="J1149" s="315"/>
      <c r="K1149" s="315"/>
      <c r="L1149" s="276"/>
      <c r="M1149" s="276"/>
      <c r="N1149" s="276"/>
      <c r="O1149" s="276"/>
      <c r="P1149" s="276"/>
      <c r="Q1149" s="104"/>
    </row>
    <row r="1150" spans="1:17" ht="12.75" customHeight="1" x14ac:dyDescent="0.3">
      <c r="A1150" s="42" t="s">
        <v>122</v>
      </c>
      <c r="B1150" s="38"/>
      <c r="C1150" s="38"/>
      <c r="D1150" s="38"/>
      <c r="E1150" s="38"/>
      <c r="F1150" s="38"/>
      <c r="G1150" s="42" t="s">
        <v>53</v>
      </c>
      <c r="H1150" s="42" t="s">
        <v>1926</v>
      </c>
      <c r="I1150" s="340">
        <f>global!I314</f>
        <v>0</v>
      </c>
      <c r="J1150" s="315"/>
      <c r="K1150" s="315"/>
      <c r="L1150" s="276"/>
      <c r="M1150" s="276"/>
      <c r="N1150" s="276"/>
      <c r="O1150" s="276"/>
      <c r="P1150" s="276"/>
      <c r="Q1150" s="104"/>
    </row>
    <row r="1151" spans="1:17" ht="12.75" customHeight="1" x14ac:dyDescent="0.3">
      <c r="A1151" s="42"/>
      <c r="B1151" s="38" t="s">
        <v>687</v>
      </c>
      <c r="C1151" s="38"/>
      <c r="D1151" s="38"/>
      <c r="E1151" s="38"/>
      <c r="F1151" s="38"/>
      <c r="G1151" s="43" t="s">
        <v>1278</v>
      </c>
      <c r="H1151" s="38" t="s">
        <v>1943</v>
      </c>
      <c r="I1151" s="340">
        <f>global!I315</f>
        <v>0</v>
      </c>
      <c r="J1151" s="315"/>
      <c r="K1151" s="315"/>
      <c r="L1151" s="276"/>
      <c r="M1151" s="276"/>
      <c r="N1151" s="276"/>
      <c r="O1151" s="276"/>
      <c r="P1151" s="276"/>
      <c r="Q1151" s="104"/>
    </row>
    <row r="1152" spans="1:17" ht="12.75" customHeight="1" x14ac:dyDescent="0.3">
      <c r="A1152" s="42"/>
      <c r="B1152" s="42"/>
      <c r="C1152" s="38" t="s">
        <v>1213</v>
      </c>
      <c r="D1152" s="38"/>
      <c r="E1152" s="38"/>
      <c r="F1152" s="38"/>
      <c r="G1152" s="43" t="s">
        <v>802</v>
      </c>
      <c r="H1152" s="38" t="s">
        <v>717</v>
      </c>
      <c r="I1152" s="340">
        <f>global!I316</f>
        <v>0</v>
      </c>
      <c r="J1152" s="315"/>
      <c r="K1152" s="315"/>
      <c r="L1152" s="276"/>
      <c r="M1152" s="276"/>
      <c r="N1152" s="276"/>
      <c r="O1152" s="276"/>
      <c r="P1152" s="276"/>
      <c r="Q1152" s="104"/>
    </row>
    <row r="1153" spans="1:17" ht="12.75" customHeight="1" x14ac:dyDescent="0.3">
      <c r="A1153" s="38"/>
      <c r="B1153" s="38"/>
      <c r="C1153" s="38"/>
      <c r="D1153" s="38"/>
      <c r="E1153" s="38"/>
      <c r="F1153" s="38"/>
      <c r="G1153" s="38"/>
      <c r="H1153" s="38"/>
      <c r="I1153" s="178"/>
      <c r="J1153" s="322"/>
      <c r="K1153" s="322"/>
      <c r="L1153" s="285"/>
      <c r="M1153" s="285"/>
      <c r="N1153" s="285"/>
      <c r="O1153" s="285"/>
      <c r="P1153" s="285"/>
      <c r="Q1153" s="104"/>
    </row>
    <row r="1154" spans="1:17" ht="12.75" customHeight="1" x14ac:dyDescent="0.3">
      <c r="A1154" s="67" t="s">
        <v>201</v>
      </c>
      <c r="B1154" s="66"/>
      <c r="C1154" s="66"/>
      <c r="D1154" s="66"/>
      <c r="E1154" s="66"/>
      <c r="F1154" s="66"/>
      <c r="G1154" s="66"/>
      <c r="H1154" s="66"/>
      <c r="I1154" s="189" t="s">
        <v>748</v>
      </c>
      <c r="J1154" s="319"/>
      <c r="K1154" s="319"/>
      <c r="L1154" s="281"/>
      <c r="M1154" s="281"/>
      <c r="N1154" s="281"/>
      <c r="O1154" s="281"/>
      <c r="P1154" s="281"/>
      <c r="Q1154" s="104"/>
    </row>
    <row r="1155" spans="1:17" ht="12.75" customHeight="1" x14ac:dyDescent="0.3">
      <c r="A1155" s="38"/>
      <c r="B1155" s="38"/>
      <c r="C1155" s="38"/>
      <c r="D1155" s="38"/>
      <c r="E1155" s="38"/>
      <c r="F1155" s="38"/>
      <c r="G1155" s="38"/>
      <c r="H1155" s="38"/>
      <c r="I1155" s="162"/>
      <c r="J1155" s="322"/>
      <c r="K1155" s="322"/>
      <c r="L1155" s="285"/>
      <c r="M1155" s="285"/>
      <c r="N1155" s="285"/>
      <c r="O1155" s="285"/>
      <c r="P1155" s="285"/>
      <c r="Q1155" s="104"/>
    </row>
    <row r="1156" spans="1:17" ht="12.75" customHeight="1" x14ac:dyDescent="0.3">
      <c r="A1156" s="38"/>
      <c r="B1156" s="42" t="s">
        <v>947</v>
      </c>
      <c r="C1156" s="42"/>
      <c r="D1156" s="42"/>
      <c r="E1156" s="42"/>
      <c r="F1156" s="42"/>
      <c r="G1156" s="42" t="s">
        <v>2011</v>
      </c>
      <c r="H1156" s="42" t="s">
        <v>28</v>
      </c>
      <c r="I1156" s="340">
        <f>global!I320</f>
        <v>2.232136697699616E-10</v>
      </c>
      <c r="J1156" s="315"/>
      <c r="K1156" s="315">
        <f>1-(0.0000258)/(IF(Tm&gt;298,EXP(-6.79*(1-Tm/298))*Pvap25*EXP((H0vap/8.314)*(1/298-1/TEMP.T)),Pvap25*EXP((H0vap/8.314)*(1/298-1/TEMP.T)))+(0.0000258))</f>
        <v>0.99233466688657734</v>
      </c>
      <c r="L1156" s="276">
        <f>1-(0.0000258)/(IF(Tm&gt;298,EXP(-6.79*(1-Tm/298))*Pvap25*EXP((H0vap/8.314)*(1/298-1/TEMP.T)),Pvap25*EXP((H0vap/8.314)*(1/298-1/TEMP.T)))+(0.0000258))</f>
        <v>0.99233466688657734</v>
      </c>
      <c r="M1156" s="276">
        <f>1-(0.0000258)/(IF(Tm&gt;298,EXP(-6.79*(1-Tm/298))*Pvap25*EXP((H0vap/8.314)*(1/298-1/TEMP.T)),Pvap25*EXP((H0vap/8.314)*(1/298-1/TEMP.T)))+(0.0000258))</f>
        <v>0.99233466688657734</v>
      </c>
      <c r="N1156" s="276">
        <f>1-(0.0000258)/(IF(Tm&gt;298,EXP(-6.79*(1-Tm/298))*Pvap25*EXP((H0vap/8.314)*(1/298-1/TEMP.T)),Pvap25*EXP((H0vap/8.314)*(1/298-1/TEMP.T)))+(0.0000258))</f>
        <v>0.99233466688657734</v>
      </c>
      <c r="O1156" s="276">
        <f>1-(0.0000258)/(IF(Tm&gt;298,EXP(-6.79*(1-Tm/298))*Pvap25*EXP((H0vap/8.314)*(1/298-1/TEMP.T)),Pvap25*EXP((H0vap/8.314)*(1/298-1/TEMP.T)))+(0.0000258))</f>
        <v>0.99233466688657734</v>
      </c>
      <c r="P1156" s="276"/>
      <c r="Q1156" s="104"/>
    </row>
    <row r="1157" spans="1:17" ht="12.75" customHeight="1" x14ac:dyDescent="0.3">
      <c r="A1157" s="38"/>
      <c r="B1157" s="38" t="s">
        <v>609</v>
      </c>
      <c r="C1157" s="38"/>
      <c r="D1157" s="38"/>
      <c r="E1157" s="38"/>
      <c r="F1157" s="38"/>
      <c r="G1157" s="38" t="s">
        <v>623</v>
      </c>
      <c r="H1157" s="38" t="s">
        <v>28</v>
      </c>
      <c r="I1157" s="340">
        <f>global!I321</f>
        <v>0</v>
      </c>
      <c r="J1157" s="315"/>
      <c r="K1157" s="315"/>
      <c r="L1157" s="276"/>
      <c r="M1157" s="276"/>
      <c r="N1157" s="276"/>
      <c r="O1157" s="276"/>
      <c r="P1157" s="276"/>
      <c r="Q1157" s="104"/>
    </row>
    <row r="1158" spans="1:17" ht="12.75" customHeight="1" x14ac:dyDescent="0.3">
      <c r="A1158" s="38"/>
      <c r="B1158" s="38" t="s">
        <v>610</v>
      </c>
      <c r="C1158" s="38"/>
      <c r="D1158" s="38"/>
      <c r="E1158" s="38"/>
      <c r="F1158" s="38"/>
      <c r="G1158" s="38" t="s">
        <v>624</v>
      </c>
      <c r="H1158" s="38" t="s">
        <v>28</v>
      </c>
      <c r="I1158" s="340">
        <f>global!I322</f>
        <v>0</v>
      </c>
      <c r="J1158" s="315"/>
      <c r="K1158" s="315">
        <f>(0.0000258)/(IF(Tm&gt;298,EXP(-6.79*(1-Tm/298))*Pvap25*EXP((H0vap/8.314)*(1/298-1/TEMP.T)),Pvap25*EXP((H0vap/8.314)*(1/298-1/TEMP.T)))+(0.0000258))</f>
        <v>7.6653331134226297E-3</v>
      </c>
      <c r="L1158" s="276">
        <f>(0.0000258)/(IF(Tm&gt;298,EXP(-6.79*(1-Tm/298))*Pvap25*EXP((H0vap/8.314)*(1/298-1/TEMP.T)),Pvap25*EXP((H0vap/8.314)*(1/298-1/TEMP.T)))+(0.0000258))</f>
        <v>7.6653331134226297E-3</v>
      </c>
      <c r="M1158" s="276">
        <f>(0.0000258)/(IF(Tm&gt;298,EXP(-6.79*(1-Tm/298))*Pvap25*EXP((H0vap/8.314)*(1/298-1/TEMP.T)),Pvap25*EXP((H0vap/8.314)*(1/298-1/TEMP.T)))+(0.0000258))</f>
        <v>7.6653331134226297E-3</v>
      </c>
      <c r="N1158" s="276">
        <f>(0.0000258)/(IF(Tm&gt;298,EXP(-6.79*(1-Tm/298))*Pvap25*EXP((H0vap/8.314)*(1/298-1/TEMP.T)),Pvap25*EXP((H0vap/8.314)*(1/298-1/TEMP.T)))+(0.0000258))</f>
        <v>7.6653331134226297E-3</v>
      </c>
      <c r="O1158" s="276">
        <f>(0.0000258)/(IF(Tm&gt;298,EXP(-6.79*(1-Tm/298))*Pvap25*EXP((H0vap/8.314)*(1/298-1/TEMP.T)),Pvap25*EXP((H0vap/8.314)*(1/298-1/TEMP.T)))+(0.0000258))</f>
        <v>7.6653331134226297E-3</v>
      </c>
      <c r="P1158" s="276"/>
      <c r="Q1158" s="104"/>
    </row>
    <row r="1159" spans="1:17" ht="12.75" customHeight="1" x14ac:dyDescent="0.3">
      <c r="A1159" s="38"/>
      <c r="B1159" s="38"/>
      <c r="C1159" s="42" t="s">
        <v>1004</v>
      </c>
      <c r="D1159" s="42"/>
      <c r="E1159" s="42"/>
      <c r="F1159" s="42"/>
      <c r="G1159" s="42" t="s">
        <v>2012</v>
      </c>
      <c r="H1159" s="42" t="s">
        <v>28</v>
      </c>
      <c r="I1159" s="340">
        <f>global!I323</f>
        <v>0</v>
      </c>
      <c r="J1159" s="315"/>
      <c r="K1159" s="315"/>
      <c r="L1159" s="276"/>
      <c r="M1159" s="276"/>
      <c r="N1159" s="276"/>
      <c r="O1159" s="276"/>
      <c r="P1159" s="276"/>
      <c r="Q1159" s="104"/>
    </row>
    <row r="1160" spans="1:17" ht="12.75" customHeight="1" x14ac:dyDescent="0.3">
      <c r="A1160" s="42"/>
      <c r="B1160" s="42"/>
      <c r="C1160" s="42" t="s">
        <v>505</v>
      </c>
      <c r="D1160" s="42"/>
      <c r="E1160" s="42"/>
      <c r="F1160" s="42"/>
      <c r="G1160" s="42" t="s">
        <v>1013</v>
      </c>
      <c r="H1160" s="42" t="s">
        <v>1924</v>
      </c>
      <c r="I1160" s="340">
        <f>global!I324</f>
        <v>0</v>
      </c>
      <c r="J1160" s="315"/>
      <c r="K1160" s="315"/>
      <c r="L1160" s="276"/>
      <c r="M1160" s="276"/>
      <c r="N1160" s="276"/>
      <c r="O1160" s="276"/>
      <c r="P1160" s="276"/>
      <c r="Q1160" s="104"/>
    </row>
    <row r="1161" spans="1:17" ht="12.75" customHeight="1" x14ac:dyDescent="0.4">
      <c r="A1161" s="38"/>
      <c r="B1161" s="38"/>
      <c r="C1161" s="38" t="s">
        <v>606</v>
      </c>
      <c r="D1161" s="38"/>
      <c r="E1161" s="38"/>
      <c r="F1161" s="38"/>
      <c r="G1161" s="38" t="s">
        <v>626</v>
      </c>
      <c r="H1161" s="38" t="s">
        <v>1949</v>
      </c>
      <c r="I1161" s="340">
        <f>global!I325</f>
        <v>0</v>
      </c>
      <c r="J1161" s="315"/>
      <c r="K1161" s="315"/>
      <c r="L1161" s="276"/>
      <c r="M1161" s="276"/>
      <c r="N1161" s="276"/>
      <c r="O1161" s="276"/>
      <c r="P1161" s="276"/>
      <c r="Q1161" s="104"/>
    </row>
    <row r="1162" spans="1:17" ht="12.75" customHeight="1" x14ac:dyDescent="0.4">
      <c r="A1162" s="38"/>
      <c r="B1162" s="38"/>
      <c r="C1162" s="38" t="s">
        <v>607</v>
      </c>
      <c r="D1162" s="38"/>
      <c r="E1162" s="38"/>
      <c r="F1162" s="38"/>
      <c r="G1162" s="38" t="s">
        <v>627</v>
      </c>
      <c r="H1162" s="38" t="s">
        <v>1950</v>
      </c>
      <c r="I1162" s="340">
        <f>global!I326</f>
        <v>0</v>
      </c>
      <c r="J1162" s="315"/>
      <c r="K1162" s="315"/>
      <c r="L1162" s="276"/>
      <c r="M1162" s="276"/>
      <c r="N1162" s="276"/>
      <c r="O1162" s="276"/>
      <c r="P1162" s="276"/>
      <c r="Q1162" s="104"/>
    </row>
    <row r="1163" spans="1:17" ht="12.75" customHeight="1" x14ac:dyDescent="0.3">
      <c r="A1163" s="42"/>
      <c r="B1163" s="42" t="s">
        <v>1985</v>
      </c>
      <c r="C1163" s="64"/>
      <c r="D1163" s="38"/>
      <c r="E1163" s="38"/>
      <c r="F1163" s="38"/>
      <c r="G1163" s="43" t="s">
        <v>99</v>
      </c>
      <c r="H1163" s="42" t="s">
        <v>28</v>
      </c>
      <c r="I1163" s="340">
        <f>global!I327</f>
        <v>0</v>
      </c>
      <c r="J1163" s="315"/>
      <c r="K1163" s="315">
        <f ca="1">1/(1+Kp.susp2T*SUSP.w2T/1000+0.05*Kow*0.001/1000)</f>
        <v>0.96807963985956813</v>
      </c>
      <c r="L1163" s="276">
        <f ca="1">1/(1+Kp.susp2T*SUSP.w2T/1000+0.05*Kow*0.001/1000)</f>
        <v>0.96807963985956813</v>
      </c>
      <c r="M1163" s="276">
        <f ca="1">1/(1+Kp.susp2T*SUSP.w2T/1000+0.05*Kow*0.001/1000)</f>
        <v>0.96807963985956813</v>
      </c>
      <c r="N1163" s="276">
        <f ca="1">1/(1+Kp.susp2T*SUSP.w2T/1000+0.05*Kow*0.001/1000)</f>
        <v>0.96807963985956813</v>
      </c>
      <c r="O1163" s="276">
        <f ca="1">1/(1+Kp.susp2T*SUSP.w2T/1000+0.05*Kow*0.001/1000)</f>
        <v>0.96807963985956813</v>
      </c>
      <c r="P1163" s="276"/>
      <c r="Q1163" s="104"/>
    </row>
    <row r="1164" spans="1:17" ht="12.75" customHeight="1" x14ac:dyDescent="0.3">
      <c r="A1164" s="42"/>
      <c r="B1164" s="42" t="s">
        <v>1112</v>
      </c>
      <c r="C1164" s="64"/>
      <c r="D1164" s="38"/>
      <c r="E1164" s="38"/>
      <c r="F1164" s="38"/>
      <c r="G1164" s="43" t="s">
        <v>1113</v>
      </c>
      <c r="H1164" s="42" t="s">
        <v>28</v>
      </c>
      <c r="I1164" s="340">
        <f>global!I328</f>
        <v>0</v>
      </c>
      <c r="J1164" s="315"/>
      <c r="K1164" s="315">
        <f ca="1">1/(1+Kp.susp3T*SUSP.w3T/1000+0.05*Kow*0.001/1000)</f>
        <v>0.96807963985956813</v>
      </c>
      <c r="L1164" s="276">
        <f ca="1">1/(1+Kp.susp3T*SUSP.w3T/1000+0.05*Kow*0.001/1000)</f>
        <v>0.96807963985956813</v>
      </c>
      <c r="M1164" s="276">
        <f ca="1">1/(1+Kp.susp3T*SUSP.w3T/1000+0.05*Kow*0.001/1000)</f>
        <v>0.96807963985956813</v>
      </c>
      <c r="N1164" s="276">
        <f ca="1">1/(1+Kp.susp3T*SUSP.w3T/1000+0.05*Kow*0.001/1000)</f>
        <v>0.96807963985956813</v>
      </c>
      <c r="O1164" s="276">
        <f ca="1">1/(1+Kp.susp3T*SUSP.w3T/1000+0.05*Kow*0.001/1000)</f>
        <v>0.96807963985956813</v>
      </c>
      <c r="P1164" s="276"/>
      <c r="Q1164" s="104"/>
    </row>
    <row r="1165" spans="1:17" ht="12.75" customHeight="1" x14ac:dyDescent="0.3">
      <c r="A1165" s="42"/>
      <c r="B1165" s="38"/>
      <c r="C1165" s="42" t="s">
        <v>1986</v>
      </c>
      <c r="D1165" s="38"/>
      <c r="E1165" s="38"/>
      <c r="F1165" s="38"/>
      <c r="G1165" s="63" t="s">
        <v>1114</v>
      </c>
      <c r="H1165" s="42" t="s">
        <v>1951</v>
      </c>
      <c r="I1165" s="340">
        <f>global!I329</f>
        <v>0</v>
      </c>
      <c r="J1165" s="315"/>
      <c r="K1165" s="315"/>
      <c r="L1165" s="276"/>
      <c r="M1165" s="276"/>
      <c r="N1165" s="276"/>
      <c r="O1165" s="276"/>
      <c r="P1165" s="276"/>
      <c r="Q1165" s="104"/>
    </row>
    <row r="1166" spans="1:17" ht="12.75" customHeight="1" x14ac:dyDescent="0.3">
      <c r="A1166" s="42"/>
      <c r="B1166" s="38"/>
      <c r="C1166" s="42" t="s">
        <v>1115</v>
      </c>
      <c r="D1166" s="38"/>
      <c r="E1166" s="38"/>
      <c r="F1166" s="38"/>
      <c r="G1166" s="63" t="s">
        <v>1116</v>
      </c>
      <c r="H1166" s="42" t="s">
        <v>1951</v>
      </c>
      <c r="I1166" s="340">
        <f>global!I330</f>
        <v>0</v>
      </c>
      <c r="J1166" s="315"/>
      <c r="K1166" s="315"/>
      <c r="L1166" s="276"/>
      <c r="M1166" s="276"/>
      <c r="N1166" s="276"/>
      <c r="O1166" s="276"/>
      <c r="P1166" s="276"/>
      <c r="Q1166" s="104"/>
    </row>
    <row r="1167" spans="1:17" ht="12.75" customHeight="1" x14ac:dyDescent="0.3">
      <c r="A1167" s="42"/>
      <c r="B1167" s="38"/>
      <c r="C1167" s="42" t="s">
        <v>1987</v>
      </c>
      <c r="D1167" s="38"/>
      <c r="E1167" s="38"/>
      <c r="F1167" s="38"/>
      <c r="G1167" s="63" t="s">
        <v>1455</v>
      </c>
      <c r="H1167" s="42" t="s">
        <v>28</v>
      </c>
      <c r="I1167" s="340">
        <f>global!I331</f>
        <v>0</v>
      </c>
      <c r="J1167" s="315"/>
      <c r="K1167" s="315"/>
      <c r="L1167" s="276"/>
      <c r="M1167" s="276"/>
      <c r="N1167" s="276"/>
      <c r="O1167" s="276"/>
      <c r="P1167" s="276"/>
      <c r="Q1167" s="104"/>
    </row>
    <row r="1168" spans="1:17" ht="12.75" customHeight="1" x14ac:dyDescent="0.3">
      <c r="A1168" s="42"/>
      <c r="B1168" s="38"/>
      <c r="C1168" s="42" t="s">
        <v>1117</v>
      </c>
      <c r="D1168" s="38"/>
      <c r="E1168" s="38"/>
      <c r="F1168" s="38"/>
      <c r="G1168" s="63" t="s">
        <v>1456</v>
      </c>
      <c r="H1168" s="42" t="s">
        <v>28</v>
      </c>
      <c r="I1168" s="340">
        <f>global!I332</f>
        <v>0</v>
      </c>
      <c r="J1168" s="315"/>
      <c r="K1168" s="315"/>
      <c r="L1168" s="276"/>
      <c r="M1168" s="276"/>
      <c r="N1168" s="276"/>
      <c r="O1168" s="276"/>
      <c r="P1168" s="276"/>
      <c r="Q1168" s="104"/>
    </row>
    <row r="1169" spans="1:17" ht="12.75" customHeight="1" x14ac:dyDescent="0.3">
      <c r="A1169" s="42"/>
      <c r="B1169" s="38"/>
      <c r="C1169" s="42" t="s">
        <v>1988</v>
      </c>
      <c r="D1169" s="38"/>
      <c r="E1169" s="38"/>
      <c r="F1169" s="38"/>
      <c r="G1169" s="63" t="s">
        <v>1118</v>
      </c>
      <c r="H1169" s="42" t="s">
        <v>1923</v>
      </c>
      <c r="I1169" s="340">
        <f>global!I333</f>
        <v>0</v>
      </c>
      <c r="J1169" s="315"/>
      <c r="K1169" s="315"/>
      <c r="L1169" s="276"/>
      <c r="M1169" s="276"/>
      <c r="N1169" s="276"/>
      <c r="O1169" s="276"/>
      <c r="P1169" s="276"/>
      <c r="Q1169" s="104"/>
    </row>
    <row r="1170" spans="1:17" ht="12.75" customHeight="1" x14ac:dyDescent="0.3">
      <c r="A1170" s="42"/>
      <c r="B1170" s="38"/>
      <c r="C1170" s="42" t="s">
        <v>1119</v>
      </c>
      <c r="D1170" s="38"/>
      <c r="E1170" s="38"/>
      <c r="F1170" s="38"/>
      <c r="G1170" s="63" t="s">
        <v>1120</v>
      </c>
      <c r="H1170" s="42" t="s">
        <v>1923</v>
      </c>
      <c r="I1170" s="340">
        <f>global!I334</f>
        <v>0</v>
      </c>
      <c r="J1170" s="315"/>
      <c r="K1170" s="315"/>
      <c r="L1170" s="276"/>
      <c r="M1170" s="276"/>
      <c r="N1170" s="276"/>
      <c r="O1170" s="276"/>
      <c r="P1170" s="276"/>
      <c r="Q1170" s="104"/>
    </row>
    <row r="1171" spans="1:17" ht="12.75" customHeight="1" x14ac:dyDescent="0.3">
      <c r="A1171" s="42"/>
      <c r="B1171" s="38"/>
      <c r="C1171" s="42" t="s">
        <v>1989</v>
      </c>
      <c r="D1171" s="38"/>
      <c r="E1171" s="38"/>
      <c r="F1171" s="38"/>
      <c r="G1171" s="63" t="s">
        <v>1121</v>
      </c>
      <c r="H1171" s="42" t="s">
        <v>1000</v>
      </c>
      <c r="I1171" s="340">
        <f>global!I335</f>
        <v>0</v>
      </c>
      <c r="J1171" s="315"/>
      <c r="K1171" s="315"/>
      <c r="L1171" s="276"/>
      <c r="M1171" s="276"/>
      <c r="N1171" s="276"/>
      <c r="O1171" s="276"/>
      <c r="P1171" s="276"/>
      <c r="Q1171" s="104"/>
    </row>
    <row r="1172" spans="1:17" ht="12.75" customHeight="1" x14ac:dyDescent="0.3">
      <c r="A1172" s="42"/>
      <c r="B1172" s="38"/>
      <c r="C1172" s="42" t="s">
        <v>1136</v>
      </c>
      <c r="D1172" s="38"/>
      <c r="E1172" s="38"/>
      <c r="F1172" s="38"/>
      <c r="G1172" s="63" t="s">
        <v>1122</v>
      </c>
      <c r="H1172" s="42" t="s">
        <v>1000</v>
      </c>
      <c r="I1172" s="340">
        <f>global!I336</f>
        <v>0</v>
      </c>
      <c r="J1172" s="315"/>
      <c r="K1172" s="315"/>
      <c r="L1172" s="276"/>
      <c r="M1172" s="276"/>
      <c r="N1172" s="276"/>
      <c r="O1172" s="276"/>
      <c r="P1172" s="276"/>
      <c r="Q1172" s="104"/>
    </row>
    <row r="1173" spans="1:17" ht="12.75" customHeight="1" x14ac:dyDescent="0.3">
      <c r="A1173" s="42"/>
      <c r="B1173" s="38"/>
      <c r="C1173" s="42" t="s">
        <v>1990</v>
      </c>
      <c r="D1173" s="38"/>
      <c r="E1173" s="38"/>
      <c r="F1173" s="38"/>
      <c r="G1173" s="63" t="s">
        <v>1137</v>
      </c>
      <c r="H1173" s="42" t="s">
        <v>999</v>
      </c>
      <c r="I1173" s="340">
        <f>global!I337</f>
        <v>0</v>
      </c>
      <c r="J1173" s="315"/>
      <c r="K1173" s="315"/>
      <c r="L1173" s="276"/>
      <c r="M1173" s="276"/>
      <c r="N1173" s="276"/>
      <c r="O1173" s="276"/>
      <c r="P1173" s="276"/>
      <c r="Q1173" s="104"/>
    </row>
    <row r="1174" spans="1:17" ht="12.75" customHeight="1" x14ac:dyDescent="0.3">
      <c r="A1174" s="42"/>
      <c r="B1174" s="38"/>
      <c r="C1174" s="42" t="s">
        <v>1123</v>
      </c>
      <c r="D1174" s="38"/>
      <c r="E1174" s="38"/>
      <c r="F1174" s="38"/>
      <c r="G1174" s="63" t="s">
        <v>1124</v>
      </c>
      <c r="H1174" s="42" t="s">
        <v>999</v>
      </c>
      <c r="I1174" s="340">
        <f>global!I338</f>
        <v>0</v>
      </c>
      <c r="J1174" s="315"/>
      <c r="K1174" s="315"/>
      <c r="L1174" s="276"/>
      <c r="M1174" s="276"/>
      <c r="N1174" s="276"/>
      <c r="O1174" s="276"/>
      <c r="P1174" s="276"/>
      <c r="Q1174" s="104"/>
    </row>
    <row r="1175" spans="1:17" ht="12.75" customHeight="1" x14ac:dyDescent="0.3">
      <c r="A1175" s="42"/>
      <c r="B1175" s="42" t="s">
        <v>1370</v>
      </c>
      <c r="C1175" s="64"/>
      <c r="D1175" s="38"/>
      <c r="E1175" s="38"/>
      <c r="F1175" s="38"/>
      <c r="G1175" s="63" t="s">
        <v>105</v>
      </c>
      <c r="H1175" s="42" t="s">
        <v>28</v>
      </c>
      <c r="I1175" s="340">
        <f>global!I339</f>
        <v>0</v>
      </c>
      <c r="J1175" s="315"/>
      <c r="K1175" s="315"/>
      <c r="L1175" s="276"/>
      <c r="M1175" s="276"/>
      <c r="N1175" s="276"/>
      <c r="O1175" s="276"/>
      <c r="P1175" s="276"/>
      <c r="Q1175" s="104"/>
    </row>
    <row r="1176" spans="1:17" ht="12.75" customHeight="1" x14ac:dyDescent="0.3">
      <c r="A1176" s="42"/>
      <c r="B1176" s="38"/>
      <c r="C1176" s="42" t="s">
        <v>1371</v>
      </c>
      <c r="D1176" s="38"/>
      <c r="E1176" s="38"/>
      <c r="F1176" s="38"/>
      <c r="G1176" s="63" t="s">
        <v>170</v>
      </c>
      <c r="H1176" s="42" t="s">
        <v>1951</v>
      </c>
      <c r="I1176" s="340">
        <f>global!I340</f>
        <v>0</v>
      </c>
      <c r="J1176" s="315"/>
      <c r="K1176" s="315"/>
      <c r="L1176" s="276"/>
      <c r="M1176" s="276"/>
      <c r="N1176" s="276"/>
      <c r="O1176" s="276"/>
      <c r="P1176" s="276"/>
      <c r="Q1176" s="104"/>
    </row>
    <row r="1177" spans="1:17" ht="12.75" customHeight="1" x14ac:dyDescent="0.3">
      <c r="A1177" s="42"/>
      <c r="B1177" s="38"/>
      <c r="C1177" s="42" t="s">
        <v>538</v>
      </c>
      <c r="D1177" s="38"/>
      <c r="E1177" s="38"/>
      <c r="F1177" s="38"/>
      <c r="G1177" s="63" t="s">
        <v>106</v>
      </c>
      <c r="H1177" s="42" t="s">
        <v>28</v>
      </c>
      <c r="I1177" s="340">
        <f>global!I341</f>
        <v>0</v>
      </c>
      <c r="J1177" s="315"/>
      <c r="K1177" s="315"/>
      <c r="L1177" s="276"/>
      <c r="M1177" s="276"/>
      <c r="N1177" s="276"/>
      <c r="O1177" s="276"/>
      <c r="P1177" s="276"/>
      <c r="Q1177" s="104"/>
    </row>
    <row r="1178" spans="1:17" ht="12.75" customHeight="1" x14ac:dyDescent="0.3">
      <c r="A1178" s="42"/>
      <c r="B1178" s="42" t="s">
        <v>1367</v>
      </c>
      <c r="C1178" s="64"/>
      <c r="D1178" s="38"/>
      <c r="E1178" s="38"/>
      <c r="F1178" s="38"/>
      <c r="G1178" s="63" t="s">
        <v>2013</v>
      </c>
      <c r="H1178" s="42" t="s">
        <v>28</v>
      </c>
      <c r="I1178" s="340">
        <f>global!I342</f>
        <v>0</v>
      </c>
      <c r="J1178" s="315"/>
      <c r="K1178" s="315"/>
      <c r="L1178" s="276"/>
      <c r="M1178" s="276"/>
      <c r="N1178" s="276"/>
      <c r="O1178" s="276"/>
      <c r="P1178" s="276"/>
      <c r="Q1178" s="104"/>
    </row>
    <row r="1179" spans="1:17" ht="12.75" customHeight="1" x14ac:dyDescent="0.3">
      <c r="A1179" s="42"/>
      <c r="B1179" s="42" t="s">
        <v>40</v>
      </c>
      <c r="C1179" s="64"/>
      <c r="D1179" s="38"/>
      <c r="E1179" s="38"/>
      <c r="F1179" s="38"/>
      <c r="G1179" s="63" t="s">
        <v>469</v>
      </c>
      <c r="H1179" s="42" t="s">
        <v>28</v>
      </c>
      <c r="I1179" s="340">
        <f>global!I343</f>
        <v>0</v>
      </c>
      <c r="J1179" s="315"/>
      <c r="K1179" s="315"/>
      <c r="L1179" s="276"/>
      <c r="M1179" s="276"/>
      <c r="N1179" s="276"/>
      <c r="O1179" s="276"/>
      <c r="P1179" s="276"/>
      <c r="Q1179" s="104"/>
    </row>
    <row r="1180" spans="1:17" ht="12.75" customHeight="1" x14ac:dyDescent="0.3">
      <c r="A1180" s="42"/>
      <c r="B1180" s="42" t="s">
        <v>1296</v>
      </c>
      <c r="C1180" s="64"/>
      <c r="D1180" s="38"/>
      <c r="E1180" s="38"/>
      <c r="F1180" s="38"/>
      <c r="G1180" s="63" t="s">
        <v>468</v>
      </c>
      <c r="H1180" s="42" t="s">
        <v>28</v>
      </c>
      <c r="I1180" s="340">
        <f>global!I344</f>
        <v>0</v>
      </c>
      <c r="J1180" s="315"/>
      <c r="K1180" s="315"/>
      <c r="L1180" s="276"/>
      <c r="M1180" s="276"/>
      <c r="N1180" s="276"/>
      <c r="O1180" s="276"/>
      <c r="P1180" s="276"/>
      <c r="Q1180" s="104"/>
    </row>
    <row r="1181" spans="1:17" ht="12.75" customHeight="1" x14ac:dyDescent="0.3">
      <c r="A1181" s="42"/>
      <c r="B1181" s="38"/>
      <c r="C1181" s="42" t="s">
        <v>1368</v>
      </c>
      <c r="D1181" s="38"/>
      <c r="E1181" s="38"/>
      <c r="F1181" s="38"/>
      <c r="G1181" s="63" t="s">
        <v>172</v>
      </c>
      <c r="H1181" s="42" t="s">
        <v>1951</v>
      </c>
      <c r="I1181" s="340">
        <f>global!I345</f>
        <v>0</v>
      </c>
      <c r="J1181" s="315"/>
      <c r="K1181" s="315"/>
      <c r="L1181" s="276"/>
      <c r="M1181" s="276"/>
      <c r="N1181" s="276"/>
      <c r="O1181" s="276"/>
      <c r="P1181" s="276"/>
      <c r="Q1181" s="104"/>
    </row>
    <row r="1182" spans="1:17" ht="12.75" customHeight="1" x14ac:dyDescent="0.3">
      <c r="A1182" s="42"/>
      <c r="B1182" s="38"/>
      <c r="C1182" s="42" t="s">
        <v>1369</v>
      </c>
      <c r="D1182" s="38"/>
      <c r="E1182" s="38"/>
      <c r="F1182" s="38"/>
      <c r="G1182" s="63" t="s">
        <v>1005</v>
      </c>
      <c r="H1182" s="42" t="s">
        <v>28</v>
      </c>
      <c r="I1182" s="340">
        <f>global!I346</f>
        <v>0</v>
      </c>
      <c r="J1182" s="315"/>
      <c r="K1182" s="315"/>
      <c r="L1182" s="276"/>
      <c r="M1182" s="276"/>
      <c r="N1182" s="276"/>
      <c r="O1182" s="276"/>
      <c r="P1182" s="276"/>
      <c r="Q1182" s="104"/>
    </row>
    <row r="1183" spans="1:17" ht="12.75" customHeight="1" x14ac:dyDescent="0.3">
      <c r="A1183" s="38"/>
      <c r="B1183" s="38"/>
      <c r="C1183" s="38"/>
      <c r="D1183" s="38"/>
      <c r="E1183" s="38"/>
      <c r="F1183" s="38"/>
      <c r="G1183" s="38"/>
      <c r="H1183" s="38"/>
      <c r="I1183" s="178"/>
      <c r="J1183" s="322"/>
      <c r="K1183" s="322"/>
      <c r="L1183" s="285"/>
      <c r="M1183" s="285"/>
      <c r="N1183" s="285"/>
      <c r="O1183" s="285"/>
      <c r="P1183" s="285"/>
      <c r="Q1183" s="104"/>
    </row>
    <row r="1184" spans="1:17" ht="12.75" customHeight="1" x14ac:dyDescent="0.3">
      <c r="A1184" s="67" t="s">
        <v>1306</v>
      </c>
      <c r="B1184" s="66"/>
      <c r="C1184" s="66"/>
      <c r="D1184" s="66"/>
      <c r="E1184" s="66"/>
      <c r="F1184" s="66"/>
      <c r="G1184" s="66"/>
      <c r="H1184" s="66"/>
      <c r="I1184" s="189" t="s">
        <v>748</v>
      </c>
      <c r="J1184" s="319"/>
      <c r="K1184" s="319"/>
      <c r="L1184" s="281"/>
      <c r="M1184" s="281"/>
      <c r="N1184" s="281"/>
      <c r="O1184" s="281"/>
      <c r="P1184" s="281"/>
      <c r="Q1184" s="104"/>
    </row>
    <row r="1185" spans="1:17" ht="12.75" customHeight="1" x14ac:dyDescent="0.3">
      <c r="A1185" s="38"/>
      <c r="B1185" s="38"/>
      <c r="C1185" s="38"/>
      <c r="D1185" s="38"/>
      <c r="E1185" s="38"/>
      <c r="F1185" s="38"/>
      <c r="G1185" s="38"/>
      <c r="H1185" s="38"/>
      <c r="I1185" s="162"/>
      <c r="J1185" s="322"/>
      <c r="K1185" s="322"/>
      <c r="L1185" s="285"/>
      <c r="M1185" s="285"/>
      <c r="N1185" s="285"/>
      <c r="O1185" s="285"/>
      <c r="P1185" s="285"/>
      <c r="Q1185" s="104"/>
    </row>
    <row r="1186" spans="1:17" ht="12.75" customHeight="1" x14ac:dyDescent="0.3">
      <c r="A1186" s="42" t="s">
        <v>85</v>
      </c>
      <c r="B1186" s="38"/>
      <c r="C1186" s="38"/>
      <c r="D1186" s="38"/>
      <c r="E1186" s="38"/>
      <c r="F1186" s="38"/>
      <c r="G1186" s="42" t="s">
        <v>1259</v>
      </c>
      <c r="H1186" s="42" t="s">
        <v>1926</v>
      </c>
      <c r="I1186" s="340">
        <f>global!I350</f>
        <v>0</v>
      </c>
      <c r="J1186" s="315"/>
      <c r="K1186" s="315">
        <f>((DRYDEPaerosol.T+AerosolWashout.T+GasWashout.T+GASABS.aT.wT)/HEIGHT.aT)*AREAFRAC.wT</f>
        <v>10.735153091481941</v>
      </c>
      <c r="L1186" s="315">
        <f>((DRYDEPaerosol.T+AerosolWashout.T+GasWashout.T+GASABS.aT.wT)/HEIGHT.aT)*AREAFRAC.wT</f>
        <v>10.735153091481941</v>
      </c>
      <c r="M1186" s="315">
        <f>((DRYDEPaerosol.T+AerosolWashout.T+GasWashout.T+GASABS.aT.wT)/HEIGHT.aT)*AREAFRAC.wT</f>
        <v>10.735153091481941</v>
      </c>
      <c r="N1186" s="315">
        <f>((DRYDEPaerosol.T+AerosolWashout.T+GasWashout.T+GASABS.aT.wT)/HEIGHT.aT)*AREAFRAC.wT</f>
        <v>10.735153091481941</v>
      </c>
      <c r="O1186" s="315">
        <f>((DRYDEPaerosol.T+AerosolWashout.T+GasWashout.T+GASABS.aT.wT)/HEIGHT.aT)*AREAFRAC.wT</f>
        <v>10.735153091481941</v>
      </c>
      <c r="P1186" s="276"/>
      <c r="Q1186" s="104"/>
    </row>
    <row r="1187" spans="1:17" ht="12.75" customHeight="1" x14ac:dyDescent="0.3">
      <c r="A1187" s="42" t="s">
        <v>86</v>
      </c>
      <c r="B1187" s="38"/>
      <c r="C1187" s="38"/>
      <c r="D1187" s="38"/>
      <c r="E1187" s="38"/>
      <c r="F1187" s="38"/>
      <c r="G1187" s="42" t="s">
        <v>1362</v>
      </c>
      <c r="H1187" s="42" t="s">
        <v>1926</v>
      </c>
      <c r="I1187" s="340">
        <f>global!I351</f>
        <v>0</v>
      </c>
      <c r="J1187" s="315"/>
      <c r="K1187" s="315">
        <f ca="1">((DRYDEPaerosol.T+AerosolWashout.T+GasWashout.T+GASABS.aT.sT)/HEIGHT.aT)*AREAFRAC.sT</f>
        <v>4.6007798963494029</v>
      </c>
      <c r="L1187" s="315">
        <f ca="1">((DRYDEPaerosol.T+AerosolWashout.T+GasWashout.T+GASABS.aT.sT)/HEIGHT.aT)*AREAFRAC.sT</f>
        <v>4.6007798963494029</v>
      </c>
      <c r="M1187" s="315">
        <f ca="1">((DRYDEPaerosol.T+AerosolWashout.T+GasWashout.T+GASABS.aT.sT)/HEIGHT.aT)*AREAFRAC.sT</f>
        <v>4.6007798963494029</v>
      </c>
      <c r="N1187" s="315">
        <f ca="1">((DRYDEPaerosol.T+AerosolWashout.T+GasWashout.T+GASABS.aT.sT)/HEIGHT.aT)*AREAFRAC.sT</f>
        <v>4.6007798963494029</v>
      </c>
      <c r="O1187" s="315">
        <f ca="1">((DRYDEPaerosol.T+AerosolWashout.T+GasWashout.T+GASABS.aT.sT)/HEIGHT.aT)*AREAFRAC.sT</f>
        <v>4.6007798963494029</v>
      </c>
      <c r="P1187" s="276"/>
      <c r="Q1187" s="104"/>
    </row>
    <row r="1188" spans="1:17" ht="12.75" customHeight="1" x14ac:dyDescent="0.3">
      <c r="A1188" s="42" t="s">
        <v>87</v>
      </c>
      <c r="B1188" s="38"/>
      <c r="C1188" s="38"/>
      <c r="D1188" s="38"/>
      <c r="E1188" s="38"/>
      <c r="F1188" s="38"/>
      <c r="G1188" s="42" t="s">
        <v>1260</v>
      </c>
      <c r="H1188" s="42" t="s">
        <v>1926</v>
      </c>
      <c r="I1188" s="340">
        <f>global!I352</f>
        <v>0</v>
      </c>
      <c r="J1188" s="315"/>
      <c r="K1188" s="315"/>
      <c r="L1188" s="276"/>
      <c r="M1188" s="276"/>
      <c r="N1188" s="276"/>
      <c r="O1188" s="276"/>
      <c r="P1188" s="276"/>
      <c r="Q1188" s="104"/>
    </row>
    <row r="1189" spans="1:17" ht="12.75" customHeight="1" x14ac:dyDescent="0.3">
      <c r="A1189" s="42" t="s">
        <v>88</v>
      </c>
      <c r="B1189" s="38"/>
      <c r="C1189" s="38"/>
      <c r="D1189" s="38"/>
      <c r="E1189" s="38"/>
      <c r="F1189" s="38"/>
      <c r="G1189" s="42" t="s">
        <v>1363</v>
      </c>
      <c r="H1189" s="42" t="s">
        <v>1926</v>
      </c>
      <c r="I1189" s="340">
        <f>global!I353</f>
        <v>0</v>
      </c>
      <c r="J1189" s="315"/>
      <c r="K1189" s="315"/>
      <c r="L1189" s="276"/>
      <c r="M1189" s="276"/>
      <c r="N1189" s="276"/>
      <c r="O1189" s="276"/>
      <c r="P1189" s="276"/>
      <c r="Q1189" s="104"/>
    </row>
    <row r="1190" spans="1:17" ht="12.75" customHeight="1" x14ac:dyDescent="0.3">
      <c r="A1190" s="42"/>
      <c r="B1190" s="42" t="s">
        <v>1874</v>
      </c>
      <c r="C1190" s="38"/>
      <c r="D1190" s="38"/>
      <c r="E1190" s="38"/>
      <c r="F1190" s="38"/>
      <c r="G1190" s="43" t="s">
        <v>1902</v>
      </c>
      <c r="H1190" s="42" t="s">
        <v>1926</v>
      </c>
      <c r="I1190" s="340">
        <f>global!I354</f>
        <v>0</v>
      </c>
      <c r="J1190" s="315"/>
      <c r="K1190" s="315"/>
      <c r="L1190" s="276"/>
      <c r="M1190" s="276"/>
      <c r="N1190" s="276"/>
      <c r="O1190" s="276"/>
      <c r="P1190" s="276"/>
      <c r="Q1190" s="104"/>
    </row>
    <row r="1191" spans="1:17" ht="12.75" customHeight="1" x14ac:dyDescent="0.3">
      <c r="A1191" s="42"/>
      <c r="B1191" s="42"/>
      <c r="C1191" s="38" t="s">
        <v>1875</v>
      </c>
      <c r="D1191" s="38"/>
      <c r="E1191" s="38"/>
      <c r="F1191" s="38"/>
      <c r="G1191" s="43" t="s">
        <v>1903</v>
      </c>
      <c r="H1191" s="42" t="s">
        <v>1926</v>
      </c>
      <c r="I1191" s="340">
        <f>global!I355</f>
        <v>0</v>
      </c>
      <c r="J1191" s="315"/>
      <c r="K1191" s="315"/>
      <c r="L1191" s="276"/>
      <c r="M1191" s="276"/>
      <c r="N1191" s="276"/>
      <c r="O1191" s="276"/>
      <c r="P1191" s="276"/>
      <c r="Q1191" s="104"/>
    </row>
    <row r="1192" spans="1:17" ht="12.75" customHeight="1" x14ac:dyDescent="0.3">
      <c r="A1192" s="42"/>
      <c r="B1192" s="42"/>
      <c r="C1192" s="42"/>
      <c r="D1192" s="42" t="s">
        <v>1956</v>
      </c>
      <c r="E1192" s="38"/>
      <c r="F1192" s="38"/>
      <c r="G1192" s="43" t="s">
        <v>423</v>
      </c>
      <c r="H1192" s="42" t="s">
        <v>1926</v>
      </c>
      <c r="I1192" s="340">
        <f>global!I356</f>
        <v>0</v>
      </c>
      <c r="J1192" s="315"/>
      <c r="K1192" s="315"/>
      <c r="L1192" s="276"/>
      <c r="M1192" s="276"/>
      <c r="N1192" s="276"/>
      <c r="O1192" s="276"/>
      <c r="P1192" s="276"/>
      <c r="Q1192" s="104"/>
    </row>
    <row r="1193" spans="1:17" ht="12.75" customHeight="1" x14ac:dyDescent="0.3">
      <c r="A1193" s="42"/>
      <c r="B1193" s="42"/>
      <c r="C1193" s="42"/>
      <c r="D1193" s="42" t="s">
        <v>1957</v>
      </c>
      <c r="E1193" s="38"/>
      <c r="F1193" s="38"/>
      <c r="G1193" s="43" t="s">
        <v>424</v>
      </c>
      <c r="H1193" s="42" t="s">
        <v>1926</v>
      </c>
      <c r="I1193" s="340">
        <f>global!I357</f>
        <v>0</v>
      </c>
      <c r="J1193" s="315"/>
      <c r="K1193" s="315"/>
      <c r="L1193" s="276"/>
      <c r="M1193" s="276"/>
      <c r="N1193" s="276"/>
      <c r="O1193" s="276"/>
      <c r="P1193" s="276"/>
      <c r="Q1193" s="104"/>
    </row>
    <row r="1194" spans="1:17" ht="12.75" customHeight="1" x14ac:dyDescent="0.3">
      <c r="A1194" s="42"/>
      <c r="B1194" s="38" t="s">
        <v>890</v>
      </c>
      <c r="C1194" s="38"/>
      <c r="D1194" s="38"/>
      <c r="E1194" s="38"/>
      <c r="F1194" s="38"/>
      <c r="G1194" s="38" t="s">
        <v>425</v>
      </c>
      <c r="H1194" s="38" t="s">
        <v>1779</v>
      </c>
      <c r="I1194" s="340">
        <f>global!I358</f>
        <v>0</v>
      </c>
      <c r="J1194" s="315"/>
      <c r="K1194" s="315"/>
      <c r="L1194" s="276"/>
      <c r="M1194" s="276"/>
      <c r="N1194" s="276"/>
      <c r="O1194" s="276"/>
      <c r="P1194" s="276"/>
      <c r="Q1194" s="104"/>
    </row>
    <row r="1195" spans="1:17" ht="12.75" customHeight="1" x14ac:dyDescent="0.3">
      <c r="A1195" s="42"/>
      <c r="B1195" s="38" t="s">
        <v>892</v>
      </c>
      <c r="C1195" s="38"/>
      <c r="D1195" s="38"/>
      <c r="E1195" s="38"/>
      <c r="F1195" s="38"/>
      <c r="G1195" s="38" t="s">
        <v>426</v>
      </c>
      <c r="H1195" s="38" t="s">
        <v>1779</v>
      </c>
      <c r="I1195" s="340">
        <f>global!I359</f>
        <v>0</v>
      </c>
      <c r="J1195" s="315"/>
      <c r="K1195" s="315"/>
      <c r="L1195" s="276"/>
      <c r="M1195" s="276"/>
      <c r="N1195" s="276"/>
      <c r="O1195" s="276"/>
      <c r="P1195" s="276"/>
      <c r="Q1195" s="104"/>
    </row>
    <row r="1196" spans="1:17" ht="12.75" customHeight="1" x14ac:dyDescent="0.3">
      <c r="A1196" s="42"/>
      <c r="B1196" s="42" t="s">
        <v>484</v>
      </c>
      <c r="C1196" s="38"/>
      <c r="D1196" s="38"/>
      <c r="E1196" s="38"/>
      <c r="F1196" s="38"/>
      <c r="G1196" s="63" t="s">
        <v>914</v>
      </c>
      <c r="H1196" s="39" t="s">
        <v>1958</v>
      </c>
      <c r="I1196" s="340">
        <f>global!I360</f>
        <v>0</v>
      </c>
      <c r="J1196" s="315"/>
      <c r="K1196" s="315">
        <f>AEROSOLdeprate.T*FRaers.aT</f>
        <v>5.5357260654118209E-4</v>
      </c>
      <c r="L1196" s="315">
        <f>AEROSOLdeprate.T*FRaers.aT</f>
        <v>5.5357260654118209E-4</v>
      </c>
      <c r="M1196" s="315">
        <f>AEROSOLdeprate.T*FRaers.aT</f>
        <v>5.5357260654118209E-4</v>
      </c>
      <c r="N1196" s="315">
        <f>AEROSOLdeprate.T*FRaers.aT</f>
        <v>5.5357260654118209E-4</v>
      </c>
      <c r="O1196" s="315">
        <f>AEROSOLdeprate.T*FRaers.aT</f>
        <v>5.5357260654118209E-4</v>
      </c>
      <c r="P1196" s="276"/>
      <c r="Q1196" s="104"/>
    </row>
    <row r="1197" spans="1:17" ht="12.75" customHeight="1" x14ac:dyDescent="0.3">
      <c r="A1197" s="42"/>
      <c r="B1197" s="42" t="s">
        <v>739</v>
      </c>
      <c r="C1197" s="38"/>
      <c r="D1197" s="38"/>
      <c r="E1197" s="38"/>
      <c r="F1197" s="38"/>
      <c r="G1197" s="43" t="s">
        <v>1395</v>
      </c>
      <c r="H1197" s="64" t="s">
        <v>1958</v>
      </c>
      <c r="I1197" s="340">
        <f>global!I361</f>
        <v>0</v>
      </c>
      <c r="J1197" s="315"/>
      <c r="K1197" s="315">
        <f>(1-FRgas.aT)*COLLECTeff.T*RAINrate.T</f>
        <v>8.2445459139384968E-3</v>
      </c>
      <c r="L1197" s="276">
        <f>(1-FRgas.aT)*COLLECTeff.T*RAINrate.T</f>
        <v>8.2445459139384968E-3</v>
      </c>
      <c r="M1197" s="276">
        <f>(1-FRgas.aT)*COLLECTeff.T*RAINrate.T</f>
        <v>8.2445459139384968E-3</v>
      </c>
      <c r="N1197" s="276">
        <f>(1-FRgas.aT)*COLLECTeff.T*RAINrate.T</f>
        <v>8.2445459139384968E-3</v>
      </c>
      <c r="O1197" s="276">
        <f>(1-FRgas.aT)*COLLECTeff.T*RAINrate.T</f>
        <v>8.2445459139384968E-3</v>
      </c>
      <c r="P1197" s="276"/>
      <c r="Q1197" s="104"/>
    </row>
    <row r="1198" spans="1:17" ht="12.75" customHeight="1" x14ac:dyDescent="0.3">
      <c r="A1198" s="42"/>
      <c r="B1198" s="42" t="s">
        <v>740</v>
      </c>
      <c r="C1198" s="38"/>
      <c r="D1198" s="38"/>
      <c r="E1198" s="38"/>
      <c r="F1198" s="38"/>
      <c r="G1198" s="43" t="s">
        <v>1396</v>
      </c>
      <c r="H1198" s="64" t="s">
        <v>1958</v>
      </c>
      <c r="I1198" s="340">
        <f>global!I362</f>
        <v>0</v>
      </c>
      <c r="J1198" s="315"/>
      <c r="K1198" s="315">
        <f>FRgas.aT*RAINrate.T/Kaw.T</f>
        <v>920.14767472396659</v>
      </c>
      <c r="L1198" s="276">
        <f>FRgas.aT*RAINrate.T/Kaw.T</f>
        <v>920.14767472396659</v>
      </c>
      <c r="M1198" s="276">
        <f>FRgas.aT*RAINrate.T/Kaw.T</f>
        <v>920.14767472396659</v>
      </c>
      <c r="N1198" s="276">
        <f>FRgas.aT*RAINrate.T/Kaw.T</f>
        <v>920.14767472396659</v>
      </c>
      <c r="O1198" s="276">
        <f>FRgas.aT*RAINrate.T/Kaw.T</f>
        <v>920.14767472396659</v>
      </c>
      <c r="P1198" s="276"/>
      <c r="Q1198" s="104"/>
    </row>
    <row r="1199" spans="1:17" ht="12.75" customHeight="1" x14ac:dyDescent="0.3">
      <c r="A1199" s="42"/>
      <c r="B1199" s="38"/>
      <c r="C1199" s="64" t="s">
        <v>741</v>
      </c>
      <c r="D1199" s="64"/>
      <c r="E1199" s="64"/>
      <c r="F1199" s="64"/>
      <c r="G1199" s="63" t="s">
        <v>915</v>
      </c>
      <c r="H1199" s="39" t="s">
        <v>1958</v>
      </c>
      <c r="I1199" s="340">
        <f>global!I363</f>
        <v>0</v>
      </c>
      <c r="J1199" s="315"/>
      <c r="K1199" s="315"/>
      <c r="L1199" s="276"/>
      <c r="M1199" s="276"/>
      <c r="N1199" s="276"/>
      <c r="O1199" s="276"/>
      <c r="P1199" s="276"/>
      <c r="Q1199" s="104"/>
    </row>
    <row r="1200" spans="1:17" ht="12.75" customHeight="1" x14ac:dyDescent="0.3">
      <c r="A1200" s="42"/>
      <c r="B1200" s="38"/>
      <c r="C1200" s="42" t="s">
        <v>742</v>
      </c>
      <c r="D1200" s="64"/>
      <c r="E1200" s="64"/>
      <c r="F1200" s="64"/>
      <c r="G1200" s="63" t="s">
        <v>916</v>
      </c>
      <c r="H1200" s="64" t="s">
        <v>1965</v>
      </c>
      <c r="I1200" s="340">
        <f>global!I364</f>
        <v>0</v>
      </c>
      <c r="J1200" s="315"/>
      <c r="K1200" s="315"/>
      <c r="L1200" s="276"/>
      <c r="M1200" s="276"/>
      <c r="N1200" s="276"/>
      <c r="O1200" s="276"/>
      <c r="P1200" s="276"/>
      <c r="Q1200" s="104"/>
    </row>
    <row r="1201" spans="1:17" ht="12.75" customHeight="1" x14ac:dyDescent="0.3">
      <c r="A1201" s="42"/>
      <c r="B1201" s="38"/>
      <c r="C1201" s="42" t="s">
        <v>440</v>
      </c>
      <c r="D1201" s="38"/>
      <c r="E1201" s="38"/>
      <c r="F1201" s="38"/>
      <c r="G1201" s="63" t="s">
        <v>917</v>
      </c>
      <c r="H1201" s="42" t="s">
        <v>28</v>
      </c>
      <c r="I1201" s="340">
        <f>global!I365</f>
        <v>0</v>
      </c>
      <c r="J1201" s="315"/>
      <c r="K1201" s="315"/>
      <c r="L1201" s="276"/>
      <c r="M1201" s="276"/>
      <c r="N1201" s="276"/>
      <c r="O1201" s="276"/>
      <c r="P1201" s="276"/>
      <c r="Q1201" s="104"/>
    </row>
    <row r="1202" spans="1:17" ht="12.75" customHeight="1" x14ac:dyDescent="0.3">
      <c r="A1202" s="42"/>
      <c r="B1202" s="42" t="s">
        <v>1825</v>
      </c>
      <c r="C1202" s="38"/>
      <c r="D1202" s="38"/>
      <c r="E1202" s="64"/>
      <c r="F1202" s="64"/>
      <c r="G1202" s="43" t="s">
        <v>1904</v>
      </c>
      <c r="H1202" s="42" t="s">
        <v>1959</v>
      </c>
      <c r="I1202" s="340">
        <f>global!I366</f>
        <v>0</v>
      </c>
      <c r="J1202" s="315"/>
      <c r="K1202" s="315"/>
      <c r="L1202" s="276"/>
      <c r="M1202" s="276"/>
      <c r="N1202" s="276"/>
      <c r="O1202" s="276"/>
      <c r="P1202" s="276"/>
      <c r="Q1202" s="104"/>
    </row>
    <row r="1203" spans="1:17" ht="12.75" customHeight="1" x14ac:dyDescent="0.3">
      <c r="A1203" s="42"/>
      <c r="B1203" s="42" t="s">
        <v>1826</v>
      </c>
      <c r="C1203" s="38"/>
      <c r="D1203" s="38"/>
      <c r="E1203" s="64"/>
      <c r="F1203" s="64"/>
      <c r="G1203" s="43" t="s">
        <v>1905</v>
      </c>
      <c r="H1203" s="42" t="s">
        <v>1959</v>
      </c>
      <c r="I1203" s="340">
        <f>global!I367</f>
        <v>0</v>
      </c>
      <c r="J1203" s="315"/>
      <c r="K1203" s="315"/>
      <c r="L1203" s="276"/>
      <c r="M1203" s="276"/>
      <c r="N1203" s="276"/>
      <c r="O1203" s="276"/>
      <c r="P1203" s="276"/>
      <c r="Q1203" s="104"/>
    </row>
    <row r="1204" spans="1:17" ht="12.75" customHeight="1" x14ac:dyDescent="0.3">
      <c r="A1204" s="42"/>
      <c r="B1204" s="42" t="s">
        <v>1878</v>
      </c>
      <c r="C1204" s="38"/>
      <c r="D1204" s="38"/>
      <c r="E1204" s="38"/>
      <c r="F1204" s="38"/>
      <c r="G1204" s="43" t="s">
        <v>1906</v>
      </c>
      <c r="H1204" s="42" t="s">
        <v>1959</v>
      </c>
      <c r="I1204" s="340">
        <f>global!I368</f>
        <v>0</v>
      </c>
      <c r="J1204" s="315"/>
      <c r="K1204" s="315"/>
      <c r="L1204" s="276"/>
      <c r="M1204" s="276"/>
      <c r="N1204" s="276"/>
      <c r="O1204" s="276"/>
      <c r="P1204" s="276"/>
      <c r="Q1204" s="104"/>
    </row>
    <row r="1205" spans="1:17" ht="12.75" customHeight="1" x14ac:dyDescent="0.3">
      <c r="A1205" s="42"/>
      <c r="B1205" s="42" t="s">
        <v>1880</v>
      </c>
      <c r="C1205" s="38"/>
      <c r="D1205" s="38"/>
      <c r="E1205" s="64"/>
      <c r="F1205" s="64"/>
      <c r="G1205" s="43" t="s">
        <v>1907</v>
      </c>
      <c r="H1205" s="42" t="s">
        <v>1959</v>
      </c>
      <c r="I1205" s="340">
        <f>global!I369</f>
        <v>0</v>
      </c>
      <c r="J1205" s="315"/>
      <c r="K1205" s="315"/>
      <c r="L1205" s="276"/>
      <c r="M1205" s="276"/>
      <c r="N1205" s="276"/>
      <c r="O1205" s="276"/>
      <c r="P1205" s="276"/>
      <c r="Q1205" s="104"/>
    </row>
    <row r="1206" spans="1:17" ht="12.75" customHeight="1" x14ac:dyDescent="0.3">
      <c r="A1206" s="38"/>
      <c r="B1206" s="42"/>
      <c r="C1206" s="38" t="s">
        <v>1070</v>
      </c>
      <c r="D1206" s="38"/>
      <c r="E1206" s="38"/>
      <c r="F1206" s="38"/>
      <c r="G1206" s="38" t="s">
        <v>2014</v>
      </c>
      <c r="H1206" s="39" t="s">
        <v>1958</v>
      </c>
      <c r="I1206" s="340">
        <f>global!I370</f>
        <v>0</v>
      </c>
      <c r="J1206" s="315"/>
      <c r="K1206" s="315"/>
      <c r="L1206" s="276"/>
      <c r="M1206" s="276"/>
      <c r="N1206" s="276"/>
      <c r="O1206" s="276"/>
      <c r="P1206" s="276"/>
      <c r="Q1206" s="104"/>
    </row>
    <row r="1207" spans="1:17" ht="12.75" customHeight="1" x14ac:dyDescent="0.3">
      <c r="A1207" s="38"/>
      <c r="B1207" s="42"/>
      <c r="C1207" s="38" t="s">
        <v>1009</v>
      </c>
      <c r="D1207" s="38"/>
      <c r="E1207" s="38"/>
      <c r="F1207" s="38"/>
      <c r="G1207" s="38" t="s">
        <v>2015</v>
      </c>
      <c r="H1207" s="39" t="s">
        <v>1958</v>
      </c>
      <c r="I1207" s="340">
        <f>global!I371</f>
        <v>0</v>
      </c>
      <c r="J1207" s="315"/>
      <c r="K1207" s="315"/>
      <c r="L1207" s="276"/>
      <c r="M1207" s="276"/>
      <c r="N1207" s="276"/>
      <c r="O1207" s="276"/>
      <c r="P1207" s="276"/>
      <c r="Q1207" s="104"/>
    </row>
    <row r="1208" spans="1:17" ht="12.75" customHeight="1" x14ac:dyDescent="0.3">
      <c r="A1208" s="42"/>
      <c r="B1208" s="38"/>
      <c r="C1208" s="38"/>
      <c r="D1208" s="64" t="s">
        <v>699</v>
      </c>
      <c r="E1208" s="38"/>
      <c r="F1208" s="38"/>
      <c r="G1208" s="43" t="s">
        <v>1012</v>
      </c>
      <c r="H1208" s="39" t="s">
        <v>1958</v>
      </c>
      <c r="I1208" s="340">
        <f>global!I372</f>
        <v>0</v>
      </c>
      <c r="J1208" s="315"/>
      <c r="K1208" s="315"/>
      <c r="L1208" s="276"/>
      <c r="M1208" s="276"/>
      <c r="N1208" s="276"/>
      <c r="O1208" s="276"/>
      <c r="P1208" s="276"/>
      <c r="Q1208" s="104"/>
    </row>
    <row r="1209" spans="1:17" ht="12.75" customHeight="1" x14ac:dyDescent="0.3">
      <c r="A1209" s="38"/>
      <c r="B1209" s="42"/>
      <c r="C1209" s="38" t="s">
        <v>1010</v>
      </c>
      <c r="D1209" s="38"/>
      <c r="E1209" s="64"/>
      <c r="F1209" s="64"/>
      <c r="G1209" s="38" t="s">
        <v>2016</v>
      </c>
      <c r="H1209" s="39" t="s">
        <v>1958</v>
      </c>
      <c r="I1209" s="340">
        <f>global!I373</f>
        <v>0</v>
      </c>
      <c r="J1209" s="315"/>
      <c r="K1209" s="315"/>
      <c r="L1209" s="276"/>
      <c r="M1209" s="276"/>
      <c r="N1209" s="276"/>
      <c r="O1209" s="276"/>
      <c r="P1209" s="276"/>
      <c r="Q1209" s="104"/>
    </row>
    <row r="1210" spans="1:17" ht="12.75" customHeight="1" x14ac:dyDescent="0.3">
      <c r="A1210" s="38"/>
      <c r="B1210" s="42"/>
      <c r="C1210" s="38" t="s">
        <v>850</v>
      </c>
      <c r="D1210" s="38"/>
      <c r="E1210" s="38"/>
      <c r="F1210" s="38"/>
      <c r="G1210" s="38" t="s">
        <v>2017</v>
      </c>
      <c r="H1210" s="64" t="s">
        <v>1958</v>
      </c>
      <c r="I1210" s="340">
        <f>global!I374</f>
        <v>0</v>
      </c>
      <c r="J1210" s="315"/>
      <c r="K1210" s="315">
        <v>2.5308522804345867E-8</v>
      </c>
      <c r="L1210" s="276">
        <v>2.5308522804345867E-8</v>
      </c>
      <c r="M1210" s="276">
        <v>2.5308522804345867E-8</v>
      </c>
      <c r="N1210" s="276">
        <v>2.5308522804345867E-8</v>
      </c>
      <c r="O1210" s="276"/>
      <c r="P1210" s="276">
        <v>2.5308522804345867E-8</v>
      </c>
      <c r="Q1210" s="104"/>
    </row>
    <row r="1211" spans="1:17" ht="12.75" customHeight="1" x14ac:dyDescent="0.3">
      <c r="A1211" s="38"/>
      <c r="B1211" s="42"/>
      <c r="C1211" s="38" t="s">
        <v>177</v>
      </c>
      <c r="D1211" s="38"/>
      <c r="E1211" s="64"/>
      <c r="F1211" s="38"/>
      <c r="G1211" s="43" t="s">
        <v>806</v>
      </c>
      <c r="H1211" s="38" t="s">
        <v>28</v>
      </c>
      <c r="I1211" s="340">
        <f>global!I375</f>
        <v>0</v>
      </c>
      <c r="J1211" s="315"/>
      <c r="K1211" s="315">
        <v>1</v>
      </c>
      <c r="L1211" s="276">
        <v>1</v>
      </c>
      <c r="M1211" s="276">
        <v>1</v>
      </c>
      <c r="N1211" s="276">
        <v>1</v>
      </c>
      <c r="O1211" s="276"/>
      <c r="P1211" s="276">
        <v>1</v>
      </c>
      <c r="Q1211" s="104"/>
    </row>
    <row r="1212" spans="1:17" ht="12.75" customHeight="1" x14ac:dyDescent="0.3">
      <c r="A1212" s="38"/>
      <c r="B1212" s="38"/>
      <c r="C1212" s="38"/>
      <c r="D1212" s="38"/>
      <c r="E1212" s="38"/>
      <c r="F1212" s="38"/>
      <c r="G1212" s="38"/>
      <c r="H1212" s="38"/>
      <c r="I1212" s="343"/>
      <c r="J1212" s="318"/>
      <c r="K1212" s="318"/>
      <c r="L1212" s="280"/>
      <c r="M1212" s="280"/>
      <c r="N1212" s="280"/>
      <c r="O1212" s="280"/>
      <c r="P1212" s="280"/>
      <c r="Q1212" s="104"/>
    </row>
    <row r="1213" spans="1:17" ht="12.75" customHeight="1" x14ac:dyDescent="0.3">
      <c r="A1213" s="42" t="s">
        <v>89</v>
      </c>
      <c r="B1213" s="38"/>
      <c r="C1213" s="38"/>
      <c r="D1213" s="38"/>
      <c r="E1213" s="38"/>
      <c r="F1213" s="38"/>
      <c r="G1213" s="43" t="s">
        <v>1128</v>
      </c>
      <c r="H1213" s="42" t="s">
        <v>1926</v>
      </c>
      <c r="I1213" s="340">
        <f>global!I377</f>
        <v>0</v>
      </c>
      <c r="J1213" s="315"/>
      <c r="K1213" s="315"/>
      <c r="L1213" s="276"/>
      <c r="M1213" s="276"/>
      <c r="N1213" s="276"/>
      <c r="O1213" s="276"/>
      <c r="P1213" s="276"/>
      <c r="Q1213" s="104"/>
    </row>
    <row r="1214" spans="1:17" ht="12.75" customHeight="1" x14ac:dyDescent="0.3">
      <c r="A1214" s="42" t="s">
        <v>90</v>
      </c>
      <c r="B1214" s="38"/>
      <c r="C1214" s="38"/>
      <c r="D1214" s="38"/>
      <c r="E1214" s="38"/>
      <c r="F1214" s="38"/>
      <c r="G1214" s="43" t="s">
        <v>1129</v>
      </c>
      <c r="H1214" s="42" t="s">
        <v>1926</v>
      </c>
      <c r="I1214" s="340">
        <f>global!I378</f>
        <v>0</v>
      </c>
      <c r="J1214" s="315"/>
      <c r="K1214" s="315"/>
      <c r="L1214" s="276"/>
      <c r="M1214" s="276"/>
      <c r="N1214" s="276"/>
      <c r="O1214" s="276"/>
      <c r="P1214" s="276"/>
      <c r="Q1214" s="104"/>
    </row>
    <row r="1215" spans="1:17" ht="12.75" customHeight="1" x14ac:dyDescent="0.3">
      <c r="A1215" s="42"/>
      <c r="B1215" s="42" t="s">
        <v>1881</v>
      </c>
      <c r="C1215" s="38"/>
      <c r="D1215" s="38"/>
      <c r="E1215" s="38"/>
      <c r="F1215" s="38"/>
      <c r="G1215" s="43" t="s">
        <v>1908</v>
      </c>
      <c r="H1215" s="42" t="s">
        <v>1959</v>
      </c>
      <c r="I1215" s="340">
        <f>global!I379</f>
        <v>0</v>
      </c>
      <c r="J1215" s="315"/>
      <c r="K1215" s="315"/>
      <c r="L1215" s="276"/>
      <c r="M1215" s="276"/>
      <c r="N1215" s="276"/>
      <c r="O1215" s="276"/>
      <c r="P1215" s="276"/>
      <c r="Q1215" s="104"/>
    </row>
    <row r="1216" spans="1:17" ht="12.75" customHeight="1" x14ac:dyDescent="0.3">
      <c r="A1216" s="42"/>
      <c r="B1216" s="42" t="s">
        <v>1882</v>
      </c>
      <c r="C1216" s="38"/>
      <c r="D1216" s="38"/>
      <c r="E1216" s="38"/>
      <c r="F1216" s="38"/>
      <c r="G1216" s="43" t="s">
        <v>1909</v>
      </c>
      <c r="H1216" s="42" t="s">
        <v>1959</v>
      </c>
      <c r="I1216" s="340">
        <f>global!I380</f>
        <v>0</v>
      </c>
      <c r="J1216" s="315"/>
      <c r="K1216" s="315"/>
      <c r="L1216" s="276"/>
      <c r="M1216" s="276"/>
      <c r="N1216" s="276"/>
      <c r="O1216" s="276"/>
      <c r="P1216" s="276"/>
      <c r="Q1216" s="104"/>
    </row>
    <row r="1217" spans="1:17" ht="12.75" customHeight="1" x14ac:dyDescent="0.3">
      <c r="A1217" s="38"/>
      <c r="B1217" s="42"/>
      <c r="C1217" s="42" t="s">
        <v>1223</v>
      </c>
      <c r="D1217" s="38"/>
      <c r="E1217" s="38"/>
      <c r="F1217" s="38"/>
      <c r="G1217" s="63" t="s">
        <v>149</v>
      </c>
      <c r="H1217" s="39" t="s">
        <v>1958</v>
      </c>
      <c r="I1217" s="340">
        <f>global!I381</f>
        <v>0</v>
      </c>
      <c r="J1217" s="315"/>
      <c r="K1217" s="315"/>
      <c r="L1217" s="276"/>
      <c r="M1217" s="276"/>
      <c r="N1217" s="276"/>
      <c r="O1217" s="276"/>
      <c r="P1217" s="276"/>
      <c r="Q1217" s="104"/>
    </row>
    <row r="1218" spans="1:17" ht="12.75" customHeight="1" x14ac:dyDescent="0.3">
      <c r="A1218" s="38"/>
      <c r="B1218" s="42"/>
      <c r="C1218" s="64" t="s">
        <v>574</v>
      </c>
      <c r="D1218" s="38"/>
      <c r="E1218" s="38"/>
      <c r="F1218" s="38"/>
      <c r="G1218" s="63" t="s">
        <v>779</v>
      </c>
      <c r="H1218" s="39" t="s">
        <v>1958</v>
      </c>
      <c r="I1218" s="340">
        <f>global!I382</f>
        <v>0</v>
      </c>
      <c r="J1218" s="315"/>
      <c r="K1218" s="315"/>
      <c r="L1218" s="276"/>
      <c r="M1218" s="276"/>
      <c r="N1218" s="276"/>
      <c r="O1218" s="276"/>
      <c r="P1218" s="276"/>
      <c r="Q1218" s="104"/>
    </row>
    <row r="1219" spans="1:17" ht="12.75" customHeight="1" x14ac:dyDescent="0.3">
      <c r="A1219" s="42"/>
      <c r="B1219" s="38"/>
      <c r="C1219" s="42"/>
      <c r="D1219" s="42" t="s">
        <v>576</v>
      </c>
      <c r="E1219" s="64"/>
      <c r="F1219" s="64"/>
      <c r="G1219" s="63" t="s">
        <v>773</v>
      </c>
      <c r="H1219" s="39" t="s">
        <v>1958</v>
      </c>
      <c r="I1219" s="340">
        <f>global!I383</f>
        <v>0</v>
      </c>
      <c r="J1219" s="315"/>
      <c r="K1219" s="315"/>
      <c r="L1219" s="276"/>
      <c r="M1219" s="276"/>
      <c r="N1219" s="276"/>
      <c r="O1219" s="276"/>
      <c r="P1219" s="276"/>
      <c r="Q1219" s="104"/>
    </row>
    <row r="1220" spans="1:17" ht="12.75" customHeight="1" x14ac:dyDescent="0.3">
      <c r="A1220" s="42"/>
      <c r="B1220" s="38"/>
      <c r="C1220" s="42"/>
      <c r="D1220" s="42" t="s">
        <v>557</v>
      </c>
      <c r="E1220" s="64"/>
      <c r="F1220" s="64"/>
      <c r="G1220" s="63" t="s">
        <v>775</v>
      </c>
      <c r="H1220" s="39" t="s">
        <v>1958</v>
      </c>
      <c r="I1220" s="340">
        <f>global!I384</f>
        <v>0</v>
      </c>
      <c r="J1220" s="315"/>
      <c r="K1220" s="315"/>
      <c r="L1220" s="276"/>
      <c r="M1220" s="276"/>
      <c r="N1220" s="276"/>
      <c r="O1220" s="276"/>
      <c r="P1220" s="276"/>
      <c r="Q1220" s="104"/>
    </row>
    <row r="1221" spans="1:17" ht="12.75" customHeight="1" x14ac:dyDescent="0.3">
      <c r="A1221" s="38"/>
      <c r="B1221" s="42"/>
      <c r="C1221" s="42"/>
      <c r="D1221" s="42"/>
      <c r="E1221" s="42" t="s">
        <v>798</v>
      </c>
      <c r="F1221" s="42"/>
      <c r="G1221" s="63" t="s">
        <v>774</v>
      </c>
      <c r="H1221" s="42" t="s">
        <v>1964</v>
      </c>
      <c r="I1221" s="340">
        <f>global!I385</f>
        <v>0</v>
      </c>
      <c r="J1221" s="315"/>
      <c r="K1221" s="315"/>
      <c r="L1221" s="276"/>
      <c r="M1221" s="276"/>
      <c r="N1221" s="276"/>
      <c r="O1221" s="276"/>
      <c r="P1221" s="276"/>
      <c r="Q1221" s="104"/>
    </row>
    <row r="1222" spans="1:17" ht="12.75" customHeight="1" x14ac:dyDescent="0.3">
      <c r="A1222" s="38"/>
      <c r="B1222" s="38" t="s">
        <v>1883</v>
      </c>
      <c r="C1222" s="64"/>
      <c r="D1222" s="64"/>
      <c r="E1222" s="38"/>
      <c r="F1222" s="38"/>
      <c r="G1222" s="43" t="s">
        <v>1910</v>
      </c>
      <c r="H1222" s="42" t="s">
        <v>1959</v>
      </c>
      <c r="I1222" s="340">
        <f>global!I386</f>
        <v>0</v>
      </c>
      <c r="J1222" s="315"/>
      <c r="K1222" s="315"/>
      <c r="L1222" s="276"/>
      <c r="M1222" s="276"/>
      <c r="N1222" s="276"/>
      <c r="O1222" s="276"/>
      <c r="P1222" s="276"/>
      <c r="Q1222" s="104"/>
    </row>
    <row r="1223" spans="1:17" ht="12.75" customHeight="1" x14ac:dyDescent="0.3">
      <c r="A1223" s="38"/>
      <c r="B1223" s="38" t="s">
        <v>1884</v>
      </c>
      <c r="C1223" s="64"/>
      <c r="D1223" s="64"/>
      <c r="E1223" s="38"/>
      <c r="F1223" s="38"/>
      <c r="G1223" s="43" t="s">
        <v>1911</v>
      </c>
      <c r="H1223" s="42" t="s">
        <v>1959</v>
      </c>
      <c r="I1223" s="340">
        <f>global!I387</f>
        <v>0</v>
      </c>
      <c r="J1223" s="315"/>
      <c r="K1223" s="315"/>
      <c r="L1223" s="276"/>
      <c r="M1223" s="276"/>
      <c r="N1223" s="276"/>
      <c r="O1223" s="276"/>
      <c r="P1223" s="276"/>
      <c r="Q1223" s="104"/>
    </row>
    <row r="1224" spans="1:17" ht="12.75" customHeight="1" x14ac:dyDescent="0.3">
      <c r="A1224" s="38"/>
      <c r="B1224" s="42"/>
      <c r="C1224" s="38" t="s">
        <v>1069</v>
      </c>
      <c r="D1224" s="38"/>
      <c r="E1224" s="38"/>
      <c r="F1224" s="38"/>
      <c r="G1224" s="38" t="s">
        <v>1166</v>
      </c>
      <c r="H1224" s="39" t="s">
        <v>1958</v>
      </c>
      <c r="I1224" s="340">
        <f>global!I388</f>
        <v>0</v>
      </c>
      <c r="J1224" s="315"/>
      <c r="K1224" s="315"/>
      <c r="L1224" s="276"/>
      <c r="M1224" s="276"/>
      <c r="N1224" s="276"/>
      <c r="O1224" s="276"/>
      <c r="P1224" s="276"/>
      <c r="Q1224" s="104"/>
    </row>
    <row r="1225" spans="1:17" ht="12.75" customHeight="1" x14ac:dyDescent="0.3">
      <c r="A1225" s="38"/>
      <c r="B1225" s="42"/>
      <c r="C1225" s="38" t="s">
        <v>1225</v>
      </c>
      <c r="D1225" s="38"/>
      <c r="E1225" s="38"/>
      <c r="F1225" s="38"/>
      <c r="G1225" s="38" t="s">
        <v>41</v>
      </c>
      <c r="H1225" s="39" t="s">
        <v>1958</v>
      </c>
      <c r="I1225" s="340">
        <f>global!I389</f>
        <v>0</v>
      </c>
      <c r="J1225" s="315"/>
      <c r="K1225" s="315"/>
      <c r="L1225" s="276"/>
      <c r="M1225" s="276"/>
      <c r="N1225" s="276"/>
      <c r="O1225" s="276"/>
      <c r="P1225" s="276"/>
      <c r="Q1225" s="104"/>
    </row>
    <row r="1226" spans="1:17" ht="12.75" customHeight="1" x14ac:dyDescent="0.3">
      <c r="A1226" s="38"/>
      <c r="B1226" s="38"/>
      <c r="C1226" s="38"/>
      <c r="D1226" s="38"/>
      <c r="E1226" s="38"/>
      <c r="F1226" s="38"/>
      <c r="G1226" s="38"/>
      <c r="H1226" s="38"/>
      <c r="I1226" s="343"/>
      <c r="J1226" s="318"/>
      <c r="K1226" s="318"/>
      <c r="L1226" s="280"/>
      <c r="M1226" s="280"/>
      <c r="N1226" s="280"/>
      <c r="O1226" s="280"/>
      <c r="P1226" s="280"/>
      <c r="Q1226" s="104"/>
    </row>
    <row r="1227" spans="1:17" ht="12.75" customHeight="1" x14ac:dyDescent="0.3">
      <c r="A1227" s="42" t="s">
        <v>91</v>
      </c>
      <c r="B1227" s="38"/>
      <c r="C1227" s="38"/>
      <c r="D1227" s="38"/>
      <c r="E1227" s="38"/>
      <c r="F1227" s="38"/>
      <c r="G1227" s="43" t="s">
        <v>1261</v>
      </c>
      <c r="H1227" s="42" t="s">
        <v>1926</v>
      </c>
      <c r="I1227" s="340">
        <f>global!I391</f>
        <v>0</v>
      </c>
      <c r="J1227" s="315"/>
      <c r="K1227" s="315"/>
      <c r="L1227" s="276"/>
      <c r="M1227" s="276"/>
      <c r="N1227" s="276"/>
      <c r="O1227" s="276"/>
      <c r="P1227" s="276"/>
      <c r="Q1227" s="104"/>
    </row>
    <row r="1228" spans="1:17" ht="12.75" customHeight="1" x14ac:dyDescent="0.3">
      <c r="A1228" s="38"/>
      <c r="B1228" s="64" t="s">
        <v>203</v>
      </c>
      <c r="C1228" s="38"/>
      <c r="D1228" s="38"/>
      <c r="E1228" s="38"/>
      <c r="F1228" s="38"/>
      <c r="G1228" s="63" t="s">
        <v>42</v>
      </c>
      <c r="H1228" s="64" t="s">
        <v>1965</v>
      </c>
      <c r="I1228" s="340">
        <f>global!I392</f>
        <v>0</v>
      </c>
      <c r="J1228" s="315"/>
      <c r="K1228" s="315"/>
      <c r="L1228" s="276"/>
      <c r="M1228" s="276"/>
      <c r="N1228" s="276"/>
      <c r="O1228" s="276"/>
      <c r="P1228" s="276"/>
      <c r="Q1228" s="104"/>
    </row>
    <row r="1229" spans="1:17" ht="12.75" customHeight="1" x14ac:dyDescent="0.3">
      <c r="A1229" s="38"/>
      <c r="B1229" s="42" t="s">
        <v>963</v>
      </c>
      <c r="C1229" s="38"/>
      <c r="D1229" s="38"/>
      <c r="E1229" s="38"/>
      <c r="F1229" s="38"/>
      <c r="G1229" s="63" t="s">
        <v>43</v>
      </c>
      <c r="H1229" s="42" t="s">
        <v>28</v>
      </c>
      <c r="I1229" s="340">
        <f>global!I393</f>
        <v>0</v>
      </c>
      <c r="J1229" s="315"/>
      <c r="K1229" s="315"/>
      <c r="L1229" s="276"/>
      <c r="M1229" s="276"/>
      <c r="N1229" s="276"/>
      <c r="O1229" s="276"/>
      <c r="P1229" s="276"/>
      <c r="Q1229" s="104"/>
    </row>
    <row r="1230" spans="1:17" ht="12.75" customHeight="1" x14ac:dyDescent="0.3">
      <c r="A1230" s="42"/>
      <c r="B1230" s="38" t="s">
        <v>177</v>
      </c>
      <c r="C1230" s="38"/>
      <c r="D1230" s="64"/>
      <c r="E1230" s="64"/>
      <c r="F1230" s="64"/>
      <c r="G1230" s="43" t="s">
        <v>852</v>
      </c>
      <c r="H1230" s="38" t="s">
        <v>28</v>
      </c>
      <c r="I1230" s="340">
        <f>global!I394</f>
        <v>0</v>
      </c>
      <c r="J1230" s="315"/>
      <c r="K1230" s="315">
        <v>1</v>
      </c>
      <c r="L1230" s="276">
        <v>1</v>
      </c>
      <c r="M1230" s="276">
        <v>1</v>
      </c>
      <c r="N1230" s="276">
        <v>1</v>
      </c>
      <c r="O1230" s="276"/>
      <c r="P1230" s="276">
        <v>1</v>
      </c>
      <c r="Q1230" s="104"/>
    </row>
    <row r="1231" spans="1:17" ht="12.75" customHeight="1" x14ac:dyDescent="0.3">
      <c r="A1231" s="38"/>
      <c r="B1231" s="38"/>
      <c r="C1231" s="38"/>
      <c r="D1231" s="38"/>
      <c r="E1231" s="38"/>
      <c r="F1231" s="38"/>
      <c r="G1231" s="38"/>
      <c r="H1231" s="38"/>
      <c r="I1231" s="178"/>
      <c r="J1231" s="322"/>
      <c r="K1231" s="322"/>
      <c r="L1231" s="285"/>
      <c r="M1231" s="285"/>
      <c r="N1231" s="285"/>
      <c r="O1231" s="285"/>
      <c r="P1231" s="285"/>
      <c r="Q1231" s="104"/>
    </row>
    <row r="1232" spans="1:17" ht="12.75" customHeight="1" x14ac:dyDescent="0.3">
      <c r="A1232" s="67" t="s">
        <v>414</v>
      </c>
      <c r="B1232" s="66"/>
      <c r="C1232" s="66"/>
      <c r="D1232" s="66"/>
      <c r="E1232" s="66"/>
      <c r="F1232" s="66"/>
      <c r="G1232" s="66"/>
      <c r="H1232" s="66"/>
      <c r="I1232" s="189" t="s">
        <v>748</v>
      </c>
      <c r="J1232" s="319"/>
      <c r="K1232" s="319"/>
      <c r="L1232" s="281"/>
      <c r="M1232" s="281"/>
      <c r="N1232" s="281"/>
      <c r="O1232" s="281"/>
      <c r="P1232" s="281"/>
      <c r="Q1232" s="104"/>
    </row>
    <row r="1233" spans="1:17" ht="12.75" customHeight="1" x14ac:dyDescent="0.3">
      <c r="A1233" s="42"/>
      <c r="B1233" s="38"/>
      <c r="C1233" s="38"/>
      <c r="D1233" s="38"/>
      <c r="E1233" s="38"/>
      <c r="F1233" s="38"/>
      <c r="G1233" s="38"/>
      <c r="H1233" s="38"/>
      <c r="I1233" s="162"/>
      <c r="J1233" s="322"/>
      <c r="K1233" s="322"/>
      <c r="L1233" s="285"/>
      <c r="M1233" s="285"/>
      <c r="N1233" s="285"/>
      <c r="O1233" s="285"/>
      <c r="P1233" s="285"/>
      <c r="Q1233" s="104"/>
    </row>
    <row r="1234" spans="1:17" ht="12.75" customHeight="1" x14ac:dyDescent="0.3">
      <c r="A1234" s="42" t="s">
        <v>216</v>
      </c>
      <c r="B1234" s="38"/>
      <c r="C1234" s="38"/>
      <c r="D1234" s="38"/>
      <c r="E1234" s="38"/>
      <c r="F1234" s="38"/>
      <c r="G1234" s="43" t="s">
        <v>1364</v>
      </c>
      <c r="H1234" s="42" t="s">
        <v>1926</v>
      </c>
      <c r="I1234" s="340">
        <f>global!I398</f>
        <v>0</v>
      </c>
      <c r="J1234" s="315"/>
      <c r="K1234" s="315"/>
      <c r="L1234" s="276"/>
      <c r="M1234" s="276"/>
      <c r="N1234" s="276"/>
      <c r="O1234" s="276"/>
      <c r="P1234" s="276"/>
      <c r="Q1234" s="104"/>
    </row>
    <row r="1235" spans="1:17" ht="12.75" customHeight="1" x14ac:dyDescent="0.3">
      <c r="A1235" s="42" t="s">
        <v>1996</v>
      </c>
      <c r="B1235" s="38"/>
      <c r="C1235" s="38"/>
      <c r="D1235" s="38"/>
      <c r="E1235" s="38"/>
      <c r="F1235" s="38"/>
      <c r="G1235" s="43" t="s">
        <v>1008</v>
      </c>
      <c r="H1235" s="42" t="s">
        <v>1926</v>
      </c>
      <c r="I1235" s="340">
        <f>global!I399</f>
        <v>0</v>
      </c>
      <c r="J1235" s="315"/>
      <c r="K1235" s="315"/>
      <c r="L1235" s="276"/>
      <c r="M1235" s="276"/>
      <c r="N1235" s="276"/>
      <c r="O1235" s="276"/>
      <c r="P1235" s="276"/>
      <c r="Q1235" s="104"/>
    </row>
    <row r="1236" spans="1:17" ht="12.75" customHeight="1" x14ac:dyDescent="0.3">
      <c r="A1236" s="42" t="s">
        <v>1161</v>
      </c>
      <c r="B1236" s="38"/>
      <c r="C1236" s="38"/>
      <c r="D1236" s="38"/>
      <c r="E1236" s="38"/>
      <c r="F1236" s="38"/>
      <c r="G1236" s="43" t="s">
        <v>1164</v>
      </c>
      <c r="H1236" s="42" t="s">
        <v>1926</v>
      </c>
      <c r="I1236" s="340">
        <f>global!I400</f>
        <v>0</v>
      </c>
      <c r="J1236" s="315"/>
      <c r="K1236" s="315"/>
      <c r="L1236" s="276"/>
      <c r="M1236" s="276"/>
      <c r="N1236" s="276"/>
      <c r="O1236" s="276"/>
      <c r="P1236" s="276"/>
      <c r="Q1236" s="104"/>
    </row>
    <row r="1237" spans="1:17" ht="12.75" customHeight="1" x14ac:dyDescent="0.3">
      <c r="A1237" s="42" t="s">
        <v>217</v>
      </c>
      <c r="B1237" s="38"/>
      <c r="C1237" s="38"/>
      <c r="D1237" s="38"/>
      <c r="E1237" s="38"/>
      <c r="F1237" s="38"/>
      <c r="G1237" s="43" t="s">
        <v>1262</v>
      </c>
      <c r="H1237" s="42" t="s">
        <v>1926</v>
      </c>
      <c r="I1237" s="340">
        <f>global!I401</f>
        <v>0</v>
      </c>
      <c r="J1237" s="315"/>
      <c r="K1237" s="315"/>
      <c r="L1237" s="276"/>
      <c r="M1237" s="276"/>
      <c r="N1237" s="276"/>
      <c r="O1237" s="276"/>
      <c r="P1237" s="276"/>
      <c r="Q1237" s="104"/>
    </row>
    <row r="1238" spans="1:17" ht="12.75" customHeight="1" x14ac:dyDescent="0.3">
      <c r="A1238" s="42" t="s">
        <v>838</v>
      </c>
      <c r="B1238" s="38"/>
      <c r="C1238" s="38"/>
      <c r="D1238" s="38"/>
      <c r="E1238" s="38"/>
      <c r="F1238" s="38"/>
      <c r="G1238" s="43" t="s">
        <v>1365</v>
      </c>
      <c r="H1238" s="42" t="s">
        <v>1926</v>
      </c>
      <c r="I1238" s="340">
        <f>global!I402</f>
        <v>0</v>
      </c>
      <c r="J1238" s="315"/>
      <c r="K1238" s="315"/>
      <c r="L1238" s="276"/>
      <c r="M1238" s="276"/>
      <c r="N1238" s="276"/>
      <c r="O1238" s="276"/>
      <c r="P1238" s="276"/>
      <c r="Q1238" s="104"/>
    </row>
    <row r="1239" spans="1:17" ht="12.75" customHeight="1" x14ac:dyDescent="0.3">
      <c r="A1239" s="42"/>
      <c r="B1239" s="42" t="s">
        <v>791</v>
      </c>
      <c r="C1239" s="64"/>
      <c r="D1239" s="38"/>
      <c r="E1239" s="38"/>
      <c r="F1239" s="38"/>
      <c r="G1239" s="63" t="s">
        <v>1385</v>
      </c>
      <c r="H1239" s="42" t="s">
        <v>1926</v>
      </c>
      <c r="I1239" s="340">
        <f>global!I403</f>
        <v>0</v>
      </c>
      <c r="J1239" s="315"/>
      <c r="K1239" s="315"/>
      <c r="L1239" s="276"/>
      <c r="M1239" s="276"/>
      <c r="N1239" s="276"/>
      <c r="O1239" s="276"/>
      <c r="P1239" s="276"/>
      <c r="Q1239" s="104"/>
    </row>
    <row r="1240" spans="1:17" ht="12.75" customHeight="1" x14ac:dyDescent="0.3">
      <c r="A1240" s="42"/>
      <c r="B1240" s="42" t="s">
        <v>792</v>
      </c>
      <c r="C1240" s="38"/>
      <c r="D1240" s="38"/>
      <c r="E1240" s="38"/>
      <c r="F1240" s="38"/>
      <c r="G1240" s="43" t="s">
        <v>44</v>
      </c>
      <c r="H1240" s="42" t="s">
        <v>1926</v>
      </c>
      <c r="I1240" s="340">
        <f>global!I404</f>
        <v>0</v>
      </c>
      <c r="J1240" s="315"/>
      <c r="K1240" s="315"/>
      <c r="L1240" s="276"/>
      <c r="M1240" s="276"/>
      <c r="N1240" s="276"/>
      <c r="O1240" s="276"/>
      <c r="P1240" s="276"/>
      <c r="Q1240" s="104"/>
    </row>
    <row r="1241" spans="1:17" ht="12.75" customHeight="1" x14ac:dyDescent="0.3">
      <c r="A1241" s="64"/>
      <c r="B1241" s="64"/>
      <c r="C1241" s="42" t="s">
        <v>506</v>
      </c>
      <c r="D1241" s="38"/>
      <c r="E1241" s="38"/>
      <c r="F1241" s="38"/>
      <c r="G1241" s="43" t="s">
        <v>1397</v>
      </c>
      <c r="H1241" s="42" t="s">
        <v>1927</v>
      </c>
      <c r="I1241" s="340">
        <f>global!I405</f>
        <v>0</v>
      </c>
      <c r="J1241" s="315"/>
      <c r="K1241" s="315"/>
      <c r="L1241" s="276"/>
      <c r="M1241" s="276"/>
      <c r="N1241" s="276"/>
      <c r="O1241" s="276"/>
      <c r="P1241" s="276"/>
      <c r="Q1241" s="104"/>
    </row>
    <row r="1242" spans="1:17" ht="12.75" customHeight="1" x14ac:dyDescent="0.3">
      <c r="A1242" s="64"/>
      <c r="B1242" s="64"/>
      <c r="C1242" s="42" t="s">
        <v>27</v>
      </c>
      <c r="D1242" s="38"/>
      <c r="E1242" s="38"/>
      <c r="F1242" s="38"/>
      <c r="G1242" s="43" t="s">
        <v>1398</v>
      </c>
      <c r="H1242" s="42" t="s">
        <v>28</v>
      </c>
      <c r="I1242" s="340">
        <f>global!I406</f>
        <v>0</v>
      </c>
      <c r="J1242" s="315"/>
      <c r="K1242" s="315"/>
      <c r="L1242" s="276"/>
      <c r="M1242" s="276"/>
      <c r="N1242" s="276"/>
      <c r="O1242" s="276"/>
      <c r="P1242" s="276"/>
      <c r="Q1242" s="104"/>
    </row>
    <row r="1243" spans="1:17" ht="12.75" customHeight="1" x14ac:dyDescent="0.3">
      <c r="A1243" s="42"/>
      <c r="B1243" s="42" t="s">
        <v>1997</v>
      </c>
      <c r="C1243" s="38"/>
      <c r="D1243" s="38"/>
      <c r="E1243" s="38"/>
      <c r="F1243" s="38"/>
      <c r="G1243" s="43" t="s">
        <v>1130</v>
      </c>
      <c r="H1243" s="42" t="s">
        <v>1926</v>
      </c>
      <c r="I1243" s="340">
        <f>global!I407</f>
        <v>0</v>
      </c>
      <c r="J1243" s="315"/>
      <c r="K1243" s="315"/>
      <c r="L1243" s="276"/>
      <c r="M1243" s="276"/>
      <c r="N1243" s="276"/>
      <c r="O1243" s="276"/>
      <c r="P1243" s="276"/>
      <c r="Q1243" s="104"/>
    </row>
    <row r="1244" spans="1:17" ht="12.75" customHeight="1" x14ac:dyDescent="0.3">
      <c r="A1244" s="42"/>
      <c r="B1244" s="42" t="s">
        <v>1131</v>
      </c>
      <c r="C1244" s="38"/>
      <c r="D1244" s="38"/>
      <c r="E1244" s="38"/>
      <c r="F1244" s="38"/>
      <c r="G1244" s="43" t="s">
        <v>1132</v>
      </c>
      <c r="H1244" s="42" t="s">
        <v>1926</v>
      </c>
      <c r="I1244" s="340">
        <f>global!I408</f>
        <v>0</v>
      </c>
      <c r="J1244" s="315"/>
      <c r="K1244" s="315"/>
      <c r="L1244" s="276"/>
      <c r="M1244" s="276"/>
      <c r="N1244" s="276"/>
      <c r="O1244" s="276"/>
      <c r="P1244" s="276"/>
      <c r="Q1244" s="104"/>
    </row>
    <row r="1245" spans="1:17" ht="12.75" customHeight="1" x14ac:dyDescent="0.3">
      <c r="A1245" s="42"/>
      <c r="B1245" s="42"/>
      <c r="C1245" s="42" t="s">
        <v>1998</v>
      </c>
      <c r="D1245" s="38"/>
      <c r="E1245" s="38"/>
      <c r="F1245" s="38"/>
      <c r="G1245" s="63" t="s">
        <v>1134</v>
      </c>
      <c r="H1245" s="42" t="s">
        <v>724</v>
      </c>
      <c r="I1245" s="340">
        <f>global!I409</f>
        <v>0</v>
      </c>
      <c r="J1245" s="315"/>
      <c r="K1245" s="315"/>
      <c r="L1245" s="276"/>
      <c r="M1245" s="276"/>
      <c r="N1245" s="276"/>
      <c r="O1245" s="276"/>
      <c r="P1245" s="276"/>
      <c r="Q1245" s="104"/>
    </row>
    <row r="1246" spans="1:17" ht="12.75" customHeight="1" x14ac:dyDescent="0.3">
      <c r="A1246" s="42"/>
      <c r="B1246" s="42"/>
      <c r="C1246" s="42" t="s">
        <v>1133</v>
      </c>
      <c r="D1246" s="38"/>
      <c r="E1246" s="38"/>
      <c r="F1246" s="38"/>
      <c r="G1246" s="63" t="s">
        <v>1135</v>
      </c>
      <c r="H1246" s="42" t="s">
        <v>724</v>
      </c>
      <c r="I1246" s="340">
        <f>global!I410</f>
        <v>0</v>
      </c>
      <c r="J1246" s="315"/>
      <c r="K1246" s="315"/>
      <c r="L1246" s="276"/>
      <c r="M1246" s="276"/>
      <c r="N1246" s="276"/>
      <c r="O1246" s="276"/>
      <c r="P1246" s="276"/>
      <c r="Q1246" s="104"/>
    </row>
    <row r="1247" spans="1:17" ht="12.75" customHeight="1" x14ac:dyDescent="0.3">
      <c r="A1247" s="64"/>
      <c r="B1247" s="64"/>
      <c r="C1247" s="42" t="s">
        <v>760</v>
      </c>
      <c r="D1247" s="38"/>
      <c r="E1247" s="38"/>
      <c r="F1247" s="38"/>
      <c r="G1247" s="43" t="s">
        <v>977</v>
      </c>
      <c r="H1247" s="42" t="s">
        <v>28</v>
      </c>
      <c r="I1247" s="340">
        <f>global!I411</f>
        <v>0</v>
      </c>
      <c r="J1247" s="315"/>
      <c r="K1247" s="315"/>
      <c r="L1247" s="276"/>
      <c r="M1247" s="276"/>
      <c r="N1247" s="276"/>
      <c r="O1247" s="276"/>
      <c r="P1247" s="276"/>
      <c r="Q1247" s="104"/>
    </row>
    <row r="1248" spans="1:17" ht="12.75" customHeight="1" x14ac:dyDescent="0.3">
      <c r="A1248" s="42"/>
      <c r="B1248" s="42" t="s">
        <v>766</v>
      </c>
      <c r="C1248" s="38"/>
      <c r="D1248" s="38"/>
      <c r="E1248" s="38"/>
      <c r="F1248" s="38"/>
      <c r="G1248" s="43" t="s">
        <v>45</v>
      </c>
      <c r="H1248" s="42" t="s">
        <v>1926</v>
      </c>
      <c r="I1248" s="340">
        <f>global!I412</f>
        <v>0</v>
      </c>
      <c r="J1248" s="315"/>
      <c r="K1248" s="315"/>
      <c r="L1248" s="276"/>
      <c r="M1248" s="276"/>
      <c r="N1248" s="276"/>
      <c r="O1248" s="276"/>
      <c r="P1248" s="276"/>
      <c r="Q1248" s="104"/>
    </row>
    <row r="1249" spans="1:17" ht="12.75" customHeight="1" x14ac:dyDescent="0.3">
      <c r="A1249" s="42"/>
      <c r="B1249" s="42" t="s">
        <v>767</v>
      </c>
      <c r="C1249" s="38"/>
      <c r="D1249" s="38"/>
      <c r="E1249" s="38"/>
      <c r="F1249" s="38"/>
      <c r="G1249" s="43" t="s">
        <v>46</v>
      </c>
      <c r="H1249" s="42" t="s">
        <v>1926</v>
      </c>
      <c r="I1249" s="340">
        <f>global!I413</f>
        <v>0</v>
      </c>
      <c r="J1249" s="315"/>
      <c r="K1249" s="315"/>
      <c r="L1249" s="276"/>
      <c r="M1249" s="276"/>
      <c r="N1249" s="276"/>
      <c r="O1249" s="276"/>
      <c r="P1249" s="276"/>
      <c r="Q1249" s="104"/>
    </row>
    <row r="1250" spans="1:17" ht="12.75" customHeight="1" x14ac:dyDescent="0.3">
      <c r="A1250" s="38"/>
      <c r="B1250" s="42" t="s">
        <v>997</v>
      </c>
      <c r="C1250" s="38"/>
      <c r="D1250" s="38"/>
      <c r="E1250" s="38"/>
      <c r="F1250" s="38"/>
      <c r="G1250" s="63" t="s">
        <v>1388</v>
      </c>
      <c r="H1250" s="42" t="s">
        <v>28</v>
      </c>
      <c r="I1250" s="340">
        <f>global!I414</f>
        <v>0</v>
      </c>
      <c r="J1250" s="315"/>
      <c r="K1250" s="315"/>
      <c r="L1250" s="276"/>
      <c r="M1250" s="276"/>
      <c r="N1250" s="276"/>
      <c r="O1250" s="276"/>
      <c r="P1250" s="276"/>
      <c r="Q1250" s="104"/>
    </row>
    <row r="1251" spans="1:17" ht="12.75" customHeight="1" x14ac:dyDescent="0.3">
      <c r="A1251" s="42"/>
      <c r="B1251" s="38" t="s">
        <v>177</v>
      </c>
      <c r="C1251" s="38"/>
      <c r="D1251" s="64"/>
      <c r="E1251" s="64"/>
      <c r="F1251" s="64"/>
      <c r="G1251" s="43" t="s">
        <v>851</v>
      </c>
      <c r="H1251" s="38" t="s">
        <v>28</v>
      </c>
      <c r="I1251" s="340">
        <f>global!I415</f>
        <v>0</v>
      </c>
      <c r="J1251" s="315"/>
      <c r="K1251" s="315">
        <v>1</v>
      </c>
      <c r="L1251" s="276">
        <v>1</v>
      </c>
      <c r="M1251" s="276">
        <v>1</v>
      </c>
      <c r="N1251" s="276">
        <v>1</v>
      </c>
      <c r="O1251" s="276"/>
      <c r="P1251" s="276">
        <v>1</v>
      </c>
      <c r="Q1251" s="104"/>
    </row>
    <row r="1252" spans="1:17" ht="12.75" customHeight="1" thickBot="1" x14ac:dyDescent="0.35">
      <c r="A1252" s="80"/>
      <c r="B1252" s="80"/>
      <c r="C1252" s="80"/>
      <c r="D1252" s="80"/>
      <c r="E1252" s="80"/>
      <c r="F1252" s="80"/>
      <c r="G1252" s="80"/>
      <c r="H1252" s="81"/>
      <c r="I1252" s="344"/>
      <c r="J1252" s="329"/>
      <c r="K1252" s="329"/>
      <c r="L1252" s="293"/>
      <c r="M1252" s="293"/>
      <c r="N1252" s="293"/>
      <c r="O1252" s="293"/>
      <c r="P1252" s="293"/>
      <c r="Q1252" s="104"/>
    </row>
    <row r="1253" spans="1:17" ht="12.75" customHeight="1" x14ac:dyDescent="0.3">
      <c r="A1253" s="38"/>
      <c r="B1253" s="38"/>
      <c r="C1253" s="38"/>
      <c r="D1253" s="38"/>
      <c r="E1253" s="38"/>
      <c r="F1253" s="38"/>
      <c r="G1253" s="38"/>
      <c r="H1253" s="42"/>
      <c r="I1253" s="162"/>
      <c r="J1253" s="165"/>
      <c r="K1253" s="165"/>
      <c r="L1253" s="182"/>
      <c r="M1253" s="182"/>
      <c r="N1253" s="182"/>
      <c r="O1253" s="182"/>
      <c r="P1253" s="182"/>
      <c r="Q1253" s="104"/>
    </row>
  </sheetData>
  <phoneticPr fontId="9" type="noConversion"/>
  <conditionalFormatting sqref="J574:P574">
    <cfRule type="cellIs" dxfId="18" priority="87" operator="equal">
      <formula>0</formula>
    </cfRule>
  </conditionalFormatting>
  <conditionalFormatting sqref="J576:P576">
    <cfRule type="cellIs" dxfId="17" priority="86" operator="equal">
      <formula>0</formula>
    </cfRule>
  </conditionalFormatting>
  <conditionalFormatting sqref="J750:P753">
    <cfRule type="cellIs" dxfId="16" priority="82" operator="equal">
      <formula>0</formula>
    </cfRule>
  </conditionalFormatting>
  <conditionalFormatting sqref="J765:P765">
    <cfRule type="cellIs" dxfId="15" priority="81" operator="equal">
      <formula>0</formula>
    </cfRule>
  </conditionalFormatting>
  <conditionalFormatting sqref="J768:P768">
    <cfRule type="cellIs" dxfId="14" priority="80" operator="equal">
      <formula>0</formula>
    </cfRule>
  </conditionalFormatting>
  <conditionalFormatting sqref="J771:P771">
    <cfRule type="cellIs" dxfId="13" priority="79" operator="equal">
      <formula>0</formula>
    </cfRule>
  </conditionalFormatting>
  <conditionalFormatting sqref="K935:P935">
    <cfRule type="cellIs" dxfId="12" priority="72" operator="equal">
      <formula>0</formula>
    </cfRule>
  </conditionalFormatting>
  <conditionalFormatting sqref="K1072:P1072">
    <cfRule type="cellIs" dxfId="11" priority="69" operator="equal">
      <formula>0</formula>
    </cfRule>
  </conditionalFormatting>
  <conditionalFormatting sqref="K1209:P1209">
    <cfRule type="cellIs" dxfId="10" priority="66" operator="equal">
      <formula>0</formula>
    </cfRule>
  </conditionalFormatting>
  <conditionalFormatting sqref="K726:O731">
    <cfRule type="cellIs" dxfId="9" priority="63" operator="equal">
      <formula>0</formula>
    </cfRule>
  </conditionalFormatting>
  <conditionalFormatting sqref="L726:O731">
    <cfRule type="cellIs" dxfId="8" priority="62" operator="equal">
      <formula>0</formula>
    </cfRule>
  </conditionalFormatting>
  <conditionalFormatting sqref="L726:O731">
    <cfRule type="cellIs" dxfId="7" priority="61" operator="equal">
      <formula>0</formula>
    </cfRule>
  </conditionalFormatting>
  <conditionalFormatting sqref="I1:I1048576">
    <cfRule type="cellIs" dxfId="6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AG81"/>
  <sheetViews>
    <sheetView zoomScale="85" zoomScaleNormal="85" workbookViewId="0">
      <selection activeCell="AE44" sqref="AE44"/>
    </sheetView>
  </sheetViews>
  <sheetFormatPr defaultColWidth="9.09765625" defaultRowHeight="13" x14ac:dyDescent="0.3"/>
  <cols>
    <col min="1" max="5" width="1.59765625" customWidth="1"/>
    <col min="6" max="6" width="45.09765625" customWidth="1"/>
    <col min="7" max="7" width="22.59765625" style="58" customWidth="1"/>
    <col min="8" max="8" width="10.59765625" style="58" customWidth="1"/>
    <col min="9" max="11" width="9.09765625" style="112"/>
    <col min="12" max="28" width="0" style="112" hidden="1" customWidth="1"/>
    <col min="29" max="30" width="9.09765625" style="112"/>
    <col min="31" max="32" width="9.09765625" style="90"/>
    <col min="33" max="33" width="3" customWidth="1"/>
    <col min="34" max="16384" width="9.09765625" style="31"/>
  </cols>
  <sheetData>
    <row r="1" spans="1:33" ht="12.75" customHeight="1" x14ac:dyDescent="0.35">
      <c r="A1" s="268" t="s">
        <v>867</v>
      </c>
      <c r="B1" s="38"/>
      <c r="C1" s="38"/>
      <c r="D1" s="38"/>
      <c r="E1" s="38"/>
      <c r="F1" s="38"/>
      <c r="G1" s="38"/>
      <c r="H1" s="42"/>
      <c r="I1" s="160"/>
      <c r="J1" s="111"/>
      <c r="K1" s="111"/>
      <c r="L1" s="111"/>
      <c r="M1" s="182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04"/>
      <c r="AF1" s="104"/>
      <c r="AG1" s="104"/>
    </row>
    <row r="2" spans="1:33" ht="12.75" customHeight="1" thickBot="1" x14ac:dyDescent="0.35">
      <c r="A2" s="42"/>
      <c r="B2" s="38"/>
      <c r="C2" s="38"/>
      <c r="D2" s="38"/>
      <c r="E2" s="38"/>
      <c r="F2" s="38"/>
      <c r="G2" s="42"/>
      <c r="H2" s="42"/>
      <c r="I2" s="160"/>
      <c r="J2" s="182"/>
      <c r="K2" s="182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04"/>
      <c r="AF2" s="104"/>
      <c r="AG2" s="104"/>
    </row>
    <row r="3" spans="1:33" s="33" customFormat="1" ht="26.9" customHeight="1" x14ac:dyDescent="0.3">
      <c r="A3" s="73" t="s">
        <v>804</v>
      </c>
      <c r="B3" s="73"/>
      <c r="C3" s="73"/>
      <c r="D3" s="73"/>
      <c r="E3" s="73"/>
      <c r="F3" s="73"/>
      <c r="G3" s="102"/>
      <c r="H3" s="103"/>
      <c r="I3" s="247" t="s">
        <v>1778</v>
      </c>
      <c r="J3" s="183" t="s">
        <v>1655</v>
      </c>
      <c r="K3" s="183" t="s">
        <v>1787</v>
      </c>
      <c r="L3" s="183" t="s">
        <v>1715</v>
      </c>
      <c r="M3" s="183" t="s">
        <v>1716</v>
      </c>
      <c r="N3" s="183" t="s">
        <v>1717</v>
      </c>
      <c r="O3" s="183" t="s">
        <v>1718</v>
      </c>
      <c r="P3" s="183" t="s">
        <v>1719</v>
      </c>
      <c r="Q3" s="183" t="s">
        <v>1720</v>
      </c>
      <c r="R3" s="183" t="s">
        <v>1721</v>
      </c>
      <c r="S3" s="183" t="s">
        <v>1722</v>
      </c>
      <c r="T3" s="183" t="s">
        <v>1723</v>
      </c>
      <c r="U3" s="183" t="s">
        <v>1724</v>
      </c>
      <c r="V3" s="183" t="s">
        <v>1725</v>
      </c>
      <c r="W3" s="183" t="s">
        <v>1726</v>
      </c>
      <c r="X3" s="183" t="s">
        <v>1727</v>
      </c>
      <c r="Y3" s="183" t="s">
        <v>1728</v>
      </c>
      <c r="Z3" s="183" t="s">
        <v>1729</v>
      </c>
      <c r="AA3" s="183" t="s">
        <v>1730</v>
      </c>
      <c r="AB3" s="183" t="s">
        <v>1731</v>
      </c>
      <c r="AC3" s="458" t="s">
        <v>2484</v>
      </c>
      <c r="AD3" s="183"/>
      <c r="AE3" s="121"/>
      <c r="AF3" s="121" t="s">
        <v>2587</v>
      </c>
      <c r="AG3" s="104"/>
    </row>
    <row r="4" spans="1:33" ht="12.75" customHeight="1" x14ac:dyDescent="0.3">
      <c r="A4" s="42"/>
      <c r="B4" s="38"/>
      <c r="C4" s="38"/>
      <c r="D4" s="38"/>
      <c r="E4" s="38"/>
      <c r="F4" s="38"/>
      <c r="G4" s="42"/>
      <c r="H4" s="42"/>
      <c r="I4" s="160"/>
      <c r="J4" s="182"/>
      <c r="K4" s="182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82"/>
      <c r="AD4" s="111"/>
      <c r="AE4" s="104"/>
      <c r="AF4" s="104"/>
      <c r="AG4" s="104"/>
    </row>
    <row r="5" spans="1:33" x14ac:dyDescent="0.3">
      <c r="A5" s="4" t="s">
        <v>1090</v>
      </c>
      <c r="B5" s="38"/>
      <c r="C5" s="38"/>
      <c r="D5" s="38"/>
      <c r="E5" s="38"/>
      <c r="F5" s="38"/>
      <c r="G5" s="106"/>
      <c r="H5" s="42"/>
      <c r="I5" s="160"/>
      <c r="J5" s="182"/>
      <c r="K5" s="182"/>
      <c r="L5" s="182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82"/>
      <c r="AD5" s="111"/>
      <c r="AE5" s="104"/>
      <c r="AF5" s="104"/>
      <c r="AG5" s="104"/>
    </row>
    <row r="6" spans="1:33" x14ac:dyDescent="0.3">
      <c r="A6" s="398" t="s">
        <v>2435</v>
      </c>
      <c r="B6" s="384"/>
      <c r="C6" s="384"/>
      <c r="D6" s="384"/>
      <c r="E6" s="384"/>
      <c r="F6" s="384"/>
      <c r="G6" s="306"/>
      <c r="H6" s="306"/>
      <c r="I6" s="160"/>
      <c r="J6" s="182"/>
      <c r="K6" s="182"/>
      <c r="L6" s="182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82"/>
      <c r="AD6" s="111"/>
      <c r="AE6" s="104"/>
      <c r="AF6" s="104"/>
      <c r="AG6" s="104"/>
    </row>
    <row r="7" spans="1:33" x14ac:dyDescent="0.3">
      <c r="A7" s="306"/>
      <c r="B7" s="306" t="s">
        <v>968</v>
      </c>
      <c r="C7" s="384"/>
      <c r="D7" s="384"/>
      <c r="E7" s="384"/>
      <c r="F7" s="384"/>
      <c r="G7" s="399" t="s">
        <v>2429</v>
      </c>
      <c r="H7" s="380" t="s">
        <v>2412</v>
      </c>
      <c r="I7" s="459">
        <f>E.aL/1000*(Molweight*3600*24*365)</f>
        <v>1.0000000000000001E-5</v>
      </c>
      <c r="J7" s="259">
        <v>0</v>
      </c>
      <c r="K7" s="259">
        <v>0</v>
      </c>
      <c r="L7" s="259">
        <v>0</v>
      </c>
      <c r="M7" s="259">
        <v>0</v>
      </c>
      <c r="N7" s="259">
        <v>0</v>
      </c>
      <c r="O7" s="259">
        <v>0</v>
      </c>
      <c r="P7" s="259">
        <v>0</v>
      </c>
      <c r="Q7" s="259">
        <v>0</v>
      </c>
      <c r="R7" s="259">
        <v>0</v>
      </c>
      <c r="S7" s="259">
        <v>0</v>
      </c>
      <c r="T7" s="259">
        <v>0</v>
      </c>
      <c r="U7" s="259">
        <v>0</v>
      </c>
      <c r="V7" s="259">
        <v>0</v>
      </c>
      <c r="W7" s="259">
        <v>0</v>
      </c>
      <c r="X7" s="259">
        <v>0</v>
      </c>
      <c r="Y7" s="259">
        <v>0</v>
      </c>
      <c r="Z7" s="259">
        <v>0</v>
      </c>
      <c r="AA7" s="259">
        <v>0</v>
      </c>
      <c r="AB7" s="259">
        <v>0</v>
      </c>
      <c r="AC7" s="259">
        <v>1</v>
      </c>
      <c r="AD7" s="111"/>
      <c r="AE7" s="104"/>
      <c r="AF7" s="104"/>
      <c r="AG7" s="104"/>
    </row>
    <row r="8" spans="1:33" x14ac:dyDescent="0.3">
      <c r="A8" s="306"/>
      <c r="B8" s="306" t="s">
        <v>2404</v>
      </c>
      <c r="C8" s="384"/>
      <c r="D8" s="384"/>
      <c r="E8" s="384"/>
      <c r="F8" s="384"/>
      <c r="G8" s="399" t="s">
        <v>2430</v>
      </c>
      <c r="H8" s="380" t="s">
        <v>2412</v>
      </c>
      <c r="I8" s="459">
        <f>E.wL/1000*(Molweight*3600*24*365)</f>
        <v>1.0000000000000001E-5</v>
      </c>
      <c r="J8" s="259">
        <v>0</v>
      </c>
      <c r="K8" s="259">
        <v>0</v>
      </c>
      <c r="L8" s="259">
        <v>0</v>
      </c>
      <c r="M8" s="259">
        <v>0</v>
      </c>
      <c r="N8" s="259">
        <v>0</v>
      </c>
      <c r="O8" s="259">
        <v>0</v>
      </c>
      <c r="P8" s="259">
        <v>0</v>
      </c>
      <c r="Q8" s="259">
        <v>0</v>
      </c>
      <c r="R8" s="259">
        <v>0</v>
      </c>
      <c r="S8" s="259">
        <v>0</v>
      </c>
      <c r="T8" s="259">
        <v>0</v>
      </c>
      <c r="U8" s="259">
        <v>0</v>
      </c>
      <c r="V8" s="259">
        <v>0</v>
      </c>
      <c r="W8" s="259">
        <v>0</v>
      </c>
      <c r="X8" s="259">
        <v>0</v>
      </c>
      <c r="Y8" s="259">
        <v>0</v>
      </c>
      <c r="Z8" s="259">
        <v>0</v>
      </c>
      <c r="AA8" s="259">
        <v>0</v>
      </c>
      <c r="AB8" s="259">
        <v>0</v>
      </c>
      <c r="AC8" s="259">
        <v>1</v>
      </c>
      <c r="AD8" s="111"/>
      <c r="AE8" s="104"/>
      <c r="AF8" s="104"/>
      <c r="AG8" s="104"/>
    </row>
    <row r="9" spans="1:33" x14ac:dyDescent="0.3">
      <c r="A9" s="306"/>
      <c r="B9" s="306" t="s">
        <v>1087</v>
      </c>
      <c r="C9" s="384"/>
      <c r="D9" s="384"/>
      <c r="E9" s="384"/>
      <c r="F9" s="384"/>
      <c r="G9" s="399" t="s">
        <v>2431</v>
      </c>
      <c r="H9" s="380" t="s">
        <v>2412</v>
      </c>
      <c r="I9" s="459">
        <f>E.sL/1000*(Molweight*3600*24*365)</f>
        <v>1.0000000000000001E-5</v>
      </c>
      <c r="J9" s="259">
        <v>0</v>
      </c>
      <c r="K9" s="259">
        <v>0</v>
      </c>
      <c r="L9" s="259">
        <v>0</v>
      </c>
      <c r="M9" s="259">
        <v>0</v>
      </c>
      <c r="N9" s="259">
        <v>0</v>
      </c>
      <c r="O9" s="259">
        <v>0</v>
      </c>
      <c r="P9" s="259">
        <v>0</v>
      </c>
      <c r="Q9" s="259">
        <v>0</v>
      </c>
      <c r="R9" s="259">
        <v>0</v>
      </c>
      <c r="S9" s="259">
        <v>0</v>
      </c>
      <c r="T9" s="259">
        <v>0</v>
      </c>
      <c r="U9" s="259">
        <v>0</v>
      </c>
      <c r="V9" s="259">
        <v>0</v>
      </c>
      <c r="W9" s="259">
        <v>0</v>
      </c>
      <c r="X9" s="259">
        <v>0</v>
      </c>
      <c r="Y9" s="259">
        <v>0</v>
      </c>
      <c r="Z9" s="259">
        <v>0</v>
      </c>
      <c r="AA9" s="259">
        <v>0</v>
      </c>
      <c r="AB9" s="259">
        <v>0</v>
      </c>
      <c r="AC9" s="259">
        <v>1</v>
      </c>
      <c r="AD9" s="111"/>
      <c r="AE9" s="104"/>
      <c r="AF9" s="104"/>
      <c r="AG9" s="104"/>
    </row>
    <row r="10" spans="1:33" x14ac:dyDescent="0.3">
      <c r="A10" s="50" t="s">
        <v>1372</v>
      </c>
      <c r="B10" s="38"/>
      <c r="C10" s="38"/>
      <c r="D10" s="38"/>
      <c r="E10" s="38"/>
      <c r="F10" s="38"/>
      <c r="G10" s="42"/>
      <c r="H10" s="42"/>
      <c r="I10" s="160"/>
      <c r="J10" s="259"/>
      <c r="K10" s="259"/>
      <c r="L10" s="259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59"/>
      <c r="AD10" s="260"/>
      <c r="AE10" s="261"/>
      <c r="AF10" s="261"/>
      <c r="AG10" s="104"/>
    </row>
    <row r="11" spans="1:33" x14ac:dyDescent="0.3">
      <c r="A11" s="42"/>
      <c r="B11" s="42" t="s">
        <v>968</v>
      </c>
      <c r="C11" s="38"/>
      <c r="D11" s="38"/>
      <c r="E11" s="38"/>
      <c r="F11" s="38"/>
      <c r="G11" s="43" t="s">
        <v>694</v>
      </c>
      <c r="H11" s="380" t="s">
        <v>2412</v>
      </c>
      <c r="I11" s="248">
        <f>E.aR/1000*(Molweight*3600*24*365)</f>
        <v>9.9999999999999985E-3</v>
      </c>
      <c r="J11" s="259">
        <v>10000</v>
      </c>
      <c r="K11" s="259">
        <v>1</v>
      </c>
      <c r="L11" s="259">
        <v>1</v>
      </c>
      <c r="M11" s="259">
        <v>1</v>
      </c>
      <c r="N11" s="259">
        <v>1</v>
      </c>
      <c r="O11" s="259">
        <v>1</v>
      </c>
      <c r="P11" s="259">
        <v>1</v>
      </c>
      <c r="Q11" s="259">
        <v>1</v>
      </c>
      <c r="R11" s="259">
        <v>1</v>
      </c>
      <c r="S11" s="259">
        <v>1</v>
      </c>
      <c r="T11" s="259">
        <v>1</v>
      </c>
      <c r="U11" s="259">
        <v>1</v>
      </c>
      <c r="V11" s="259">
        <v>1</v>
      </c>
      <c r="W11" s="259">
        <v>1</v>
      </c>
      <c r="X11" s="259">
        <v>1</v>
      </c>
      <c r="Y11" s="259">
        <v>1</v>
      </c>
      <c r="Z11" s="259">
        <v>1</v>
      </c>
      <c r="AA11" s="259">
        <v>1</v>
      </c>
      <c r="AB11" s="259">
        <v>1</v>
      </c>
      <c r="AC11" s="259">
        <v>10000</v>
      </c>
      <c r="AD11" s="259"/>
      <c r="AE11" s="261"/>
      <c r="AF11" s="261"/>
      <c r="AG11" s="104"/>
    </row>
    <row r="12" spans="1:33" x14ac:dyDescent="0.3">
      <c r="A12" s="42"/>
      <c r="B12" s="42" t="s">
        <v>1694</v>
      </c>
      <c r="C12" s="38"/>
      <c r="D12" s="38"/>
      <c r="E12" s="38"/>
      <c r="F12" s="38"/>
      <c r="G12" s="43" t="s">
        <v>1695</v>
      </c>
      <c r="H12" s="380" t="s">
        <v>2412</v>
      </c>
      <c r="I12" s="248">
        <f>E.w0R/1000*(Molweight*3600*24*365)</f>
        <v>0</v>
      </c>
      <c r="J12" s="259">
        <v>0</v>
      </c>
      <c r="K12" s="259">
        <v>0</v>
      </c>
      <c r="L12" s="259">
        <v>0</v>
      </c>
      <c r="M12" s="259">
        <v>0</v>
      </c>
      <c r="N12" s="259">
        <v>0</v>
      </c>
      <c r="O12" s="259">
        <v>0</v>
      </c>
      <c r="P12" s="259">
        <v>0</v>
      </c>
      <c r="Q12" s="259">
        <v>0</v>
      </c>
      <c r="R12" s="259">
        <v>0</v>
      </c>
      <c r="S12" s="259">
        <v>0</v>
      </c>
      <c r="T12" s="259">
        <v>0</v>
      </c>
      <c r="U12" s="259">
        <v>0</v>
      </c>
      <c r="V12" s="259">
        <v>0</v>
      </c>
      <c r="W12" s="259">
        <v>0</v>
      </c>
      <c r="X12" s="259">
        <v>0</v>
      </c>
      <c r="Y12" s="259">
        <v>0</v>
      </c>
      <c r="Z12" s="259">
        <v>0</v>
      </c>
      <c r="AA12" s="259">
        <v>0</v>
      </c>
      <c r="AB12" s="259">
        <v>0</v>
      </c>
      <c r="AC12" s="259">
        <v>0</v>
      </c>
      <c r="AD12" s="259"/>
      <c r="AE12" s="261"/>
      <c r="AF12" s="261"/>
      <c r="AG12" s="104"/>
    </row>
    <row r="13" spans="1:33" x14ac:dyDescent="0.3">
      <c r="A13" s="42"/>
      <c r="B13" s="42" t="s">
        <v>38</v>
      </c>
      <c r="C13" s="38"/>
      <c r="D13" s="38"/>
      <c r="E13" s="38"/>
      <c r="F13" s="38"/>
      <c r="G13" s="43" t="s">
        <v>693</v>
      </c>
      <c r="H13" s="380" t="s">
        <v>2412</v>
      </c>
      <c r="I13" s="248">
        <f>E.w1R/1000*(Molweight*3600*24*365)</f>
        <v>9.9999999999999985E-3</v>
      </c>
      <c r="J13" s="259">
        <v>10000</v>
      </c>
      <c r="K13" s="259">
        <v>0</v>
      </c>
      <c r="L13" s="259">
        <v>0</v>
      </c>
      <c r="M13" s="259">
        <v>0</v>
      </c>
      <c r="N13" s="259">
        <v>0</v>
      </c>
      <c r="O13" s="259">
        <v>0</v>
      </c>
      <c r="P13" s="259">
        <v>0</v>
      </c>
      <c r="Q13" s="259">
        <v>0</v>
      </c>
      <c r="R13" s="259">
        <v>0</v>
      </c>
      <c r="S13" s="259">
        <v>0</v>
      </c>
      <c r="T13" s="259">
        <v>0</v>
      </c>
      <c r="U13" s="259">
        <v>0</v>
      </c>
      <c r="V13" s="259">
        <v>0</v>
      </c>
      <c r="W13" s="259">
        <v>0</v>
      </c>
      <c r="X13" s="259">
        <v>0</v>
      </c>
      <c r="Y13" s="259">
        <v>0</v>
      </c>
      <c r="Z13" s="259">
        <v>0</v>
      </c>
      <c r="AA13" s="259">
        <v>0</v>
      </c>
      <c r="AB13" s="259">
        <v>0</v>
      </c>
      <c r="AC13" s="259">
        <v>10000</v>
      </c>
      <c r="AD13" s="259"/>
      <c r="AE13" s="261"/>
      <c r="AF13" s="261"/>
      <c r="AG13" s="104"/>
    </row>
    <row r="14" spans="1:33" x14ac:dyDescent="0.3">
      <c r="A14" s="42"/>
      <c r="B14" s="42" t="s">
        <v>39</v>
      </c>
      <c r="C14" s="38"/>
      <c r="D14" s="38"/>
      <c r="E14" s="38"/>
      <c r="F14" s="38"/>
      <c r="G14" s="43" t="s">
        <v>695</v>
      </c>
      <c r="H14" s="380" t="s">
        <v>2412</v>
      </c>
      <c r="I14" s="248">
        <f>E.w2R/1000*(Molweight*3600*24*365)</f>
        <v>0</v>
      </c>
      <c r="J14" s="259">
        <v>0</v>
      </c>
      <c r="K14" s="259">
        <v>0</v>
      </c>
      <c r="L14" s="259">
        <v>0</v>
      </c>
      <c r="M14" s="259">
        <v>0</v>
      </c>
      <c r="N14" s="259">
        <v>0</v>
      </c>
      <c r="O14" s="259">
        <v>0</v>
      </c>
      <c r="P14" s="259">
        <v>0</v>
      </c>
      <c r="Q14" s="259">
        <v>0</v>
      </c>
      <c r="R14" s="259">
        <v>0</v>
      </c>
      <c r="S14" s="259">
        <v>0</v>
      </c>
      <c r="T14" s="259">
        <v>0</v>
      </c>
      <c r="U14" s="259">
        <v>0</v>
      </c>
      <c r="V14" s="259">
        <v>0</v>
      </c>
      <c r="W14" s="259">
        <v>0</v>
      </c>
      <c r="X14" s="259">
        <v>0</v>
      </c>
      <c r="Y14" s="259">
        <v>0</v>
      </c>
      <c r="Z14" s="259">
        <v>0</v>
      </c>
      <c r="AA14" s="259">
        <v>0</v>
      </c>
      <c r="AB14" s="259">
        <v>0</v>
      </c>
      <c r="AC14" s="259">
        <v>0</v>
      </c>
      <c r="AD14" s="259"/>
      <c r="AE14" s="261"/>
      <c r="AF14" s="261"/>
      <c r="AG14" s="104"/>
    </row>
    <row r="15" spans="1:33" x14ac:dyDescent="0.3">
      <c r="A15" s="42"/>
      <c r="B15" s="42" t="s">
        <v>1194</v>
      </c>
      <c r="C15" s="38"/>
      <c r="D15" s="38"/>
      <c r="E15" s="38"/>
      <c r="F15" s="38"/>
      <c r="G15" s="43" t="s">
        <v>696</v>
      </c>
      <c r="H15" s="380" t="s">
        <v>2412</v>
      </c>
      <c r="I15" s="248">
        <f>E.s1R/1000*(Molweight*3600*24*365)</f>
        <v>9.9999999999999985E-3</v>
      </c>
      <c r="J15" s="260">
        <v>0</v>
      </c>
      <c r="K15" s="260">
        <v>0</v>
      </c>
      <c r="L15" s="260">
        <v>0</v>
      </c>
      <c r="M15" s="260">
        <v>0</v>
      </c>
      <c r="N15" s="260">
        <v>0</v>
      </c>
      <c r="O15" s="260">
        <v>0</v>
      </c>
      <c r="P15" s="260">
        <v>0</v>
      </c>
      <c r="Q15" s="260">
        <v>0</v>
      </c>
      <c r="R15" s="260">
        <v>0</v>
      </c>
      <c r="S15" s="260">
        <v>0</v>
      </c>
      <c r="T15" s="260">
        <v>0</v>
      </c>
      <c r="U15" s="260">
        <v>0</v>
      </c>
      <c r="V15" s="260">
        <v>0</v>
      </c>
      <c r="W15" s="260">
        <v>0</v>
      </c>
      <c r="X15" s="260">
        <v>0</v>
      </c>
      <c r="Y15" s="260">
        <v>0</v>
      </c>
      <c r="Z15" s="260">
        <v>0</v>
      </c>
      <c r="AA15" s="260">
        <v>0</v>
      </c>
      <c r="AB15" s="260">
        <v>0</v>
      </c>
      <c r="AC15" s="260">
        <v>0</v>
      </c>
      <c r="AD15" s="260"/>
      <c r="AE15" s="261"/>
      <c r="AF15" s="261"/>
      <c r="AG15" s="104"/>
    </row>
    <row r="16" spans="1:33" x14ac:dyDescent="0.3">
      <c r="A16" s="42"/>
      <c r="B16" s="42" t="s">
        <v>966</v>
      </c>
      <c r="C16" s="38"/>
      <c r="D16" s="38"/>
      <c r="E16" s="38"/>
      <c r="F16" s="38"/>
      <c r="G16" s="43" t="s">
        <v>1168</v>
      </c>
      <c r="H16" s="380" t="s">
        <v>2412</v>
      </c>
      <c r="I16" s="248">
        <f>E.s2R/1000*(Molweight*3600*24*365)</f>
        <v>9.9999999999999985E-3</v>
      </c>
      <c r="J16" s="259">
        <v>10000</v>
      </c>
      <c r="K16" s="259">
        <v>0</v>
      </c>
      <c r="L16" s="259">
        <v>0</v>
      </c>
      <c r="M16" s="259">
        <v>0</v>
      </c>
      <c r="N16" s="259">
        <v>0</v>
      </c>
      <c r="O16" s="259">
        <v>0</v>
      </c>
      <c r="P16" s="259">
        <v>0</v>
      </c>
      <c r="Q16" s="259">
        <v>0</v>
      </c>
      <c r="R16" s="259">
        <v>0</v>
      </c>
      <c r="S16" s="259">
        <v>0</v>
      </c>
      <c r="T16" s="259">
        <v>0</v>
      </c>
      <c r="U16" s="259">
        <v>0</v>
      </c>
      <c r="V16" s="259">
        <v>0</v>
      </c>
      <c r="W16" s="259">
        <v>0</v>
      </c>
      <c r="X16" s="259">
        <v>0</v>
      </c>
      <c r="Y16" s="259">
        <v>0</v>
      </c>
      <c r="Z16" s="259">
        <v>0</v>
      </c>
      <c r="AA16" s="259">
        <v>0</v>
      </c>
      <c r="AB16" s="259">
        <v>0</v>
      </c>
      <c r="AC16" s="259">
        <v>10000</v>
      </c>
      <c r="AD16" s="259"/>
      <c r="AE16" s="261"/>
      <c r="AF16" s="261"/>
      <c r="AG16" s="104"/>
    </row>
    <row r="17" spans="1:33" x14ac:dyDescent="0.3">
      <c r="A17" s="42"/>
      <c r="B17" s="42" t="s">
        <v>967</v>
      </c>
      <c r="C17" s="38"/>
      <c r="D17" s="38"/>
      <c r="E17" s="38"/>
      <c r="F17" s="38"/>
      <c r="G17" s="43" t="s">
        <v>1169</v>
      </c>
      <c r="H17" s="380" t="s">
        <v>2412</v>
      </c>
      <c r="I17" s="248">
        <f>E.s3R/1000*(Molweight*3600*24*365)</f>
        <v>9.9999999999999985E-3</v>
      </c>
      <c r="J17" s="259">
        <v>0</v>
      </c>
      <c r="K17" s="259">
        <v>0</v>
      </c>
      <c r="L17" s="259">
        <v>0</v>
      </c>
      <c r="M17" s="259">
        <v>0</v>
      </c>
      <c r="N17" s="259">
        <v>0</v>
      </c>
      <c r="O17" s="259">
        <v>0</v>
      </c>
      <c r="P17" s="259">
        <v>0</v>
      </c>
      <c r="Q17" s="259">
        <v>0</v>
      </c>
      <c r="R17" s="259">
        <v>0</v>
      </c>
      <c r="S17" s="259">
        <v>0</v>
      </c>
      <c r="T17" s="259">
        <v>0</v>
      </c>
      <c r="U17" s="259">
        <v>0</v>
      </c>
      <c r="V17" s="259">
        <v>0</v>
      </c>
      <c r="W17" s="259">
        <v>0</v>
      </c>
      <c r="X17" s="259">
        <v>0</v>
      </c>
      <c r="Y17" s="259">
        <v>0</v>
      </c>
      <c r="Z17" s="259">
        <v>0</v>
      </c>
      <c r="AA17" s="259">
        <v>0</v>
      </c>
      <c r="AB17" s="259">
        <v>0</v>
      </c>
      <c r="AC17" s="259">
        <v>0</v>
      </c>
      <c r="AD17" s="259"/>
      <c r="AE17" s="261"/>
      <c r="AF17" s="261"/>
      <c r="AG17" s="104"/>
    </row>
    <row r="18" spans="1:33" x14ac:dyDescent="0.3">
      <c r="A18" s="50" t="s">
        <v>1322</v>
      </c>
      <c r="B18" s="38"/>
      <c r="C18" s="38"/>
      <c r="D18" s="38"/>
      <c r="E18" s="38"/>
      <c r="F18" s="38"/>
      <c r="G18" s="68"/>
      <c r="H18" s="42"/>
      <c r="I18" s="182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61"/>
      <c r="AF18" s="261"/>
      <c r="AG18" s="104"/>
    </row>
    <row r="19" spans="1:33" x14ac:dyDescent="0.3">
      <c r="A19" s="42"/>
      <c r="B19" s="42" t="s">
        <v>968</v>
      </c>
      <c r="C19" s="38"/>
      <c r="D19" s="38"/>
      <c r="E19" s="38"/>
      <c r="F19" s="38"/>
      <c r="G19" s="43" t="s">
        <v>1175</v>
      </c>
      <c r="H19" s="380" t="s">
        <v>2412</v>
      </c>
      <c r="I19" s="248">
        <f>E.aC/1000*(Molweight*3600*24*365)</f>
        <v>9.9999999999999985E-3</v>
      </c>
      <c r="J19" s="259">
        <v>0</v>
      </c>
      <c r="K19" s="259">
        <v>0</v>
      </c>
      <c r="L19" s="259">
        <v>0</v>
      </c>
      <c r="M19" s="259">
        <v>0</v>
      </c>
      <c r="N19" s="259">
        <v>0</v>
      </c>
      <c r="O19" s="259">
        <v>0</v>
      </c>
      <c r="P19" s="259">
        <v>0</v>
      </c>
      <c r="Q19" s="259">
        <v>0</v>
      </c>
      <c r="R19" s="259">
        <v>0</v>
      </c>
      <c r="S19" s="259">
        <v>0</v>
      </c>
      <c r="T19" s="259">
        <v>0</v>
      </c>
      <c r="U19" s="259">
        <v>0</v>
      </c>
      <c r="V19" s="259">
        <v>0</v>
      </c>
      <c r="W19" s="259">
        <v>0</v>
      </c>
      <c r="X19" s="259">
        <v>0</v>
      </c>
      <c r="Y19" s="259">
        <v>0</v>
      </c>
      <c r="Z19" s="259">
        <v>0</v>
      </c>
      <c r="AA19" s="259">
        <v>0</v>
      </c>
      <c r="AB19" s="259">
        <v>0</v>
      </c>
      <c r="AC19" s="259">
        <v>0</v>
      </c>
      <c r="AD19" s="259"/>
      <c r="AE19" s="261"/>
      <c r="AF19" s="261"/>
      <c r="AG19" s="104"/>
    </row>
    <row r="20" spans="1:33" x14ac:dyDescent="0.3">
      <c r="A20" s="42"/>
      <c r="B20" s="42" t="s">
        <v>1694</v>
      </c>
      <c r="C20" s="38"/>
      <c r="D20" s="38"/>
      <c r="E20" s="38"/>
      <c r="F20" s="38"/>
      <c r="G20" s="43" t="s">
        <v>1697</v>
      </c>
      <c r="H20" s="380" t="s">
        <v>2412</v>
      </c>
      <c r="I20" s="248">
        <f>E.aC/1000*(Molweight*3600*24*365)</f>
        <v>9.9999999999999985E-3</v>
      </c>
      <c r="J20" s="259">
        <v>0</v>
      </c>
      <c r="K20" s="259">
        <v>0</v>
      </c>
      <c r="L20" s="259">
        <v>0</v>
      </c>
      <c r="M20" s="259">
        <v>0</v>
      </c>
      <c r="N20" s="259">
        <v>0</v>
      </c>
      <c r="O20" s="259">
        <v>0</v>
      </c>
      <c r="P20" s="259">
        <v>0</v>
      </c>
      <c r="Q20" s="259">
        <v>0</v>
      </c>
      <c r="R20" s="259">
        <v>0</v>
      </c>
      <c r="S20" s="259">
        <v>0</v>
      </c>
      <c r="T20" s="259">
        <v>0</v>
      </c>
      <c r="U20" s="259">
        <v>0</v>
      </c>
      <c r="V20" s="259">
        <v>0</v>
      </c>
      <c r="W20" s="259">
        <v>0</v>
      </c>
      <c r="X20" s="259">
        <v>0</v>
      </c>
      <c r="Y20" s="259">
        <v>0</v>
      </c>
      <c r="Z20" s="259">
        <v>0</v>
      </c>
      <c r="AA20" s="259">
        <v>0</v>
      </c>
      <c r="AB20" s="259">
        <v>0</v>
      </c>
      <c r="AC20" s="259">
        <v>0</v>
      </c>
      <c r="AD20" s="259"/>
      <c r="AE20" s="261"/>
      <c r="AF20" s="261"/>
      <c r="AG20" s="104"/>
    </row>
    <row r="21" spans="1:33" x14ac:dyDescent="0.3">
      <c r="A21" s="42"/>
      <c r="B21" s="42" t="s">
        <v>38</v>
      </c>
      <c r="C21" s="38"/>
      <c r="D21" s="38"/>
      <c r="E21" s="38"/>
      <c r="F21" s="38"/>
      <c r="G21" s="43" t="s">
        <v>1170</v>
      </c>
      <c r="H21" s="380" t="s">
        <v>2412</v>
      </c>
      <c r="I21" s="248">
        <f>E.w1C/1000*(Molweight*3600*24*365)</f>
        <v>9.9999999999999985E-3</v>
      </c>
      <c r="J21" s="259">
        <v>0</v>
      </c>
      <c r="K21" s="259">
        <v>0</v>
      </c>
      <c r="L21" s="259">
        <v>0</v>
      </c>
      <c r="M21" s="259">
        <v>0</v>
      </c>
      <c r="N21" s="259">
        <v>0</v>
      </c>
      <c r="O21" s="259">
        <v>0</v>
      </c>
      <c r="P21" s="259">
        <v>0</v>
      </c>
      <c r="Q21" s="259">
        <v>0</v>
      </c>
      <c r="R21" s="259">
        <v>0</v>
      </c>
      <c r="S21" s="259">
        <v>0</v>
      </c>
      <c r="T21" s="259">
        <v>0</v>
      </c>
      <c r="U21" s="259">
        <v>0</v>
      </c>
      <c r="V21" s="259">
        <v>0</v>
      </c>
      <c r="W21" s="259">
        <v>0</v>
      </c>
      <c r="X21" s="259">
        <v>0</v>
      </c>
      <c r="Y21" s="259">
        <v>0</v>
      </c>
      <c r="Z21" s="259">
        <v>0</v>
      </c>
      <c r="AA21" s="259">
        <v>0</v>
      </c>
      <c r="AB21" s="259">
        <v>0</v>
      </c>
      <c r="AC21" s="259">
        <v>0</v>
      </c>
      <c r="AD21" s="259"/>
      <c r="AE21" s="261"/>
      <c r="AF21" s="261"/>
      <c r="AG21" s="104"/>
    </row>
    <row r="22" spans="1:33" x14ac:dyDescent="0.3">
      <c r="A22" s="42"/>
      <c r="B22" s="42" t="s">
        <v>39</v>
      </c>
      <c r="C22" s="38"/>
      <c r="D22" s="38"/>
      <c r="E22" s="38"/>
      <c r="F22" s="38"/>
      <c r="G22" s="43" t="s">
        <v>1171</v>
      </c>
      <c r="H22" s="380" t="s">
        <v>2412</v>
      </c>
      <c r="I22" s="248">
        <f>E.w2C/1000*(Molweight*3600*24*365)</f>
        <v>9.9999999999999985E-3</v>
      </c>
      <c r="J22" s="259">
        <v>0</v>
      </c>
      <c r="K22" s="259">
        <v>0</v>
      </c>
      <c r="L22" s="259">
        <v>0</v>
      </c>
      <c r="M22" s="259">
        <v>0</v>
      </c>
      <c r="N22" s="259">
        <v>0</v>
      </c>
      <c r="O22" s="259">
        <v>0</v>
      </c>
      <c r="P22" s="259">
        <v>0</v>
      </c>
      <c r="Q22" s="259">
        <v>0</v>
      </c>
      <c r="R22" s="259">
        <v>0</v>
      </c>
      <c r="S22" s="259">
        <v>0</v>
      </c>
      <c r="T22" s="259">
        <v>0</v>
      </c>
      <c r="U22" s="259">
        <v>0</v>
      </c>
      <c r="V22" s="259">
        <v>0</v>
      </c>
      <c r="W22" s="259">
        <v>0</v>
      </c>
      <c r="X22" s="259">
        <v>0</v>
      </c>
      <c r="Y22" s="259">
        <v>0</v>
      </c>
      <c r="Z22" s="259">
        <v>0</v>
      </c>
      <c r="AA22" s="259">
        <v>0</v>
      </c>
      <c r="AB22" s="259">
        <v>0</v>
      </c>
      <c r="AC22" s="259">
        <v>0</v>
      </c>
      <c r="AD22" s="259"/>
      <c r="AE22" s="261"/>
      <c r="AF22" s="261"/>
      <c r="AG22" s="104"/>
    </row>
    <row r="23" spans="1:33" x14ac:dyDescent="0.3">
      <c r="A23" s="42"/>
      <c r="B23" s="42" t="s">
        <v>1194</v>
      </c>
      <c r="C23" s="38"/>
      <c r="D23" s="38"/>
      <c r="E23" s="38"/>
      <c r="F23" s="38"/>
      <c r="G23" s="43" t="s">
        <v>1172</v>
      </c>
      <c r="H23" s="380" t="s">
        <v>2412</v>
      </c>
      <c r="I23" s="248">
        <f>E.s1C/1000*(Molweight*3600*24*365)</f>
        <v>9.9999999999999985E-3</v>
      </c>
      <c r="J23" s="260">
        <v>0</v>
      </c>
      <c r="K23" s="260">
        <v>0</v>
      </c>
      <c r="L23" s="260">
        <v>0</v>
      </c>
      <c r="M23" s="260">
        <v>0</v>
      </c>
      <c r="N23" s="260">
        <v>0</v>
      </c>
      <c r="O23" s="260">
        <v>0</v>
      </c>
      <c r="P23" s="260">
        <v>0</v>
      </c>
      <c r="Q23" s="260">
        <v>0</v>
      </c>
      <c r="R23" s="260">
        <v>0</v>
      </c>
      <c r="S23" s="260">
        <v>0</v>
      </c>
      <c r="T23" s="260">
        <v>0</v>
      </c>
      <c r="U23" s="260">
        <v>0</v>
      </c>
      <c r="V23" s="260">
        <v>0</v>
      </c>
      <c r="W23" s="260">
        <v>0</v>
      </c>
      <c r="X23" s="260">
        <v>0</v>
      </c>
      <c r="Y23" s="260">
        <v>0</v>
      </c>
      <c r="Z23" s="260">
        <v>0</v>
      </c>
      <c r="AA23" s="260">
        <v>0</v>
      </c>
      <c r="AB23" s="260">
        <v>0</v>
      </c>
      <c r="AC23" s="260">
        <v>0</v>
      </c>
      <c r="AD23" s="260"/>
      <c r="AE23" s="261"/>
      <c r="AF23" s="261"/>
      <c r="AG23" s="104"/>
    </row>
    <row r="24" spans="1:33" x14ac:dyDescent="0.3">
      <c r="A24" s="42"/>
      <c r="B24" s="42" t="s">
        <v>966</v>
      </c>
      <c r="C24" s="38"/>
      <c r="D24" s="38"/>
      <c r="E24" s="38"/>
      <c r="F24" s="38"/>
      <c r="G24" s="43" t="s">
        <v>1173</v>
      </c>
      <c r="H24" s="380" t="s">
        <v>2412</v>
      </c>
      <c r="I24" s="248">
        <f>E.s2C/1000*(Molweight*3600*24*365)</f>
        <v>9.9999999999999985E-3</v>
      </c>
      <c r="J24" s="259">
        <v>0</v>
      </c>
      <c r="K24" s="259">
        <v>0</v>
      </c>
      <c r="L24" s="259">
        <v>0</v>
      </c>
      <c r="M24" s="259">
        <v>0</v>
      </c>
      <c r="N24" s="259">
        <v>0</v>
      </c>
      <c r="O24" s="259">
        <v>0</v>
      </c>
      <c r="P24" s="259">
        <v>0</v>
      </c>
      <c r="Q24" s="259">
        <v>0</v>
      </c>
      <c r="R24" s="259">
        <v>0</v>
      </c>
      <c r="S24" s="259">
        <v>0</v>
      </c>
      <c r="T24" s="259">
        <v>0</v>
      </c>
      <c r="U24" s="259">
        <v>0</v>
      </c>
      <c r="V24" s="259">
        <v>0</v>
      </c>
      <c r="W24" s="259">
        <v>0</v>
      </c>
      <c r="X24" s="259">
        <v>0</v>
      </c>
      <c r="Y24" s="259">
        <v>0</v>
      </c>
      <c r="Z24" s="259">
        <v>0</v>
      </c>
      <c r="AA24" s="259">
        <v>0</v>
      </c>
      <c r="AB24" s="259">
        <v>0</v>
      </c>
      <c r="AC24" s="259">
        <v>0</v>
      </c>
      <c r="AD24" s="259"/>
      <c r="AE24" s="261"/>
      <c r="AF24" s="261"/>
      <c r="AG24" s="104"/>
    </row>
    <row r="25" spans="1:33" x14ac:dyDescent="0.3">
      <c r="A25" s="42"/>
      <c r="B25" s="42" t="s">
        <v>967</v>
      </c>
      <c r="C25" s="38"/>
      <c r="D25" s="38"/>
      <c r="E25" s="38"/>
      <c r="F25" s="38"/>
      <c r="G25" s="43" t="s">
        <v>1174</v>
      </c>
      <c r="H25" s="380" t="s">
        <v>2412</v>
      </c>
      <c r="I25" s="248">
        <f>E.s3C/1000*(Molweight*3600*24*365)</f>
        <v>9.9999999999999985E-3</v>
      </c>
      <c r="J25" s="259">
        <v>0</v>
      </c>
      <c r="K25" s="259">
        <v>0</v>
      </c>
      <c r="L25" s="259">
        <v>0</v>
      </c>
      <c r="M25" s="259">
        <v>0</v>
      </c>
      <c r="N25" s="259">
        <v>0</v>
      </c>
      <c r="O25" s="259">
        <v>0</v>
      </c>
      <c r="P25" s="259">
        <v>0</v>
      </c>
      <c r="Q25" s="259">
        <v>0</v>
      </c>
      <c r="R25" s="259">
        <v>0</v>
      </c>
      <c r="S25" s="259">
        <v>0</v>
      </c>
      <c r="T25" s="259">
        <v>0</v>
      </c>
      <c r="U25" s="259">
        <v>0</v>
      </c>
      <c r="V25" s="259">
        <v>0</v>
      </c>
      <c r="W25" s="259">
        <v>0</v>
      </c>
      <c r="X25" s="259">
        <v>0</v>
      </c>
      <c r="Y25" s="259">
        <v>0</v>
      </c>
      <c r="Z25" s="259">
        <v>0</v>
      </c>
      <c r="AA25" s="259">
        <v>0</v>
      </c>
      <c r="AB25" s="259">
        <v>0</v>
      </c>
      <c r="AC25" s="259">
        <v>0</v>
      </c>
      <c r="AD25" s="259"/>
      <c r="AE25" s="261"/>
      <c r="AF25" s="261"/>
      <c r="AG25" s="104"/>
    </row>
    <row r="26" spans="1:33" x14ac:dyDescent="0.3">
      <c r="A26" s="50" t="s">
        <v>558</v>
      </c>
      <c r="B26" s="38"/>
      <c r="C26" s="38"/>
      <c r="D26" s="38"/>
      <c r="E26" s="38"/>
      <c r="F26" s="38"/>
      <c r="G26" s="68"/>
      <c r="H26" s="42"/>
      <c r="I26" s="182"/>
      <c r="J26" s="259"/>
      <c r="K26" s="259"/>
      <c r="L26" s="259"/>
      <c r="M26" s="259"/>
      <c r="N26" s="259"/>
      <c r="O26" s="259"/>
      <c r="P26" s="259"/>
      <c r="Q26" s="259"/>
      <c r="R26" s="259"/>
      <c r="S26" s="259"/>
      <c r="T26" s="259"/>
      <c r="U26" s="259"/>
      <c r="V26" s="259"/>
      <c r="W26" s="259"/>
      <c r="X26" s="259"/>
      <c r="Y26" s="259"/>
      <c r="Z26" s="259"/>
      <c r="AA26" s="259"/>
      <c r="AB26" s="259"/>
      <c r="AC26" s="259"/>
      <c r="AD26" s="259"/>
      <c r="AE26" s="261"/>
      <c r="AF26" s="261"/>
      <c r="AG26" s="104"/>
    </row>
    <row r="27" spans="1:33" x14ac:dyDescent="0.3">
      <c r="A27" s="42"/>
      <c r="B27" s="42" t="s">
        <v>968</v>
      </c>
      <c r="C27" s="38"/>
      <c r="D27" s="38"/>
      <c r="E27" s="38"/>
      <c r="F27" s="38"/>
      <c r="G27" s="43" t="s">
        <v>1176</v>
      </c>
      <c r="H27" s="380" t="s">
        <v>2412</v>
      </c>
      <c r="I27" s="248">
        <f>E.aM/1000*(Molweight*3600*24*365)</f>
        <v>0</v>
      </c>
      <c r="J27" s="259">
        <v>0</v>
      </c>
      <c r="K27" s="259">
        <v>0</v>
      </c>
      <c r="L27" s="259">
        <v>0</v>
      </c>
      <c r="M27" s="259">
        <v>0</v>
      </c>
      <c r="N27" s="259">
        <v>0</v>
      </c>
      <c r="O27" s="259">
        <v>0</v>
      </c>
      <c r="P27" s="259">
        <v>0</v>
      </c>
      <c r="Q27" s="259">
        <v>0</v>
      </c>
      <c r="R27" s="259">
        <v>0</v>
      </c>
      <c r="S27" s="259">
        <v>0</v>
      </c>
      <c r="T27" s="259">
        <v>0</v>
      </c>
      <c r="U27" s="259">
        <v>0</v>
      </c>
      <c r="V27" s="259">
        <v>0</v>
      </c>
      <c r="W27" s="259">
        <v>0</v>
      </c>
      <c r="X27" s="259">
        <v>0</v>
      </c>
      <c r="Y27" s="259">
        <v>0</v>
      </c>
      <c r="Z27" s="259">
        <v>0</v>
      </c>
      <c r="AA27" s="259">
        <v>0</v>
      </c>
      <c r="AB27" s="259">
        <v>0</v>
      </c>
      <c r="AC27" s="259">
        <v>0</v>
      </c>
      <c r="AD27" s="259"/>
      <c r="AE27" s="261"/>
      <c r="AF27" s="261"/>
      <c r="AG27" s="104"/>
    </row>
    <row r="28" spans="1:33" x14ac:dyDescent="0.3">
      <c r="A28" s="42"/>
      <c r="B28" s="42" t="s">
        <v>1242</v>
      </c>
      <c r="C28" s="38"/>
      <c r="D28" s="38"/>
      <c r="E28" s="38"/>
      <c r="F28" s="38"/>
      <c r="G28" s="43" t="s">
        <v>684</v>
      </c>
      <c r="H28" s="380" t="s">
        <v>2412</v>
      </c>
      <c r="I28" s="248">
        <f>E.w2M/1000*(Molweight*3600*24*365)</f>
        <v>0</v>
      </c>
      <c r="J28" s="259">
        <v>0</v>
      </c>
      <c r="K28" s="259">
        <v>0</v>
      </c>
      <c r="L28" s="259">
        <v>0</v>
      </c>
      <c r="M28" s="259">
        <v>0</v>
      </c>
      <c r="N28" s="259">
        <v>0</v>
      </c>
      <c r="O28" s="259">
        <v>0</v>
      </c>
      <c r="P28" s="259">
        <v>0</v>
      </c>
      <c r="Q28" s="259">
        <v>0</v>
      </c>
      <c r="R28" s="259">
        <v>0</v>
      </c>
      <c r="S28" s="259">
        <v>0</v>
      </c>
      <c r="T28" s="259">
        <v>0</v>
      </c>
      <c r="U28" s="259">
        <v>0</v>
      </c>
      <c r="V28" s="259">
        <v>0</v>
      </c>
      <c r="W28" s="259">
        <v>0</v>
      </c>
      <c r="X28" s="259">
        <v>0</v>
      </c>
      <c r="Y28" s="259">
        <v>0</v>
      </c>
      <c r="Z28" s="259">
        <v>0</v>
      </c>
      <c r="AA28" s="259">
        <v>0</v>
      </c>
      <c r="AB28" s="259">
        <v>0</v>
      </c>
      <c r="AC28" s="259">
        <v>0</v>
      </c>
      <c r="AD28" s="259"/>
      <c r="AE28" s="261"/>
      <c r="AF28" s="261"/>
      <c r="AG28" s="104"/>
    </row>
    <row r="29" spans="1:33" x14ac:dyDescent="0.3">
      <c r="A29" s="42"/>
      <c r="B29" s="42" t="s">
        <v>1087</v>
      </c>
      <c r="C29" s="38"/>
      <c r="D29" s="38"/>
      <c r="E29" s="38"/>
      <c r="F29" s="38"/>
      <c r="G29" s="43" t="s">
        <v>1382</v>
      </c>
      <c r="H29" s="380" t="s">
        <v>2412</v>
      </c>
      <c r="I29" s="248">
        <f>E.sM/1000*(Molweight*3600*24*365)</f>
        <v>0</v>
      </c>
      <c r="J29" s="259">
        <v>0</v>
      </c>
      <c r="K29" s="259">
        <v>0</v>
      </c>
      <c r="L29" s="259">
        <v>0</v>
      </c>
      <c r="M29" s="259">
        <v>0</v>
      </c>
      <c r="N29" s="259">
        <v>0</v>
      </c>
      <c r="O29" s="259">
        <v>0</v>
      </c>
      <c r="P29" s="259">
        <v>0</v>
      </c>
      <c r="Q29" s="259">
        <v>0</v>
      </c>
      <c r="R29" s="259">
        <v>0</v>
      </c>
      <c r="S29" s="259">
        <v>0</v>
      </c>
      <c r="T29" s="259">
        <v>0</v>
      </c>
      <c r="U29" s="259">
        <v>0</v>
      </c>
      <c r="V29" s="259">
        <v>0</v>
      </c>
      <c r="W29" s="259">
        <v>0</v>
      </c>
      <c r="X29" s="259">
        <v>0</v>
      </c>
      <c r="Y29" s="259">
        <v>0</v>
      </c>
      <c r="Z29" s="259">
        <v>0</v>
      </c>
      <c r="AA29" s="259">
        <v>0</v>
      </c>
      <c r="AB29" s="259">
        <v>0</v>
      </c>
      <c r="AC29" s="259">
        <v>0</v>
      </c>
      <c r="AD29" s="259"/>
      <c r="AE29" s="261"/>
      <c r="AF29" s="261"/>
      <c r="AG29" s="104"/>
    </row>
    <row r="30" spans="1:33" x14ac:dyDescent="0.3">
      <c r="A30" s="3" t="s">
        <v>47</v>
      </c>
      <c r="B30" s="42"/>
      <c r="C30" s="38"/>
      <c r="D30" s="38"/>
      <c r="E30" s="38"/>
      <c r="F30" s="38"/>
      <c r="G30" s="68"/>
      <c r="H30" s="42"/>
      <c r="I30" s="182"/>
      <c r="J30" s="259"/>
      <c r="K30" s="259"/>
      <c r="L30" s="259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259"/>
      <c r="AC30" s="259"/>
      <c r="AD30" s="259"/>
      <c r="AE30" s="261"/>
      <c r="AF30" s="261"/>
      <c r="AG30" s="104"/>
    </row>
    <row r="31" spans="1:33" x14ac:dyDescent="0.3">
      <c r="A31" s="42"/>
      <c r="B31" s="42" t="s">
        <v>968</v>
      </c>
      <c r="C31" s="38"/>
      <c r="D31" s="38"/>
      <c r="E31" s="38"/>
      <c r="F31" s="38"/>
      <c r="G31" s="43" t="s">
        <v>1177</v>
      </c>
      <c r="H31" s="380" t="s">
        <v>2412</v>
      </c>
      <c r="I31" s="248">
        <f>E.aA/1000*(Molweight*3600*24*365)</f>
        <v>0</v>
      </c>
      <c r="J31" s="259">
        <v>0</v>
      </c>
      <c r="K31" s="259">
        <v>0</v>
      </c>
      <c r="L31" s="259">
        <v>0</v>
      </c>
      <c r="M31" s="259">
        <v>0</v>
      </c>
      <c r="N31" s="259">
        <v>0</v>
      </c>
      <c r="O31" s="259">
        <v>0</v>
      </c>
      <c r="P31" s="259">
        <v>0</v>
      </c>
      <c r="Q31" s="259">
        <v>0</v>
      </c>
      <c r="R31" s="259">
        <v>0</v>
      </c>
      <c r="S31" s="259">
        <v>0</v>
      </c>
      <c r="T31" s="259">
        <v>0</v>
      </c>
      <c r="U31" s="259">
        <v>0</v>
      </c>
      <c r="V31" s="259">
        <v>0</v>
      </c>
      <c r="W31" s="259">
        <v>0</v>
      </c>
      <c r="X31" s="259">
        <v>0</v>
      </c>
      <c r="Y31" s="259">
        <v>0</v>
      </c>
      <c r="Z31" s="259">
        <v>0</v>
      </c>
      <c r="AA31" s="259">
        <v>0</v>
      </c>
      <c r="AB31" s="259">
        <v>0</v>
      </c>
      <c r="AC31" s="259">
        <v>0</v>
      </c>
      <c r="AD31" s="259"/>
      <c r="AE31" s="261"/>
      <c r="AF31" s="261"/>
      <c r="AG31" s="104"/>
    </row>
    <row r="32" spans="1:33" x14ac:dyDescent="0.3">
      <c r="A32" s="42"/>
      <c r="B32" s="42" t="s">
        <v>1242</v>
      </c>
      <c r="C32" s="38"/>
      <c r="D32" s="38"/>
      <c r="E32" s="38"/>
      <c r="F32" s="38"/>
      <c r="G32" s="43" t="s">
        <v>685</v>
      </c>
      <c r="H32" s="380" t="s">
        <v>2412</v>
      </c>
      <c r="I32" s="248">
        <f>E.w2A/1000*(Molweight*3600*24*365)</f>
        <v>0</v>
      </c>
      <c r="J32" s="259">
        <v>0</v>
      </c>
      <c r="K32" s="259">
        <v>0</v>
      </c>
      <c r="L32" s="259">
        <v>0</v>
      </c>
      <c r="M32" s="259">
        <v>0</v>
      </c>
      <c r="N32" s="259">
        <v>0</v>
      </c>
      <c r="O32" s="259">
        <v>0</v>
      </c>
      <c r="P32" s="259">
        <v>0</v>
      </c>
      <c r="Q32" s="259">
        <v>0</v>
      </c>
      <c r="R32" s="259">
        <v>0</v>
      </c>
      <c r="S32" s="259">
        <v>0</v>
      </c>
      <c r="T32" s="259">
        <v>0</v>
      </c>
      <c r="U32" s="259">
        <v>0</v>
      </c>
      <c r="V32" s="259">
        <v>0</v>
      </c>
      <c r="W32" s="259">
        <v>0</v>
      </c>
      <c r="X32" s="259">
        <v>0</v>
      </c>
      <c r="Y32" s="259">
        <v>0</v>
      </c>
      <c r="Z32" s="259">
        <v>0</v>
      </c>
      <c r="AA32" s="259">
        <v>0</v>
      </c>
      <c r="AB32" s="259">
        <v>0</v>
      </c>
      <c r="AC32" s="259">
        <v>0</v>
      </c>
      <c r="AD32" s="259"/>
      <c r="AE32" s="261"/>
      <c r="AF32" s="261"/>
      <c r="AG32" s="104"/>
    </row>
    <row r="33" spans="1:33" x14ac:dyDescent="0.3">
      <c r="A33" s="42"/>
      <c r="B33" s="42" t="s">
        <v>1087</v>
      </c>
      <c r="C33" s="38"/>
      <c r="D33" s="38"/>
      <c r="E33" s="38"/>
      <c r="F33" s="38"/>
      <c r="G33" s="43" t="s">
        <v>1381</v>
      </c>
      <c r="H33" s="380" t="s">
        <v>2412</v>
      </c>
      <c r="I33" s="248">
        <f>E.sA/1000*(Molweight*3600*24*365)</f>
        <v>0</v>
      </c>
      <c r="J33" s="259">
        <v>0</v>
      </c>
      <c r="K33" s="259">
        <v>0</v>
      </c>
      <c r="L33" s="259">
        <v>0</v>
      </c>
      <c r="M33" s="259">
        <v>0</v>
      </c>
      <c r="N33" s="259">
        <v>0</v>
      </c>
      <c r="O33" s="259">
        <v>0</v>
      </c>
      <c r="P33" s="259">
        <v>0</v>
      </c>
      <c r="Q33" s="259">
        <v>0</v>
      </c>
      <c r="R33" s="259">
        <v>0</v>
      </c>
      <c r="S33" s="259">
        <v>0</v>
      </c>
      <c r="T33" s="259">
        <v>0</v>
      </c>
      <c r="U33" s="259">
        <v>0</v>
      </c>
      <c r="V33" s="259">
        <v>0</v>
      </c>
      <c r="W33" s="259">
        <v>0</v>
      </c>
      <c r="X33" s="259">
        <v>0</v>
      </c>
      <c r="Y33" s="259">
        <v>0</v>
      </c>
      <c r="Z33" s="259">
        <v>0</v>
      </c>
      <c r="AA33" s="259">
        <v>0</v>
      </c>
      <c r="AB33" s="259">
        <v>0</v>
      </c>
      <c r="AC33" s="259">
        <v>0</v>
      </c>
      <c r="AD33" s="259"/>
      <c r="AE33" s="261"/>
      <c r="AF33" s="261"/>
      <c r="AG33" s="104"/>
    </row>
    <row r="34" spans="1:33" x14ac:dyDescent="0.3">
      <c r="A34" s="50" t="s">
        <v>48</v>
      </c>
      <c r="B34" s="38"/>
      <c r="C34" s="38"/>
      <c r="D34" s="38"/>
      <c r="E34" s="38"/>
      <c r="F34" s="38"/>
      <c r="G34" s="68"/>
      <c r="H34" s="42"/>
      <c r="I34" s="182"/>
      <c r="J34" s="259"/>
      <c r="K34" s="259"/>
      <c r="L34" s="259"/>
      <c r="M34" s="259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59"/>
      <c r="Z34" s="259"/>
      <c r="AA34" s="259"/>
      <c r="AB34" s="259"/>
      <c r="AC34" s="259"/>
      <c r="AD34" s="259"/>
      <c r="AE34" s="261"/>
      <c r="AF34" s="261"/>
      <c r="AG34" s="104"/>
    </row>
    <row r="35" spans="1:33" x14ac:dyDescent="0.3">
      <c r="A35" s="42"/>
      <c r="B35" s="42" t="s">
        <v>968</v>
      </c>
      <c r="C35" s="38"/>
      <c r="D35" s="38"/>
      <c r="E35" s="38"/>
      <c r="F35" s="38"/>
      <c r="G35" s="43" t="s">
        <v>1383</v>
      </c>
      <c r="H35" s="380" t="s">
        <v>2412</v>
      </c>
      <c r="I35" s="248">
        <f>E.aT/1000*(Molweight*3600*24*365)</f>
        <v>0</v>
      </c>
      <c r="J35" s="262">
        <v>0</v>
      </c>
      <c r="K35" s="262">
        <v>0</v>
      </c>
      <c r="L35" s="262">
        <v>0</v>
      </c>
      <c r="M35" s="262">
        <v>0</v>
      </c>
      <c r="N35" s="262">
        <v>0</v>
      </c>
      <c r="O35" s="262">
        <v>0</v>
      </c>
      <c r="P35" s="262">
        <v>0</v>
      </c>
      <c r="Q35" s="262">
        <v>0</v>
      </c>
      <c r="R35" s="262">
        <v>0</v>
      </c>
      <c r="S35" s="262">
        <v>0</v>
      </c>
      <c r="T35" s="262">
        <v>0</v>
      </c>
      <c r="U35" s="262">
        <v>0</v>
      </c>
      <c r="V35" s="262">
        <v>0</v>
      </c>
      <c r="W35" s="262">
        <v>0</v>
      </c>
      <c r="X35" s="262">
        <v>0</v>
      </c>
      <c r="Y35" s="262">
        <v>0</v>
      </c>
      <c r="Z35" s="262">
        <v>0</v>
      </c>
      <c r="AA35" s="262">
        <v>0</v>
      </c>
      <c r="AB35" s="262">
        <v>0</v>
      </c>
      <c r="AC35" s="262">
        <v>0</v>
      </c>
      <c r="AD35" s="262"/>
      <c r="AE35" s="263"/>
      <c r="AF35" s="263"/>
      <c r="AG35" s="104"/>
    </row>
    <row r="36" spans="1:33" x14ac:dyDescent="0.3">
      <c r="A36" s="42"/>
      <c r="B36" s="42" t="s">
        <v>1242</v>
      </c>
      <c r="C36" s="38"/>
      <c r="D36" s="38"/>
      <c r="E36" s="38"/>
      <c r="F36" s="38"/>
      <c r="G36" s="43" t="s">
        <v>686</v>
      </c>
      <c r="H36" s="380" t="s">
        <v>2412</v>
      </c>
      <c r="I36" s="248">
        <f>E.w2T/1000*(Molweight*3600*24*365)</f>
        <v>0</v>
      </c>
      <c r="J36" s="260">
        <v>0</v>
      </c>
      <c r="K36" s="260">
        <v>0</v>
      </c>
      <c r="L36" s="260">
        <v>0</v>
      </c>
      <c r="M36" s="260">
        <v>0</v>
      </c>
      <c r="N36" s="260">
        <v>0</v>
      </c>
      <c r="O36" s="260">
        <v>0</v>
      </c>
      <c r="P36" s="260">
        <v>0</v>
      </c>
      <c r="Q36" s="260">
        <v>0</v>
      </c>
      <c r="R36" s="260">
        <v>0</v>
      </c>
      <c r="S36" s="260">
        <v>0</v>
      </c>
      <c r="T36" s="260">
        <v>0</v>
      </c>
      <c r="U36" s="260">
        <v>0</v>
      </c>
      <c r="V36" s="260">
        <v>0</v>
      </c>
      <c r="W36" s="260">
        <v>0</v>
      </c>
      <c r="X36" s="260">
        <v>0</v>
      </c>
      <c r="Y36" s="260">
        <v>0</v>
      </c>
      <c r="Z36" s="260">
        <v>0</v>
      </c>
      <c r="AA36" s="260">
        <v>0</v>
      </c>
      <c r="AB36" s="260">
        <v>0</v>
      </c>
      <c r="AC36" s="260">
        <v>0</v>
      </c>
      <c r="AD36" s="260"/>
      <c r="AE36" s="261"/>
      <c r="AF36" s="261"/>
      <c r="AG36" s="104"/>
    </row>
    <row r="37" spans="1:33" x14ac:dyDescent="0.3">
      <c r="A37" s="42"/>
      <c r="B37" s="42" t="s">
        <v>1087</v>
      </c>
      <c r="C37" s="38"/>
      <c r="D37" s="38"/>
      <c r="E37" s="38"/>
      <c r="F37" s="38"/>
      <c r="G37" s="43" t="s">
        <v>1384</v>
      </c>
      <c r="H37" s="380" t="s">
        <v>2412</v>
      </c>
      <c r="I37" s="248">
        <f>E.sT/1000*(Molweight*3600*24*365)</f>
        <v>0</v>
      </c>
      <c r="J37" s="260">
        <v>0</v>
      </c>
      <c r="K37" s="260">
        <v>0</v>
      </c>
      <c r="L37" s="260">
        <v>0</v>
      </c>
      <c r="M37" s="260">
        <v>0</v>
      </c>
      <c r="N37" s="260">
        <v>0</v>
      </c>
      <c r="O37" s="260">
        <v>0</v>
      </c>
      <c r="P37" s="260">
        <v>0</v>
      </c>
      <c r="Q37" s="260">
        <v>0</v>
      </c>
      <c r="R37" s="260">
        <v>0</v>
      </c>
      <c r="S37" s="260">
        <v>0</v>
      </c>
      <c r="T37" s="260">
        <v>0</v>
      </c>
      <c r="U37" s="260">
        <v>0</v>
      </c>
      <c r="V37" s="260">
        <v>0</v>
      </c>
      <c r="W37" s="260">
        <v>0</v>
      </c>
      <c r="X37" s="260">
        <v>0</v>
      </c>
      <c r="Y37" s="260">
        <v>0</v>
      </c>
      <c r="Z37" s="260">
        <v>0</v>
      </c>
      <c r="AA37" s="260">
        <v>0</v>
      </c>
      <c r="AB37" s="260">
        <v>0</v>
      </c>
      <c r="AC37" s="260">
        <v>0</v>
      </c>
      <c r="AD37" s="260"/>
      <c r="AE37" s="261"/>
      <c r="AF37" s="261"/>
      <c r="AG37" s="104"/>
    </row>
    <row r="38" spans="1:33" ht="12.75" customHeight="1" x14ac:dyDescent="0.3">
      <c r="A38" s="42"/>
      <c r="B38" s="38"/>
      <c r="C38" s="38"/>
      <c r="D38" s="38"/>
      <c r="E38" s="38"/>
      <c r="F38" s="38"/>
      <c r="G38" s="42"/>
      <c r="H38" s="42"/>
      <c r="I38" s="160"/>
      <c r="J38" s="259"/>
      <c r="K38" s="259"/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260"/>
      <c r="AB38" s="260"/>
      <c r="AC38" s="259"/>
      <c r="AD38" s="260"/>
      <c r="AE38" s="261"/>
      <c r="AF38" s="261"/>
      <c r="AG38" s="104"/>
    </row>
    <row r="39" spans="1:33" ht="12.75" customHeight="1" x14ac:dyDescent="0.3">
      <c r="A39" s="4" t="s">
        <v>178</v>
      </c>
      <c r="B39" s="38"/>
      <c r="C39" s="38"/>
      <c r="D39" s="38"/>
      <c r="E39" s="38"/>
      <c r="F39" s="38"/>
      <c r="G39" s="43"/>
      <c r="H39" s="69"/>
      <c r="I39" s="187"/>
      <c r="J39" s="260"/>
      <c r="K39" s="259"/>
      <c r="L39" s="259"/>
      <c r="M39" s="260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259"/>
      <c r="AC39" s="260"/>
      <c r="AD39" s="259"/>
      <c r="AE39" s="261"/>
      <c r="AF39" s="261"/>
      <c r="AG39" s="104"/>
    </row>
    <row r="40" spans="1:33" ht="12.75" customHeight="1" x14ac:dyDescent="0.3">
      <c r="A40" s="400" t="s">
        <v>2435</v>
      </c>
      <c r="B40" s="38"/>
      <c r="C40" s="38"/>
      <c r="D40" s="38"/>
      <c r="E40" s="38"/>
      <c r="F40" s="38"/>
      <c r="G40" s="38"/>
      <c r="H40" s="38"/>
      <c r="I40" s="187"/>
      <c r="J40" s="260"/>
      <c r="K40" s="259"/>
      <c r="L40" s="259"/>
      <c r="M40" s="260"/>
      <c r="N40" s="259"/>
      <c r="O40" s="259"/>
      <c r="P40" s="259"/>
      <c r="Q40" s="259"/>
      <c r="R40" s="259"/>
      <c r="S40" s="259"/>
      <c r="T40" s="259"/>
      <c r="U40" s="259"/>
      <c r="V40" s="259"/>
      <c r="W40" s="259"/>
      <c r="X40" s="259"/>
      <c r="Y40" s="259"/>
      <c r="Z40" s="259"/>
      <c r="AA40" s="259"/>
      <c r="AB40" s="259"/>
      <c r="AC40" s="260"/>
      <c r="AD40" s="259"/>
      <c r="AE40" s="261"/>
      <c r="AF40" s="261"/>
      <c r="AG40" s="104"/>
    </row>
    <row r="41" spans="1:33" ht="12.75" customHeight="1" x14ac:dyDescent="0.3">
      <c r="A41" s="384"/>
      <c r="B41" s="384" t="s">
        <v>669</v>
      </c>
      <c r="C41" s="384"/>
      <c r="D41" s="384"/>
      <c r="E41" s="384"/>
      <c r="F41" s="384"/>
      <c r="G41" s="384" t="s">
        <v>2436</v>
      </c>
      <c r="H41" s="397" t="s">
        <v>2394</v>
      </c>
      <c r="I41" s="459">
        <f>AREAland.L*0.000001</f>
        <v>16</v>
      </c>
      <c r="J41" s="260">
        <v>9.9999999999999995E-7</v>
      </c>
      <c r="K41" s="260">
        <v>9.9999999999999995E-7</v>
      </c>
      <c r="L41" s="260">
        <v>9.9999999999999995E-7</v>
      </c>
      <c r="M41" s="260">
        <v>9.9999999999999995E-7</v>
      </c>
      <c r="N41" s="260">
        <v>9.9999999999999995E-7</v>
      </c>
      <c r="O41" s="260">
        <v>9.9999999999999995E-7</v>
      </c>
      <c r="P41" s="260">
        <v>9.9999999999999995E-7</v>
      </c>
      <c r="Q41" s="260">
        <v>9.9999999999999995E-7</v>
      </c>
      <c r="R41" s="260">
        <v>9.9999999999999995E-7</v>
      </c>
      <c r="S41" s="260">
        <v>9.9999999999999995E-7</v>
      </c>
      <c r="T41" s="260">
        <v>9.9999999999999995E-7</v>
      </c>
      <c r="U41" s="260">
        <v>9.9999999999999995E-7</v>
      </c>
      <c r="V41" s="260">
        <v>9.9999999999999995E-7</v>
      </c>
      <c r="W41" s="260">
        <v>9.9999999999999995E-7</v>
      </c>
      <c r="X41" s="260">
        <v>9.9999999999999995E-7</v>
      </c>
      <c r="Y41" s="260">
        <v>9.9999999999999995E-7</v>
      </c>
      <c r="Z41" s="260">
        <v>9.9999999999999995E-7</v>
      </c>
      <c r="AA41" s="260">
        <v>9.9999999999999995E-7</v>
      </c>
      <c r="AB41" s="260">
        <v>9.9999999999999995E-7</v>
      </c>
      <c r="AC41" s="434">
        <v>211.57278906476449</v>
      </c>
      <c r="AD41" s="158">
        <v>211.57278906476449</v>
      </c>
      <c r="AE41" s="464" t="s">
        <v>2468</v>
      </c>
      <c r="AF41" s="261"/>
      <c r="AG41" s="104"/>
    </row>
    <row r="42" spans="1:33" ht="12.75" customHeight="1" x14ac:dyDescent="0.3">
      <c r="A42" s="384"/>
      <c r="B42" s="384" t="s">
        <v>2410</v>
      </c>
      <c r="C42" s="384"/>
      <c r="D42" s="384"/>
      <c r="E42" s="384"/>
      <c r="F42" s="384"/>
      <c r="G42" s="384" t="s">
        <v>2437</v>
      </c>
      <c r="H42" s="384" t="s">
        <v>477</v>
      </c>
      <c r="I42" s="459">
        <f>FRACwater.L</f>
        <v>0.08</v>
      </c>
      <c r="J42" s="260">
        <v>0.03</v>
      </c>
      <c r="K42" s="260">
        <v>0.03</v>
      </c>
      <c r="L42" s="260">
        <v>0.03</v>
      </c>
      <c r="M42" s="260">
        <v>0.03</v>
      </c>
      <c r="N42" s="260">
        <v>0.03</v>
      </c>
      <c r="O42" s="260">
        <v>0.03</v>
      </c>
      <c r="P42" s="260">
        <v>0.03</v>
      </c>
      <c r="Q42" s="260">
        <v>0.03</v>
      </c>
      <c r="R42" s="260">
        <v>0.03</v>
      </c>
      <c r="S42" s="260">
        <v>0.03</v>
      </c>
      <c r="T42" s="260">
        <v>0.03</v>
      </c>
      <c r="U42" s="260">
        <v>0.03</v>
      </c>
      <c r="V42" s="260">
        <v>0.03</v>
      </c>
      <c r="W42" s="260">
        <v>0.03</v>
      </c>
      <c r="X42" s="260">
        <v>0.03</v>
      </c>
      <c r="Y42" s="260">
        <v>0.03</v>
      </c>
      <c r="Z42" s="260">
        <v>0.03</v>
      </c>
      <c r="AA42" s="260">
        <v>0.03</v>
      </c>
      <c r="AB42" s="260">
        <v>0.03</v>
      </c>
      <c r="AC42" s="434">
        <v>7.1671475118442893E-2</v>
      </c>
      <c r="AD42" s="467">
        <v>7.1671475118442893E-2</v>
      </c>
      <c r="AE42" s="464" t="s">
        <v>2460</v>
      </c>
      <c r="AF42" s="261"/>
      <c r="AG42" s="104"/>
    </row>
    <row r="43" spans="1:33" ht="12.75" customHeight="1" x14ac:dyDescent="0.3">
      <c r="A43" s="384"/>
      <c r="B43" s="384" t="s">
        <v>2457</v>
      </c>
      <c r="C43" s="384"/>
      <c r="D43" s="384"/>
      <c r="E43" s="384"/>
      <c r="F43" s="384"/>
      <c r="G43" s="384" t="s">
        <v>2438</v>
      </c>
      <c r="H43" s="384" t="s">
        <v>477</v>
      </c>
      <c r="I43" s="459">
        <f>FRACsoil.L</f>
        <v>0.92</v>
      </c>
      <c r="J43" s="260">
        <v>0.37</v>
      </c>
      <c r="K43" s="260">
        <v>0.37</v>
      </c>
      <c r="L43" s="260">
        <v>0.37</v>
      </c>
      <c r="M43" s="260">
        <v>0.37</v>
      </c>
      <c r="N43" s="260">
        <v>0.37</v>
      </c>
      <c r="O43" s="260">
        <v>0.37</v>
      </c>
      <c r="P43" s="260">
        <v>0.37</v>
      </c>
      <c r="Q43" s="260">
        <v>0.37</v>
      </c>
      <c r="R43" s="260">
        <v>0.37</v>
      </c>
      <c r="S43" s="260">
        <v>0.37</v>
      </c>
      <c r="T43" s="260">
        <v>0.37</v>
      </c>
      <c r="U43" s="260">
        <v>0.37</v>
      </c>
      <c r="V43" s="260">
        <v>0.37</v>
      </c>
      <c r="W43" s="260">
        <v>0.37</v>
      </c>
      <c r="X43" s="260">
        <v>0.37</v>
      </c>
      <c r="Y43" s="260">
        <v>0.37</v>
      </c>
      <c r="Z43" s="260">
        <v>0.37</v>
      </c>
      <c r="AA43" s="260">
        <v>0.37</v>
      </c>
      <c r="AB43" s="260">
        <v>0.37</v>
      </c>
      <c r="AC43" s="434">
        <v>0.64619051900524727</v>
      </c>
      <c r="AD43" s="467">
        <v>0.64619051900524727</v>
      </c>
      <c r="AE43" s="464" t="s">
        <v>2469</v>
      </c>
      <c r="AF43" s="261"/>
      <c r="AG43" s="104"/>
    </row>
    <row r="44" spans="1:33" ht="12.75" customHeight="1" x14ac:dyDescent="0.3">
      <c r="A44" s="384"/>
      <c r="B44" s="384" t="s">
        <v>2411</v>
      </c>
      <c r="C44" s="384"/>
      <c r="D44" s="384"/>
      <c r="E44" s="384"/>
      <c r="F44" s="384"/>
      <c r="G44" s="384" t="s">
        <v>2439</v>
      </c>
      <c r="H44" s="384" t="s">
        <v>713</v>
      </c>
      <c r="I44" s="459">
        <f ca="1">DEPTHwater.L</f>
        <v>2.4994320664324232</v>
      </c>
      <c r="J44" s="260">
        <v>3</v>
      </c>
      <c r="K44" s="260">
        <v>3</v>
      </c>
      <c r="L44" s="260">
        <v>3</v>
      </c>
      <c r="M44" s="260">
        <v>3</v>
      </c>
      <c r="N44" s="260">
        <v>3</v>
      </c>
      <c r="O44" s="260">
        <v>3</v>
      </c>
      <c r="P44" s="260">
        <v>3</v>
      </c>
      <c r="Q44" s="260">
        <v>3</v>
      </c>
      <c r="R44" s="260">
        <v>3</v>
      </c>
      <c r="S44" s="260">
        <v>3</v>
      </c>
      <c r="T44" s="260">
        <v>3</v>
      </c>
      <c r="U44" s="260">
        <v>3</v>
      </c>
      <c r="V44" s="260">
        <v>3</v>
      </c>
      <c r="W44" s="260">
        <v>3</v>
      </c>
      <c r="X44" s="260">
        <v>3</v>
      </c>
      <c r="Y44" s="260">
        <v>3</v>
      </c>
      <c r="Z44" s="260">
        <v>3</v>
      </c>
      <c r="AA44" s="260">
        <v>3</v>
      </c>
      <c r="AB44" s="260">
        <v>3</v>
      </c>
      <c r="AC44" s="434">
        <v>1.0119887556793647</v>
      </c>
      <c r="AD44" s="469">
        <v>1.0119887556793647</v>
      </c>
      <c r="AE44" s="464" t="s">
        <v>2467</v>
      </c>
      <c r="AF44" s="261"/>
      <c r="AG44" s="104"/>
    </row>
    <row r="45" spans="1:33" ht="12.75" customHeight="1" x14ac:dyDescent="0.3">
      <c r="A45" s="384"/>
      <c r="B45" s="384" t="s">
        <v>952</v>
      </c>
      <c r="C45" s="384"/>
      <c r="D45" s="384"/>
      <c r="E45" s="384"/>
      <c r="F45" s="384"/>
      <c r="G45" s="384" t="s">
        <v>2440</v>
      </c>
      <c r="H45" s="384" t="s">
        <v>477</v>
      </c>
      <c r="I45" s="459">
        <f>FRACrun.L</f>
        <v>0.25</v>
      </c>
      <c r="J45" s="260">
        <v>0.25</v>
      </c>
      <c r="K45" s="260">
        <v>0.25</v>
      </c>
      <c r="L45" s="260">
        <v>0.25</v>
      </c>
      <c r="M45" s="260">
        <v>0.25</v>
      </c>
      <c r="N45" s="260">
        <v>0.25</v>
      </c>
      <c r="O45" s="260">
        <v>0.25</v>
      </c>
      <c r="P45" s="260">
        <v>0.25</v>
      </c>
      <c r="Q45" s="260">
        <v>0.25</v>
      </c>
      <c r="R45" s="260">
        <v>0.25</v>
      </c>
      <c r="S45" s="260">
        <v>0.25</v>
      </c>
      <c r="T45" s="260">
        <v>0.25</v>
      </c>
      <c r="U45" s="260">
        <v>0.25</v>
      </c>
      <c r="V45" s="260">
        <v>0.25</v>
      </c>
      <c r="W45" s="260">
        <v>0.25</v>
      </c>
      <c r="X45" s="260">
        <v>0.25</v>
      </c>
      <c r="Y45" s="260">
        <v>0.25</v>
      </c>
      <c r="Z45" s="260">
        <v>0.25</v>
      </c>
      <c r="AA45" s="260">
        <v>0.25</v>
      </c>
      <c r="AB45" s="260">
        <v>0.25</v>
      </c>
      <c r="AC45" s="434">
        <v>0.40265513681891907</v>
      </c>
      <c r="AD45" s="470">
        <v>0.40265513681891907</v>
      </c>
      <c r="AE45" s="464" t="s">
        <v>2466</v>
      </c>
      <c r="AF45" s="261"/>
      <c r="AG45" s="104"/>
    </row>
    <row r="46" spans="1:33" ht="12.75" customHeight="1" x14ac:dyDescent="0.3">
      <c r="A46" s="3" t="s">
        <v>1372</v>
      </c>
      <c r="B46" s="38"/>
      <c r="C46" s="38"/>
      <c r="D46" s="38"/>
      <c r="E46" s="38"/>
      <c r="F46" s="38"/>
      <c r="G46" s="38"/>
      <c r="H46" s="38"/>
      <c r="I46" s="186"/>
      <c r="J46" s="260"/>
      <c r="K46" s="259"/>
      <c r="L46" s="259"/>
      <c r="M46" s="260"/>
      <c r="N46" s="259"/>
      <c r="O46" s="259"/>
      <c r="P46" s="259"/>
      <c r="Q46" s="259"/>
      <c r="R46" s="259"/>
      <c r="S46" s="259"/>
      <c r="T46" s="259"/>
      <c r="U46" s="259"/>
      <c r="V46" s="259"/>
      <c r="W46" s="259"/>
      <c r="X46" s="259"/>
      <c r="Y46" s="259"/>
      <c r="Z46" s="259"/>
      <c r="AA46" s="259"/>
      <c r="AB46" s="259"/>
      <c r="AC46" s="260"/>
      <c r="AD46" s="59"/>
      <c r="AE46" s="261"/>
      <c r="AF46" s="261"/>
      <c r="AG46" s="104"/>
    </row>
    <row r="47" spans="1:33" ht="12.75" customHeight="1" x14ac:dyDescent="0.3">
      <c r="A47" s="38"/>
      <c r="B47" s="38" t="s">
        <v>669</v>
      </c>
      <c r="C47" s="38"/>
      <c r="D47" s="38"/>
      <c r="E47" s="38"/>
      <c r="F47" s="38"/>
      <c r="G47" s="38" t="s">
        <v>1393</v>
      </c>
      <c r="H47" s="64" t="s">
        <v>807</v>
      </c>
      <c r="I47" s="248">
        <f>AREAland.R*0.000001</f>
        <v>220</v>
      </c>
      <c r="J47" s="260">
        <v>228570</v>
      </c>
      <c r="K47" s="259">
        <v>40000</v>
      </c>
      <c r="L47" s="259">
        <v>280401</v>
      </c>
      <c r="M47" s="260">
        <v>183816</v>
      </c>
      <c r="N47" s="260">
        <v>780546</v>
      </c>
      <c r="O47" s="260">
        <v>1347817</v>
      </c>
      <c r="P47" s="260">
        <v>735603</v>
      </c>
      <c r="Q47" s="260">
        <v>474176</v>
      </c>
      <c r="R47" s="260">
        <v>1139633</v>
      </c>
      <c r="S47" s="260">
        <v>2236756</v>
      </c>
      <c r="T47" s="260">
        <v>845990</v>
      </c>
      <c r="U47" s="260">
        <v>405212</v>
      </c>
      <c r="V47" s="260">
        <v>133852</v>
      </c>
      <c r="W47" s="260">
        <v>1542056</v>
      </c>
      <c r="X47" s="260">
        <v>1076395</v>
      </c>
      <c r="Y47" s="260">
        <v>647797</v>
      </c>
      <c r="Z47" s="260">
        <v>651036</v>
      </c>
      <c r="AA47" s="260">
        <v>661848</v>
      </c>
      <c r="AB47" s="260">
        <v>944735</v>
      </c>
      <c r="AC47" s="434">
        <v>467152.71825500001</v>
      </c>
      <c r="AD47" s="434">
        <v>467152.71825500001</v>
      </c>
      <c r="AE47" s="464" t="s">
        <v>2464</v>
      </c>
      <c r="AF47" s="465"/>
      <c r="AG47" s="104"/>
    </row>
    <row r="48" spans="1:33" ht="12.75" customHeight="1" x14ac:dyDescent="0.3">
      <c r="A48" s="38"/>
      <c r="B48" s="38" t="s">
        <v>670</v>
      </c>
      <c r="C48" s="38"/>
      <c r="D48" s="38"/>
      <c r="E48" s="38"/>
      <c r="F48" s="38"/>
      <c r="G48" s="38" t="s">
        <v>1394</v>
      </c>
      <c r="H48" s="64" t="s">
        <v>807</v>
      </c>
      <c r="I48" s="248">
        <f>AREAsea.R*0.000001</f>
        <v>9.9999999999999995E-21</v>
      </c>
      <c r="J48" s="260">
        <v>1000</v>
      </c>
      <c r="K48" s="259">
        <v>400</v>
      </c>
      <c r="L48" s="259">
        <v>1528.22818010318</v>
      </c>
      <c r="M48" s="260">
        <v>1027.867343304843</v>
      </c>
      <c r="N48" s="260">
        <v>0</v>
      </c>
      <c r="O48" s="260">
        <v>0</v>
      </c>
      <c r="P48" s="260">
        <v>4374.2355624855627</v>
      </c>
      <c r="Q48" s="260">
        <v>147.27650727650723</v>
      </c>
      <c r="R48" s="260">
        <v>12482.598298235805</v>
      </c>
      <c r="S48" s="260">
        <v>0</v>
      </c>
      <c r="T48" s="260">
        <v>4941.1541300916297</v>
      </c>
      <c r="U48" s="260">
        <v>3871.8359717213675</v>
      </c>
      <c r="V48" s="260">
        <v>1344.8821206612297</v>
      </c>
      <c r="W48" s="260">
        <v>14874.209665216042</v>
      </c>
      <c r="X48" s="260">
        <v>3161.9058682726481</v>
      </c>
      <c r="Y48" s="260">
        <v>2685.5525674602077</v>
      </c>
      <c r="Z48" s="260">
        <v>0</v>
      </c>
      <c r="AA48" s="260">
        <v>0</v>
      </c>
      <c r="AB48" s="260">
        <v>5413.826223902367</v>
      </c>
      <c r="AC48" s="434">
        <v>467152.71825500001</v>
      </c>
      <c r="AD48" s="434">
        <f>AD47</f>
        <v>467152.71825500001</v>
      </c>
      <c r="AE48" s="464" t="s">
        <v>2465</v>
      </c>
      <c r="AF48" s="460"/>
      <c r="AG48" s="104"/>
    </row>
    <row r="49" spans="1:33" ht="12.75" customHeight="1" x14ac:dyDescent="0.3">
      <c r="A49" s="38"/>
      <c r="B49" s="38" t="s">
        <v>302</v>
      </c>
      <c r="C49" s="38"/>
      <c r="D49" s="38"/>
      <c r="E49" s="38"/>
      <c r="F49" s="38"/>
      <c r="G49" s="38" t="s">
        <v>303</v>
      </c>
      <c r="H49" s="38" t="s">
        <v>477</v>
      </c>
      <c r="I49" s="248">
        <f>FRAClake.R</f>
        <v>9.9999999999999995E-21</v>
      </c>
      <c r="J49" s="260">
        <v>2.5000000000000001E-3</v>
      </c>
      <c r="K49" s="259">
        <v>1E-10</v>
      </c>
      <c r="L49" s="259"/>
      <c r="M49" s="260"/>
      <c r="N49" s="260"/>
      <c r="O49" s="260"/>
      <c r="P49" s="260"/>
      <c r="Q49" s="260"/>
      <c r="R49" s="260"/>
      <c r="S49" s="260"/>
      <c r="T49" s="260"/>
      <c r="U49" s="260"/>
      <c r="V49" s="260"/>
      <c r="W49" s="260"/>
      <c r="X49" s="260"/>
      <c r="Y49" s="260"/>
      <c r="Z49" s="260"/>
      <c r="AA49" s="260"/>
      <c r="AB49" s="260"/>
      <c r="AC49" s="467">
        <v>1.7917868779610723E-2</v>
      </c>
      <c r="AD49" s="467">
        <f>AD50/4</f>
        <v>1.7917868779610723E-2</v>
      </c>
      <c r="AE49" s="464" t="s">
        <v>2459</v>
      </c>
      <c r="AF49" s="462"/>
      <c r="AG49" s="104"/>
    </row>
    <row r="50" spans="1:33" ht="12.75" customHeight="1" x14ac:dyDescent="0.3">
      <c r="A50" s="38"/>
      <c r="B50" s="38" t="s">
        <v>671</v>
      </c>
      <c r="C50" s="38"/>
      <c r="D50" s="38"/>
      <c r="E50" s="38"/>
      <c r="F50" s="38"/>
      <c r="G50" s="38" t="s">
        <v>675</v>
      </c>
      <c r="H50" s="38" t="s">
        <v>477</v>
      </c>
      <c r="I50" s="248">
        <f>FRACfresh.R</f>
        <v>0.24</v>
      </c>
      <c r="J50" s="260">
        <f>0.03-J49</f>
        <v>2.75E-2</v>
      </c>
      <c r="K50" s="259">
        <v>0.03</v>
      </c>
      <c r="L50" s="259">
        <v>8.1287156607858027E-2</v>
      </c>
      <c r="M50" s="260">
        <v>8.5679845603865989E-2</v>
      </c>
      <c r="N50" s="260">
        <v>0.19325974948350247</v>
      </c>
      <c r="O50" s="260">
        <v>2.3852644683959322E-2</v>
      </c>
      <c r="P50" s="260">
        <v>6.3097665062926411E-2</v>
      </c>
      <c r="Q50" s="260">
        <v>2.4383351329464165E-2</v>
      </c>
      <c r="R50" s="260">
        <v>3.1314467025788127E-2</v>
      </c>
      <c r="S50" s="260">
        <v>8.6746162746405963E-3</v>
      </c>
      <c r="T50" s="260">
        <v>2.4736699015354791E-2</v>
      </c>
      <c r="U50" s="260">
        <v>7.7342230733541947E-2</v>
      </c>
      <c r="V50" s="260">
        <v>2.5431073125541642E-2</v>
      </c>
      <c r="W50" s="260">
        <v>0.11473513283564281</v>
      </c>
      <c r="X50" s="260">
        <v>0.14739384705428768</v>
      </c>
      <c r="Y50" s="260">
        <v>0.1454792164829414</v>
      </c>
      <c r="Z50" s="260">
        <v>9.1186969691384193E-2</v>
      </c>
      <c r="AA50" s="260">
        <v>2.9509796811352455E-2</v>
      </c>
      <c r="AB50" s="260">
        <v>2.0692575166581104E-2</v>
      </c>
      <c r="AC50" s="467">
        <v>7.1671475118442893E-2</v>
      </c>
      <c r="AD50" s="467">
        <v>7.1671475118442893E-2</v>
      </c>
      <c r="AE50" s="464" t="s">
        <v>2460</v>
      </c>
      <c r="AF50" s="462"/>
      <c r="AG50" s="104"/>
    </row>
    <row r="51" spans="1:33" ht="12.75" customHeight="1" x14ac:dyDescent="0.3">
      <c r="A51" s="38"/>
      <c r="B51" s="38" t="s">
        <v>672</v>
      </c>
      <c r="C51" s="38"/>
      <c r="D51" s="38"/>
      <c r="E51" s="38"/>
      <c r="F51" s="38"/>
      <c r="G51" s="38" t="s">
        <v>676</v>
      </c>
      <c r="H51" s="38" t="s">
        <v>477</v>
      </c>
      <c r="I51" s="248">
        <f>FRACnatsoil.R</f>
        <v>9.9999999999999995E-21</v>
      </c>
      <c r="J51" s="260">
        <v>0.27</v>
      </c>
      <c r="K51" s="259">
        <v>0.27</v>
      </c>
      <c r="L51" s="259">
        <v>0.5843037389452963</v>
      </c>
      <c r="M51" s="260">
        <v>0.7444324519845934</v>
      </c>
      <c r="N51" s="260">
        <v>0.33423119465220502</v>
      </c>
      <c r="O51" s="260">
        <v>0.15195191614366049</v>
      </c>
      <c r="P51" s="260">
        <v>0.59666542071334672</v>
      </c>
      <c r="Q51" s="260">
        <v>0.55708800597879282</v>
      </c>
      <c r="R51" s="260">
        <v>0.28470275990867239</v>
      </c>
      <c r="S51" s="260">
        <v>0.57649809712190336</v>
      </c>
      <c r="T51" s="260">
        <v>0.66110335138713217</v>
      </c>
      <c r="U51" s="260">
        <v>0.91985429849066658</v>
      </c>
      <c r="V51" s="260">
        <v>0.88245226070585425</v>
      </c>
      <c r="W51" s="260">
        <v>0.85824379918757809</v>
      </c>
      <c r="X51" s="260">
        <v>0.79472126867924875</v>
      </c>
      <c r="Y51" s="260">
        <v>0.73579994967559281</v>
      </c>
      <c r="Z51" s="260">
        <v>0.50409040360287294</v>
      </c>
      <c r="AA51" s="260">
        <v>0.64715010092951852</v>
      </c>
      <c r="AB51" s="260">
        <v>0.94737042662757276</v>
      </c>
      <c r="AC51" s="461">
        <v>0.28213800587630988</v>
      </c>
      <c r="AD51" s="467">
        <v>0.28213800587630988</v>
      </c>
      <c r="AE51" s="464" t="s">
        <v>2461</v>
      </c>
      <c r="AF51" s="461"/>
      <c r="AG51" s="104"/>
    </row>
    <row r="52" spans="1:33" ht="12.75" customHeight="1" x14ac:dyDescent="0.3">
      <c r="A52" s="38"/>
      <c r="B52" s="38" t="s">
        <v>673</v>
      </c>
      <c r="C52" s="38"/>
      <c r="D52" s="38"/>
      <c r="E52" s="38"/>
      <c r="F52" s="38"/>
      <c r="G52" s="38" t="s">
        <v>1411</v>
      </c>
      <c r="H52" s="38" t="s">
        <v>477</v>
      </c>
      <c r="I52" s="248">
        <f>FRACagsoil.R</f>
        <v>0.18</v>
      </c>
      <c r="J52" s="260">
        <v>0.6</v>
      </c>
      <c r="K52" s="259">
        <v>0.6</v>
      </c>
      <c r="L52" s="259">
        <v>0.2314964744062967</v>
      </c>
      <c r="M52" s="260">
        <v>8.8283722472472487E-2</v>
      </c>
      <c r="N52" s="260">
        <v>0.42566136179033653</v>
      </c>
      <c r="O52" s="260">
        <v>0.79627332167497511</v>
      </c>
      <c r="P52" s="260">
        <v>0.26902023197295288</v>
      </c>
      <c r="Q52" s="260">
        <v>0.3844809282840127</v>
      </c>
      <c r="R52" s="260">
        <v>0.65942660145853971</v>
      </c>
      <c r="S52" s="260">
        <v>0.40816903980586167</v>
      </c>
      <c r="T52" s="260">
        <v>0.28031863000744695</v>
      </c>
      <c r="U52" s="260">
        <v>1.0019446610663061E-3</v>
      </c>
      <c r="V52" s="260">
        <v>7.8937931446672438E-2</v>
      </c>
      <c r="W52" s="260">
        <v>2.2158728347089859E-2</v>
      </c>
      <c r="X52" s="260">
        <v>5.0783402003911203E-2</v>
      </c>
      <c r="Y52" s="260">
        <v>0.11734849034496918</v>
      </c>
      <c r="Z52" s="260">
        <v>0.40344619959572126</v>
      </c>
      <c r="AA52" s="260">
        <v>0.31831477922423274</v>
      </c>
      <c r="AB52" s="260">
        <v>2.7384398799663399E-2</v>
      </c>
      <c r="AC52" s="461">
        <v>0.55631126254240959</v>
      </c>
      <c r="AD52" s="467">
        <v>0.55631126254240959</v>
      </c>
      <c r="AE52" s="464" t="s">
        <v>2462</v>
      </c>
      <c r="AF52" s="466"/>
      <c r="AG52" s="104"/>
    </row>
    <row r="53" spans="1:33" ht="12.75" customHeight="1" x14ac:dyDescent="0.3">
      <c r="A53" s="38"/>
      <c r="B53" s="38" t="s">
        <v>674</v>
      </c>
      <c r="C53" s="38"/>
      <c r="D53" s="38"/>
      <c r="E53" s="38"/>
      <c r="F53" s="38"/>
      <c r="G53" s="38" t="s">
        <v>1412</v>
      </c>
      <c r="H53" s="38" t="s">
        <v>477</v>
      </c>
      <c r="I53" s="248">
        <f>FRACothersoil.R</f>
        <v>0.57999999999999996</v>
      </c>
      <c r="J53" s="260">
        <v>0.1</v>
      </c>
      <c r="K53" s="259">
        <v>0.1</v>
      </c>
      <c r="L53" s="259">
        <v>0.10291263004054907</v>
      </c>
      <c r="M53" s="260">
        <v>8.495693343343344E-2</v>
      </c>
      <c r="N53" s="260">
        <v>4.8214845299316113E-2</v>
      </c>
      <c r="O53" s="260">
        <v>2.7922117497405058E-2</v>
      </c>
      <c r="P53" s="260">
        <v>7.1225969479461068E-2</v>
      </c>
      <c r="Q53" s="260">
        <v>3.4047714407730453E-2</v>
      </c>
      <c r="R53" s="260">
        <v>2.4626369644438165E-2</v>
      </c>
      <c r="S53" s="260">
        <v>6.658246797594373E-3</v>
      </c>
      <c r="T53" s="260">
        <v>3.3841319590066081E-2</v>
      </c>
      <c r="U53" s="260">
        <v>1.8015261147251314E-3</v>
      </c>
      <c r="V53" s="260">
        <v>1.3178734721931686E-2</v>
      </c>
      <c r="W53" s="260">
        <v>4.8623396296891943E-3</v>
      </c>
      <c r="X53" s="260">
        <v>7.1014822625523159E-3</v>
      </c>
      <c r="Y53" s="260">
        <v>1.3723434964965876E-3</v>
      </c>
      <c r="Z53" s="260">
        <v>1.2764271100215655E-3</v>
      </c>
      <c r="AA53" s="260">
        <v>5.0253230348962299E-3</v>
      </c>
      <c r="AB53" s="260">
        <v>4.5525994061826865E-3</v>
      </c>
      <c r="AC53" s="461">
        <v>7.196138768322681E-2</v>
      </c>
      <c r="AD53" s="467">
        <v>7.196138768322681E-2</v>
      </c>
      <c r="AE53" s="464" t="s">
        <v>2463</v>
      </c>
      <c r="AF53" s="466"/>
      <c r="AG53" s="104"/>
    </row>
    <row r="54" spans="1:33" ht="12.75" customHeight="1" x14ac:dyDescent="0.3">
      <c r="A54" s="38"/>
      <c r="B54" s="38" t="s">
        <v>949</v>
      </c>
      <c r="C54" s="38"/>
      <c r="D54" s="38"/>
      <c r="E54" s="38"/>
      <c r="F54" s="38"/>
      <c r="G54" s="38" t="s">
        <v>102</v>
      </c>
      <c r="H54" s="38" t="s">
        <v>808</v>
      </c>
      <c r="I54" s="248">
        <f ca="1">TEMP.R-273</f>
        <v>26.144339001823425</v>
      </c>
      <c r="J54" s="260">
        <v>12</v>
      </c>
      <c r="K54" s="259">
        <v>12</v>
      </c>
      <c r="L54" s="259">
        <v>11.422808763164198</v>
      </c>
      <c r="M54" s="260">
        <v>6.4826402489446195</v>
      </c>
      <c r="N54" s="260">
        <v>8.5061790080276865</v>
      </c>
      <c r="O54" s="260">
        <v>9.1864852572715563</v>
      </c>
      <c r="P54" s="260">
        <v>16.827219301715729</v>
      </c>
      <c r="Q54" s="260">
        <v>15.941989894047765</v>
      </c>
      <c r="R54" s="260">
        <v>18.273647744493189</v>
      </c>
      <c r="S54" s="260">
        <v>10.863019032920874</v>
      </c>
      <c r="T54" s="260">
        <v>13.215630208394884</v>
      </c>
      <c r="U54" s="260">
        <v>-0.31359347105330271</v>
      </c>
      <c r="V54" s="260">
        <v>5.5</v>
      </c>
      <c r="W54" s="260">
        <v>-1.1484865825743922</v>
      </c>
      <c r="X54" s="260">
        <v>0.51163579947638904</v>
      </c>
      <c r="Y54" s="260">
        <v>-2.1509263973095138</v>
      </c>
      <c r="Z54" s="260">
        <v>0.20677966101694914</v>
      </c>
      <c r="AA54" s="260">
        <v>2.3945457331086257</v>
      </c>
      <c r="AB54" s="260">
        <v>4.7365410875525304</v>
      </c>
      <c r="AC54" s="260">
        <v>12</v>
      </c>
      <c r="AD54" s="463"/>
      <c r="AE54" s="261"/>
      <c r="AF54" s="261"/>
      <c r="AG54" s="104"/>
    </row>
    <row r="55" spans="1:33" ht="12.75" customHeight="1" x14ac:dyDescent="0.3">
      <c r="A55" s="38"/>
      <c r="B55" s="38" t="s">
        <v>950</v>
      </c>
      <c r="C55" s="38"/>
      <c r="D55" s="38"/>
      <c r="E55" s="38"/>
      <c r="F55" s="38"/>
      <c r="G55" s="38" t="s">
        <v>101</v>
      </c>
      <c r="H55" s="38" t="s">
        <v>269</v>
      </c>
      <c r="I55" s="248">
        <f ca="1">WINDspeed.R</f>
        <v>1.3489437362390282</v>
      </c>
      <c r="J55" s="260">
        <v>3</v>
      </c>
      <c r="K55" s="259">
        <v>3</v>
      </c>
      <c r="L55" s="259">
        <v>3.2031848263023321</v>
      </c>
      <c r="M55" s="260">
        <v>3.9158281081081081</v>
      </c>
      <c r="N55" s="260">
        <v>3.3028696355627987</v>
      </c>
      <c r="O55" s="260">
        <v>3.4710797445053743</v>
      </c>
      <c r="P55" s="260">
        <v>2.6731022663039714</v>
      </c>
      <c r="Q55" s="260">
        <v>2.4483716432716962</v>
      </c>
      <c r="R55" s="260">
        <v>3.3647209294922131</v>
      </c>
      <c r="S55" s="260">
        <v>3.2308838056542606</v>
      </c>
      <c r="T55" s="260">
        <v>2.4551684081372129</v>
      </c>
      <c r="U55" s="260">
        <v>4.6407308226359492</v>
      </c>
      <c r="V55" s="260">
        <v>4.4722222222222223</v>
      </c>
      <c r="W55" s="260">
        <v>4.1667968771138062</v>
      </c>
      <c r="X55" s="260">
        <v>3.7364222071387783</v>
      </c>
      <c r="Y55" s="260">
        <v>4.1464773075940755</v>
      </c>
      <c r="Z55" s="260">
        <v>3.9515836329395655</v>
      </c>
      <c r="AA55" s="260">
        <v>3.651779786527757</v>
      </c>
      <c r="AB55" s="260">
        <v>3.4511432909796387</v>
      </c>
      <c r="AC55" s="260">
        <v>3</v>
      </c>
      <c r="AD55" s="463"/>
      <c r="AE55" s="261"/>
      <c r="AF55" s="261"/>
      <c r="AG55" s="104"/>
    </row>
    <row r="56" spans="1:33" ht="12.75" customHeight="1" x14ac:dyDescent="0.3">
      <c r="A56" s="38"/>
      <c r="B56" s="38" t="s">
        <v>953</v>
      </c>
      <c r="C56" s="38"/>
      <c r="D56" s="38"/>
      <c r="E56" s="38"/>
      <c r="F56" s="38"/>
      <c r="G56" s="38" t="s">
        <v>114</v>
      </c>
      <c r="H56" s="38" t="s">
        <v>809</v>
      </c>
      <c r="I56" s="248">
        <f ca="1">RAINrate.R*1000*(3600*24*365)</f>
        <v>1510.6734618231249</v>
      </c>
      <c r="J56" s="260">
        <v>700</v>
      </c>
      <c r="K56" s="259">
        <v>700</v>
      </c>
      <c r="L56" s="259">
        <v>1022</v>
      </c>
      <c r="M56" s="260">
        <v>1131.5</v>
      </c>
      <c r="N56" s="260">
        <v>1168</v>
      </c>
      <c r="O56" s="260">
        <v>1131.5</v>
      </c>
      <c r="P56" s="260">
        <v>1131.5</v>
      </c>
      <c r="Q56" s="260">
        <v>1350.5</v>
      </c>
      <c r="R56" s="260">
        <v>876</v>
      </c>
      <c r="S56" s="260">
        <v>306.60000000000002</v>
      </c>
      <c r="T56" s="260">
        <v>693.5</v>
      </c>
      <c r="U56" s="260">
        <v>1030.8158530986993</v>
      </c>
      <c r="V56" s="260">
        <v>1235.1600000000001</v>
      </c>
      <c r="W56" s="260">
        <v>876.51046315686949</v>
      </c>
      <c r="X56" s="260">
        <v>741.05709686803061</v>
      </c>
      <c r="Y56" s="260">
        <v>491.49828666635807</v>
      </c>
      <c r="Z56" s="260">
        <v>424.38623112480741</v>
      </c>
      <c r="AA56" s="260">
        <v>447.97730044430824</v>
      </c>
      <c r="AB56" s="260">
        <v>748.23923572812248</v>
      </c>
      <c r="AC56" s="260">
        <v>700</v>
      </c>
      <c r="AD56" s="463"/>
      <c r="AE56" s="261"/>
      <c r="AF56" s="261"/>
      <c r="AG56" s="104"/>
    </row>
    <row r="57" spans="1:33" ht="12.75" customHeight="1" x14ac:dyDescent="0.3">
      <c r="A57" s="38"/>
      <c r="B57" s="38" t="s">
        <v>305</v>
      </c>
      <c r="C57" s="38"/>
      <c r="D57" s="38"/>
      <c r="E57" s="38"/>
      <c r="F57" s="38"/>
      <c r="G57" s="38" t="s">
        <v>306</v>
      </c>
      <c r="H57" s="38" t="s">
        <v>714</v>
      </c>
      <c r="I57" s="248">
        <f>DEPTHlake.R</f>
        <v>100</v>
      </c>
      <c r="J57" s="260">
        <v>100</v>
      </c>
      <c r="K57" s="259">
        <v>1E-10</v>
      </c>
      <c r="L57" s="259"/>
      <c r="M57" s="260"/>
      <c r="N57" s="260"/>
      <c r="O57" s="260"/>
      <c r="P57" s="260"/>
      <c r="Q57" s="260"/>
      <c r="R57" s="260"/>
      <c r="S57" s="260"/>
      <c r="T57" s="260"/>
      <c r="U57" s="260"/>
      <c r="V57" s="260"/>
      <c r="W57" s="260"/>
      <c r="X57" s="260"/>
      <c r="Y57" s="260"/>
      <c r="Z57" s="260"/>
      <c r="AA57" s="260"/>
      <c r="AB57" s="260"/>
      <c r="AC57" s="260">
        <v>100</v>
      </c>
      <c r="AD57" s="469"/>
      <c r="AE57" s="464"/>
      <c r="AF57" s="261"/>
      <c r="AG57" s="104"/>
    </row>
    <row r="58" spans="1:33" ht="12.75" customHeight="1" x14ac:dyDescent="0.3">
      <c r="A58" s="38"/>
      <c r="B58" s="38" t="s">
        <v>954</v>
      </c>
      <c r="C58" s="38"/>
      <c r="D58" s="38"/>
      <c r="E58" s="38"/>
      <c r="F58" s="38"/>
      <c r="G58" s="38" t="s">
        <v>1413</v>
      </c>
      <c r="H58" s="38" t="s">
        <v>714</v>
      </c>
      <c r="I58" s="248">
        <f ca="1">DEPTHfreshwater.R</f>
        <v>2.216512663873031</v>
      </c>
      <c r="J58" s="260">
        <v>3</v>
      </c>
      <c r="K58" s="259">
        <v>3</v>
      </c>
      <c r="L58" s="259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434">
        <v>1.0119887556793647</v>
      </c>
      <c r="AD58" s="469">
        <v>1.0119887556793647</v>
      </c>
      <c r="AE58" s="464" t="s">
        <v>2467</v>
      </c>
      <c r="AF58" s="261"/>
      <c r="AG58" s="104"/>
    </row>
    <row r="59" spans="1:33" ht="12.75" customHeight="1" x14ac:dyDescent="0.3">
      <c r="A59" s="38"/>
      <c r="B59" s="38" t="s">
        <v>4</v>
      </c>
      <c r="C59" s="38"/>
      <c r="D59" s="38"/>
      <c r="E59" s="38"/>
      <c r="F59" s="38"/>
      <c r="G59" s="38" t="s">
        <v>5</v>
      </c>
      <c r="H59" s="38" t="s">
        <v>477</v>
      </c>
      <c r="I59" s="248">
        <f>FRAC.w1R.w1C</f>
        <v>0</v>
      </c>
      <c r="J59" s="260">
        <v>0</v>
      </c>
      <c r="K59" s="259">
        <v>0</v>
      </c>
      <c r="L59" s="259">
        <v>0.4624588267553017</v>
      </c>
      <c r="M59" s="260">
        <v>0</v>
      </c>
      <c r="N59" s="260">
        <v>1</v>
      </c>
      <c r="O59" s="260">
        <v>1</v>
      </c>
      <c r="P59" s="260">
        <v>0</v>
      </c>
      <c r="Q59" s="260">
        <v>0.97993020168682365</v>
      </c>
      <c r="R59" s="260">
        <v>0</v>
      </c>
      <c r="S59" s="260">
        <v>1</v>
      </c>
      <c r="T59" s="260">
        <v>0</v>
      </c>
      <c r="U59" s="260">
        <v>0</v>
      </c>
      <c r="V59" s="260">
        <v>0</v>
      </c>
      <c r="W59" s="260">
        <v>0</v>
      </c>
      <c r="X59" s="260">
        <v>0.38678002745658252</v>
      </c>
      <c r="Y59" s="260">
        <v>1.8544979672486669E-3</v>
      </c>
      <c r="Z59" s="260">
        <v>1</v>
      </c>
      <c r="AA59" s="260">
        <v>1</v>
      </c>
      <c r="AB59" s="260">
        <v>0.30716113220259167</v>
      </c>
      <c r="AC59" s="260">
        <v>0</v>
      </c>
      <c r="AD59" s="463"/>
      <c r="AE59" s="261"/>
      <c r="AF59" s="261"/>
      <c r="AG59" s="104"/>
    </row>
    <row r="60" spans="1:33" ht="12.75" customHeight="1" x14ac:dyDescent="0.3">
      <c r="A60" s="38"/>
      <c r="B60" s="38" t="s">
        <v>952</v>
      </c>
      <c r="C60" s="38"/>
      <c r="D60" s="38"/>
      <c r="E60" s="38"/>
      <c r="F60" s="38"/>
      <c r="G60" s="38" t="s">
        <v>1415</v>
      </c>
      <c r="H60" s="38" t="s">
        <v>477</v>
      </c>
      <c r="I60" s="248">
        <f>FRACrun.R</f>
        <v>0.25</v>
      </c>
      <c r="J60" s="260">
        <v>0.25</v>
      </c>
      <c r="K60" s="259">
        <v>0.25</v>
      </c>
      <c r="L60" s="259">
        <v>0.35714285714285715</v>
      </c>
      <c r="M60" s="260">
        <v>0.32258064516129031</v>
      </c>
      <c r="N60" s="260">
        <v>0.34375</v>
      </c>
      <c r="O60" s="260">
        <v>6.7741935483870974E-2</v>
      </c>
      <c r="P60" s="260">
        <v>0.35483870967741937</v>
      </c>
      <c r="Q60" s="260">
        <v>0.37837837837837834</v>
      </c>
      <c r="R60" s="260">
        <v>0.2</v>
      </c>
      <c r="S60" s="260">
        <v>0.23809523809523811</v>
      </c>
      <c r="T60" s="260">
        <v>0.5</v>
      </c>
      <c r="U60" s="260">
        <v>0.67907376268589059</v>
      </c>
      <c r="V60" s="260">
        <v>0.60720878266783251</v>
      </c>
      <c r="W60" s="260">
        <v>0.62748823102362239</v>
      </c>
      <c r="X60" s="260">
        <v>0.40482710612705297</v>
      </c>
      <c r="Y60" s="260">
        <v>0.30518926325744028</v>
      </c>
      <c r="Z60" s="260">
        <v>0.23563441192462034</v>
      </c>
      <c r="AA60" s="260">
        <v>0.22322559625413838</v>
      </c>
      <c r="AB60" s="260">
        <v>0.83529434191165264</v>
      </c>
      <c r="AC60" s="434">
        <v>0.40265513681891907</v>
      </c>
      <c r="AD60" s="470">
        <v>0.40265513681891907</v>
      </c>
      <c r="AE60" s="464" t="s">
        <v>2466</v>
      </c>
      <c r="AF60" s="261"/>
      <c r="AG60" s="104"/>
    </row>
    <row r="61" spans="1:33" ht="12.75" customHeight="1" x14ac:dyDescent="0.3">
      <c r="A61" s="38"/>
      <c r="B61" s="38" t="s">
        <v>951</v>
      </c>
      <c r="C61" s="38"/>
      <c r="D61" s="38"/>
      <c r="E61" s="38"/>
      <c r="F61" s="38"/>
      <c r="G61" s="38" t="s">
        <v>1414</v>
      </c>
      <c r="H61" s="38" t="s">
        <v>477</v>
      </c>
      <c r="I61" s="248">
        <f>FRACinf.R</f>
        <v>0.25</v>
      </c>
      <c r="J61" s="260">
        <v>0.25</v>
      </c>
      <c r="K61" s="259">
        <v>0.25</v>
      </c>
      <c r="L61" s="259"/>
      <c r="M61" s="260"/>
      <c r="N61" s="260"/>
      <c r="O61" s="260"/>
      <c r="P61" s="260"/>
      <c r="Q61" s="260"/>
      <c r="R61" s="260"/>
      <c r="S61" s="260"/>
      <c r="T61" s="260"/>
      <c r="U61" s="260"/>
      <c r="V61" s="260"/>
      <c r="W61" s="260"/>
      <c r="X61" s="260"/>
      <c r="Y61" s="260"/>
      <c r="Z61" s="260"/>
      <c r="AA61" s="260"/>
      <c r="AB61" s="260"/>
      <c r="AC61" s="260">
        <v>0.25</v>
      </c>
      <c r="AD61" s="463"/>
      <c r="AE61" s="261"/>
      <c r="AF61" s="261"/>
      <c r="AG61" s="104"/>
    </row>
    <row r="62" spans="1:33" ht="12.75" customHeight="1" x14ac:dyDescent="0.3">
      <c r="A62" s="38"/>
      <c r="B62" s="38" t="s">
        <v>955</v>
      </c>
      <c r="C62" s="38"/>
      <c r="D62" s="38"/>
      <c r="E62" s="38"/>
      <c r="F62" s="38"/>
      <c r="G62" s="38" t="s">
        <v>1416</v>
      </c>
      <c r="H62" s="38" t="s">
        <v>809</v>
      </c>
      <c r="I62" s="248">
        <f>EROSION.R*1000*(3600*24*365)</f>
        <v>0.03</v>
      </c>
      <c r="J62" s="260">
        <v>0.03</v>
      </c>
      <c r="K62" s="259">
        <v>0.03</v>
      </c>
      <c r="L62" s="259">
        <v>4.2340000000000003E-2</v>
      </c>
      <c r="M62" s="260">
        <v>4.2340000000000003E-2</v>
      </c>
      <c r="N62" s="260">
        <v>8.0299999999999996E-2</v>
      </c>
      <c r="O62" s="260">
        <v>6.7159999999999997E-2</v>
      </c>
      <c r="P62" s="260">
        <v>3.2120000000000003E-2</v>
      </c>
      <c r="Q62" s="260">
        <v>4.6720000000000005E-2</v>
      </c>
      <c r="R62" s="260">
        <v>4.0879999999999993E-2</v>
      </c>
      <c r="S62" s="260">
        <v>5.1100000000000007E-2</v>
      </c>
      <c r="T62" s="260">
        <v>2.3360000000000002E-2</v>
      </c>
      <c r="U62" s="260">
        <v>1.1666666666666667E-2</v>
      </c>
      <c r="V62" s="260">
        <v>0.05</v>
      </c>
      <c r="W62" s="260">
        <v>9.1666666666666667E-3</v>
      </c>
      <c r="X62" s="260">
        <v>0.02</v>
      </c>
      <c r="Y62" s="260">
        <v>5.0000000000000001E-3</v>
      </c>
      <c r="Z62" s="260">
        <v>6.6666666666666671E-3</v>
      </c>
      <c r="AA62" s="260">
        <v>3.3333333333333333E-2</v>
      </c>
      <c r="AB62" s="260">
        <v>0.125</v>
      </c>
      <c r="AC62" s="260">
        <v>0.03</v>
      </c>
      <c r="AD62" s="463"/>
      <c r="AE62" s="261"/>
      <c r="AF62" s="261"/>
      <c r="AG62" s="104"/>
    </row>
    <row r="63" spans="1:33" ht="12.75" customHeight="1" x14ac:dyDescent="0.3">
      <c r="A63" s="3" t="s">
        <v>1322</v>
      </c>
      <c r="B63" s="38"/>
      <c r="C63" s="38"/>
      <c r="D63" s="38"/>
      <c r="E63" s="38"/>
      <c r="F63" s="38"/>
      <c r="G63" s="38"/>
      <c r="H63" s="38"/>
      <c r="I63" s="186"/>
      <c r="J63" s="259"/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  <c r="AE63" s="261"/>
      <c r="AF63" s="261"/>
      <c r="AG63" s="104"/>
    </row>
    <row r="64" spans="1:33" ht="12.75" customHeight="1" x14ac:dyDescent="0.3">
      <c r="A64" s="38"/>
      <c r="B64" s="38" t="s">
        <v>669</v>
      </c>
      <c r="C64" s="38"/>
      <c r="D64" s="38"/>
      <c r="E64" s="38"/>
      <c r="F64" s="38"/>
      <c r="G64" s="38" t="s">
        <v>1440</v>
      </c>
      <c r="H64" s="64" t="s">
        <v>807</v>
      </c>
      <c r="I64" s="248">
        <f>AREAland.C*0.000001</f>
        <v>4233255</v>
      </c>
      <c r="J64" s="260">
        <v>3714410</v>
      </c>
      <c r="K64" s="259">
        <v>3520000</v>
      </c>
      <c r="L64" s="259">
        <v>14626328.135358533</v>
      </c>
      <c r="M64" s="260">
        <v>14626328.135358533</v>
      </c>
      <c r="N64" s="260">
        <v>14626328.135358533</v>
      </c>
      <c r="O64" s="260">
        <v>14626328.135358533</v>
      </c>
      <c r="P64" s="260">
        <v>14626328.135358533</v>
      </c>
      <c r="Q64" s="260">
        <v>14626328.135358533</v>
      </c>
      <c r="R64" s="260">
        <v>14626328.135358533</v>
      </c>
      <c r="S64" s="260">
        <v>14626328.135358533</v>
      </c>
      <c r="T64" s="260">
        <v>14626328.135358533</v>
      </c>
      <c r="U64" s="260">
        <v>14626328.135358533</v>
      </c>
      <c r="V64" s="260">
        <v>14626328.135358533</v>
      </c>
      <c r="W64" s="260">
        <v>14626328.135358533</v>
      </c>
      <c r="X64" s="260">
        <v>14626328.135358533</v>
      </c>
      <c r="Y64" s="260">
        <v>14626328.135358533</v>
      </c>
      <c r="Z64" s="260">
        <v>14626328.135358533</v>
      </c>
      <c r="AA64" s="260">
        <v>14626328.135358533</v>
      </c>
      <c r="AB64" s="260">
        <v>14626328.135358533</v>
      </c>
      <c r="AC64" s="434">
        <v>6633030.9712699996</v>
      </c>
      <c r="AD64" s="434">
        <v>6633030.9712699996</v>
      </c>
      <c r="AE64" s="464" t="s">
        <v>2464</v>
      </c>
      <c r="AF64" s="261"/>
      <c r="AG64" s="104"/>
    </row>
    <row r="65" spans="1:33" ht="12.75" customHeight="1" x14ac:dyDescent="0.3">
      <c r="A65" s="38"/>
      <c r="B65" s="38" t="s">
        <v>670</v>
      </c>
      <c r="C65" s="38"/>
      <c r="D65" s="38"/>
      <c r="E65" s="38"/>
      <c r="F65" s="38"/>
      <c r="G65" s="38" t="s">
        <v>1441</v>
      </c>
      <c r="H65" s="64" t="s">
        <v>807</v>
      </c>
      <c r="I65" s="248">
        <f>AREAsea.C*0.000001</f>
        <v>4233255</v>
      </c>
      <c r="J65" s="260">
        <v>3714410</v>
      </c>
      <c r="K65" s="259">
        <v>3520200</v>
      </c>
      <c r="L65" s="259">
        <v>538659.13535853324</v>
      </c>
      <c r="M65" s="260">
        <v>538659.13535853324</v>
      </c>
      <c r="N65" s="260">
        <v>538659.13535853324</v>
      </c>
      <c r="O65" s="260">
        <v>538659.13535853324</v>
      </c>
      <c r="P65" s="260">
        <v>538659.13535853324</v>
      </c>
      <c r="Q65" s="260">
        <v>538659.13535853324</v>
      </c>
      <c r="R65" s="260">
        <v>538659.13535853324</v>
      </c>
      <c r="S65" s="260">
        <v>538659.13535853324</v>
      </c>
      <c r="T65" s="260">
        <v>538659.13535853324</v>
      </c>
      <c r="U65" s="260">
        <v>538659.13535853324</v>
      </c>
      <c r="V65" s="260">
        <v>538659.13535853324</v>
      </c>
      <c r="W65" s="260">
        <v>538659.13535853324</v>
      </c>
      <c r="X65" s="260">
        <v>538659.13535853324</v>
      </c>
      <c r="Y65" s="260">
        <v>538659.13535853324</v>
      </c>
      <c r="Z65" s="260">
        <v>538659.13535853324</v>
      </c>
      <c r="AA65" s="260">
        <v>538659.13535853324</v>
      </c>
      <c r="AB65" s="260">
        <v>538659.13535853324</v>
      </c>
      <c r="AC65" s="434">
        <v>6633030.9712699996</v>
      </c>
      <c r="AD65" s="434">
        <f>AD64</f>
        <v>6633030.9712699996</v>
      </c>
      <c r="AE65" s="464" t="s">
        <v>2465</v>
      </c>
      <c r="AF65" s="261"/>
      <c r="AG65" s="104"/>
    </row>
    <row r="66" spans="1:33" ht="12.75" customHeight="1" x14ac:dyDescent="0.3">
      <c r="A66" s="38"/>
      <c r="B66" s="38" t="s">
        <v>302</v>
      </c>
      <c r="C66" s="38"/>
      <c r="D66" s="38"/>
      <c r="E66" s="38"/>
      <c r="F66" s="38"/>
      <c r="G66" s="38" t="s">
        <v>304</v>
      </c>
      <c r="H66" s="38" t="s">
        <v>477</v>
      </c>
      <c r="I66" s="248">
        <f>FRAClake.C</f>
        <v>2.5000000000000001E-3</v>
      </c>
      <c r="J66" s="260">
        <v>2.5000000000000001E-3</v>
      </c>
      <c r="K66" s="259">
        <v>1E-10</v>
      </c>
      <c r="L66" s="259"/>
      <c r="M66" s="260"/>
      <c r="N66" s="260"/>
      <c r="O66" s="260"/>
      <c r="P66" s="260"/>
      <c r="Q66" s="260"/>
      <c r="R66" s="260"/>
      <c r="S66" s="260"/>
      <c r="T66" s="260"/>
      <c r="U66" s="260"/>
      <c r="V66" s="260"/>
      <c r="W66" s="260"/>
      <c r="X66" s="260"/>
      <c r="Y66" s="260"/>
      <c r="Z66" s="260"/>
      <c r="AA66" s="260"/>
      <c r="AB66" s="260"/>
      <c r="AC66" s="434">
        <v>2.0595609206587363E-2</v>
      </c>
      <c r="AD66" s="467">
        <f>AD67/4</f>
        <v>2.0595609206587363E-2</v>
      </c>
      <c r="AE66" s="464" t="s">
        <v>2459</v>
      </c>
      <c r="AF66" s="261"/>
      <c r="AG66" s="104"/>
    </row>
    <row r="67" spans="1:33" ht="12.75" customHeight="1" x14ac:dyDescent="0.3">
      <c r="A67" s="38"/>
      <c r="B67" s="38" t="s">
        <v>671</v>
      </c>
      <c r="C67" s="38"/>
      <c r="D67" s="38"/>
      <c r="E67" s="38"/>
      <c r="F67" s="38"/>
      <c r="G67" s="38" t="s">
        <v>1417</v>
      </c>
      <c r="H67" s="38" t="s">
        <v>477</v>
      </c>
      <c r="I67" s="248">
        <f>FRACfresh.C</f>
        <v>2.75E-2</v>
      </c>
      <c r="J67" s="260">
        <f>0.03-J66</f>
        <v>2.75E-2</v>
      </c>
      <c r="K67" s="259">
        <v>0.03</v>
      </c>
      <c r="L67" s="259">
        <v>6.4747276579262464E-2</v>
      </c>
      <c r="M67" s="260">
        <v>6.4848427266887818E-2</v>
      </c>
      <c r="N67" s="260">
        <v>5.7637928198304024E-2</v>
      </c>
      <c r="O67" s="260">
        <v>6.9437776828176659E-2</v>
      </c>
      <c r="P67" s="260">
        <v>6.5186016905548552E-2</v>
      </c>
      <c r="Q67" s="260">
        <v>6.6493882209363905E-2</v>
      </c>
      <c r="R67" s="260">
        <v>6.805425934867651E-2</v>
      </c>
      <c r="S67" s="260">
        <v>7.5721845228295906E-2</v>
      </c>
      <c r="T67" s="260">
        <v>6.7653731826605973E-2</v>
      </c>
      <c r="U67" s="260">
        <v>6.4713230964292448E-2</v>
      </c>
      <c r="V67" s="260">
        <v>6.5456785050284086E-2</v>
      </c>
      <c r="W67" s="260">
        <v>5.8972646454182827E-2</v>
      </c>
      <c r="X67" s="260">
        <v>5.82665463812383E-2</v>
      </c>
      <c r="Y67" s="260">
        <v>6.1201103700987629E-2</v>
      </c>
      <c r="Z67" s="260">
        <v>6.3811372983097775E-2</v>
      </c>
      <c r="AA67" s="260">
        <v>6.6829805045069496E-2</v>
      </c>
      <c r="AB67" s="260">
        <v>6.8266872526332401E-2</v>
      </c>
      <c r="AC67" s="434">
        <v>8.2382436826349451E-2</v>
      </c>
      <c r="AD67" s="467">
        <v>8.2382436826349451E-2</v>
      </c>
      <c r="AE67" s="464" t="s">
        <v>2460</v>
      </c>
      <c r="AF67" s="261"/>
      <c r="AG67" s="104"/>
    </row>
    <row r="68" spans="1:33" ht="12.75" customHeight="1" x14ac:dyDescent="0.3">
      <c r="A68" s="38"/>
      <c r="B68" s="38" t="s">
        <v>672</v>
      </c>
      <c r="C68" s="38"/>
      <c r="D68" s="38"/>
      <c r="E68" s="38"/>
      <c r="F68" s="38"/>
      <c r="G68" s="38" t="s">
        <v>1418</v>
      </c>
      <c r="H68" s="38" t="s">
        <v>477</v>
      </c>
      <c r="I68" s="248">
        <f>FRACnatsoil.C</f>
        <v>0.27</v>
      </c>
      <c r="J68" s="260">
        <v>0.27</v>
      </c>
      <c r="K68" s="259">
        <v>0.27</v>
      </c>
      <c r="L68" s="259">
        <v>0.59944715287347206</v>
      </c>
      <c r="M68" s="260">
        <v>0.59722497416155074</v>
      </c>
      <c r="N68" s="260">
        <v>0.61468463335042434</v>
      </c>
      <c r="O68" s="260">
        <v>0.64645676170366806</v>
      </c>
      <c r="P68" s="260">
        <v>0.59928238602115946</v>
      </c>
      <c r="Q68" s="260">
        <v>0.60061066487065429</v>
      </c>
      <c r="R68" s="260">
        <v>0.62682171905314432</v>
      </c>
      <c r="S68" s="260">
        <v>0.60342028217901855</v>
      </c>
      <c r="T68" s="260">
        <v>0.59518736408162431</v>
      </c>
      <c r="U68" s="260">
        <v>0.58964781283544321</v>
      </c>
      <c r="V68" s="260">
        <v>0.59642812029604508</v>
      </c>
      <c r="W68" s="260">
        <v>0.56729845279501279</v>
      </c>
      <c r="X68" s="260">
        <v>0.58296619103286884</v>
      </c>
      <c r="Y68" s="260">
        <v>0.59255905445118817</v>
      </c>
      <c r="Z68" s="260">
        <v>0.60375138952332763</v>
      </c>
      <c r="AA68" s="260">
        <v>0.59677928405756331</v>
      </c>
      <c r="AB68" s="260">
        <v>0.57411479387060749</v>
      </c>
      <c r="AC68" s="434">
        <v>0.34164496365122965</v>
      </c>
      <c r="AD68" s="467">
        <v>0.34164496365122965</v>
      </c>
      <c r="AE68" s="464" t="s">
        <v>2461</v>
      </c>
      <c r="AF68" s="261"/>
      <c r="AG68" s="104"/>
    </row>
    <row r="69" spans="1:33" ht="12.75" customHeight="1" x14ac:dyDescent="0.3">
      <c r="A69" s="38"/>
      <c r="B69" s="38" t="s">
        <v>673</v>
      </c>
      <c r="C69" s="38"/>
      <c r="D69" s="38"/>
      <c r="E69" s="38"/>
      <c r="F69" s="38"/>
      <c r="G69" s="38" t="s">
        <v>1335</v>
      </c>
      <c r="H69" s="38" t="s">
        <v>477</v>
      </c>
      <c r="I69" s="248">
        <f>FRACagsoil.C</f>
        <v>0.6</v>
      </c>
      <c r="J69" s="260">
        <v>0.6</v>
      </c>
      <c r="K69" s="259">
        <v>0.6</v>
      </c>
      <c r="L69" s="259">
        <v>0.31712025106487396</v>
      </c>
      <c r="M69" s="260">
        <v>0.31841879922565347</v>
      </c>
      <c r="N69" s="260">
        <v>0.30894941485849348</v>
      </c>
      <c r="O69" s="260">
        <v>0.26454352986204238</v>
      </c>
      <c r="P69" s="260">
        <v>0.31797206873453138</v>
      </c>
      <c r="Q69" s="260">
        <v>0.31301037205880955</v>
      </c>
      <c r="R69" s="260">
        <v>0.28513759318401649</v>
      </c>
      <c r="S69" s="260">
        <v>0.29790967065575452</v>
      </c>
      <c r="T69" s="260">
        <v>0.31765831053599775</v>
      </c>
      <c r="U69" s="260">
        <v>0.32472750600275957</v>
      </c>
      <c r="V69" s="260">
        <v>0.31768441119730895</v>
      </c>
      <c r="W69" s="260">
        <v>0.35146199214020074</v>
      </c>
      <c r="X69" s="260">
        <v>0.337308486286585</v>
      </c>
      <c r="Y69" s="260">
        <v>0.32496277774074039</v>
      </c>
      <c r="Z69" s="260">
        <v>0.31115072783486758</v>
      </c>
      <c r="AA69" s="260">
        <v>0.31527309485207644</v>
      </c>
      <c r="AB69" s="260">
        <v>0.33612016446251652</v>
      </c>
      <c r="AC69" s="434">
        <v>0.45871953821893019</v>
      </c>
      <c r="AD69" s="467">
        <v>0.45871953821893019</v>
      </c>
      <c r="AE69" s="464" t="s">
        <v>2462</v>
      </c>
      <c r="AF69" s="261"/>
      <c r="AG69" s="104"/>
    </row>
    <row r="70" spans="1:33" ht="12.75" customHeight="1" x14ac:dyDescent="0.3">
      <c r="A70" s="38"/>
      <c r="B70" s="38" t="s">
        <v>674</v>
      </c>
      <c r="C70" s="38"/>
      <c r="D70" s="38"/>
      <c r="E70" s="38"/>
      <c r="F70" s="38"/>
      <c r="G70" s="38" t="s">
        <v>1336</v>
      </c>
      <c r="H70" s="38" t="s">
        <v>477</v>
      </c>
      <c r="I70" s="248">
        <f>FRACothersoil.C</f>
        <v>0.1</v>
      </c>
      <c r="J70" s="260">
        <v>0.1</v>
      </c>
      <c r="K70" s="259">
        <v>0.1</v>
      </c>
      <c r="L70" s="259">
        <v>1.7101501318436053E-2</v>
      </c>
      <c r="M70" s="260">
        <v>1.7934983389568341E-2</v>
      </c>
      <c r="N70" s="260">
        <v>1.70846780061325E-2</v>
      </c>
      <c r="O70" s="260">
        <v>1.9561931606112842E-2</v>
      </c>
      <c r="P70" s="260">
        <v>1.5921714246694103E-2</v>
      </c>
      <c r="Q70" s="260">
        <v>1.8278718566572146E-2</v>
      </c>
      <c r="R70" s="260">
        <v>1.8297508036353924E-2</v>
      </c>
      <c r="S70" s="260">
        <v>2.1102926230915704E-2</v>
      </c>
      <c r="T70" s="260">
        <v>1.7849126105684933E-2</v>
      </c>
      <c r="U70" s="260">
        <v>1.9313184487406022E-2</v>
      </c>
      <c r="V70" s="260">
        <v>1.8863499233363883E-2</v>
      </c>
      <c r="W70" s="260">
        <v>2.0523813087650635E-2</v>
      </c>
      <c r="X70" s="260">
        <v>1.9778064490994497E-2</v>
      </c>
      <c r="Y70" s="260">
        <v>1.9649950258603648E-2</v>
      </c>
      <c r="Z70" s="260">
        <v>1.9659003582370667E-2</v>
      </c>
      <c r="AA70" s="260">
        <v>1.9488999315721543E-2</v>
      </c>
      <c r="AB70" s="260">
        <v>1.9834293946998434E-2</v>
      </c>
      <c r="AC70" s="434">
        <v>9.6657452096903421E-2</v>
      </c>
      <c r="AD70" s="467">
        <v>9.6657452096903421E-2</v>
      </c>
      <c r="AE70" s="464" t="s">
        <v>2463</v>
      </c>
      <c r="AF70" s="261"/>
      <c r="AG70" s="104"/>
    </row>
    <row r="71" spans="1:33" ht="12.75" customHeight="1" x14ac:dyDescent="0.3">
      <c r="A71" s="38"/>
      <c r="B71" s="38" t="s">
        <v>949</v>
      </c>
      <c r="C71" s="38"/>
      <c r="D71" s="38"/>
      <c r="E71" s="38"/>
      <c r="F71" s="38"/>
      <c r="G71" s="38" t="s">
        <v>1101</v>
      </c>
      <c r="H71" s="38" t="s">
        <v>808</v>
      </c>
      <c r="I71" s="248">
        <f ca="1">TEMP.C-273</f>
        <v>9.0992948237770861</v>
      </c>
      <c r="J71" s="260">
        <v>12</v>
      </c>
      <c r="K71" s="259">
        <v>12</v>
      </c>
      <c r="L71" s="259">
        <v>7.2891589080413182</v>
      </c>
      <c r="M71" s="260">
        <v>7.3831854046438661</v>
      </c>
      <c r="N71" s="260">
        <v>7.3048752565008863</v>
      </c>
      <c r="O71" s="260">
        <v>7.1794112316150818</v>
      </c>
      <c r="P71" s="260">
        <v>6.8504892454781023</v>
      </c>
      <c r="Q71" s="260">
        <v>7.0729113048292476</v>
      </c>
      <c r="R71" s="260">
        <v>6.4118670613762445</v>
      </c>
      <c r="S71" s="260">
        <v>6.7124292059112962</v>
      </c>
      <c r="T71" s="260">
        <v>6.9980586704989483</v>
      </c>
      <c r="U71" s="260">
        <v>7.5990305962961386</v>
      </c>
      <c r="V71" s="260">
        <v>7.389386827841717</v>
      </c>
      <c r="W71" s="260">
        <v>8.4186693917222044</v>
      </c>
      <c r="X71" s="260">
        <v>7.9389316773696743</v>
      </c>
      <c r="Y71" s="260">
        <v>7.8304094864379472</v>
      </c>
      <c r="Z71" s="260">
        <v>7.718579240388868</v>
      </c>
      <c r="AA71" s="260">
        <v>7.6167790583195876</v>
      </c>
      <c r="AB71" s="260">
        <v>7.5608354567986797</v>
      </c>
      <c r="AC71" s="260">
        <v>12</v>
      </c>
      <c r="AD71" s="260"/>
      <c r="AE71" s="468"/>
      <c r="AF71" s="261"/>
      <c r="AG71" s="104"/>
    </row>
    <row r="72" spans="1:33" ht="12.75" customHeight="1" x14ac:dyDescent="0.3">
      <c r="A72" s="38"/>
      <c r="B72" s="38" t="s">
        <v>950</v>
      </c>
      <c r="C72" s="38"/>
      <c r="D72" s="38"/>
      <c r="E72" s="38"/>
      <c r="F72" s="38"/>
      <c r="G72" s="38" t="s">
        <v>782</v>
      </c>
      <c r="H72" s="38" t="s">
        <v>269</v>
      </c>
      <c r="I72" s="248">
        <f ca="1">WINDspeed.C</f>
        <v>6.6166749111169691</v>
      </c>
      <c r="J72" s="260">
        <v>3</v>
      </c>
      <c r="K72" s="259">
        <v>3</v>
      </c>
      <c r="L72" s="259">
        <v>3.4839797703975917</v>
      </c>
      <c r="M72" s="260">
        <v>3.4726076840296005</v>
      </c>
      <c r="N72" s="260">
        <v>3.4886862428774439</v>
      </c>
      <c r="O72" s="260">
        <v>3.4791643055930335</v>
      </c>
      <c r="P72" s="260">
        <v>3.522756446720531</v>
      </c>
      <c r="Q72" s="260">
        <v>3.5142677601272516</v>
      </c>
      <c r="R72" s="260">
        <v>3.4883955850831754</v>
      </c>
      <c r="S72" s="260">
        <v>3.5251056089381483</v>
      </c>
      <c r="T72" s="260">
        <v>3.5437628946705337</v>
      </c>
      <c r="U72" s="260">
        <v>3.4439676153804877</v>
      </c>
      <c r="V72" s="260">
        <v>3.4688574987079974</v>
      </c>
      <c r="W72" s="260">
        <v>3.3937747402062706</v>
      </c>
      <c r="X72" s="260">
        <v>3.4570444403280476</v>
      </c>
      <c r="Y72" s="260">
        <v>3.4461892988646396</v>
      </c>
      <c r="Z72" s="260">
        <v>3.4554635393318831</v>
      </c>
      <c r="AA72" s="260">
        <v>3.4698433322464375</v>
      </c>
      <c r="AB72" s="260">
        <v>3.4803494233429437</v>
      </c>
      <c r="AC72" s="260">
        <v>3</v>
      </c>
      <c r="AD72" s="260"/>
      <c r="AE72" s="261"/>
      <c r="AF72" s="261"/>
      <c r="AG72" s="104"/>
    </row>
    <row r="73" spans="1:33" ht="12.75" customHeight="1" x14ac:dyDescent="0.3">
      <c r="A73" s="38"/>
      <c r="B73" s="38" t="s">
        <v>953</v>
      </c>
      <c r="C73" s="38"/>
      <c r="D73" s="38"/>
      <c r="E73" s="38"/>
      <c r="F73" s="38"/>
      <c r="G73" s="38" t="s">
        <v>1056</v>
      </c>
      <c r="H73" s="38" t="s">
        <v>809</v>
      </c>
      <c r="I73" s="248">
        <f ca="1">RAINrate.C*1000*(3600*24*365)</f>
        <v>753.19346583795152</v>
      </c>
      <c r="J73" s="260">
        <v>700</v>
      </c>
      <c r="K73" s="259">
        <v>700</v>
      </c>
      <c r="L73" s="259">
        <v>776.30276892048266</v>
      </c>
      <c r="M73" s="260">
        <v>776.56189242127164</v>
      </c>
      <c r="N73" s="260">
        <v>758.50448467540082</v>
      </c>
      <c r="O73" s="260">
        <v>744.13229181368627</v>
      </c>
      <c r="P73" s="260">
        <v>761.8937329344518</v>
      </c>
      <c r="Q73" s="260">
        <v>761.36341449084182</v>
      </c>
      <c r="R73" s="260">
        <v>772.84861531333206</v>
      </c>
      <c r="S73" s="260">
        <v>870.76842197957023</v>
      </c>
      <c r="T73" s="260">
        <v>786.79570291857806</v>
      </c>
      <c r="U73" s="260">
        <v>773.80044009356982</v>
      </c>
      <c r="V73" s="260">
        <v>776.83844967346033</v>
      </c>
      <c r="W73" s="260">
        <v>769.47710588979146</v>
      </c>
      <c r="X73" s="260">
        <v>784.51349559189282</v>
      </c>
      <c r="Y73" s="260">
        <v>795.15631443659345</v>
      </c>
      <c r="Z73" s="260">
        <v>798.48124803740677</v>
      </c>
      <c r="AA73" s="260">
        <v>797.61955125743964</v>
      </c>
      <c r="AB73" s="260">
        <v>783.56190537528119</v>
      </c>
      <c r="AC73" s="260">
        <v>700</v>
      </c>
      <c r="AD73" s="260"/>
      <c r="AE73" s="261"/>
      <c r="AF73" s="261"/>
      <c r="AG73" s="104"/>
    </row>
    <row r="74" spans="1:33" ht="12.75" customHeight="1" x14ac:dyDescent="0.3">
      <c r="A74" s="38"/>
      <c r="B74" s="38" t="s">
        <v>305</v>
      </c>
      <c r="C74" s="38"/>
      <c r="D74" s="38"/>
      <c r="E74" s="38"/>
      <c r="F74" s="38"/>
      <c r="G74" s="38" t="s">
        <v>307</v>
      </c>
      <c r="H74" s="38" t="s">
        <v>714</v>
      </c>
      <c r="I74" s="248">
        <f>DEPTHlake.C</f>
        <v>100</v>
      </c>
      <c r="J74" s="260">
        <v>100</v>
      </c>
      <c r="K74" s="259">
        <v>1E-10</v>
      </c>
      <c r="L74" s="259"/>
      <c r="M74" s="260"/>
      <c r="N74" s="260"/>
      <c r="O74" s="260"/>
      <c r="P74" s="260"/>
      <c r="Q74" s="260"/>
      <c r="R74" s="260"/>
      <c r="S74" s="260"/>
      <c r="T74" s="260"/>
      <c r="U74" s="260"/>
      <c r="V74" s="260"/>
      <c r="W74" s="260"/>
      <c r="X74" s="260"/>
      <c r="Y74" s="260"/>
      <c r="Z74" s="260"/>
      <c r="AA74" s="260"/>
      <c r="AB74" s="260"/>
      <c r="AC74" s="260">
        <v>100</v>
      </c>
      <c r="AD74" s="260"/>
      <c r="AE74" s="261"/>
      <c r="AF74" s="261"/>
      <c r="AG74" s="104"/>
    </row>
    <row r="75" spans="1:33" ht="12.75" customHeight="1" x14ac:dyDescent="0.3">
      <c r="A75" s="38"/>
      <c r="B75" s="38" t="s">
        <v>954</v>
      </c>
      <c r="C75" s="38"/>
      <c r="D75" s="38"/>
      <c r="E75" s="38"/>
      <c r="F75" s="38"/>
      <c r="G75" s="38" t="s">
        <v>1337</v>
      </c>
      <c r="H75" s="38" t="s">
        <v>714</v>
      </c>
      <c r="I75" s="248">
        <f ca="1">DEPTHfreshwater.C</f>
        <v>3.0887298632747657</v>
      </c>
      <c r="J75" s="260">
        <v>3</v>
      </c>
      <c r="K75" s="259">
        <v>3</v>
      </c>
      <c r="L75" s="259"/>
      <c r="M75" s="260"/>
      <c r="N75" s="260"/>
      <c r="O75" s="260"/>
      <c r="P75" s="260"/>
      <c r="Q75" s="260"/>
      <c r="R75" s="260"/>
      <c r="S75" s="260"/>
      <c r="T75" s="260"/>
      <c r="U75" s="260"/>
      <c r="V75" s="260"/>
      <c r="W75" s="260"/>
      <c r="X75" s="260"/>
      <c r="Y75" s="260"/>
      <c r="Z75" s="260"/>
      <c r="AA75" s="260"/>
      <c r="AB75" s="260"/>
      <c r="AC75" s="434">
        <v>1.165305818750995</v>
      </c>
      <c r="AD75" s="470">
        <v>1.165305818750995</v>
      </c>
      <c r="AE75" s="464" t="s">
        <v>2467</v>
      </c>
      <c r="AF75" s="261"/>
      <c r="AG75" s="104"/>
    </row>
    <row r="76" spans="1:33" ht="12.75" customHeight="1" x14ac:dyDescent="0.3">
      <c r="A76" s="38"/>
      <c r="B76" s="38" t="s">
        <v>3</v>
      </c>
      <c r="C76" s="38"/>
      <c r="D76" s="38"/>
      <c r="E76" s="38"/>
      <c r="F76" s="38"/>
      <c r="G76" s="38" t="s">
        <v>1229</v>
      </c>
      <c r="H76" s="38" t="s">
        <v>477</v>
      </c>
      <c r="I76" s="248">
        <f>FRAC.w1C.w1R</f>
        <v>0</v>
      </c>
      <c r="J76" s="260">
        <v>0</v>
      </c>
      <c r="K76" s="259">
        <v>3.4000000000000002E-2</v>
      </c>
      <c r="L76" s="259">
        <v>2.1814301056646525E-2</v>
      </c>
      <c r="M76" s="260">
        <v>0</v>
      </c>
      <c r="N76" s="260">
        <v>0</v>
      </c>
      <c r="O76" s="260">
        <v>4.83747337064948E-3</v>
      </c>
      <c r="P76" s="260">
        <v>1.3184391555402485E-3</v>
      </c>
      <c r="Q76" s="260">
        <v>6.6691816193702985E-2</v>
      </c>
      <c r="R76" s="260">
        <v>0.15830879856937888</v>
      </c>
      <c r="S76" s="260">
        <v>0</v>
      </c>
      <c r="T76" s="260">
        <v>4.5319563249860563E-2</v>
      </c>
      <c r="U76" s="260">
        <v>0</v>
      </c>
      <c r="V76" s="260">
        <v>0</v>
      </c>
      <c r="W76" s="260">
        <v>4.8958627341624546E-2</v>
      </c>
      <c r="X76" s="260">
        <v>0</v>
      </c>
      <c r="Y76" s="260">
        <v>1.6546758246488581E-2</v>
      </c>
      <c r="Z76" s="260">
        <v>3.240137475339975E-3</v>
      </c>
      <c r="AA76" s="260">
        <v>1.0795228729033286E-2</v>
      </c>
      <c r="AB76" s="260">
        <v>0</v>
      </c>
      <c r="AC76" s="260">
        <v>0</v>
      </c>
      <c r="AD76" s="260"/>
      <c r="AE76" s="261"/>
      <c r="AF76" s="261"/>
      <c r="AG76" s="104"/>
    </row>
    <row r="77" spans="1:33" ht="12.75" customHeight="1" x14ac:dyDescent="0.3">
      <c r="A77" s="38"/>
      <c r="B77" s="38" t="s">
        <v>951</v>
      </c>
      <c r="C77" s="38"/>
      <c r="D77" s="38"/>
      <c r="E77" s="38"/>
      <c r="F77" s="38"/>
      <c r="G77" s="38" t="s">
        <v>1338</v>
      </c>
      <c r="H77" s="38" t="s">
        <v>477</v>
      </c>
      <c r="I77" s="248">
        <f>FRACrun.C</f>
        <v>0.25</v>
      </c>
      <c r="J77" s="260">
        <v>0.25</v>
      </c>
      <c r="K77" s="259">
        <v>0.25</v>
      </c>
      <c r="L77" s="259">
        <v>0.36869234536481382</v>
      </c>
      <c r="M77" s="260">
        <v>0.36906904527941203</v>
      </c>
      <c r="N77" s="260">
        <v>0.36991200493046139</v>
      </c>
      <c r="O77" s="260">
        <v>0.4002772955312347</v>
      </c>
      <c r="P77" s="260">
        <v>0.36921303541574901</v>
      </c>
      <c r="Q77" s="260">
        <v>0.36811707989568226</v>
      </c>
      <c r="R77" s="260">
        <v>0.38328983919153892</v>
      </c>
      <c r="S77" s="260">
        <v>0.39306813609257818</v>
      </c>
      <c r="T77" s="260">
        <v>0.36005873849428432</v>
      </c>
      <c r="U77" s="260">
        <v>0.35926357369592182</v>
      </c>
      <c r="V77" s="260">
        <v>0.36617229008439778</v>
      </c>
      <c r="W77" s="260">
        <v>0.33662406489877322</v>
      </c>
      <c r="X77" s="260">
        <v>0.36545409491696412</v>
      </c>
      <c r="Y77" s="260">
        <v>0.37151220987193007</v>
      </c>
      <c r="Z77" s="260">
        <v>0.37489829120766338</v>
      </c>
      <c r="AA77" s="260">
        <v>0.37562215538674676</v>
      </c>
      <c r="AB77" s="260">
        <v>0.33490584645562027</v>
      </c>
      <c r="AC77" s="260">
        <v>0.25</v>
      </c>
      <c r="AD77" s="260"/>
      <c r="AE77" s="261"/>
      <c r="AF77" s="261"/>
      <c r="AG77" s="104"/>
    </row>
    <row r="78" spans="1:33" ht="12.75" customHeight="1" x14ac:dyDescent="0.3">
      <c r="A78" s="38"/>
      <c r="B78" s="38" t="s">
        <v>952</v>
      </c>
      <c r="C78" s="38"/>
      <c r="D78" s="38"/>
      <c r="E78" s="38"/>
      <c r="F78" s="38"/>
      <c r="G78" s="38" t="s">
        <v>1339</v>
      </c>
      <c r="H78" s="38" t="s">
        <v>477</v>
      </c>
      <c r="I78" s="248">
        <f>FRACinf.C</f>
        <v>0.25</v>
      </c>
      <c r="J78" s="260">
        <v>0.25</v>
      </c>
      <c r="K78" s="259">
        <v>0.25</v>
      </c>
      <c r="L78" s="259"/>
      <c r="M78" s="260"/>
      <c r="N78" s="260"/>
      <c r="O78" s="260"/>
      <c r="P78" s="260"/>
      <c r="Q78" s="260"/>
      <c r="R78" s="260"/>
      <c r="S78" s="260"/>
      <c r="T78" s="260"/>
      <c r="U78" s="260"/>
      <c r="V78" s="260"/>
      <c r="W78" s="260"/>
      <c r="X78" s="260"/>
      <c r="Y78" s="260"/>
      <c r="Z78" s="260"/>
      <c r="AA78" s="260"/>
      <c r="AB78" s="260"/>
      <c r="AC78" s="434">
        <v>0.29634523809523811</v>
      </c>
      <c r="AD78" s="470">
        <v>0.29634523809523811</v>
      </c>
      <c r="AE78" s="464" t="s">
        <v>2466</v>
      </c>
      <c r="AF78" s="261"/>
      <c r="AG78" s="104"/>
    </row>
    <row r="79" spans="1:33" ht="12.75" customHeight="1" x14ac:dyDescent="0.3">
      <c r="A79" s="38"/>
      <c r="B79" s="38" t="s">
        <v>955</v>
      </c>
      <c r="C79" s="38"/>
      <c r="D79" s="38"/>
      <c r="E79" s="38"/>
      <c r="F79" s="38"/>
      <c r="G79" s="38" t="s">
        <v>1340</v>
      </c>
      <c r="H79" s="38" t="s">
        <v>809</v>
      </c>
      <c r="I79" s="248">
        <f>EROSION.C*1000*(3600*24*365)</f>
        <v>0.03</v>
      </c>
      <c r="J79" s="260">
        <v>0.03</v>
      </c>
      <c r="K79" s="259">
        <v>0.03</v>
      </c>
      <c r="L79" s="259">
        <v>4.2168082472699639E-2</v>
      </c>
      <c r="M79" s="260">
        <v>4.2169276721112245E-2</v>
      </c>
      <c r="N79" s="260">
        <v>3.9935029554221943E-2</v>
      </c>
      <c r="O79" s="260">
        <v>3.9527837871795257E-2</v>
      </c>
      <c r="P79" s="260">
        <v>4.2725270061327328E-2</v>
      </c>
      <c r="Q79" s="260">
        <v>4.201307418798883E-2</v>
      </c>
      <c r="R79" s="260">
        <v>4.2285177230482411E-2</v>
      </c>
      <c r="S79" s="260">
        <v>4.0486328984666968E-2</v>
      </c>
      <c r="T79" s="260">
        <v>4.3373341680210384E-2</v>
      </c>
      <c r="U79" s="260">
        <v>4.3074918543747898E-2</v>
      </c>
      <c r="V79" s="260">
        <v>4.2096409468940763E-2</v>
      </c>
      <c r="W79" s="260">
        <v>4.62283254515609E-2</v>
      </c>
      <c r="X79" s="260">
        <v>4.4005705673915291E-2</v>
      </c>
      <c r="Y79" s="260">
        <v>4.396315746806715E-2</v>
      </c>
      <c r="Z79" s="260">
        <v>4.3891795964559471E-2</v>
      </c>
      <c r="AA79" s="260">
        <v>4.2607196542145662E-2</v>
      </c>
      <c r="AB79" s="260">
        <v>3.6217660309841512E-2</v>
      </c>
      <c r="AC79" s="260">
        <v>0.03</v>
      </c>
      <c r="AD79" s="260"/>
      <c r="AE79" s="261"/>
      <c r="AF79" s="261"/>
      <c r="AG79" s="104"/>
    </row>
    <row r="80" spans="1:33" ht="13.5" thickBot="1" x14ac:dyDescent="0.35">
      <c r="A80" s="47"/>
      <c r="B80" s="48"/>
      <c r="C80" s="48"/>
      <c r="D80" s="48"/>
      <c r="E80" s="48"/>
      <c r="F80" s="48"/>
      <c r="G80" s="47"/>
      <c r="H80" s="47"/>
      <c r="I80" s="184"/>
      <c r="J80" s="264"/>
      <c r="K80" s="264"/>
      <c r="L80" s="265"/>
      <c r="M80" s="264"/>
      <c r="N80" s="264"/>
      <c r="O80" s="264"/>
      <c r="P80" s="264"/>
      <c r="Q80" s="264"/>
      <c r="R80" s="264"/>
      <c r="S80" s="264"/>
      <c r="T80" s="264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6"/>
      <c r="AF80" s="266"/>
      <c r="AG80" s="104"/>
    </row>
    <row r="81" spans="1:33" x14ac:dyDescent="0.3">
      <c r="A81" s="38"/>
      <c r="B81" s="38"/>
      <c r="C81" s="38"/>
      <c r="D81" s="38"/>
      <c r="E81" s="38"/>
      <c r="F81" s="38"/>
      <c r="G81" s="42"/>
      <c r="H81" s="42"/>
      <c r="I81" s="160"/>
      <c r="J81" s="182"/>
      <c r="K81" s="182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82"/>
      <c r="AD81" s="111"/>
      <c r="AE81" s="104"/>
      <c r="AF81" s="104"/>
      <c r="AG81" s="104"/>
    </row>
  </sheetData>
  <phoneticPr fontId="9" type="noConversion"/>
  <conditionalFormatting sqref="I11:AB80 AD59:AF80 AD11:AF57">
    <cfRule type="cellIs" dxfId="5" priority="6" operator="equal">
      <formula>0</formula>
    </cfRule>
  </conditionalFormatting>
  <conditionalFormatting sqref="J7:AB9">
    <cfRule type="cellIs" dxfId="4" priority="5" operator="equal">
      <formula>0</formula>
    </cfRule>
  </conditionalFormatting>
  <conditionalFormatting sqref="AC11:AC80">
    <cfRule type="cellIs" dxfId="3" priority="4" operator="equal">
      <formula>0</formula>
    </cfRule>
  </conditionalFormatting>
  <conditionalFormatting sqref="AC7:AC9">
    <cfRule type="cellIs" dxfId="2" priority="3" operator="equal">
      <formula>0</formula>
    </cfRule>
  </conditionalFormatting>
  <conditionalFormatting sqref="I7:I9">
    <cfRule type="cellIs" dxfId="1" priority="2" operator="equal">
      <formula>0</formula>
    </cfRule>
  </conditionalFormatting>
  <conditionalFormatting sqref="AD58:AF58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SharedWithUsers xmlns="c5c45c8a-48a7-4f65-9955-4705a71910fb">
      <UserInfo>
        <DisplayName>Joris Quik</DisplayName>
        <AccountId>12</AccountId>
        <AccountType/>
      </UserInfo>
    </SharedWithUsers>
    <lcf76f155ced4ddcb4097134ff3c332f xmlns="40c07cf3-d4e7-49ce-b65c-ea3be4aee5c3">
      <Terms xmlns="http://schemas.microsoft.com/office/infopath/2007/PartnerControls"/>
    </lcf76f155ced4ddcb4097134ff3c332f>
    <TaxCatchAll xmlns="c5c45c8a-48a7-4f65-9955-4705a71910f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9608413A629645AE1F0F68C4E8E1AE" ma:contentTypeVersion="17" ma:contentTypeDescription="Een nieuw document maken." ma:contentTypeScope="" ma:versionID="bdfeaf85912497947c8d33cd1f47399b">
  <xsd:schema xmlns:xsd="http://www.w3.org/2001/XMLSchema" xmlns:xs="http://www.w3.org/2001/XMLSchema" xmlns:p="http://schemas.microsoft.com/office/2006/metadata/properties" xmlns:ns1="http://schemas.microsoft.com/sharepoint/v3" xmlns:ns2="40c07cf3-d4e7-49ce-b65c-ea3be4aee5c3" xmlns:ns3="c5c45c8a-48a7-4f65-9955-4705a71910fb" targetNamespace="http://schemas.microsoft.com/office/2006/metadata/properties" ma:root="true" ma:fieldsID="3c5b36bf744165bcd4053c4e00726190" ns1:_="" ns2:_="" ns3:_="">
    <xsd:import namespace="http://schemas.microsoft.com/sharepoint/v3"/>
    <xsd:import namespace="40c07cf3-d4e7-49ce-b65c-ea3be4aee5c3"/>
    <xsd:import namespace="c5c45c8a-48a7-4f65-9955-4705a71910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c07cf3-d4e7-49ce-b65c-ea3be4aee5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Afbeeldingtags" ma:readOnly="false" ma:fieldId="{5cf76f15-5ced-4ddc-b409-7134ff3c332f}" ma:taxonomyMulti="true" ma:sspId="9f1f8003-3544-4801-a0bb-558fc8ffc2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c45c8a-48a7-4f65-9955-4705a71910f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b96a3e23-bcde-4cf9-a2bb-dde2c4ca57f6}" ma:internalName="TaxCatchAll" ma:showField="CatchAllData" ma:web="c5c45c8a-48a7-4f65-9955-4705a71910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6F9182-882E-4209-A4AF-CD0B33796785}">
  <ds:schemaRefs>
    <ds:schemaRef ds:uri="http://schemas.microsoft.com/sharepoint/v3"/>
    <ds:schemaRef ds:uri="http://purl.org/dc/elements/1.1/"/>
    <ds:schemaRef ds:uri="40c07cf3-d4e7-49ce-b65c-ea3be4aee5c3"/>
    <ds:schemaRef ds:uri="http://purl.org/dc/terms/"/>
    <ds:schemaRef ds:uri="http://purl.org/dc/dcmitype/"/>
    <ds:schemaRef ds:uri="c5c45c8a-48a7-4f65-9955-4705a71910fb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0F1E7A0B-DF48-4CC1-9F61-EF9EA668A8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c07cf3-d4e7-49ce-b65c-ea3be4aee5c3"/>
    <ds:schemaRef ds:uri="c5c45c8a-48a7-4f65-9955-4705a71910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7141BB-C848-48BF-B22C-8B487E1968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2166</vt:i4>
      </vt:variant>
    </vt:vector>
  </HeadingPairs>
  <TitlesOfParts>
    <vt:vector size="2182" baseType="lpstr">
      <vt:lpstr>version</vt:lpstr>
      <vt:lpstr>RiskSerializationData8</vt:lpstr>
      <vt:lpstr>input</vt:lpstr>
      <vt:lpstr>substances</vt:lpstr>
      <vt:lpstr>Presampled distributions</vt:lpstr>
      <vt:lpstr>Correlations</vt:lpstr>
      <vt:lpstr>local</vt:lpstr>
      <vt:lpstr>regional</vt:lpstr>
      <vt:lpstr>continental</vt:lpstr>
      <vt:lpstr>global</vt:lpstr>
      <vt:lpstr>engine</vt:lpstr>
      <vt:lpstr>formulas</vt:lpstr>
      <vt:lpstr>output</vt:lpstr>
      <vt:lpstr>dynamicR</vt:lpstr>
      <vt:lpstr>cases</vt:lpstr>
      <vt:lpstr>scenarios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'Presampled distributions'!ADSORB.wL.sdL</vt:lpstr>
      <vt:lpstr>ADSORB.wL.sdL</vt:lpstr>
      <vt:lpstr>'Presampled distributions'!AEROSOLdeprate.A</vt:lpstr>
      <vt:lpstr>AEROSOLdeprate.A</vt:lpstr>
      <vt:lpstr>'Presampled distributions'!AEROSOLdeprate.C</vt:lpstr>
      <vt:lpstr>AEROSOLdeprate.C</vt:lpstr>
      <vt:lpstr>'Presampled distributions'!AEROSOLdeprate.L</vt:lpstr>
      <vt:lpstr>AEROSOLdeprate.L</vt:lpstr>
      <vt:lpstr>'Presampled distributions'!AEROSOLdeprate.M</vt:lpstr>
      <vt:lpstr>AEROSOLdeprate.M</vt:lpstr>
      <vt:lpstr>'Presampled distributions'!AEROSOLdeprate.R</vt:lpstr>
      <vt:lpstr>AEROSOLdeprate.R</vt:lpstr>
      <vt:lpstr>'Presampled distributions'!AEROSOLdeprate.T</vt:lpstr>
      <vt:lpstr>AEROSOLdeprate.T</vt:lpstr>
      <vt:lpstr>'Presampled distributions'!AerosolWashout.A</vt:lpstr>
      <vt:lpstr>AerosolWashout.A</vt:lpstr>
      <vt:lpstr>'Presampled distributions'!AerosolWashout.C</vt:lpstr>
      <vt:lpstr>AerosolWashout.C</vt:lpstr>
      <vt:lpstr>'Presampled distributions'!AerosolWashout.L</vt:lpstr>
      <vt:lpstr>AerosolWashout.L</vt:lpstr>
      <vt:lpstr>'Presampled distributions'!AerosolWashout.M</vt:lpstr>
      <vt:lpstr>AerosolWashout.M</vt:lpstr>
      <vt:lpstr>'Presampled distributions'!AerosolWashout.R</vt:lpstr>
      <vt:lpstr>AerosolWashout.R</vt:lpstr>
      <vt:lpstr>'Presampled distributions'!AerosolWashout.T</vt:lpstr>
      <vt:lpstr>AerosolWashout.T</vt:lpstr>
      <vt:lpstr>'Presampled distributions'!AIRflow.aL.aR</vt:lpstr>
      <vt:lpstr>AIRflow.aL.aR</vt:lpstr>
      <vt:lpstr>'Presampled distributions'!AREAFRAC.s1C</vt:lpstr>
      <vt:lpstr>AREAFRAC.s1C</vt:lpstr>
      <vt:lpstr>'Presampled distributions'!AREAFRAC.s1R</vt:lpstr>
      <vt:lpstr>AREAFRAC.s1R</vt:lpstr>
      <vt:lpstr>'Presampled distributions'!AREAFRAC.s2C</vt:lpstr>
      <vt:lpstr>AREAFRAC.s2C</vt:lpstr>
      <vt:lpstr>'Presampled distributions'!AREAFRAC.s2R</vt:lpstr>
      <vt:lpstr>AREAFRAC.s2R</vt:lpstr>
      <vt:lpstr>'Presampled distributions'!AREAFRAC.s3C</vt:lpstr>
      <vt:lpstr>AREAFRAC.s3C</vt:lpstr>
      <vt:lpstr>'Presampled distributions'!AREAFRAC.s3R</vt:lpstr>
      <vt:lpstr>AREAFRAC.s3R</vt:lpstr>
      <vt:lpstr>'Presampled distributions'!AREAFRAC.sA</vt:lpstr>
      <vt:lpstr>AREAFRAC.sA</vt:lpstr>
      <vt:lpstr>'Presampled distributions'!AREAFRAC.sL</vt:lpstr>
      <vt:lpstr>AREAFRAC.sL</vt:lpstr>
      <vt:lpstr>'Presampled distributions'!AREAFRAC.sM</vt:lpstr>
      <vt:lpstr>AREAFRAC.sM</vt:lpstr>
      <vt:lpstr>'Presampled distributions'!AREAFRAC.sT</vt:lpstr>
      <vt:lpstr>AREAFRAC.sT</vt:lpstr>
      <vt:lpstr>'Presampled distributions'!AREAFRAC.w0C</vt:lpstr>
      <vt:lpstr>AREAFRAC.w0C</vt:lpstr>
      <vt:lpstr>'Presampled distributions'!AREAFRAC.w0R</vt:lpstr>
      <vt:lpstr>AREAFRAC.w0R</vt:lpstr>
      <vt:lpstr>'Presampled distributions'!AREAFRAC.w1C</vt:lpstr>
      <vt:lpstr>AREAFRAC.w1C</vt:lpstr>
      <vt:lpstr>'Presampled distributions'!AREAFRAC.w1R</vt:lpstr>
      <vt:lpstr>AREAFRAC.w1R</vt:lpstr>
      <vt:lpstr>'Presampled distributions'!AREAFRAC.w2C</vt:lpstr>
      <vt:lpstr>AREAFRAC.w2C</vt:lpstr>
      <vt:lpstr>'Presampled distributions'!AREAFRAC.w2R</vt:lpstr>
      <vt:lpstr>AREAFRAC.w2R</vt:lpstr>
      <vt:lpstr>'Presampled distributions'!AREAFRAC.wA</vt:lpstr>
      <vt:lpstr>AREAFRAC.wA</vt:lpstr>
      <vt:lpstr>'Presampled distributions'!AREAFRAC.wL</vt:lpstr>
      <vt:lpstr>AREAFRAC.wL</vt:lpstr>
      <vt:lpstr>'Presampled distributions'!AREAFRAC.wM</vt:lpstr>
      <vt:lpstr>AREAFRAC.wM</vt:lpstr>
      <vt:lpstr>'Presampled distributions'!AREAFRAC.wT</vt:lpstr>
      <vt:lpstr>AREAFRAC.wT</vt:lpstr>
      <vt:lpstr>'Presampled distributions'!AREAland.C</vt:lpstr>
      <vt:lpstr>AREAland.C</vt:lpstr>
      <vt:lpstr>'Presampled distributions'!AREAland.L</vt:lpstr>
      <vt:lpstr>AREAland.L</vt:lpstr>
      <vt:lpstr>'Presampled distributions'!AREAland.R</vt:lpstr>
      <vt:lpstr>AREAland.R</vt:lpstr>
      <vt:lpstr>'Presampled distributions'!AREAsea.C</vt:lpstr>
      <vt:lpstr>AREAsea.C</vt:lpstr>
      <vt:lpstr>'Presampled distributions'!AREAsea.R</vt:lpstr>
      <vt:lpstr>AREAsea.R</vt:lpstr>
      <vt:lpstr>'Presampled distributions'!BACT.test</vt:lpstr>
      <vt:lpstr>BACT.test</vt:lpstr>
      <vt:lpstr>'Presampled distributions'!BACT.w0C</vt:lpstr>
      <vt:lpstr>BACT.w0C</vt:lpstr>
      <vt:lpstr>'Presampled distributions'!BACT.w0R</vt:lpstr>
      <vt:lpstr>BACT.w0R</vt:lpstr>
      <vt:lpstr>'Presampled distributions'!BACT.w1C</vt:lpstr>
      <vt:lpstr>BACT.w1C</vt:lpstr>
      <vt:lpstr>'Presampled distributions'!BACT.w1R</vt:lpstr>
      <vt:lpstr>BACT.w1R</vt:lpstr>
      <vt:lpstr>'Presampled distributions'!BACT.w2A</vt:lpstr>
      <vt:lpstr>BACT.w2A</vt:lpstr>
      <vt:lpstr>'Presampled distributions'!BACT.w2C</vt:lpstr>
      <vt:lpstr>BACT.w2C</vt:lpstr>
      <vt:lpstr>'Presampled distributions'!BACT.w2M</vt:lpstr>
      <vt:lpstr>BACT.w2M</vt:lpstr>
      <vt:lpstr>'Presampled distributions'!BACT.w2R</vt:lpstr>
      <vt:lpstr>BACT.w2R</vt:lpstr>
      <vt:lpstr>'Presampled distributions'!BACT.w2T</vt:lpstr>
      <vt:lpstr>BACT.w2T</vt:lpstr>
      <vt:lpstr>'Presampled distributions'!BACT.w3A</vt:lpstr>
      <vt:lpstr>BACT.w3A</vt:lpstr>
      <vt:lpstr>'Presampled distributions'!BACT.w3M</vt:lpstr>
      <vt:lpstr>BACT.w3M</vt:lpstr>
      <vt:lpstr>'Presampled distributions'!BACT.w3T</vt:lpstr>
      <vt:lpstr>BACT.w3T</vt:lpstr>
      <vt:lpstr>'Presampled distributions'!BACT.wL</vt:lpstr>
      <vt:lpstr>BACT.wL</vt:lpstr>
      <vt:lpstr>'Presampled distributions'!Biodeg</vt:lpstr>
      <vt:lpstr>Biodeg</vt:lpstr>
      <vt:lpstr>box_names</vt:lpstr>
      <vt:lpstr>RiskSerializationData8!BrowseRecords</vt:lpstr>
      <vt:lpstr>'Presampled distributions'!C.aA</vt:lpstr>
      <vt:lpstr>C.aA</vt:lpstr>
      <vt:lpstr>'Presampled distributions'!C.aC</vt:lpstr>
      <vt:lpstr>C.aC</vt:lpstr>
      <vt:lpstr>'Presampled distributions'!C.aL</vt:lpstr>
      <vt:lpstr>C.aL</vt:lpstr>
      <vt:lpstr>'Presampled distributions'!C.aM</vt:lpstr>
      <vt:lpstr>C.aM</vt:lpstr>
      <vt:lpstr>'Presampled distributions'!C.aR</vt:lpstr>
      <vt:lpstr>C.aR</vt:lpstr>
      <vt:lpstr>'Presampled distributions'!C.aT</vt:lpstr>
      <vt:lpstr>C.aT</vt:lpstr>
      <vt:lpstr>'Presampled distributions'!C.OHrad</vt:lpstr>
      <vt:lpstr>C.OHrad</vt:lpstr>
      <vt:lpstr>'Presampled distributions'!C.OHrad.aA</vt:lpstr>
      <vt:lpstr>C.OHrad.aA</vt:lpstr>
      <vt:lpstr>'Presampled distributions'!C.OHrad.aC</vt:lpstr>
      <vt:lpstr>C.OHrad.aC</vt:lpstr>
      <vt:lpstr>'Presampled distributions'!C.OHrad.aL</vt:lpstr>
      <vt:lpstr>C.OHrad.aL</vt:lpstr>
      <vt:lpstr>'Presampled distributions'!C.OHrad.aM</vt:lpstr>
      <vt:lpstr>C.OHrad.aM</vt:lpstr>
      <vt:lpstr>'Presampled distributions'!C.OHrad.aR</vt:lpstr>
      <vt:lpstr>C.OHrad.aR</vt:lpstr>
      <vt:lpstr>'Presampled distributions'!C.OHrad.aT</vt:lpstr>
      <vt:lpstr>C.OHrad.aT</vt:lpstr>
      <vt:lpstr>'Presampled distributions'!C.s1C</vt:lpstr>
      <vt:lpstr>C.s1C</vt:lpstr>
      <vt:lpstr>'Presampled distributions'!C.s1R</vt:lpstr>
      <vt:lpstr>C.s1R</vt:lpstr>
      <vt:lpstr>'Presampled distributions'!C.s2C</vt:lpstr>
      <vt:lpstr>C.s2C</vt:lpstr>
      <vt:lpstr>'Presampled distributions'!C.s2R</vt:lpstr>
      <vt:lpstr>C.s2R</vt:lpstr>
      <vt:lpstr>'Presampled distributions'!C.s3C</vt:lpstr>
      <vt:lpstr>C.s3C</vt:lpstr>
      <vt:lpstr>'Presampled distributions'!C.s3R</vt:lpstr>
      <vt:lpstr>C.s3R</vt:lpstr>
      <vt:lpstr>'Presampled distributions'!C.sA</vt:lpstr>
      <vt:lpstr>C.sA</vt:lpstr>
      <vt:lpstr>'Presampled distributions'!C.sd1C</vt:lpstr>
      <vt:lpstr>C.sd1C</vt:lpstr>
      <vt:lpstr>'Presampled distributions'!C.sd1R</vt:lpstr>
      <vt:lpstr>C.sd1R</vt:lpstr>
      <vt:lpstr>'Presampled distributions'!C.sd2C</vt:lpstr>
      <vt:lpstr>C.sd2C</vt:lpstr>
      <vt:lpstr>'Presampled distributions'!C.sd2R</vt:lpstr>
      <vt:lpstr>C.sd2R</vt:lpstr>
      <vt:lpstr>'Presampled distributions'!C.sdA</vt:lpstr>
      <vt:lpstr>C.sdA</vt:lpstr>
      <vt:lpstr>C.sdL</vt:lpstr>
      <vt:lpstr>'Presampled distributions'!C.sdM</vt:lpstr>
      <vt:lpstr>C.sdM</vt:lpstr>
      <vt:lpstr>'Presampled distributions'!C.sdT</vt:lpstr>
      <vt:lpstr>C.sdT</vt:lpstr>
      <vt:lpstr>'Presampled distributions'!C.sL</vt:lpstr>
      <vt:lpstr>C.sL</vt:lpstr>
      <vt:lpstr>'Presampled distributions'!C.sM</vt:lpstr>
      <vt:lpstr>C.sM</vt:lpstr>
      <vt:lpstr>'Presampled distributions'!C.sT</vt:lpstr>
      <vt:lpstr>C.sT</vt:lpstr>
      <vt:lpstr>'Presampled distributions'!C.w0C</vt:lpstr>
      <vt:lpstr>C.w0C</vt:lpstr>
      <vt:lpstr>'Presampled distributions'!C.w0R</vt:lpstr>
      <vt:lpstr>C.w0R</vt:lpstr>
      <vt:lpstr>'Presampled distributions'!C.w1C</vt:lpstr>
      <vt:lpstr>C.w1C</vt:lpstr>
      <vt:lpstr>'Presampled distributions'!C.w1R</vt:lpstr>
      <vt:lpstr>C.w1R</vt:lpstr>
      <vt:lpstr>'Presampled distributions'!C.w2A</vt:lpstr>
      <vt:lpstr>C.w2A</vt:lpstr>
      <vt:lpstr>'Presampled distributions'!C.w2C</vt:lpstr>
      <vt:lpstr>C.w2C</vt:lpstr>
      <vt:lpstr>'Presampled distributions'!C.w2M</vt:lpstr>
      <vt:lpstr>C.w2M</vt:lpstr>
      <vt:lpstr>'Presampled distributions'!C.w2R</vt:lpstr>
      <vt:lpstr>C.w2R</vt:lpstr>
      <vt:lpstr>'Presampled distributions'!C.w2T</vt:lpstr>
      <vt:lpstr>C.w2T</vt:lpstr>
      <vt:lpstr>'Presampled distributions'!C.w3A</vt:lpstr>
      <vt:lpstr>C.w3A</vt:lpstr>
      <vt:lpstr>'Presampled distributions'!C.w3M</vt:lpstr>
      <vt:lpstr>C.w3M</vt:lpstr>
      <vt:lpstr>'Presampled distributions'!C.w3T</vt:lpstr>
      <vt:lpstr>C.w3T</vt:lpstr>
      <vt:lpstr>'Presampled distributions'!C.wL</vt:lpstr>
      <vt:lpstr>C.wL</vt:lpstr>
      <vt:lpstr>'Presampled distributions'!CaseData</vt:lpstr>
      <vt:lpstr>CaseData</vt:lpstr>
      <vt:lpstr>'Presampled distributions'!CaseName</vt:lpstr>
      <vt:lpstr>CaseName</vt:lpstr>
      <vt:lpstr>'Presampled distributions'!CaseNames</vt:lpstr>
      <vt:lpstr>CaseNames</vt:lpstr>
      <vt:lpstr>'Presampled distributions'!ChemClass</vt:lpstr>
      <vt:lpstr>ChemClass</vt:lpstr>
      <vt:lpstr>ChemClasses</vt:lpstr>
      <vt:lpstr>ChemData</vt:lpstr>
      <vt:lpstr>'Presampled distributions'!ChemName</vt:lpstr>
      <vt:lpstr>ChemName</vt:lpstr>
      <vt:lpstr>'Presampled distributions'!ChemRowNr</vt:lpstr>
      <vt:lpstr>ChemRowNr</vt:lpstr>
      <vt:lpstr>'Presampled distributions'!COL.w0C</vt:lpstr>
      <vt:lpstr>COL.w0C</vt:lpstr>
      <vt:lpstr>'Presampled distributions'!COL.w0R</vt:lpstr>
      <vt:lpstr>COL.w0R</vt:lpstr>
      <vt:lpstr>'Presampled distributions'!COL.w1C</vt:lpstr>
      <vt:lpstr>COL.w1C</vt:lpstr>
      <vt:lpstr>'Presampled distributions'!COL.w1R</vt:lpstr>
      <vt:lpstr>COL.w1R</vt:lpstr>
      <vt:lpstr>'Presampled distributions'!COL.w2A</vt:lpstr>
      <vt:lpstr>COL.w2A</vt:lpstr>
      <vt:lpstr>'Presampled distributions'!COL.w2C</vt:lpstr>
      <vt:lpstr>COL.w2C</vt:lpstr>
      <vt:lpstr>'Presampled distributions'!COL.w2M</vt:lpstr>
      <vt:lpstr>COL.w2M</vt:lpstr>
      <vt:lpstr>'Presampled distributions'!COL.w2R</vt:lpstr>
      <vt:lpstr>COL.w2R</vt:lpstr>
      <vt:lpstr>'Presampled distributions'!COL.w2T</vt:lpstr>
      <vt:lpstr>COL.w2T</vt:lpstr>
      <vt:lpstr>'Presampled distributions'!COL.w3A</vt:lpstr>
      <vt:lpstr>COL.w3A</vt:lpstr>
      <vt:lpstr>'Presampled distributions'!COL.w3M</vt:lpstr>
      <vt:lpstr>COL.w3M</vt:lpstr>
      <vt:lpstr>'Presampled distributions'!COL.w3T</vt:lpstr>
      <vt:lpstr>COL.w3T</vt:lpstr>
      <vt:lpstr>'Presampled distributions'!COL.wL</vt:lpstr>
      <vt:lpstr>COL.wL</vt:lpstr>
      <vt:lpstr>'Presampled distributions'!COLLECTeff.A</vt:lpstr>
      <vt:lpstr>COLLECTeff.A</vt:lpstr>
      <vt:lpstr>'Presampled distributions'!COLLECTeff.C</vt:lpstr>
      <vt:lpstr>COLLECTeff.C</vt:lpstr>
      <vt:lpstr>'Presampled distributions'!COLLECTeff.L</vt:lpstr>
      <vt:lpstr>COLLECTeff.L</vt:lpstr>
      <vt:lpstr>'Presampled distributions'!COLLECTeff.M</vt:lpstr>
      <vt:lpstr>COLLECTeff.M</vt:lpstr>
      <vt:lpstr>'Presampled distributions'!COLLECTeff.R</vt:lpstr>
      <vt:lpstr>COLLECTeff.R</vt:lpstr>
      <vt:lpstr>'Presampled distributions'!COLLECTeff.T</vt:lpstr>
      <vt:lpstr>COLLECTeff.T</vt:lpstr>
      <vt:lpstr>concentration</vt:lpstr>
      <vt:lpstr>'Presampled distributions'!CORG</vt:lpstr>
      <vt:lpstr>CORG</vt:lpstr>
      <vt:lpstr>'Presampled distributions'!CORG.s1C</vt:lpstr>
      <vt:lpstr>CORG.s1C</vt:lpstr>
      <vt:lpstr>'Presampled distributions'!CORG.s1R</vt:lpstr>
      <vt:lpstr>CORG.s1R</vt:lpstr>
      <vt:lpstr>'Presampled distributions'!CORG.s2C</vt:lpstr>
      <vt:lpstr>CORG.s2C</vt:lpstr>
      <vt:lpstr>'Presampled distributions'!CORG.s2R</vt:lpstr>
      <vt:lpstr>CORG.s2R</vt:lpstr>
      <vt:lpstr>'Presampled distributions'!CORG.s3C</vt:lpstr>
      <vt:lpstr>CORG.s3C</vt:lpstr>
      <vt:lpstr>'Presampled distributions'!CORG.s3R</vt:lpstr>
      <vt:lpstr>CORG.s3R</vt:lpstr>
      <vt:lpstr>'Presampled distributions'!CORG.sA</vt:lpstr>
      <vt:lpstr>CORG.sA</vt:lpstr>
      <vt:lpstr>'Presampled distributions'!CORG.sd1C</vt:lpstr>
      <vt:lpstr>CORG.sd1C</vt:lpstr>
      <vt:lpstr>'Presampled distributions'!CORG.sd1R</vt:lpstr>
      <vt:lpstr>CORG.sd1R</vt:lpstr>
      <vt:lpstr>'Presampled distributions'!CORG.sd2C</vt:lpstr>
      <vt:lpstr>CORG.sd2C</vt:lpstr>
      <vt:lpstr>'Presampled distributions'!CORG.sd2R</vt:lpstr>
      <vt:lpstr>CORG.sd2R</vt:lpstr>
      <vt:lpstr>'Presampled distributions'!CORG.sdA</vt:lpstr>
      <vt:lpstr>CORG.sdA</vt:lpstr>
      <vt:lpstr>'Presampled distributions'!CORG.sdL</vt:lpstr>
      <vt:lpstr>CORG.sdL</vt:lpstr>
      <vt:lpstr>'Presampled distributions'!CORG.sdM</vt:lpstr>
      <vt:lpstr>CORG.sdM</vt:lpstr>
      <vt:lpstr>'Presampled distributions'!CORG.sdT</vt:lpstr>
      <vt:lpstr>CORG.sdT</vt:lpstr>
      <vt:lpstr>'Presampled distributions'!CORG.sL</vt:lpstr>
      <vt:lpstr>CORG.sL</vt:lpstr>
      <vt:lpstr>'Presampled distributions'!CORG.sM</vt:lpstr>
      <vt:lpstr>CORG.sM</vt:lpstr>
      <vt:lpstr>'Presampled distributions'!CORG.sT</vt:lpstr>
      <vt:lpstr>CORG.sT</vt:lpstr>
      <vt:lpstr>'Presampled distributions'!CORG.susp0C</vt:lpstr>
      <vt:lpstr>CORG.susp0C</vt:lpstr>
      <vt:lpstr>'Presampled distributions'!CORG.susp0R</vt:lpstr>
      <vt:lpstr>CORG.susp0R</vt:lpstr>
      <vt:lpstr>'Presampled distributions'!CORG.susp1C</vt:lpstr>
      <vt:lpstr>CORG.susp1C</vt:lpstr>
      <vt:lpstr>'Presampled distributions'!CORG.susp1R</vt:lpstr>
      <vt:lpstr>CORG.susp1R</vt:lpstr>
      <vt:lpstr>'Presampled distributions'!CORG.susp2A</vt:lpstr>
      <vt:lpstr>CORG.susp2A</vt:lpstr>
      <vt:lpstr>'Presampled distributions'!CORG.susp2C</vt:lpstr>
      <vt:lpstr>CORG.susp2C</vt:lpstr>
      <vt:lpstr>'Presampled distributions'!CORG.susp2M</vt:lpstr>
      <vt:lpstr>CORG.susp2M</vt:lpstr>
      <vt:lpstr>'Presampled distributions'!CORG.susp2R</vt:lpstr>
      <vt:lpstr>CORG.susp2R</vt:lpstr>
      <vt:lpstr>'Presampled distributions'!CORG.susp2T</vt:lpstr>
      <vt:lpstr>CORG.susp2T</vt:lpstr>
      <vt:lpstr>'Presampled distributions'!CORG.susp3A</vt:lpstr>
      <vt:lpstr>CORG.susp3A</vt:lpstr>
      <vt:lpstr>'Presampled distributions'!CORG.susp3M</vt:lpstr>
      <vt:lpstr>CORG.susp3M</vt:lpstr>
      <vt:lpstr>'Presampled distributions'!CORG.susp3T</vt:lpstr>
      <vt:lpstr>CORG.susp3T</vt:lpstr>
      <vt:lpstr>'Presampled distributions'!CORGaers</vt:lpstr>
      <vt:lpstr>CORGaers</vt:lpstr>
      <vt:lpstr>'Presampled distributions'!CORGsusp.L</vt:lpstr>
      <vt:lpstr>CORGsusp.L</vt:lpstr>
      <vt:lpstr>'Presampled distributions'!CORRleach.s1C</vt:lpstr>
      <vt:lpstr>CORRleach.s1C</vt:lpstr>
      <vt:lpstr>'Presampled distributions'!CORRleach.s1R</vt:lpstr>
      <vt:lpstr>CORRleach.s1R</vt:lpstr>
      <vt:lpstr>'Presampled distributions'!CORRleach.s2C</vt:lpstr>
      <vt:lpstr>CORRleach.s2C</vt:lpstr>
      <vt:lpstr>'Presampled distributions'!CORRleach.s2R</vt:lpstr>
      <vt:lpstr>CORRleach.s2R</vt:lpstr>
      <vt:lpstr>'Presampled distributions'!CORRleach.s3C</vt:lpstr>
      <vt:lpstr>CORRleach.s3C</vt:lpstr>
      <vt:lpstr>'Presampled distributions'!CORRleach.s3R</vt:lpstr>
      <vt:lpstr>CORRleach.s3R</vt:lpstr>
      <vt:lpstr>'Presampled distributions'!CORRleach.sA</vt:lpstr>
      <vt:lpstr>CORRleach.sA</vt:lpstr>
      <vt:lpstr>'Presampled distributions'!CORRleach.sl</vt:lpstr>
      <vt:lpstr>CORRleach.sl</vt:lpstr>
      <vt:lpstr>'Presampled distributions'!CORRleach.sM</vt:lpstr>
      <vt:lpstr>CORRleach.sM</vt:lpstr>
      <vt:lpstr>'Presampled distributions'!CORRleach.sT</vt:lpstr>
      <vt:lpstr>CORRleach.sT</vt:lpstr>
      <vt:lpstr>'Presampled distributions'!CORRrunoff.s1C</vt:lpstr>
      <vt:lpstr>CORRrunoff.s1C</vt:lpstr>
      <vt:lpstr>'Presampled distributions'!CORRrunoff.s1R</vt:lpstr>
      <vt:lpstr>CORRrunoff.s1R</vt:lpstr>
      <vt:lpstr>'Presampled distributions'!CORRrunoff.s2C</vt:lpstr>
      <vt:lpstr>CORRrunoff.s2C</vt:lpstr>
      <vt:lpstr>'Presampled distributions'!CORRrunoff.s2R</vt:lpstr>
      <vt:lpstr>CORRrunoff.s2R</vt:lpstr>
      <vt:lpstr>'Presampled distributions'!CORRrunoff.s3C</vt:lpstr>
      <vt:lpstr>CORRrunoff.s3C</vt:lpstr>
      <vt:lpstr>'Presampled distributions'!CORRrunoff.s3R</vt:lpstr>
      <vt:lpstr>CORRrunoff.s3R</vt:lpstr>
      <vt:lpstr>'Presampled distributions'!CORRrunoff.sA</vt:lpstr>
      <vt:lpstr>CORRrunoff.sA</vt:lpstr>
      <vt:lpstr>'Presampled distributions'!CORRrunoff.sL</vt:lpstr>
      <vt:lpstr>CORRrunoff.sL</vt:lpstr>
      <vt:lpstr>'Presampled distributions'!CORRrunoff.sM</vt:lpstr>
      <vt:lpstr>CORRrunoff.sM</vt:lpstr>
      <vt:lpstr>'Presampled distributions'!CORRrunoff.sT</vt:lpstr>
      <vt:lpstr>CORRrunoff.sT</vt:lpstr>
      <vt:lpstr>'Presampled distributions'!CORRvolat.s1C</vt:lpstr>
      <vt:lpstr>CORRvolat.s1C</vt:lpstr>
      <vt:lpstr>'Presampled distributions'!CORRvolat.s1R</vt:lpstr>
      <vt:lpstr>CORRvolat.s1R</vt:lpstr>
      <vt:lpstr>'Presampled distributions'!CORRvolat.s2C</vt:lpstr>
      <vt:lpstr>CORRvolat.s2C</vt:lpstr>
      <vt:lpstr>'Presampled distributions'!CORRvolat.s2R</vt:lpstr>
      <vt:lpstr>CORRvolat.s2R</vt:lpstr>
      <vt:lpstr>'Presampled distributions'!CORRvolat.s3C</vt:lpstr>
      <vt:lpstr>CORRvolat.s3C</vt:lpstr>
      <vt:lpstr>'Presampled distributions'!CORRvolat.s3R</vt:lpstr>
      <vt:lpstr>CORRvolat.s3R</vt:lpstr>
      <vt:lpstr>'Presampled distributions'!CORRvolat.sA</vt:lpstr>
      <vt:lpstr>CORRvolat.sA</vt:lpstr>
      <vt:lpstr>CORRvolat.sL</vt:lpstr>
      <vt:lpstr>'Presampled distributions'!CORRvolat.sM</vt:lpstr>
      <vt:lpstr>CORRvolat.sM</vt:lpstr>
      <vt:lpstr>'Presampled distributions'!CORRvolat.sT</vt:lpstr>
      <vt:lpstr>CORRvolat.sT</vt:lpstr>
      <vt:lpstr>'Presampled distributions'!D</vt:lpstr>
      <vt:lpstr>D</vt:lpstr>
      <vt:lpstr>'Presampled distributions'!Deff.sL</vt:lpstr>
      <vt:lpstr>Deff.sL</vt:lpstr>
      <vt:lpstr>'Presampled distributions'!DEPflow.aL.sL</vt:lpstr>
      <vt:lpstr>DEPflow.aL.sL</vt:lpstr>
      <vt:lpstr>'Presampled distributions'!DEPflow.aL.wL</vt:lpstr>
      <vt:lpstr>DEPflow.aL.wL</vt:lpstr>
      <vt:lpstr>'Presampled distributions'!DEPTH.s1C</vt:lpstr>
      <vt:lpstr>DEPTH.s1C</vt:lpstr>
      <vt:lpstr>'Presampled distributions'!DEPTH.s1R</vt:lpstr>
      <vt:lpstr>DEPTH.s1R</vt:lpstr>
      <vt:lpstr>'Presampled distributions'!DEPTH.s2C</vt:lpstr>
      <vt:lpstr>DEPTH.s2C</vt:lpstr>
      <vt:lpstr>'Presampled distributions'!DEPTH.s2R</vt:lpstr>
      <vt:lpstr>DEPTH.s2R</vt:lpstr>
      <vt:lpstr>'Presampled distributions'!DEPTH.s3C</vt:lpstr>
      <vt:lpstr>DEPTH.s3C</vt:lpstr>
      <vt:lpstr>'Presampled distributions'!DEPTH.s3R</vt:lpstr>
      <vt:lpstr>DEPTH.s3R</vt:lpstr>
      <vt:lpstr>'Presampled distributions'!DEPTH.sA</vt:lpstr>
      <vt:lpstr>DEPTH.sA</vt:lpstr>
      <vt:lpstr>'Presampled distributions'!DEPTH.sd1C</vt:lpstr>
      <vt:lpstr>DEPTH.sd1C</vt:lpstr>
      <vt:lpstr>'Presampled distributions'!DEPTH.sd1R</vt:lpstr>
      <vt:lpstr>DEPTH.sd1R</vt:lpstr>
      <vt:lpstr>'Presampled distributions'!DEPTH.sd2C</vt:lpstr>
      <vt:lpstr>DEPTH.sd2C</vt:lpstr>
      <vt:lpstr>'Presampled distributions'!DEPTH.sd2R</vt:lpstr>
      <vt:lpstr>DEPTH.sd2R</vt:lpstr>
      <vt:lpstr>'Presampled distributions'!DEPTH.sdA</vt:lpstr>
      <vt:lpstr>DEPTH.sdA</vt:lpstr>
      <vt:lpstr>'Presampled distributions'!DEPTH.sdL</vt:lpstr>
      <vt:lpstr>DEPTH.sdL</vt:lpstr>
      <vt:lpstr>'Presampled distributions'!DEPTH.sdM</vt:lpstr>
      <vt:lpstr>DEPTH.sdM</vt:lpstr>
      <vt:lpstr>'Presampled distributions'!DEPTH.sdT</vt:lpstr>
      <vt:lpstr>DEPTH.sdT</vt:lpstr>
      <vt:lpstr>'Presampled distributions'!DEPTH.sL</vt:lpstr>
      <vt:lpstr>DEPTH.sL</vt:lpstr>
      <vt:lpstr>'Presampled distributions'!DEPTH.sM</vt:lpstr>
      <vt:lpstr>DEPTH.sM</vt:lpstr>
      <vt:lpstr>'Presampled distributions'!DEPTH.sT</vt:lpstr>
      <vt:lpstr>DEPTH.sT</vt:lpstr>
      <vt:lpstr>'Presampled distributions'!DEPTH.w0C</vt:lpstr>
      <vt:lpstr>DEPTH.w0C</vt:lpstr>
      <vt:lpstr>'Presampled distributions'!DEPTH.w0R</vt:lpstr>
      <vt:lpstr>DEPTH.w0R</vt:lpstr>
      <vt:lpstr>'Presampled distributions'!DEPTH.w1C</vt:lpstr>
      <vt:lpstr>DEPTH.w1C</vt:lpstr>
      <vt:lpstr>'Presampled distributions'!DEPTH.w1R</vt:lpstr>
      <vt:lpstr>DEPTH.w1R</vt:lpstr>
      <vt:lpstr>'Presampled distributions'!DEPTH.w2A</vt:lpstr>
      <vt:lpstr>DEPTH.w2A</vt:lpstr>
      <vt:lpstr>'Presampled distributions'!DEPTH.w2C</vt:lpstr>
      <vt:lpstr>DEPTH.w2C</vt:lpstr>
      <vt:lpstr>'Presampled distributions'!DEPTH.w2M</vt:lpstr>
      <vt:lpstr>DEPTH.w2M</vt:lpstr>
      <vt:lpstr>'Presampled distributions'!DEPTH.w2R</vt:lpstr>
      <vt:lpstr>DEPTH.w2R</vt:lpstr>
      <vt:lpstr>'Presampled distributions'!DEPTH.w2T</vt:lpstr>
      <vt:lpstr>DEPTH.w2T</vt:lpstr>
      <vt:lpstr>'Presampled distributions'!DEPTH.w3A</vt:lpstr>
      <vt:lpstr>DEPTH.w3A</vt:lpstr>
      <vt:lpstr>'Presampled distributions'!DEPTH.w3M</vt:lpstr>
      <vt:lpstr>DEPTH.w3M</vt:lpstr>
      <vt:lpstr>'Presampled distributions'!DEPTH.w3T</vt:lpstr>
      <vt:lpstr>DEPTH.w3T</vt:lpstr>
      <vt:lpstr>'Presampled distributions'!DEPTH.wL</vt:lpstr>
      <vt:lpstr>DEPTH.wL</vt:lpstr>
      <vt:lpstr>'Presampled distributions'!DEPTHdrain.sL</vt:lpstr>
      <vt:lpstr>DEPTHdrain.sL</vt:lpstr>
      <vt:lpstr>'Presampled distributions'!DEPTHfreshwater.C</vt:lpstr>
      <vt:lpstr>DEPTHfreshwater.C</vt:lpstr>
      <vt:lpstr>'Presampled distributions'!DEPTHfreshwater.R</vt:lpstr>
      <vt:lpstr>DEPTHfreshwater.R</vt:lpstr>
      <vt:lpstr>'Presampled distributions'!DEPTHlake.C</vt:lpstr>
      <vt:lpstr>DEPTHlake.C</vt:lpstr>
      <vt:lpstr>'Presampled distributions'!DEPTHlake.R</vt:lpstr>
      <vt:lpstr>DEPTHlake.R</vt:lpstr>
      <vt:lpstr>'Presampled distributions'!DEPTHwater.L</vt:lpstr>
      <vt:lpstr>DEPTHwater.L</vt:lpstr>
      <vt:lpstr>DESORB.sd1C.w1C</vt:lpstr>
      <vt:lpstr>DESORB.sd1R.w1R</vt:lpstr>
      <vt:lpstr>DESORB.sd2C.w2C</vt:lpstr>
      <vt:lpstr>DESORB.sd2R.w2R</vt:lpstr>
      <vt:lpstr>DESORB.sdA.w3A</vt:lpstr>
      <vt:lpstr>'Presampled distributions'!DESORB.sdL.wL</vt:lpstr>
      <vt:lpstr>DESORB.sdL.wL</vt:lpstr>
      <vt:lpstr>DESORB.sdM.w3M</vt:lpstr>
      <vt:lpstr>DESORB.sdT.w3T</vt:lpstr>
      <vt:lpstr>'Presampled distributions'!DIFFgas</vt:lpstr>
      <vt:lpstr>DIFFgas</vt:lpstr>
      <vt:lpstr>'Presampled distributions'!DIFFwater</vt:lpstr>
      <vt:lpstr>DIFFwater</vt:lpstr>
      <vt:lpstr>RiskSerializationData8!DistributionRecords</vt:lpstr>
      <vt:lpstr>'Presampled distributions'!DRYDEPaerosol.A</vt:lpstr>
      <vt:lpstr>DRYDEPaerosol.A</vt:lpstr>
      <vt:lpstr>'Presampled distributions'!DRYDEPaerosol.C</vt:lpstr>
      <vt:lpstr>DRYDEPaerosol.C</vt:lpstr>
      <vt:lpstr>'Presampled distributions'!DRYDEPaerosol.L</vt:lpstr>
      <vt:lpstr>DRYDEPaerosol.L</vt:lpstr>
      <vt:lpstr>'Presampled distributions'!DRYDEPaerosol.M</vt:lpstr>
      <vt:lpstr>DRYDEPaerosol.M</vt:lpstr>
      <vt:lpstr>'Presampled distributions'!DRYDEPaerosol.R</vt:lpstr>
      <vt:lpstr>DRYDEPaerosol.R</vt:lpstr>
      <vt:lpstr>'Presampled distributions'!DRYDEPaerosol.T</vt:lpstr>
      <vt:lpstr>DRYDEPaerosol.T</vt:lpstr>
      <vt:lpstr>'Presampled distributions'!E.aA</vt:lpstr>
      <vt:lpstr>E.aA</vt:lpstr>
      <vt:lpstr>'Presampled distributions'!E.aC</vt:lpstr>
      <vt:lpstr>E.aC</vt:lpstr>
      <vt:lpstr>'Presampled distributions'!E.aL</vt:lpstr>
      <vt:lpstr>E.aL</vt:lpstr>
      <vt:lpstr>'Presampled distributions'!E.aM</vt:lpstr>
      <vt:lpstr>E.aM</vt:lpstr>
      <vt:lpstr>'Presampled distributions'!E.aR</vt:lpstr>
      <vt:lpstr>E.aR</vt:lpstr>
      <vt:lpstr>'Presampled distributions'!E.aT</vt:lpstr>
      <vt:lpstr>E.aT</vt:lpstr>
      <vt:lpstr>'Presampled distributions'!E.s1C</vt:lpstr>
      <vt:lpstr>E.s1C</vt:lpstr>
      <vt:lpstr>'Presampled distributions'!E.s1R</vt:lpstr>
      <vt:lpstr>E.s1R</vt:lpstr>
      <vt:lpstr>'Presampled distributions'!E.s2C</vt:lpstr>
      <vt:lpstr>E.s2C</vt:lpstr>
      <vt:lpstr>'Presampled distributions'!E.s2R</vt:lpstr>
      <vt:lpstr>E.s2R</vt:lpstr>
      <vt:lpstr>'Presampled distributions'!E.s3C</vt:lpstr>
      <vt:lpstr>E.s3C</vt:lpstr>
      <vt:lpstr>'Presampled distributions'!E.s3R</vt:lpstr>
      <vt:lpstr>E.s3R</vt:lpstr>
      <vt:lpstr>'Presampled distributions'!E.sA</vt:lpstr>
      <vt:lpstr>E.sA</vt:lpstr>
      <vt:lpstr>'Presampled distributions'!E.sL</vt:lpstr>
      <vt:lpstr>E.sL</vt:lpstr>
      <vt:lpstr>'Presampled distributions'!E.sM</vt:lpstr>
      <vt:lpstr>E.sM</vt:lpstr>
      <vt:lpstr>'Presampled distributions'!E.sT</vt:lpstr>
      <vt:lpstr>E.sT</vt:lpstr>
      <vt:lpstr>E.w0C</vt:lpstr>
      <vt:lpstr>'Presampled distributions'!E.w0R</vt:lpstr>
      <vt:lpstr>E.w0R</vt:lpstr>
      <vt:lpstr>'Presampled distributions'!E.w1C</vt:lpstr>
      <vt:lpstr>E.w1C</vt:lpstr>
      <vt:lpstr>'Presampled distributions'!E.w1R</vt:lpstr>
      <vt:lpstr>E.w1R</vt:lpstr>
      <vt:lpstr>'Presampled distributions'!E.w2A</vt:lpstr>
      <vt:lpstr>E.w2A</vt:lpstr>
      <vt:lpstr>'Presampled distributions'!E.w2C</vt:lpstr>
      <vt:lpstr>E.w2C</vt:lpstr>
      <vt:lpstr>'Presampled distributions'!E.w2M</vt:lpstr>
      <vt:lpstr>E.w2M</vt:lpstr>
      <vt:lpstr>'Presampled distributions'!E.w2R</vt:lpstr>
      <vt:lpstr>E.w2R</vt:lpstr>
      <vt:lpstr>'Presampled distributions'!E.w2T</vt:lpstr>
      <vt:lpstr>E.w2T</vt:lpstr>
      <vt:lpstr>'Presampled distributions'!E.wL</vt:lpstr>
      <vt:lpstr>E.wL</vt:lpstr>
      <vt:lpstr>'Presampled distributions'!Ea.OHrad</vt:lpstr>
      <vt:lpstr>Ea.OHrad</vt:lpstr>
      <vt:lpstr>'Presampled distributions'!emis</vt:lpstr>
      <vt:lpstr>emis</vt:lpstr>
      <vt:lpstr>emis.I</vt:lpstr>
      <vt:lpstr>emis.II</vt:lpstr>
      <vt:lpstr>'Presampled distributions'!Emis.tot</vt:lpstr>
      <vt:lpstr>Emis.tot</vt:lpstr>
      <vt:lpstr>'Presampled distributions'!EROSION.C</vt:lpstr>
      <vt:lpstr>EROSION.C</vt:lpstr>
      <vt:lpstr>'Presampled distributions'!EROSION.R</vt:lpstr>
      <vt:lpstr>EROSION.R</vt:lpstr>
      <vt:lpstr>'Presampled distributions'!EROSION.s1C</vt:lpstr>
      <vt:lpstr>EROSION.s1C</vt:lpstr>
      <vt:lpstr>'Presampled distributions'!EROSION.s1R</vt:lpstr>
      <vt:lpstr>EROSION.s1R</vt:lpstr>
      <vt:lpstr>'Presampled distributions'!EROSION.s2C</vt:lpstr>
      <vt:lpstr>EROSION.s2C</vt:lpstr>
      <vt:lpstr>'Presampled distributions'!EROSION.s2R</vt:lpstr>
      <vt:lpstr>EROSION.s2R</vt:lpstr>
      <vt:lpstr>'Presampled distributions'!EROSION.s3C</vt:lpstr>
      <vt:lpstr>EROSION.s3C</vt:lpstr>
      <vt:lpstr>'Presampled distributions'!EROSION.s3R</vt:lpstr>
      <vt:lpstr>EROSION.s3R</vt:lpstr>
      <vt:lpstr>'Presampled distributions'!EROSION.sA</vt:lpstr>
      <vt:lpstr>EROSION.sA</vt:lpstr>
      <vt:lpstr>'Presampled distributions'!EROSION.sL</vt:lpstr>
      <vt:lpstr>EROSION.sL</vt:lpstr>
      <vt:lpstr>'Presampled distributions'!EROSION.sM</vt:lpstr>
      <vt:lpstr>EROSION.sM</vt:lpstr>
      <vt:lpstr>'Presampled distributions'!EROSION.sT</vt:lpstr>
      <vt:lpstr>EROSION.sT</vt:lpstr>
      <vt:lpstr>'Presampled distributions'!F.aA</vt:lpstr>
      <vt:lpstr>F.aA</vt:lpstr>
      <vt:lpstr>'Presampled distributions'!F.aC</vt:lpstr>
      <vt:lpstr>F.aC</vt:lpstr>
      <vt:lpstr>'Presampled distributions'!F.aM</vt:lpstr>
      <vt:lpstr>F.aM</vt:lpstr>
      <vt:lpstr>'Presampled distributions'!F.aR</vt:lpstr>
      <vt:lpstr>F.aR</vt:lpstr>
      <vt:lpstr>'Presampled distributions'!F.aT</vt:lpstr>
      <vt:lpstr>F.aT</vt:lpstr>
      <vt:lpstr>'Presampled distributions'!F.s1C</vt:lpstr>
      <vt:lpstr>F.s1C</vt:lpstr>
      <vt:lpstr>'Presampled distributions'!F.s1R</vt:lpstr>
      <vt:lpstr>F.s1R</vt:lpstr>
      <vt:lpstr>'Presampled distributions'!F.s2C</vt:lpstr>
      <vt:lpstr>F.s2C</vt:lpstr>
      <vt:lpstr>'Presampled distributions'!F.s2R</vt:lpstr>
      <vt:lpstr>F.s2R</vt:lpstr>
      <vt:lpstr>'Presampled distributions'!F.s3C</vt:lpstr>
      <vt:lpstr>F.s3C</vt:lpstr>
      <vt:lpstr>'Presampled distributions'!F.s3R</vt:lpstr>
      <vt:lpstr>F.s3R</vt:lpstr>
      <vt:lpstr>'Presampled distributions'!F.sA</vt:lpstr>
      <vt:lpstr>F.sA</vt:lpstr>
      <vt:lpstr>'Presampled distributions'!F.sd1C</vt:lpstr>
      <vt:lpstr>F.sd1C</vt:lpstr>
      <vt:lpstr>'Presampled distributions'!F.sd1R</vt:lpstr>
      <vt:lpstr>F.sd1R</vt:lpstr>
      <vt:lpstr>'Presampled distributions'!F.sd2C</vt:lpstr>
      <vt:lpstr>F.sd2C</vt:lpstr>
      <vt:lpstr>'Presampled distributions'!F.sd2R</vt:lpstr>
      <vt:lpstr>F.sd2R</vt:lpstr>
      <vt:lpstr>'Presampled distributions'!F.sdA</vt:lpstr>
      <vt:lpstr>F.sdA</vt:lpstr>
      <vt:lpstr>'Presampled distributions'!F.sdM</vt:lpstr>
      <vt:lpstr>F.sdM</vt:lpstr>
      <vt:lpstr>'Presampled distributions'!F.sdT</vt:lpstr>
      <vt:lpstr>F.sdT</vt:lpstr>
      <vt:lpstr>'Presampled distributions'!F.sM</vt:lpstr>
      <vt:lpstr>F.sM</vt:lpstr>
      <vt:lpstr>'Presampled distributions'!F.sT</vt:lpstr>
      <vt:lpstr>F.sT</vt:lpstr>
      <vt:lpstr>'Presampled distributions'!F.w0C</vt:lpstr>
      <vt:lpstr>F.w0C</vt:lpstr>
      <vt:lpstr>'Presampled distributions'!F.w0R</vt:lpstr>
      <vt:lpstr>F.w0R</vt:lpstr>
      <vt:lpstr>'Presampled distributions'!F.w1C</vt:lpstr>
      <vt:lpstr>F.w1C</vt:lpstr>
      <vt:lpstr>'Presampled distributions'!F.w1R</vt:lpstr>
      <vt:lpstr>F.w1R</vt:lpstr>
      <vt:lpstr>'Presampled distributions'!F.w2A</vt:lpstr>
      <vt:lpstr>F.w2A</vt:lpstr>
      <vt:lpstr>'Presampled distributions'!F.w2C</vt:lpstr>
      <vt:lpstr>F.w2C</vt:lpstr>
      <vt:lpstr>'Presampled distributions'!F.w2M</vt:lpstr>
      <vt:lpstr>F.w2M</vt:lpstr>
      <vt:lpstr>'Presampled distributions'!F.w2R</vt:lpstr>
      <vt:lpstr>F.w2R</vt:lpstr>
      <vt:lpstr>'Presampled distributions'!F.w2T</vt:lpstr>
      <vt:lpstr>F.w2T</vt:lpstr>
      <vt:lpstr>'Presampled distributions'!F.w3A</vt:lpstr>
      <vt:lpstr>F.w3A</vt:lpstr>
      <vt:lpstr>'Presampled distributions'!F.w3M</vt:lpstr>
      <vt:lpstr>F.w3M</vt:lpstr>
      <vt:lpstr>'Presampled distributions'!F.w3T</vt:lpstr>
      <vt:lpstr>F.w3T</vt:lpstr>
      <vt:lpstr>'Presampled distributions'!FRAC.w1C.w1R</vt:lpstr>
      <vt:lpstr>FRAC.w1C.w1R</vt:lpstr>
      <vt:lpstr>'Presampled distributions'!FRAC.w1R.w1C</vt:lpstr>
      <vt:lpstr>FRAC.w1R.w1C</vt:lpstr>
      <vt:lpstr>'Presampled distributions'!FRAC.wL.w1R</vt:lpstr>
      <vt:lpstr>FRAC.wL.w1R</vt:lpstr>
      <vt:lpstr>'Presampled distributions'!FRACa.s1C</vt:lpstr>
      <vt:lpstr>FRACa.s1C</vt:lpstr>
      <vt:lpstr>'Presampled distributions'!FRACa.s1R</vt:lpstr>
      <vt:lpstr>FRACa.s1R</vt:lpstr>
      <vt:lpstr>'Presampled distributions'!FRACa.s2C</vt:lpstr>
      <vt:lpstr>FRACa.s2C</vt:lpstr>
      <vt:lpstr>'Presampled distributions'!FRACa.s2R</vt:lpstr>
      <vt:lpstr>FRACa.s2R</vt:lpstr>
      <vt:lpstr>'Presampled distributions'!FRACa.s3C</vt:lpstr>
      <vt:lpstr>FRACa.s3C</vt:lpstr>
      <vt:lpstr>'Presampled distributions'!FRACa.s3R</vt:lpstr>
      <vt:lpstr>FRACa.s3R</vt:lpstr>
      <vt:lpstr>'Presampled distributions'!FRACa.sA</vt:lpstr>
      <vt:lpstr>FRACa.sA</vt:lpstr>
      <vt:lpstr>'Presampled distributions'!FRACa.sL</vt:lpstr>
      <vt:lpstr>FRACa.sL</vt:lpstr>
      <vt:lpstr>'Presampled distributions'!FRACa.sM</vt:lpstr>
      <vt:lpstr>FRACa.sM</vt:lpstr>
      <vt:lpstr>'Presampled distributions'!FRACa.sT</vt:lpstr>
      <vt:lpstr>FRACa.sT</vt:lpstr>
      <vt:lpstr>'Presampled distributions'!FRACaers.aA</vt:lpstr>
      <vt:lpstr>FRACaers.aA</vt:lpstr>
      <vt:lpstr>'Presampled distributions'!FRACaers.aC</vt:lpstr>
      <vt:lpstr>FRACaers.aC</vt:lpstr>
      <vt:lpstr>'Presampled distributions'!FRACaers.aL</vt:lpstr>
      <vt:lpstr>FRACaers.aL</vt:lpstr>
      <vt:lpstr>'Presampled distributions'!FRACaers.aM</vt:lpstr>
      <vt:lpstr>FRACaers.aM</vt:lpstr>
      <vt:lpstr>'Presampled distributions'!FRACaers.aR</vt:lpstr>
      <vt:lpstr>FRACaers.aR</vt:lpstr>
      <vt:lpstr>'Presampled distributions'!FRACaers.aT</vt:lpstr>
      <vt:lpstr>FRACaers.aT</vt:lpstr>
      <vt:lpstr>'Presampled distributions'!FRACaerw.aA</vt:lpstr>
      <vt:lpstr>FRACaerw.aA</vt:lpstr>
      <vt:lpstr>'Presampled distributions'!FRACaerw.aC</vt:lpstr>
      <vt:lpstr>FRACaerw.aC</vt:lpstr>
      <vt:lpstr>'Presampled distributions'!FRACaerw.aL</vt:lpstr>
      <vt:lpstr>FRACaerw.aL</vt:lpstr>
      <vt:lpstr>'Presampled distributions'!FRACaerw.aM</vt:lpstr>
      <vt:lpstr>FRACaerw.aM</vt:lpstr>
      <vt:lpstr>'Presampled distributions'!FRACaerw.aR</vt:lpstr>
      <vt:lpstr>FRACaerw.aR</vt:lpstr>
      <vt:lpstr>'Presampled distributions'!FRACaerw.aT</vt:lpstr>
      <vt:lpstr>FRACaerw.aT</vt:lpstr>
      <vt:lpstr>'Presampled distributions'!FRACagsoil.C</vt:lpstr>
      <vt:lpstr>FRACagsoil.C</vt:lpstr>
      <vt:lpstr>'Presampled distributions'!FRACagsoil.R</vt:lpstr>
      <vt:lpstr>FRACagsoil.R</vt:lpstr>
      <vt:lpstr>'Presampled distributions'!FRACfresh.C</vt:lpstr>
      <vt:lpstr>FRACfresh.C</vt:lpstr>
      <vt:lpstr>'Presampled distributions'!FRACfresh.R</vt:lpstr>
      <vt:lpstr>FRACfresh.R</vt:lpstr>
      <vt:lpstr>'Presampled distributions'!FRACinf.C</vt:lpstr>
      <vt:lpstr>FRACinf.C</vt:lpstr>
      <vt:lpstr>'Presampled distributions'!FRACinf.R</vt:lpstr>
      <vt:lpstr>FRACinf.R</vt:lpstr>
      <vt:lpstr>'Presampled distributions'!FRACinf.s1C</vt:lpstr>
      <vt:lpstr>FRACinf.s1C</vt:lpstr>
      <vt:lpstr>'Presampled distributions'!FRACinf.s1R</vt:lpstr>
      <vt:lpstr>FRACinf.s1R</vt:lpstr>
      <vt:lpstr>'Presampled distributions'!FRACinf.s2C</vt:lpstr>
      <vt:lpstr>FRACinf.s2C</vt:lpstr>
      <vt:lpstr>'Presampled distributions'!FRACinf.s2L</vt:lpstr>
      <vt:lpstr>FRACinf.s2L</vt:lpstr>
      <vt:lpstr>'Presampled distributions'!FRACinf.s2R</vt:lpstr>
      <vt:lpstr>FRACinf.s2R</vt:lpstr>
      <vt:lpstr>'Presampled distributions'!FRACinf.s3C</vt:lpstr>
      <vt:lpstr>FRACinf.s3C</vt:lpstr>
      <vt:lpstr>'Presampled distributions'!FRACinf.s3R</vt:lpstr>
      <vt:lpstr>FRACinf.s3R</vt:lpstr>
      <vt:lpstr>'Presampled distributions'!FRACinf.sA</vt:lpstr>
      <vt:lpstr>FRACinf.sA</vt:lpstr>
      <vt:lpstr>'Presampled distributions'!FRACinf.sL</vt:lpstr>
      <vt:lpstr>FRACinf.sL</vt:lpstr>
      <vt:lpstr>'Presampled distributions'!FRACinf.sM</vt:lpstr>
      <vt:lpstr>FRACinf.sM</vt:lpstr>
      <vt:lpstr>'Presampled distributions'!FRACinf.sT</vt:lpstr>
      <vt:lpstr>FRACinf.sT</vt:lpstr>
      <vt:lpstr>'Presampled distributions'!FRAClake.C</vt:lpstr>
      <vt:lpstr>FRAClake.C</vt:lpstr>
      <vt:lpstr>'Presampled distributions'!FRAClake.R</vt:lpstr>
      <vt:lpstr>FRAClake.R</vt:lpstr>
      <vt:lpstr>'Presampled distributions'!FRACnatsoil.C</vt:lpstr>
      <vt:lpstr>FRACnatsoil.C</vt:lpstr>
      <vt:lpstr>'Presampled distributions'!FRACnatsoil.R</vt:lpstr>
      <vt:lpstr>FRACnatsoil.R</vt:lpstr>
      <vt:lpstr>'Presampled distributions'!FRACothersoil.C</vt:lpstr>
      <vt:lpstr>FRACothersoil.C</vt:lpstr>
      <vt:lpstr>'Presampled distributions'!FRACothersoil.R</vt:lpstr>
      <vt:lpstr>FRACothersoil.R</vt:lpstr>
      <vt:lpstr>'Presampled distributions'!FRACrun.C</vt:lpstr>
      <vt:lpstr>FRACrun.C</vt:lpstr>
      <vt:lpstr>'Presampled distributions'!FRACrun.L</vt:lpstr>
      <vt:lpstr>FRACrun.L</vt:lpstr>
      <vt:lpstr>'Presampled distributions'!FRACrun.R</vt:lpstr>
      <vt:lpstr>FRACrun.R</vt:lpstr>
      <vt:lpstr>'Presampled distributions'!FRACrun.s1C</vt:lpstr>
      <vt:lpstr>FRACrun.s1C</vt:lpstr>
      <vt:lpstr>'Presampled distributions'!FRACrun.s1R</vt:lpstr>
      <vt:lpstr>FRACrun.s1R</vt:lpstr>
      <vt:lpstr>'Presampled distributions'!FRACrun.s2C</vt:lpstr>
      <vt:lpstr>FRACrun.s2C</vt:lpstr>
      <vt:lpstr>'Presampled distributions'!FRACrun.s2R</vt:lpstr>
      <vt:lpstr>FRACrun.s2R</vt:lpstr>
      <vt:lpstr>'Presampled distributions'!FRACrun.s3C</vt:lpstr>
      <vt:lpstr>FRACrun.s3C</vt:lpstr>
      <vt:lpstr>'Presampled distributions'!FRACrun.s3R</vt:lpstr>
      <vt:lpstr>FRACrun.s3R</vt:lpstr>
      <vt:lpstr>'Presampled distributions'!FRACrun.sA</vt:lpstr>
      <vt:lpstr>FRACrun.sA</vt:lpstr>
      <vt:lpstr>'Presampled distributions'!FRACrun.sL</vt:lpstr>
      <vt:lpstr>FRACrun.sL</vt:lpstr>
      <vt:lpstr>'Presampled distributions'!FRACrun.sM</vt:lpstr>
      <vt:lpstr>FRACrun.sM</vt:lpstr>
      <vt:lpstr>'Presampled distributions'!FRACrun.sT</vt:lpstr>
      <vt:lpstr>FRACrun.sT</vt:lpstr>
      <vt:lpstr>'Presampled distributions'!FRACs.s1C</vt:lpstr>
      <vt:lpstr>FRACs.s1C</vt:lpstr>
      <vt:lpstr>'Presampled distributions'!FRACs.s1R</vt:lpstr>
      <vt:lpstr>FRACs.s1R</vt:lpstr>
      <vt:lpstr>'Presampled distributions'!FRACs.s2C</vt:lpstr>
      <vt:lpstr>FRACs.s2C</vt:lpstr>
      <vt:lpstr>'Presampled distributions'!FRACs.s2R</vt:lpstr>
      <vt:lpstr>FRACs.s2R</vt:lpstr>
      <vt:lpstr>'Presampled distributions'!FRACs.s3C</vt:lpstr>
      <vt:lpstr>FRACs.s3C</vt:lpstr>
      <vt:lpstr>'Presampled distributions'!FRACs.s3R</vt:lpstr>
      <vt:lpstr>FRACs.s3R</vt:lpstr>
      <vt:lpstr>'Presampled distributions'!FRACs.sA</vt:lpstr>
      <vt:lpstr>FRACs.sA</vt:lpstr>
      <vt:lpstr>'Presampled distributions'!FRACs.sdA</vt:lpstr>
      <vt:lpstr>FRACs.sdA</vt:lpstr>
      <vt:lpstr>'Presampled distributions'!FRACs.sdC</vt:lpstr>
      <vt:lpstr>FRACs.sdC</vt:lpstr>
      <vt:lpstr>'Presampled distributions'!FRACs.sdL</vt:lpstr>
      <vt:lpstr>FRACs.sdL</vt:lpstr>
      <vt:lpstr>'Presampled distributions'!FRACs.sdM</vt:lpstr>
      <vt:lpstr>FRACs.sdM</vt:lpstr>
      <vt:lpstr>'Presampled distributions'!FRACs.sdR</vt:lpstr>
      <vt:lpstr>FRACs.sdR</vt:lpstr>
      <vt:lpstr>'Presampled distributions'!FRACs.sdT</vt:lpstr>
      <vt:lpstr>FRACs.sdT</vt:lpstr>
      <vt:lpstr>'Presampled distributions'!FRACs.sL</vt:lpstr>
      <vt:lpstr>FRACs.sL</vt:lpstr>
      <vt:lpstr>'Presampled distributions'!FRACs.sM</vt:lpstr>
      <vt:lpstr>FRACs.sM</vt:lpstr>
      <vt:lpstr>'Presampled distributions'!FRACs.sT</vt:lpstr>
      <vt:lpstr>FRACs.sT</vt:lpstr>
      <vt:lpstr>'Presampled distributions'!FRACsoil.L</vt:lpstr>
      <vt:lpstr>FRACsoil.L</vt:lpstr>
      <vt:lpstr>'Presampled distributions'!FRACw.s1C</vt:lpstr>
      <vt:lpstr>FRACw.s1C</vt:lpstr>
      <vt:lpstr>'Presampled distributions'!FRACw.s1R</vt:lpstr>
      <vt:lpstr>FRACw.s1R</vt:lpstr>
      <vt:lpstr>'Presampled distributions'!FRACw.s2C</vt:lpstr>
      <vt:lpstr>FRACw.s2C</vt:lpstr>
      <vt:lpstr>'Presampled distributions'!FRACw.s2R</vt:lpstr>
      <vt:lpstr>FRACw.s2R</vt:lpstr>
      <vt:lpstr>'Presampled distributions'!FRACw.s3C</vt:lpstr>
      <vt:lpstr>FRACw.s3C</vt:lpstr>
      <vt:lpstr>'Presampled distributions'!FRACw.s3R</vt:lpstr>
      <vt:lpstr>FRACw.s3R</vt:lpstr>
      <vt:lpstr>'Presampled distributions'!FRACw.sA</vt:lpstr>
      <vt:lpstr>FRACw.sA</vt:lpstr>
      <vt:lpstr>'Presampled distributions'!FRACw.sdA</vt:lpstr>
      <vt:lpstr>FRACw.sdA</vt:lpstr>
      <vt:lpstr>'Presampled distributions'!FRACw.sdC</vt:lpstr>
      <vt:lpstr>FRACw.sdC</vt:lpstr>
      <vt:lpstr>'Presampled distributions'!FRACw.sdL</vt:lpstr>
      <vt:lpstr>FRACw.sdL</vt:lpstr>
      <vt:lpstr>'Presampled distributions'!FRACw.sdM</vt:lpstr>
      <vt:lpstr>FRACw.sdM</vt:lpstr>
      <vt:lpstr>'Presampled distributions'!FRACw.sdR</vt:lpstr>
      <vt:lpstr>FRACw.sdR</vt:lpstr>
      <vt:lpstr>'Presampled distributions'!FRACw.sdT</vt:lpstr>
      <vt:lpstr>FRACw.sdT</vt:lpstr>
      <vt:lpstr>'Presampled distributions'!FRACw.sL</vt:lpstr>
      <vt:lpstr>FRACw.sL</vt:lpstr>
      <vt:lpstr>'Presampled distributions'!FRACw.sM</vt:lpstr>
      <vt:lpstr>FRACw.sM</vt:lpstr>
      <vt:lpstr>'Presampled distributions'!FRACw.sT</vt:lpstr>
      <vt:lpstr>FRACw.sT</vt:lpstr>
      <vt:lpstr>'Presampled distributions'!FRACwater.L</vt:lpstr>
      <vt:lpstr>FRACwater.L</vt:lpstr>
      <vt:lpstr>'Presampled distributions'!FRaers.aA</vt:lpstr>
      <vt:lpstr>FRaers.aA</vt:lpstr>
      <vt:lpstr>'Presampled distributions'!FRaers.aC</vt:lpstr>
      <vt:lpstr>FRaers.aC</vt:lpstr>
      <vt:lpstr>'Presampled distributions'!FRaers.aL</vt:lpstr>
      <vt:lpstr>FRaers.aL</vt:lpstr>
      <vt:lpstr>'Presampled distributions'!FRaers.aM</vt:lpstr>
      <vt:lpstr>FRaers.aM</vt:lpstr>
      <vt:lpstr>'Presampled distributions'!FRaers.aR</vt:lpstr>
      <vt:lpstr>FRaers.aR</vt:lpstr>
      <vt:lpstr>'Presampled distributions'!FRaers.aT</vt:lpstr>
      <vt:lpstr>FRaers.aT</vt:lpstr>
      <vt:lpstr>'Presampled distributions'!FRaerw.aA</vt:lpstr>
      <vt:lpstr>FRaerw.aA</vt:lpstr>
      <vt:lpstr>'Presampled distributions'!FRaerw.aC</vt:lpstr>
      <vt:lpstr>FRaerw.aC</vt:lpstr>
      <vt:lpstr>'Presampled distributions'!FRaerw.aL</vt:lpstr>
      <vt:lpstr>FRaerw.aL</vt:lpstr>
      <vt:lpstr>'Presampled distributions'!FRaerw.aM</vt:lpstr>
      <vt:lpstr>FRaerw.aM</vt:lpstr>
      <vt:lpstr>'Presampled distributions'!FRaerw.aR</vt:lpstr>
      <vt:lpstr>FRaerw.aR</vt:lpstr>
      <vt:lpstr>'Presampled distributions'!FRaerw.aT</vt:lpstr>
      <vt:lpstr>FRaerw.aT</vt:lpstr>
      <vt:lpstr>'Presampled distributions'!FRgas.aA</vt:lpstr>
      <vt:lpstr>FRgas.aA</vt:lpstr>
      <vt:lpstr>'Presampled distributions'!FRgas.aC</vt:lpstr>
      <vt:lpstr>FRgas.aC</vt:lpstr>
      <vt:lpstr>'Presampled distributions'!FRgas.aL</vt:lpstr>
      <vt:lpstr>FRgas.aL</vt:lpstr>
      <vt:lpstr>'Presampled distributions'!FRgas.aM</vt:lpstr>
      <vt:lpstr>FRgas.aM</vt:lpstr>
      <vt:lpstr>'Presampled distributions'!FRgas.aR</vt:lpstr>
      <vt:lpstr>FRgas.aR</vt:lpstr>
      <vt:lpstr>'Presampled distributions'!FRgas.aT</vt:lpstr>
      <vt:lpstr>FRgas.aT</vt:lpstr>
      <vt:lpstr>'Presampled distributions'!FRorig.aerw</vt:lpstr>
      <vt:lpstr>FRorig.aerw</vt:lpstr>
      <vt:lpstr>'Presampled distributions'!FRorig.s1</vt:lpstr>
      <vt:lpstr>FRorig.s1</vt:lpstr>
      <vt:lpstr>'Presampled distributions'!FRorig.s1w</vt:lpstr>
      <vt:lpstr>FRorig.s1w</vt:lpstr>
      <vt:lpstr>'Presampled distributions'!FRorig.s2</vt:lpstr>
      <vt:lpstr>FRorig.s2</vt:lpstr>
      <vt:lpstr>'Presampled distributions'!FRorig.s2w</vt:lpstr>
      <vt:lpstr>FRorig.s2w</vt:lpstr>
      <vt:lpstr>'Presampled distributions'!FRorig.s3</vt:lpstr>
      <vt:lpstr>FRorig.s3</vt:lpstr>
      <vt:lpstr>'Presampled distributions'!FRorig.s3w</vt:lpstr>
      <vt:lpstr>FRorig.s3w</vt:lpstr>
      <vt:lpstr>'Presampled distributions'!FRorig.sd1</vt:lpstr>
      <vt:lpstr>FRorig.sd1</vt:lpstr>
      <vt:lpstr>'Presampled distributions'!FRorig.sd2</vt:lpstr>
      <vt:lpstr>FRorig.sd2</vt:lpstr>
      <vt:lpstr>'Presampled distributions'!FRorig.w1</vt:lpstr>
      <vt:lpstr>FRorig.w1</vt:lpstr>
      <vt:lpstr>'Presampled distributions'!FRorig.w2</vt:lpstr>
      <vt:lpstr>FRorig.w2</vt:lpstr>
      <vt:lpstr>'Presampled distributions'!FRs.s1C</vt:lpstr>
      <vt:lpstr>FRs.s1C</vt:lpstr>
      <vt:lpstr>'Presampled distributions'!FRs.s1R</vt:lpstr>
      <vt:lpstr>FRs.s1R</vt:lpstr>
      <vt:lpstr>'Presampled distributions'!FRs.s2C</vt:lpstr>
      <vt:lpstr>FRs.s2C</vt:lpstr>
      <vt:lpstr>'Presampled distributions'!FRs.s2R</vt:lpstr>
      <vt:lpstr>FRs.s2R</vt:lpstr>
      <vt:lpstr>'Presampled distributions'!FRs.s3C</vt:lpstr>
      <vt:lpstr>FRs.s3C</vt:lpstr>
      <vt:lpstr>'Presampled distributions'!FRs.s3R</vt:lpstr>
      <vt:lpstr>FRs.s3R</vt:lpstr>
      <vt:lpstr>'Presampled distributions'!FRs.sA</vt:lpstr>
      <vt:lpstr>FRs.sA</vt:lpstr>
      <vt:lpstr>'Presampled distributions'!FRs.sL</vt:lpstr>
      <vt:lpstr>FRs.sL</vt:lpstr>
      <vt:lpstr>'Presampled distributions'!FRs.sM</vt:lpstr>
      <vt:lpstr>FRs.sM</vt:lpstr>
      <vt:lpstr>'Presampled distributions'!FRs.sT</vt:lpstr>
      <vt:lpstr>FRs.sT</vt:lpstr>
      <vt:lpstr>'Presampled distributions'!FRw.s1C</vt:lpstr>
      <vt:lpstr>FRw.s1C</vt:lpstr>
      <vt:lpstr>'Presampled distributions'!FRw.s1R</vt:lpstr>
      <vt:lpstr>FRw.s1R</vt:lpstr>
      <vt:lpstr>'Presampled distributions'!FRw.s2C</vt:lpstr>
      <vt:lpstr>FRw.s2C</vt:lpstr>
      <vt:lpstr>'Presampled distributions'!FRw.s2R</vt:lpstr>
      <vt:lpstr>FRw.s2R</vt:lpstr>
      <vt:lpstr>'Presampled distributions'!FRw.s3C</vt:lpstr>
      <vt:lpstr>FRw.s3C</vt:lpstr>
      <vt:lpstr>'Presampled distributions'!FRw.s3R</vt:lpstr>
      <vt:lpstr>FRw.s3R</vt:lpstr>
      <vt:lpstr>'Presampled distributions'!FRw.sA</vt:lpstr>
      <vt:lpstr>FRw.sA</vt:lpstr>
      <vt:lpstr>'Presampled distributions'!FRw.sL</vt:lpstr>
      <vt:lpstr>FRw.sL</vt:lpstr>
      <vt:lpstr>'Presampled distributions'!FRw.sM</vt:lpstr>
      <vt:lpstr>FRw.sM</vt:lpstr>
      <vt:lpstr>'Presampled distributions'!FRw.sT</vt:lpstr>
      <vt:lpstr>FRw.sT</vt:lpstr>
      <vt:lpstr>'Presampled distributions'!FRw.w0C</vt:lpstr>
      <vt:lpstr>FRw.w0C</vt:lpstr>
      <vt:lpstr>'Presampled distributions'!FRw.w0R</vt:lpstr>
      <vt:lpstr>FRw.w0R</vt:lpstr>
      <vt:lpstr>'Presampled distributions'!FRw.w1C</vt:lpstr>
      <vt:lpstr>FRw.w1C</vt:lpstr>
      <vt:lpstr>'Presampled distributions'!FRw.w1R</vt:lpstr>
      <vt:lpstr>FRw.w1R</vt:lpstr>
      <vt:lpstr>'Presampled distributions'!FRw.w2A</vt:lpstr>
      <vt:lpstr>FRw.w2A</vt:lpstr>
      <vt:lpstr>'Presampled distributions'!FRw.w2C</vt:lpstr>
      <vt:lpstr>FRw.w2C</vt:lpstr>
      <vt:lpstr>'Presampled distributions'!FRw.w2M</vt:lpstr>
      <vt:lpstr>FRw.w2M</vt:lpstr>
      <vt:lpstr>'Presampled distributions'!FRw.w2R</vt:lpstr>
      <vt:lpstr>FRw.w2R</vt:lpstr>
      <vt:lpstr>'Presampled distributions'!FRw.w2T</vt:lpstr>
      <vt:lpstr>FRw.w2T</vt:lpstr>
      <vt:lpstr>'Presampled distributions'!FRw.w3A</vt:lpstr>
      <vt:lpstr>FRw.w3A</vt:lpstr>
      <vt:lpstr>'Presampled distributions'!FRw.w3M</vt:lpstr>
      <vt:lpstr>FRw.w3M</vt:lpstr>
      <vt:lpstr>'Presampled distributions'!FRw.w3T</vt:lpstr>
      <vt:lpstr>FRw.w3T</vt:lpstr>
      <vt:lpstr>'Presampled distributions'!FRw.wL</vt:lpstr>
      <vt:lpstr>FRw.wL</vt:lpstr>
      <vt:lpstr>fugacity</vt:lpstr>
      <vt:lpstr>'Presampled distributions'!GASABS.aA.sA</vt:lpstr>
      <vt:lpstr>GASABS.aA.sA</vt:lpstr>
      <vt:lpstr>'Presampled distributions'!GASABS.aA.wA</vt:lpstr>
      <vt:lpstr>GASABS.aA.wA</vt:lpstr>
      <vt:lpstr>'Presampled distributions'!GASABS.aC.sC</vt:lpstr>
      <vt:lpstr>GASABS.aC.sC</vt:lpstr>
      <vt:lpstr>'Presampled distributions'!GASABS.aC.wC</vt:lpstr>
      <vt:lpstr>GASABS.aC.wC</vt:lpstr>
      <vt:lpstr>'Presampled distributions'!GASABS.aM.sM</vt:lpstr>
      <vt:lpstr>GASABS.aM.sM</vt:lpstr>
      <vt:lpstr>'Presampled distributions'!GASABS.aM.wM</vt:lpstr>
      <vt:lpstr>GASABS.aM.wM</vt:lpstr>
      <vt:lpstr>'Presampled distributions'!GASABS.aR.sR</vt:lpstr>
      <vt:lpstr>GASABS.aR.sR</vt:lpstr>
      <vt:lpstr>'Presampled distributions'!GASABS.aR.wR</vt:lpstr>
      <vt:lpstr>GASABS.aR.wR</vt:lpstr>
      <vt:lpstr>'Presampled distributions'!GASABS.aT.sT</vt:lpstr>
      <vt:lpstr>GASABS.aT.sT</vt:lpstr>
      <vt:lpstr>'Presampled distributions'!GASABS.aT.wT</vt:lpstr>
      <vt:lpstr>GASABS.aT.wT</vt:lpstr>
      <vt:lpstr>'Presampled distributions'!GASABSflow.aL.sL</vt:lpstr>
      <vt:lpstr>GASABSflow.aL.sL</vt:lpstr>
      <vt:lpstr>'Presampled distributions'!GASABSflow.aL.wL</vt:lpstr>
      <vt:lpstr>GASABSflow.aL.wL</vt:lpstr>
      <vt:lpstr>'Presampled distributions'!GasWashout.A</vt:lpstr>
      <vt:lpstr>GasWashout.A</vt:lpstr>
      <vt:lpstr>'Presampled distributions'!GasWashout.C</vt:lpstr>
      <vt:lpstr>GasWashout.C</vt:lpstr>
      <vt:lpstr>'Presampled distributions'!GasWashout.L</vt:lpstr>
      <vt:lpstr>GasWashout.L</vt:lpstr>
      <vt:lpstr>'Presampled distributions'!GasWashout.M</vt:lpstr>
      <vt:lpstr>GasWashout.M</vt:lpstr>
      <vt:lpstr>'Presampled distributions'!GasWashout.R</vt:lpstr>
      <vt:lpstr>GasWashout.R</vt:lpstr>
      <vt:lpstr>'Presampled distributions'!GasWashout.T</vt:lpstr>
      <vt:lpstr>GasWashout.T</vt:lpstr>
      <vt:lpstr>'Presampled distributions'!GROSSSEDrate.w1C</vt:lpstr>
      <vt:lpstr>GROSSSEDrate.w1C</vt:lpstr>
      <vt:lpstr>'Presampled distributions'!GROSSSEDrate.w1R</vt:lpstr>
      <vt:lpstr>GROSSSEDrate.w1R</vt:lpstr>
      <vt:lpstr>'Presampled distributions'!GROSSSEDrate.w2C</vt:lpstr>
      <vt:lpstr>GROSSSEDrate.w2C</vt:lpstr>
      <vt:lpstr>'Presampled distributions'!GROSSSEDrate.w2R</vt:lpstr>
      <vt:lpstr>GROSSSEDrate.w2R</vt:lpstr>
      <vt:lpstr>'Presampled distributions'!GROSSSEDrate.w3A</vt:lpstr>
      <vt:lpstr>GROSSSEDrate.w3A</vt:lpstr>
      <vt:lpstr>'Presampled distributions'!GROSSSEDrate.w3M</vt:lpstr>
      <vt:lpstr>GROSSSEDrate.w3M</vt:lpstr>
      <vt:lpstr>'Presampled distributions'!GROSSSEDrate.w3T</vt:lpstr>
      <vt:lpstr>GROSSSEDrate.w3T</vt:lpstr>
      <vt:lpstr>'Presampled distributions'!GROSSSEDrate.wL</vt:lpstr>
      <vt:lpstr>GROSSSEDrate.wL</vt:lpstr>
      <vt:lpstr>'Presampled distributions'!H0sol</vt:lpstr>
      <vt:lpstr>H0sol</vt:lpstr>
      <vt:lpstr>'Presampled distributions'!H0vap</vt:lpstr>
      <vt:lpstr>H0vap</vt:lpstr>
      <vt:lpstr>'Presampled distributions'!HEIGHT.aA</vt:lpstr>
      <vt:lpstr>HEIGHT.aA</vt:lpstr>
      <vt:lpstr>'Presampled distributions'!HEIGHT.aC</vt:lpstr>
      <vt:lpstr>HEIGHT.aC</vt:lpstr>
      <vt:lpstr>'Presampled distributions'!HEIGHT.aL</vt:lpstr>
      <vt:lpstr>HEIGHT.aL</vt:lpstr>
      <vt:lpstr>'Presampled distributions'!HEIGHT.aM</vt:lpstr>
      <vt:lpstr>HEIGHT.aM</vt:lpstr>
      <vt:lpstr>'Presampled distributions'!HEIGHT.aR</vt:lpstr>
      <vt:lpstr>HEIGHT.aR</vt:lpstr>
      <vt:lpstr>'Presampled distributions'!HEIGHT.aT</vt:lpstr>
      <vt:lpstr>HEIGHT.aT</vt:lpstr>
      <vt:lpstr>INH.L</vt:lpstr>
      <vt:lpstr>K</vt:lpstr>
      <vt:lpstr>'Presampled distributions'!k.aA</vt:lpstr>
      <vt:lpstr>k.aA</vt:lpstr>
      <vt:lpstr>'Presampled distributions'!k.aA.aM</vt:lpstr>
      <vt:lpstr>k.aA.aM</vt:lpstr>
      <vt:lpstr>'Presampled distributions'!k.aA.sA</vt:lpstr>
      <vt:lpstr>k.aA.sA</vt:lpstr>
      <vt:lpstr>'Presampled distributions'!k.aA.w2A</vt:lpstr>
      <vt:lpstr>k.aA.w2A</vt:lpstr>
      <vt:lpstr>'Presampled distributions'!k.aC</vt:lpstr>
      <vt:lpstr>k.aC</vt:lpstr>
      <vt:lpstr>'Presampled distributions'!k.aC.aM</vt:lpstr>
      <vt:lpstr>k.aC.aM</vt:lpstr>
      <vt:lpstr>'Presampled distributions'!k.aC.aR</vt:lpstr>
      <vt:lpstr>k.aC.aR</vt:lpstr>
      <vt:lpstr>'Presampled distributions'!k.aC.s1C</vt:lpstr>
      <vt:lpstr>k.aC.s1C</vt:lpstr>
      <vt:lpstr>'Presampled distributions'!k.aC.s2C</vt:lpstr>
      <vt:lpstr>k.aC.s2C</vt:lpstr>
      <vt:lpstr>'Presampled distributions'!k.aC.s3C</vt:lpstr>
      <vt:lpstr>k.aC.s3C</vt:lpstr>
      <vt:lpstr>'Presampled distributions'!k.aC.w0C</vt:lpstr>
      <vt:lpstr>k.aC.w0C</vt:lpstr>
      <vt:lpstr>'Presampled distributions'!k.aC.w1C</vt:lpstr>
      <vt:lpstr>k.aC.w1C</vt:lpstr>
      <vt:lpstr>'Presampled distributions'!k.aC.w2C</vt:lpstr>
      <vt:lpstr>k.aC.w2C</vt:lpstr>
      <vt:lpstr>'Presampled distributions'!k.aL</vt:lpstr>
      <vt:lpstr>k.aL</vt:lpstr>
      <vt:lpstr>'Presampled distributions'!k.aL.aR</vt:lpstr>
      <vt:lpstr>k.aL.aR</vt:lpstr>
      <vt:lpstr>'Presampled distributions'!k.aL.sL</vt:lpstr>
      <vt:lpstr>k.aL.sL</vt:lpstr>
      <vt:lpstr>'Presampled distributions'!k.aL.wL</vt:lpstr>
      <vt:lpstr>k.aL.wL</vt:lpstr>
      <vt:lpstr>'Presampled distributions'!k.aM</vt:lpstr>
      <vt:lpstr>k.aM</vt:lpstr>
      <vt:lpstr>'Presampled distributions'!k.aM.aA</vt:lpstr>
      <vt:lpstr>k.aM.aA</vt:lpstr>
      <vt:lpstr>'Presampled distributions'!k.aM.aC</vt:lpstr>
      <vt:lpstr>k.aM.aC</vt:lpstr>
      <vt:lpstr>'Presampled distributions'!k.aM.aT</vt:lpstr>
      <vt:lpstr>k.aM.aT</vt:lpstr>
      <vt:lpstr>'Presampled distributions'!k.aM.sM</vt:lpstr>
      <vt:lpstr>k.aM.sM</vt:lpstr>
      <vt:lpstr>'Presampled distributions'!k.aM.w2M</vt:lpstr>
      <vt:lpstr>k.aM.w2M</vt:lpstr>
      <vt:lpstr>'Presampled distributions'!k.aR</vt:lpstr>
      <vt:lpstr>k.aR</vt:lpstr>
      <vt:lpstr>'Presampled distributions'!k.aR.aC</vt:lpstr>
      <vt:lpstr>k.aR.aC</vt:lpstr>
      <vt:lpstr>'Presampled distributions'!k.aR.s1R</vt:lpstr>
      <vt:lpstr>k.aR.s1R</vt:lpstr>
      <vt:lpstr>'Presampled distributions'!k.aR.s2R</vt:lpstr>
      <vt:lpstr>k.aR.s2R</vt:lpstr>
      <vt:lpstr>'Presampled distributions'!k.aR.s3R</vt:lpstr>
      <vt:lpstr>k.aR.s3R</vt:lpstr>
      <vt:lpstr>'Presampled distributions'!k.aR.w0R</vt:lpstr>
      <vt:lpstr>k.aR.w0R</vt:lpstr>
      <vt:lpstr>'Presampled distributions'!k.aR.w1R</vt:lpstr>
      <vt:lpstr>k.aR.w1R</vt:lpstr>
      <vt:lpstr>'Presampled distributions'!k.aR.w2R</vt:lpstr>
      <vt:lpstr>k.aR.w2R</vt:lpstr>
      <vt:lpstr>'Presampled distributions'!k.aT</vt:lpstr>
      <vt:lpstr>k.aT</vt:lpstr>
      <vt:lpstr>'Presampled distributions'!k.aT.aM</vt:lpstr>
      <vt:lpstr>k.aT.aM</vt:lpstr>
      <vt:lpstr>'Presampled distributions'!k.aT.sT</vt:lpstr>
      <vt:lpstr>k.aT.sT</vt:lpstr>
      <vt:lpstr>'Presampled distributions'!k.aT.w2T</vt:lpstr>
      <vt:lpstr>k.aT.w2T</vt:lpstr>
      <vt:lpstr>'Presampled distributions'!k.s1C</vt:lpstr>
      <vt:lpstr>k.s1C</vt:lpstr>
      <vt:lpstr>'Presampled distributions'!k.s1C.aC</vt:lpstr>
      <vt:lpstr>k.s1C.aC</vt:lpstr>
      <vt:lpstr>'Presampled distributions'!k.s1C.w1C</vt:lpstr>
      <vt:lpstr>k.s1C.w1C</vt:lpstr>
      <vt:lpstr>'Presampled distributions'!k.s1R</vt:lpstr>
      <vt:lpstr>k.s1R</vt:lpstr>
      <vt:lpstr>'Presampled distributions'!k.s1R.aR</vt:lpstr>
      <vt:lpstr>k.s1R.aR</vt:lpstr>
      <vt:lpstr>'Presampled distributions'!k.s1R.w1R</vt:lpstr>
      <vt:lpstr>k.s1R.w1R</vt:lpstr>
      <vt:lpstr>'Presampled distributions'!k.s2C</vt:lpstr>
      <vt:lpstr>k.s2C</vt:lpstr>
      <vt:lpstr>'Presampled distributions'!k.s2C.aC</vt:lpstr>
      <vt:lpstr>k.s2C.aC</vt:lpstr>
      <vt:lpstr>'Presampled distributions'!k.s2C.w1C</vt:lpstr>
      <vt:lpstr>k.s2C.w1C</vt:lpstr>
      <vt:lpstr>'Presampled distributions'!k.s2R</vt:lpstr>
      <vt:lpstr>k.s2R</vt:lpstr>
      <vt:lpstr>'Presampled distributions'!k.s2R.aR</vt:lpstr>
      <vt:lpstr>k.s2R.aR</vt:lpstr>
      <vt:lpstr>'Presampled distributions'!k.s2R.w1R</vt:lpstr>
      <vt:lpstr>k.s2R.w1R</vt:lpstr>
      <vt:lpstr>'Presampled distributions'!k.s3C</vt:lpstr>
      <vt:lpstr>k.s3C</vt:lpstr>
      <vt:lpstr>'Presampled distributions'!k.s3C.aC</vt:lpstr>
      <vt:lpstr>k.s3C.aC</vt:lpstr>
      <vt:lpstr>'Presampled distributions'!k.s3C.w1C</vt:lpstr>
      <vt:lpstr>k.s3C.w1C</vt:lpstr>
      <vt:lpstr>'Presampled distributions'!k.s3R</vt:lpstr>
      <vt:lpstr>k.s3R</vt:lpstr>
      <vt:lpstr>'Presampled distributions'!k.s3R.aR</vt:lpstr>
      <vt:lpstr>k.s3R.aR</vt:lpstr>
      <vt:lpstr>'Presampled distributions'!k.s3R.w1R</vt:lpstr>
      <vt:lpstr>k.s3R.w1R</vt:lpstr>
      <vt:lpstr>'Presampled distributions'!k.sA</vt:lpstr>
      <vt:lpstr>k.sA</vt:lpstr>
      <vt:lpstr>'Presampled distributions'!k.sA.aA</vt:lpstr>
      <vt:lpstr>k.sA.aA</vt:lpstr>
      <vt:lpstr>'Presampled distributions'!k.sA.w2A</vt:lpstr>
      <vt:lpstr>k.sA.w2A</vt:lpstr>
      <vt:lpstr>'Presampled distributions'!k.sd1C</vt:lpstr>
      <vt:lpstr>k.sd1C</vt:lpstr>
      <vt:lpstr>'Presampled distributions'!k.sd1C.w1C</vt:lpstr>
      <vt:lpstr>k.sd1C.w1C</vt:lpstr>
      <vt:lpstr>'Presampled distributions'!k.sd1R</vt:lpstr>
      <vt:lpstr>k.sd1R</vt:lpstr>
      <vt:lpstr>'Presampled distributions'!k.sd1R.w1R</vt:lpstr>
      <vt:lpstr>k.sd1R.w1R</vt:lpstr>
      <vt:lpstr>'Presampled distributions'!k.sd2C</vt:lpstr>
      <vt:lpstr>k.sd2C</vt:lpstr>
      <vt:lpstr>'Presampled distributions'!k.sd2C.w2C</vt:lpstr>
      <vt:lpstr>k.sd2C.w2C</vt:lpstr>
      <vt:lpstr>'Presampled distributions'!k.sd2R</vt:lpstr>
      <vt:lpstr>k.sd2R</vt:lpstr>
      <vt:lpstr>'Presampled distributions'!k.sd2R.w2R</vt:lpstr>
      <vt:lpstr>k.sd2R.w2R</vt:lpstr>
      <vt:lpstr>'Presampled distributions'!k.sdA</vt:lpstr>
      <vt:lpstr>k.sdA</vt:lpstr>
      <vt:lpstr>'Presampled distributions'!k.sdA.w3A</vt:lpstr>
      <vt:lpstr>k.sdA.w3A</vt:lpstr>
      <vt:lpstr>'Presampled distributions'!k.sdL</vt:lpstr>
      <vt:lpstr>k.sdL</vt:lpstr>
      <vt:lpstr>'Presampled distributions'!k.sdL.wL</vt:lpstr>
      <vt:lpstr>k.sdL.wL</vt:lpstr>
      <vt:lpstr>'Presampled distributions'!k.sdM</vt:lpstr>
      <vt:lpstr>k.sdM</vt:lpstr>
      <vt:lpstr>'Presampled distributions'!k.sdM.w3M</vt:lpstr>
      <vt:lpstr>k.sdM.w3M</vt:lpstr>
      <vt:lpstr>'Presampled distributions'!k.sdT</vt:lpstr>
      <vt:lpstr>k.sdT</vt:lpstr>
      <vt:lpstr>'Presampled distributions'!k.sdT.w3T</vt:lpstr>
      <vt:lpstr>k.sdT.w3T</vt:lpstr>
      <vt:lpstr>'Presampled distributions'!k.sL</vt:lpstr>
      <vt:lpstr>k.sL</vt:lpstr>
      <vt:lpstr>'Presampled distributions'!k.sL.aL</vt:lpstr>
      <vt:lpstr>k.sL.aL</vt:lpstr>
      <vt:lpstr>'Presampled distributions'!k.sL.wL</vt:lpstr>
      <vt:lpstr>k.sL.wL</vt:lpstr>
      <vt:lpstr>'Presampled distributions'!k.sM</vt:lpstr>
      <vt:lpstr>k.sM</vt:lpstr>
      <vt:lpstr>'Presampled distributions'!k.sM.aM</vt:lpstr>
      <vt:lpstr>k.sM.aM</vt:lpstr>
      <vt:lpstr>'Presampled distributions'!k.sM.w2M</vt:lpstr>
      <vt:lpstr>k.sM.w2M</vt:lpstr>
      <vt:lpstr>'Presampled distributions'!k.sT</vt:lpstr>
      <vt:lpstr>k.sT</vt:lpstr>
      <vt:lpstr>'Presampled distributions'!k.sT.aT</vt:lpstr>
      <vt:lpstr>k.sT.aT</vt:lpstr>
      <vt:lpstr>'Presampled distributions'!k.sT.w2T</vt:lpstr>
      <vt:lpstr>k.sT.w2T</vt:lpstr>
      <vt:lpstr>'Presampled distributions'!k.w0C</vt:lpstr>
      <vt:lpstr>k.w0C</vt:lpstr>
      <vt:lpstr>'Presampled distributions'!k.w0C.aC</vt:lpstr>
      <vt:lpstr>k.w0C.aC</vt:lpstr>
      <vt:lpstr>'Presampled distributions'!k.w0C.w1C</vt:lpstr>
      <vt:lpstr>k.w0C.w1C</vt:lpstr>
      <vt:lpstr>'Presampled distributions'!k.w0C.w2C</vt:lpstr>
      <vt:lpstr>k.w0C.w2C</vt:lpstr>
      <vt:lpstr>'Presampled distributions'!k.w0R</vt:lpstr>
      <vt:lpstr>k.w0R</vt:lpstr>
      <vt:lpstr>'Presampled distributions'!k.w0R.aR</vt:lpstr>
      <vt:lpstr>k.w0R.aR</vt:lpstr>
      <vt:lpstr>'Presampled distributions'!k.w0R.w1R</vt:lpstr>
      <vt:lpstr>k.w0R.w1R</vt:lpstr>
      <vt:lpstr>'Presampled distributions'!k.w0R.w2R</vt:lpstr>
      <vt:lpstr>k.w0R.w2R</vt:lpstr>
      <vt:lpstr>'Presampled distributions'!k.w1C</vt:lpstr>
      <vt:lpstr>k.w1C</vt:lpstr>
      <vt:lpstr>'Presampled distributions'!k.w1C.aC</vt:lpstr>
      <vt:lpstr>k.w1C.aC</vt:lpstr>
      <vt:lpstr>'Presampled distributions'!k.w1C.sd1C</vt:lpstr>
      <vt:lpstr>k.w1C.sd1C</vt:lpstr>
      <vt:lpstr>'Presampled distributions'!k.w1C.w0C</vt:lpstr>
      <vt:lpstr>k.w1C.w0C</vt:lpstr>
      <vt:lpstr>'Presampled distributions'!k.w1C.w1R</vt:lpstr>
      <vt:lpstr>k.w1C.w1R</vt:lpstr>
      <vt:lpstr>'Presampled distributions'!k.w1C.w2C</vt:lpstr>
      <vt:lpstr>k.w1C.w2C</vt:lpstr>
      <vt:lpstr>'Presampled distributions'!k.w1R</vt:lpstr>
      <vt:lpstr>k.w1R</vt:lpstr>
      <vt:lpstr>'Presampled distributions'!k.w1R.aR</vt:lpstr>
      <vt:lpstr>k.w1R.aR</vt:lpstr>
      <vt:lpstr>'Presampled distributions'!k.w1R.sd1R</vt:lpstr>
      <vt:lpstr>k.w1R.sd1R</vt:lpstr>
      <vt:lpstr>'Presampled distributions'!k.w1R.w0R</vt:lpstr>
      <vt:lpstr>k.w1R.w0R</vt:lpstr>
      <vt:lpstr>'Presampled distributions'!k.w1R.w2R</vt:lpstr>
      <vt:lpstr>k.w1R.w2R</vt:lpstr>
      <vt:lpstr>'Presampled distributions'!k.w2A</vt:lpstr>
      <vt:lpstr>k.w2A</vt:lpstr>
      <vt:lpstr>'Presampled distributions'!k.w2A.aA</vt:lpstr>
      <vt:lpstr>k.w2A.aA</vt:lpstr>
      <vt:lpstr>'Presampled distributions'!k.w2A.w2M</vt:lpstr>
      <vt:lpstr>k.w2A.w2M</vt:lpstr>
      <vt:lpstr>'Presampled distributions'!k.w2A.w3A</vt:lpstr>
      <vt:lpstr>k.w2A.w3A</vt:lpstr>
      <vt:lpstr>'Presampled distributions'!k.w2C</vt:lpstr>
      <vt:lpstr>k.w2C</vt:lpstr>
      <vt:lpstr>'Presampled distributions'!k.w2C.aC</vt:lpstr>
      <vt:lpstr>k.w2C.aC</vt:lpstr>
      <vt:lpstr>'Presampled distributions'!k.w2C.sd2C</vt:lpstr>
      <vt:lpstr>k.w2C.sd2C</vt:lpstr>
      <vt:lpstr>'Presampled distributions'!k.w2C.w2M</vt:lpstr>
      <vt:lpstr>k.w2C.w2M</vt:lpstr>
      <vt:lpstr>'Presampled distributions'!k.w2C.w2R</vt:lpstr>
      <vt:lpstr>k.w2C.w2R</vt:lpstr>
      <vt:lpstr>'Presampled distributions'!k.w2M</vt:lpstr>
      <vt:lpstr>k.w2M</vt:lpstr>
      <vt:lpstr>'Presampled distributions'!k.w2M.aM</vt:lpstr>
      <vt:lpstr>k.w2M.aM</vt:lpstr>
      <vt:lpstr>'Presampled distributions'!k.w2M.w2A</vt:lpstr>
      <vt:lpstr>k.w2M.w2A</vt:lpstr>
      <vt:lpstr>'Presampled distributions'!k.w2M.w2C</vt:lpstr>
      <vt:lpstr>k.w2M.w2C</vt:lpstr>
      <vt:lpstr>'Presampled distributions'!k.w2M.w2T</vt:lpstr>
      <vt:lpstr>k.w2M.w2T</vt:lpstr>
      <vt:lpstr>'Presampled distributions'!k.w2M.w3M</vt:lpstr>
      <vt:lpstr>k.w2M.w3M</vt:lpstr>
      <vt:lpstr>'Presampled distributions'!k.w2R</vt:lpstr>
      <vt:lpstr>k.w2R</vt:lpstr>
      <vt:lpstr>'Presampled distributions'!k.w2R.aR</vt:lpstr>
      <vt:lpstr>k.w2R.aR</vt:lpstr>
      <vt:lpstr>'Presampled distributions'!k.w2R.sd2R</vt:lpstr>
      <vt:lpstr>k.w2R.sd2R</vt:lpstr>
      <vt:lpstr>'Presampled distributions'!k.w2R.w2C</vt:lpstr>
      <vt:lpstr>k.w2R.w2C</vt:lpstr>
      <vt:lpstr>'Presampled distributions'!k.w2T</vt:lpstr>
      <vt:lpstr>k.w2T</vt:lpstr>
      <vt:lpstr>'Presampled distributions'!k.w2T.aT</vt:lpstr>
      <vt:lpstr>k.w2T.aT</vt:lpstr>
      <vt:lpstr>'Presampled distributions'!k.w2T.w2M</vt:lpstr>
      <vt:lpstr>k.w2T.w2M</vt:lpstr>
      <vt:lpstr>'Presampled distributions'!k.w2T.w3T</vt:lpstr>
      <vt:lpstr>k.w2T.w3T</vt:lpstr>
      <vt:lpstr>'Presampled distributions'!k.w3A</vt:lpstr>
      <vt:lpstr>k.w3A</vt:lpstr>
      <vt:lpstr>'Presampled distributions'!k.w3A.sdA</vt:lpstr>
      <vt:lpstr>k.w3A.sdA</vt:lpstr>
      <vt:lpstr>'Presampled distributions'!k.w3A.w2A</vt:lpstr>
      <vt:lpstr>k.w3A.w2A</vt:lpstr>
      <vt:lpstr>'Presampled distributions'!k.w3A.w3M</vt:lpstr>
      <vt:lpstr>k.w3A.w3M</vt:lpstr>
      <vt:lpstr>'Presampled distributions'!k.w3M</vt:lpstr>
      <vt:lpstr>k.w3M</vt:lpstr>
      <vt:lpstr>'Presampled distributions'!k.w3M.sdM</vt:lpstr>
      <vt:lpstr>k.w3M.sdM</vt:lpstr>
      <vt:lpstr>'Presampled distributions'!k.w3M.w2M</vt:lpstr>
      <vt:lpstr>k.w3M.w2M</vt:lpstr>
      <vt:lpstr>'Presampled distributions'!k.w3M.w3A</vt:lpstr>
      <vt:lpstr>k.w3M.w3A</vt:lpstr>
      <vt:lpstr>'Presampled distributions'!k.w3M.w3T</vt:lpstr>
      <vt:lpstr>k.w3M.w3T</vt:lpstr>
      <vt:lpstr>'Presampled distributions'!k.w3T</vt:lpstr>
      <vt:lpstr>k.w3T</vt:lpstr>
      <vt:lpstr>'Presampled distributions'!k.w3T.sdT</vt:lpstr>
      <vt:lpstr>k.w3T.sdT</vt:lpstr>
      <vt:lpstr>'Presampled distributions'!k.w3T.w2T</vt:lpstr>
      <vt:lpstr>k.w3T.w2T</vt:lpstr>
      <vt:lpstr>'Presampled distributions'!k.w3T.w3M</vt:lpstr>
      <vt:lpstr>k.w3T.w3M</vt:lpstr>
      <vt:lpstr>'Presampled distributions'!k.wL</vt:lpstr>
      <vt:lpstr>k.wL</vt:lpstr>
      <vt:lpstr>'Presampled distributions'!k.wL.aL</vt:lpstr>
      <vt:lpstr>k.wL.aL</vt:lpstr>
      <vt:lpstr>'Presampled distributions'!k.wL.sdL</vt:lpstr>
      <vt:lpstr>k.wL.sdL</vt:lpstr>
      <vt:lpstr>'Presampled distributions'!k.wL.w1R</vt:lpstr>
      <vt:lpstr>k.wL.w1R</vt:lpstr>
      <vt:lpstr>k.wL.w2R</vt:lpstr>
      <vt:lpstr>'Presampled distributions'!k0.OHrad</vt:lpstr>
      <vt:lpstr>k0.OHrad</vt:lpstr>
      <vt:lpstr>'Presampled distributions'!Kaers.aA</vt:lpstr>
      <vt:lpstr>Kaers.aA</vt:lpstr>
      <vt:lpstr>'Presampled distributions'!Kaers.aC</vt:lpstr>
      <vt:lpstr>Kaers.aC</vt:lpstr>
      <vt:lpstr>'Presampled distributions'!Kaers.aL</vt:lpstr>
      <vt:lpstr>Kaers.aL</vt:lpstr>
      <vt:lpstr>'Presampled distributions'!Kaers.aM</vt:lpstr>
      <vt:lpstr>Kaers.aM</vt:lpstr>
      <vt:lpstr>'Presampled distributions'!Kaers.aR</vt:lpstr>
      <vt:lpstr>Kaers.aR</vt:lpstr>
      <vt:lpstr>'Presampled distributions'!Kaers.aT</vt:lpstr>
      <vt:lpstr>Kaers.aT</vt:lpstr>
      <vt:lpstr>'Presampled distributions'!Kaerw.aA</vt:lpstr>
      <vt:lpstr>Kaerw.aA</vt:lpstr>
      <vt:lpstr>'Presampled distributions'!Kaerw.aC</vt:lpstr>
      <vt:lpstr>Kaerw.aC</vt:lpstr>
      <vt:lpstr>'Presampled distributions'!Kaerw.aL</vt:lpstr>
      <vt:lpstr>Kaerw.aL</vt:lpstr>
      <vt:lpstr>'Presampled distributions'!Kaerw.aM</vt:lpstr>
      <vt:lpstr>Kaerw.aM</vt:lpstr>
      <vt:lpstr>'Presampled distributions'!Kaerw.aR</vt:lpstr>
      <vt:lpstr>Kaerw.aR</vt:lpstr>
      <vt:lpstr>'Presampled distributions'!Kaerw.aT</vt:lpstr>
      <vt:lpstr>Kaerw.aT</vt:lpstr>
      <vt:lpstr>'Presampled distributions'!kas.air.aL</vt:lpstr>
      <vt:lpstr>kas.air.aL</vt:lpstr>
      <vt:lpstr>'Presampled distributions'!kas.soil.sL</vt:lpstr>
      <vt:lpstr>kas.soil.sL</vt:lpstr>
      <vt:lpstr>'Presampled distributions'!Kaw</vt:lpstr>
      <vt:lpstr>Kaw</vt:lpstr>
      <vt:lpstr>'Presampled distributions'!Kaw.A</vt:lpstr>
      <vt:lpstr>Kaw.A</vt:lpstr>
      <vt:lpstr>'Presampled distributions'!kaw.air.aL</vt:lpstr>
      <vt:lpstr>kaw.air.aL</vt:lpstr>
      <vt:lpstr>'Presampled distributions'!Kaw.C</vt:lpstr>
      <vt:lpstr>Kaw.C</vt:lpstr>
      <vt:lpstr>'Presampled distributions'!Kaw.L</vt:lpstr>
      <vt:lpstr>Kaw.L</vt:lpstr>
      <vt:lpstr>'Presampled distributions'!Kaw.M</vt:lpstr>
      <vt:lpstr>Kaw.M</vt:lpstr>
      <vt:lpstr>'Presampled distributions'!Kaw.R</vt:lpstr>
      <vt:lpstr>Kaw.R</vt:lpstr>
      <vt:lpstr>'Presampled distributions'!Kaw.T</vt:lpstr>
      <vt:lpstr>Kaw.T</vt:lpstr>
      <vt:lpstr>'Presampled distributions'!kaw.water.wL</vt:lpstr>
      <vt:lpstr>kaw.water.wL</vt:lpstr>
      <vt:lpstr>'Presampled distributions'!KDEG.aA</vt:lpstr>
      <vt:lpstr>KDEG.aA</vt:lpstr>
      <vt:lpstr>'Presampled distributions'!KDEG.aC</vt:lpstr>
      <vt:lpstr>KDEG.aC</vt:lpstr>
      <vt:lpstr>'Presampled distributions'!kdeg.air</vt:lpstr>
      <vt:lpstr>kdeg.air</vt:lpstr>
      <vt:lpstr>'Presampled distributions'!KDEG.aL</vt:lpstr>
      <vt:lpstr>KDEG.aL</vt:lpstr>
      <vt:lpstr>'Presampled distributions'!KDEG.aM</vt:lpstr>
      <vt:lpstr>KDEG.aM</vt:lpstr>
      <vt:lpstr>'Presampled distributions'!KDEG.aR</vt:lpstr>
      <vt:lpstr>KDEG.aR</vt:lpstr>
      <vt:lpstr>'Presampled distributions'!KDEG.aT</vt:lpstr>
      <vt:lpstr>KDEG.aT</vt:lpstr>
      <vt:lpstr>'Presampled distributions'!KDEG.s1C</vt:lpstr>
      <vt:lpstr>KDEG.s1C</vt:lpstr>
      <vt:lpstr>'Presampled distributions'!KDEG.s1R</vt:lpstr>
      <vt:lpstr>KDEG.s1R</vt:lpstr>
      <vt:lpstr>'Presampled distributions'!KDEG.s2C</vt:lpstr>
      <vt:lpstr>KDEG.s2C</vt:lpstr>
      <vt:lpstr>'Presampled distributions'!KDEG.s2R</vt:lpstr>
      <vt:lpstr>KDEG.s2R</vt:lpstr>
      <vt:lpstr>'Presampled distributions'!KDEG.s3C</vt:lpstr>
      <vt:lpstr>KDEG.s3C</vt:lpstr>
      <vt:lpstr>'Presampled distributions'!KDEG.s3R</vt:lpstr>
      <vt:lpstr>KDEG.s3R</vt:lpstr>
      <vt:lpstr>'Presampled distributions'!KDEG.sA</vt:lpstr>
      <vt:lpstr>KDEG.sA</vt:lpstr>
      <vt:lpstr>'Presampled distributions'!KDEG.sd1C</vt:lpstr>
      <vt:lpstr>KDEG.sd1C</vt:lpstr>
      <vt:lpstr>'Presampled distributions'!KDEG.sd1R</vt:lpstr>
      <vt:lpstr>KDEG.sd1R</vt:lpstr>
      <vt:lpstr>'Presampled distributions'!KDEG.sd2C</vt:lpstr>
      <vt:lpstr>KDEG.sd2C</vt:lpstr>
      <vt:lpstr>'Presampled distributions'!KDEG.sd2R</vt:lpstr>
      <vt:lpstr>KDEG.sd2R</vt:lpstr>
      <vt:lpstr>'Presampled distributions'!KDEG.sdA</vt:lpstr>
      <vt:lpstr>KDEG.sdA</vt:lpstr>
      <vt:lpstr>'Presampled distributions'!KDEG.sdM</vt:lpstr>
      <vt:lpstr>KDEG.sdM</vt:lpstr>
      <vt:lpstr>'Presampled distributions'!KDEG.sdT</vt:lpstr>
      <vt:lpstr>KDEG.sdT</vt:lpstr>
      <vt:lpstr>'Presampled distributions'!kdeg.sed</vt:lpstr>
      <vt:lpstr>kdeg.sed</vt:lpstr>
      <vt:lpstr>'Presampled distributions'!KDEG.sL</vt:lpstr>
      <vt:lpstr>KDEG.sL</vt:lpstr>
      <vt:lpstr>'Presampled distributions'!KDEG.sM</vt:lpstr>
      <vt:lpstr>KDEG.sM</vt:lpstr>
      <vt:lpstr>'Presampled distributions'!kdeg.soil</vt:lpstr>
      <vt:lpstr>kdeg.soil</vt:lpstr>
      <vt:lpstr>'Presampled distributions'!KDEG.sT</vt:lpstr>
      <vt:lpstr>KDEG.sT</vt:lpstr>
      <vt:lpstr>'Presampled distributions'!KDEG.w0C</vt:lpstr>
      <vt:lpstr>KDEG.w0C</vt:lpstr>
      <vt:lpstr>'Presampled distributions'!KDEG.w0R</vt:lpstr>
      <vt:lpstr>KDEG.w0R</vt:lpstr>
      <vt:lpstr>'Presampled distributions'!KDEG.w1C</vt:lpstr>
      <vt:lpstr>KDEG.w1C</vt:lpstr>
      <vt:lpstr>'Presampled distributions'!KDEG.w1R</vt:lpstr>
      <vt:lpstr>KDEG.w1R</vt:lpstr>
      <vt:lpstr>'Presampled distributions'!KDEG.w2A</vt:lpstr>
      <vt:lpstr>KDEG.w2A</vt:lpstr>
      <vt:lpstr>'Presampled distributions'!KDEG.w2C</vt:lpstr>
      <vt:lpstr>KDEG.w2C</vt:lpstr>
      <vt:lpstr>'Presampled distributions'!KDEG.w2M</vt:lpstr>
      <vt:lpstr>KDEG.w2M</vt:lpstr>
      <vt:lpstr>'Presampled distributions'!KDEG.w2R</vt:lpstr>
      <vt:lpstr>KDEG.w2R</vt:lpstr>
      <vt:lpstr>'Presampled distributions'!KDEG.w2T</vt:lpstr>
      <vt:lpstr>KDEG.w2T</vt:lpstr>
      <vt:lpstr>'Presampled distributions'!KDEG.w3A</vt:lpstr>
      <vt:lpstr>KDEG.w3A</vt:lpstr>
      <vt:lpstr>'Presampled distributions'!KDEG.w3M</vt:lpstr>
      <vt:lpstr>KDEG.w3M</vt:lpstr>
      <vt:lpstr>'Presampled distributions'!KDEG.w3T</vt:lpstr>
      <vt:lpstr>KDEG.w3T</vt:lpstr>
      <vt:lpstr>'Presampled distributions'!kdeg.water</vt:lpstr>
      <vt:lpstr>kdeg.water</vt:lpstr>
      <vt:lpstr>KDEG.wL</vt:lpstr>
      <vt:lpstr>'Presampled distributions'!kdep.L</vt:lpstr>
      <vt:lpstr>kdep.L</vt:lpstr>
      <vt:lpstr>KDEPmean.L</vt:lpstr>
      <vt:lpstr>kdry.A</vt:lpstr>
      <vt:lpstr>kdry.C</vt:lpstr>
      <vt:lpstr>'Presampled distributions'!kdry.L</vt:lpstr>
      <vt:lpstr>kdry.L</vt:lpstr>
      <vt:lpstr>kdry.M</vt:lpstr>
      <vt:lpstr>kdry.R</vt:lpstr>
      <vt:lpstr>kdry.T</vt:lpstr>
      <vt:lpstr>'Presampled distributions'!kesc.aA</vt:lpstr>
      <vt:lpstr>kesc.aA</vt:lpstr>
      <vt:lpstr>'Presampled distributions'!kesc.aC</vt:lpstr>
      <vt:lpstr>kesc.aC</vt:lpstr>
      <vt:lpstr>'Presampled distributions'!kesc.aL</vt:lpstr>
      <vt:lpstr>kesc.aL</vt:lpstr>
      <vt:lpstr>'Presampled distributions'!kesc.aM</vt:lpstr>
      <vt:lpstr>kesc.aM</vt:lpstr>
      <vt:lpstr>'Presampled distributions'!kesc.aR</vt:lpstr>
      <vt:lpstr>kesc.aR</vt:lpstr>
      <vt:lpstr>'Presampled distributions'!kesc.aT</vt:lpstr>
      <vt:lpstr>kesc.aT</vt:lpstr>
      <vt:lpstr>'Presampled distributions'!Kh.L</vt:lpstr>
      <vt:lpstr>Kh.L</vt:lpstr>
      <vt:lpstr>'Presampled distributions'!Kow</vt:lpstr>
      <vt:lpstr>Kow</vt:lpstr>
      <vt:lpstr>'Presampled distributions'!Kow.alt</vt:lpstr>
      <vt:lpstr>Kow.alt</vt:lpstr>
      <vt:lpstr>'Presampled distributions'!Kp.col0C</vt:lpstr>
      <vt:lpstr>Kp.col0C</vt:lpstr>
      <vt:lpstr>'Presampled distributions'!Kp.col0R</vt:lpstr>
      <vt:lpstr>Kp.col0R</vt:lpstr>
      <vt:lpstr>'Presampled distributions'!Kp.col1C</vt:lpstr>
      <vt:lpstr>Kp.col1C</vt:lpstr>
      <vt:lpstr>'Presampled distributions'!Kp.col1R</vt:lpstr>
      <vt:lpstr>Kp.col1R</vt:lpstr>
      <vt:lpstr>'Presampled distributions'!Kp.col2A</vt:lpstr>
      <vt:lpstr>Kp.col2A</vt:lpstr>
      <vt:lpstr>'Presampled distributions'!Kp.col2C</vt:lpstr>
      <vt:lpstr>Kp.col2C</vt:lpstr>
      <vt:lpstr>'Presampled distributions'!Kp.col2M</vt:lpstr>
      <vt:lpstr>Kp.col2M</vt:lpstr>
      <vt:lpstr>'Presampled distributions'!Kp.col2R</vt:lpstr>
      <vt:lpstr>Kp.col2R</vt:lpstr>
      <vt:lpstr>'Presampled distributions'!Kp.col2T</vt:lpstr>
      <vt:lpstr>Kp.col2T</vt:lpstr>
      <vt:lpstr>'Presampled distributions'!Kp.col3A</vt:lpstr>
      <vt:lpstr>Kp.col3A</vt:lpstr>
      <vt:lpstr>'Presampled distributions'!Kp.col3M</vt:lpstr>
      <vt:lpstr>Kp.col3M</vt:lpstr>
      <vt:lpstr>'Presampled distributions'!Kp.col3T</vt:lpstr>
      <vt:lpstr>Kp.col3T</vt:lpstr>
      <vt:lpstr>'Presampled distributions'!Kp.colL</vt:lpstr>
      <vt:lpstr>Kp.colL</vt:lpstr>
      <vt:lpstr>'Presampled distributions'!Kp.s1C</vt:lpstr>
      <vt:lpstr>Kp.s1C</vt:lpstr>
      <vt:lpstr>'Presampled distributions'!Kp.s1R</vt:lpstr>
      <vt:lpstr>Kp.s1R</vt:lpstr>
      <vt:lpstr>'Presampled distributions'!Kp.s2C</vt:lpstr>
      <vt:lpstr>Kp.s2C</vt:lpstr>
      <vt:lpstr>'Presampled distributions'!Kp.s2R</vt:lpstr>
      <vt:lpstr>Kp.s2R</vt:lpstr>
      <vt:lpstr>'Presampled distributions'!Kp.s3C</vt:lpstr>
      <vt:lpstr>Kp.s3C</vt:lpstr>
      <vt:lpstr>'Presampled distributions'!Kp.s3R</vt:lpstr>
      <vt:lpstr>Kp.s3R</vt:lpstr>
      <vt:lpstr>'Presampled distributions'!Kp.sA</vt:lpstr>
      <vt:lpstr>Kp.sA</vt:lpstr>
      <vt:lpstr>'Presampled distributions'!Kp.sd1C</vt:lpstr>
      <vt:lpstr>Kp.sd1C</vt:lpstr>
      <vt:lpstr>'Presampled distributions'!Kp.sd1R</vt:lpstr>
      <vt:lpstr>Kp.sd1R</vt:lpstr>
      <vt:lpstr>'Presampled distributions'!Kp.sd2C</vt:lpstr>
      <vt:lpstr>Kp.sd2C</vt:lpstr>
      <vt:lpstr>'Presampled distributions'!Kp.sd2R</vt:lpstr>
      <vt:lpstr>Kp.sd2R</vt:lpstr>
      <vt:lpstr>'Presampled distributions'!Kp.sdA</vt:lpstr>
      <vt:lpstr>Kp.sdA</vt:lpstr>
      <vt:lpstr>'Presampled distributions'!Kp.sdL</vt:lpstr>
      <vt:lpstr>Kp.sdL</vt:lpstr>
      <vt:lpstr>'Presampled distributions'!Kp.sdM</vt:lpstr>
      <vt:lpstr>Kp.sdM</vt:lpstr>
      <vt:lpstr>'Presampled distributions'!Kp.sdT</vt:lpstr>
      <vt:lpstr>Kp.sdT</vt:lpstr>
      <vt:lpstr>'Presampled distributions'!Kp.sL</vt:lpstr>
      <vt:lpstr>Kp.sL</vt:lpstr>
      <vt:lpstr>'Presampled distributions'!Kp.sM</vt:lpstr>
      <vt:lpstr>Kp.sM</vt:lpstr>
      <vt:lpstr>'Presampled distributions'!Kp.sT</vt:lpstr>
      <vt:lpstr>Kp.sT</vt:lpstr>
      <vt:lpstr>'Presampled distributions'!Kp.susp0C</vt:lpstr>
      <vt:lpstr>Kp.susp0C</vt:lpstr>
      <vt:lpstr>'Presampled distributions'!Kp.susp0R</vt:lpstr>
      <vt:lpstr>Kp.susp0R</vt:lpstr>
      <vt:lpstr>'Presampled distributions'!Kp.susp1C</vt:lpstr>
      <vt:lpstr>Kp.susp1C</vt:lpstr>
      <vt:lpstr>'Presampled distributions'!Kp.susp1R</vt:lpstr>
      <vt:lpstr>Kp.susp1R</vt:lpstr>
      <vt:lpstr>'Presampled distributions'!Kp.susp2A</vt:lpstr>
      <vt:lpstr>Kp.susp2A</vt:lpstr>
      <vt:lpstr>'Presampled distributions'!Kp.susp2C</vt:lpstr>
      <vt:lpstr>Kp.susp2C</vt:lpstr>
      <vt:lpstr>'Presampled distributions'!Kp.susp2M</vt:lpstr>
      <vt:lpstr>Kp.susp2M</vt:lpstr>
      <vt:lpstr>'Presampled distributions'!Kp.susp2R</vt:lpstr>
      <vt:lpstr>Kp.susp2R</vt:lpstr>
      <vt:lpstr>'Presampled distributions'!Kp.susp2T</vt:lpstr>
      <vt:lpstr>Kp.susp2T</vt:lpstr>
      <vt:lpstr>'Presampled distributions'!Kp.susp3A</vt:lpstr>
      <vt:lpstr>Kp.susp3A</vt:lpstr>
      <vt:lpstr>'Presampled distributions'!Kp.susp3M</vt:lpstr>
      <vt:lpstr>Kp.susp3M</vt:lpstr>
      <vt:lpstr>'Presampled distributions'!Kp.susp3T</vt:lpstr>
      <vt:lpstr>Kp.susp3T</vt:lpstr>
      <vt:lpstr>'Presampled distributions'!Kp.suspL</vt:lpstr>
      <vt:lpstr>Kp.suspL</vt:lpstr>
      <vt:lpstr>'Presampled distributions'!Ks1w.C</vt:lpstr>
      <vt:lpstr>Ks1w.C</vt:lpstr>
      <vt:lpstr>'Presampled distributions'!Ks1w.R</vt:lpstr>
      <vt:lpstr>Ks1w.R</vt:lpstr>
      <vt:lpstr>'Presampled distributions'!Ks2w.C</vt:lpstr>
      <vt:lpstr>Ks2w.C</vt:lpstr>
      <vt:lpstr>'Presampled distributions'!Ks2w.R</vt:lpstr>
      <vt:lpstr>Ks2w.R</vt:lpstr>
      <vt:lpstr>'Presampled distributions'!Ks3w.C</vt:lpstr>
      <vt:lpstr>Ks3w.C</vt:lpstr>
      <vt:lpstr>'Presampled distributions'!Ks3w.R</vt:lpstr>
      <vt:lpstr>Ks3w.R</vt:lpstr>
      <vt:lpstr>'Presampled distributions'!Ksdw.A</vt:lpstr>
      <vt:lpstr>Ksdw.A</vt:lpstr>
      <vt:lpstr>'Presampled distributions'!Ksdw.L</vt:lpstr>
      <vt:lpstr>Ksdw.L</vt:lpstr>
      <vt:lpstr>'Presampled distributions'!Ksdw.M</vt:lpstr>
      <vt:lpstr>Ksdw.M</vt:lpstr>
      <vt:lpstr>'Presampled distributions'!Ksdw.T</vt:lpstr>
      <vt:lpstr>Ksdw.T</vt:lpstr>
      <vt:lpstr>'Presampled distributions'!Ksdw1.C</vt:lpstr>
      <vt:lpstr>Ksdw1.C</vt:lpstr>
      <vt:lpstr>'Presampled distributions'!Ksdw1.R</vt:lpstr>
      <vt:lpstr>Ksdw1.R</vt:lpstr>
      <vt:lpstr>'Presampled distributions'!Ksdw2.C</vt:lpstr>
      <vt:lpstr>Ksdw2.C</vt:lpstr>
      <vt:lpstr>'Presampled distributions'!Ksdw2.R</vt:lpstr>
      <vt:lpstr>Ksdw2.R</vt:lpstr>
      <vt:lpstr>'Presampled distributions'!Kslw.A</vt:lpstr>
      <vt:lpstr>Kslw.A</vt:lpstr>
      <vt:lpstr>'Presampled distributions'!Kslw.M</vt:lpstr>
      <vt:lpstr>Kslw.M</vt:lpstr>
      <vt:lpstr>'Presampled distributions'!Kslw.T</vt:lpstr>
      <vt:lpstr>Kslw.T</vt:lpstr>
      <vt:lpstr>'Presampled distributions'!Ksw</vt:lpstr>
      <vt:lpstr>Ksw</vt:lpstr>
      <vt:lpstr>'Presampled distributions'!Ksw.alt</vt:lpstr>
      <vt:lpstr>Ksw.alt</vt:lpstr>
      <vt:lpstr>'Presampled distributions'!Ksw.L</vt:lpstr>
      <vt:lpstr>Ksw.L</vt:lpstr>
      <vt:lpstr>kwet.A</vt:lpstr>
      <vt:lpstr>kwet.C</vt:lpstr>
      <vt:lpstr>'Presampled distributions'!kwet.L</vt:lpstr>
      <vt:lpstr>kwet.L</vt:lpstr>
      <vt:lpstr>kwet.M</vt:lpstr>
      <vt:lpstr>kwet.R</vt:lpstr>
      <vt:lpstr>kwet.T</vt:lpstr>
      <vt:lpstr>'Presampled distributions'!kwsd.sed.sdA</vt:lpstr>
      <vt:lpstr>kwsd.sed.sdA</vt:lpstr>
      <vt:lpstr>'Presampled distributions'!kwsd.sed.sdC</vt:lpstr>
      <vt:lpstr>kwsd.sed.sdC</vt:lpstr>
      <vt:lpstr>'Presampled distributions'!kwsd.sed.sdL</vt:lpstr>
      <vt:lpstr>kwsd.sed.sdL</vt:lpstr>
      <vt:lpstr>'Presampled distributions'!kwsd.sed.sdM</vt:lpstr>
      <vt:lpstr>kwsd.sed.sdM</vt:lpstr>
      <vt:lpstr>'Presampled distributions'!kwsd.sed.sdR</vt:lpstr>
      <vt:lpstr>kwsd.sed.sdR</vt:lpstr>
      <vt:lpstr>'Presampled distributions'!kwsd.sed.sdT</vt:lpstr>
      <vt:lpstr>kwsd.sed.sdT</vt:lpstr>
      <vt:lpstr>'Presampled distributions'!kwsd.water.wA</vt:lpstr>
      <vt:lpstr>kwsd.water.wA</vt:lpstr>
      <vt:lpstr>'Presampled distributions'!kwsd.water.wC</vt:lpstr>
      <vt:lpstr>kwsd.water.wC</vt:lpstr>
      <vt:lpstr>'Presampled distributions'!kwsd.water.wL</vt:lpstr>
      <vt:lpstr>kwsd.water.wL</vt:lpstr>
      <vt:lpstr>'Presampled distributions'!kwsd.water.wM</vt:lpstr>
      <vt:lpstr>kwsd.water.wM</vt:lpstr>
      <vt:lpstr>'Presampled distributions'!kwsd.water.wR</vt:lpstr>
      <vt:lpstr>kwsd.water.wR</vt:lpstr>
      <vt:lpstr>'Presampled distributions'!kwsd.water.wT</vt:lpstr>
      <vt:lpstr>kwsd.water.wT</vt:lpstr>
      <vt:lpstr>LEACHflow.sL</vt:lpstr>
      <vt:lpstr>'Presampled distributions'!M.aA</vt:lpstr>
      <vt:lpstr>M.aA</vt:lpstr>
      <vt:lpstr>'Presampled distributions'!M.aC</vt:lpstr>
      <vt:lpstr>M.aC</vt:lpstr>
      <vt:lpstr>'Presampled distributions'!M.aL</vt:lpstr>
      <vt:lpstr>M.aL</vt:lpstr>
      <vt:lpstr>'Presampled distributions'!M.aM</vt:lpstr>
      <vt:lpstr>M.aM</vt:lpstr>
      <vt:lpstr>'Presampled distributions'!M.aR</vt:lpstr>
      <vt:lpstr>M.aR</vt:lpstr>
      <vt:lpstr>'Presampled distributions'!M.aT</vt:lpstr>
      <vt:lpstr>M.aT</vt:lpstr>
      <vt:lpstr>'Presampled distributions'!M.s1C</vt:lpstr>
      <vt:lpstr>M.s1C</vt:lpstr>
      <vt:lpstr>'Presampled distributions'!M.s1R</vt:lpstr>
      <vt:lpstr>M.s1R</vt:lpstr>
      <vt:lpstr>'Presampled distributions'!M.s2C</vt:lpstr>
      <vt:lpstr>M.s2C</vt:lpstr>
      <vt:lpstr>'Presampled distributions'!M.s2R</vt:lpstr>
      <vt:lpstr>M.s2R</vt:lpstr>
      <vt:lpstr>'Presampled distributions'!M.s3C</vt:lpstr>
      <vt:lpstr>M.s3C</vt:lpstr>
      <vt:lpstr>'Presampled distributions'!M.s3R</vt:lpstr>
      <vt:lpstr>M.s3R</vt:lpstr>
      <vt:lpstr>'Presampled distributions'!M.sA</vt:lpstr>
      <vt:lpstr>M.sA</vt:lpstr>
      <vt:lpstr>'Presampled distributions'!M.sd1C</vt:lpstr>
      <vt:lpstr>M.sd1C</vt:lpstr>
      <vt:lpstr>'Presampled distributions'!M.sd1R</vt:lpstr>
      <vt:lpstr>M.sd1R</vt:lpstr>
      <vt:lpstr>'Presampled distributions'!M.sd2C</vt:lpstr>
      <vt:lpstr>M.sd2C</vt:lpstr>
      <vt:lpstr>'Presampled distributions'!M.sd2R</vt:lpstr>
      <vt:lpstr>M.sd2R</vt:lpstr>
      <vt:lpstr>'Presampled distributions'!M.sdA</vt:lpstr>
      <vt:lpstr>M.sdA</vt:lpstr>
      <vt:lpstr>M.sdL</vt:lpstr>
      <vt:lpstr>'Presampled distributions'!M.sdM</vt:lpstr>
      <vt:lpstr>M.sdM</vt:lpstr>
      <vt:lpstr>'Presampled distributions'!M.sdT</vt:lpstr>
      <vt:lpstr>M.sdT</vt:lpstr>
      <vt:lpstr>M.sL</vt:lpstr>
      <vt:lpstr>'Presampled distributions'!M.sM</vt:lpstr>
      <vt:lpstr>M.sM</vt:lpstr>
      <vt:lpstr>'Presampled distributions'!M.sT</vt:lpstr>
      <vt:lpstr>M.sT</vt:lpstr>
      <vt:lpstr>'Presampled distributions'!M.tot</vt:lpstr>
      <vt:lpstr>M.tot</vt:lpstr>
      <vt:lpstr>'Presampled distributions'!M.w0C</vt:lpstr>
      <vt:lpstr>M.w0C</vt:lpstr>
      <vt:lpstr>'Presampled distributions'!M.w0R</vt:lpstr>
      <vt:lpstr>M.w0R</vt:lpstr>
      <vt:lpstr>'Presampled distributions'!M.w1C</vt:lpstr>
      <vt:lpstr>M.w1C</vt:lpstr>
      <vt:lpstr>'Presampled distributions'!M.w1R</vt:lpstr>
      <vt:lpstr>M.w1R</vt:lpstr>
      <vt:lpstr>'Presampled distributions'!M.w2A</vt:lpstr>
      <vt:lpstr>M.w2A</vt:lpstr>
      <vt:lpstr>'Presampled distributions'!M.w2C</vt:lpstr>
      <vt:lpstr>M.w2C</vt:lpstr>
      <vt:lpstr>'Presampled distributions'!M.w2M</vt:lpstr>
      <vt:lpstr>M.w2M</vt:lpstr>
      <vt:lpstr>'Presampled distributions'!M.w2R</vt:lpstr>
      <vt:lpstr>M.w2R</vt:lpstr>
      <vt:lpstr>'Presampled distributions'!M.w2T</vt:lpstr>
      <vt:lpstr>M.w2T</vt:lpstr>
      <vt:lpstr>'Presampled distributions'!M.w3A</vt:lpstr>
      <vt:lpstr>M.w3A</vt:lpstr>
      <vt:lpstr>'Presampled distributions'!M.w3M</vt:lpstr>
      <vt:lpstr>M.w3M</vt:lpstr>
      <vt:lpstr>'Presampled distributions'!M.w3T</vt:lpstr>
      <vt:lpstr>M.w3T</vt:lpstr>
      <vt:lpstr>M.wL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'Presampled distributions'!Molweight</vt:lpstr>
      <vt:lpstr>Molweight</vt:lpstr>
      <vt:lpstr>'Presampled distributions'!MTCas.air.aA</vt:lpstr>
      <vt:lpstr>MTCas.air.aA</vt:lpstr>
      <vt:lpstr>'Presampled distributions'!MTCas.air.aC</vt:lpstr>
      <vt:lpstr>MTCas.air.aC</vt:lpstr>
      <vt:lpstr>'Presampled distributions'!MTCas.air.aM</vt:lpstr>
      <vt:lpstr>MTCas.air.aM</vt:lpstr>
      <vt:lpstr>'Presampled distributions'!MTCas.air.aR</vt:lpstr>
      <vt:lpstr>MTCas.air.aR</vt:lpstr>
      <vt:lpstr>'Presampled distributions'!MTCas.air.aT</vt:lpstr>
      <vt:lpstr>MTCas.air.aT</vt:lpstr>
      <vt:lpstr>'Presampled distributions'!MTCas.soil.sA</vt:lpstr>
      <vt:lpstr>MTCas.soil.sA</vt:lpstr>
      <vt:lpstr>'Presampled distributions'!MTCas.soil.sC</vt:lpstr>
      <vt:lpstr>MTCas.soil.sC</vt:lpstr>
      <vt:lpstr>'Presampled distributions'!MTCas.soil.sM</vt:lpstr>
      <vt:lpstr>MTCas.soil.sM</vt:lpstr>
      <vt:lpstr>'Presampled distributions'!MTCas.soil.sR</vt:lpstr>
      <vt:lpstr>MTCas.soil.sR</vt:lpstr>
      <vt:lpstr>'Presampled distributions'!MTCas.soil.sT</vt:lpstr>
      <vt:lpstr>MTCas.soil.sT</vt:lpstr>
      <vt:lpstr>'Presampled distributions'!MTCaw.air.aA</vt:lpstr>
      <vt:lpstr>MTCaw.air.aA</vt:lpstr>
      <vt:lpstr>'Presampled distributions'!MTCaw.air.aC</vt:lpstr>
      <vt:lpstr>MTCaw.air.aC</vt:lpstr>
      <vt:lpstr>'Presampled distributions'!MTCaw.air.aM</vt:lpstr>
      <vt:lpstr>MTCaw.air.aM</vt:lpstr>
      <vt:lpstr>'Presampled distributions'!MTCaw.air.aR</vt:lpstr>
      <vt:lpstr>MTCaw.air.aR</vt:lpstr>
      <vt:lpstr>'Presampled distributions'!MTCaw.air.aT</vt:lpstr>
      <vt:lpstr>MTCaw.air.aT</vt:lpstr>
      <vt:lpstr>'Presampled distributions'!MTCaw.water.wA</vt:lpstr>
      <vt:lpstr>MTCaw.water.wA</vt:lpstr>
      <vt:lpstr>'Presampled distributions'!MTCaw.water.wC</vt:lpstr>
      <vt:lpstr>MTCaw.water.wC</vt:lpstr>
      <vt:lpstr>'Presampled distributions'!MTCaw.water.wM</vt:lpstr>
      <vt:lpstr>MTCaw.water.wM</vt:lpstr>
      <vt:lpstr>'Presampled distributions'!MTCaw.water.wR</vt:lpstr>
      <vt:lpstr>MTCaw.water.wR</vt:lpstr>
      <vt:lpstr>'Presampled distributions'!MTCaw.water.wT</vt:lpstr>
      <vt:lpstr>MTCaw.water.wT</vt:lpstr>
      <vt:lpstr>'Presampled distributions'!NETsedrate.w1C</vt:lpstr>
      <vt:lpstr>NETsedrate.w1C</vt:lpstr>
      <vt:lpstr>'Presampled distributions'!NETsedrate.w1R</vt:lpstr>
      <vt:lpstr>NETsedrate.w1R</vt:lpstr>
      <vt:lpstr>'Presampled distributions'!NETsedrate.w2C</vt:lpstr>
      <vt:lpstr>NETsedrate.w2C</vt:lpstr>
      <vt:lpstr>'Presampled distributions'!NETsedrate.w2R</vt:lpstr>
      <vt:lpstr>NETsedrate.w2R</vt:lpstr>
      <vt:lpstr>'Presampled distributions'!NETsedrate.wA</vt:lpstr>
      <vt:lpstr>NETsedrate.wA</vt:lpstr>
      <vt:lpstr>'Presampled distributions'!NETsedrate.wL</vt:lpstr>
      <vt:lpstr>NETsedrate.wL</vt:lpstr>
      <vt:lpstr>'Presampled distributions'!NETsedrate.wM</vt:lpstr>
      <vt:lpstr>NETsedrate.wM</vt:lpstr>
      <vt:lpstr>'Presampled distributions'!NETsedrate.wT</vt:lpstr>
      <vt:lpstr>NETsedrate.wT</vt:lpstr>
      <vt:lpstr>'Presampled distributions'!NewMatrix1</vt:lpstr>
      <vt:lpstr>NewMatrix1</vt:lpstr>
      <vt:lpstr>'Presampled distributions'!NewMatrix2</vt:lpstr>
      <vt:lpstr>NewMatrix2</vt:lpstr>
      <vt:lpstr>NewMatrix3</vt:lpstr>
      <vt:lpstr>'Presampled distributions'!OceanCurrent</vt:lpstr>
      <vt:lpstr>OceanCurrent</vt:lpstr>
      <vt:lpstr>'Presampled distributions'!OceanMixing.A</vt:lpstr>
      <vt:lpstr>OceanMixing.A</vt:lpstr>
      <vt:lpstr>'Presampled distributions'!OceanMixing.M</vt:lpstr>
      <vt:lpstr>OceanMixing.M</vt:lpstr>
      <vt:lpstr>'Presampled distributions'!OceanMixing.T</vt:lpstr>
      <vt:lpstr>OceanMixing.T</vt:lpstr>
      <vt:lpstr>'Presampled distributions'!PENdepth.sL</vt:lpstr>
      <vt:lpstr>PENdepth.sL</vt:lpstr>
      <vt:lpstr>'Presampled distributions'!pH.aerw</vt:lpstr>
      <vt:lpstr>pH.aerw</vt:lpstr>
      <vt:lpstr>'Presampled distributions'!pH.s1</vt:lpstr>
      <vt:lpstr>pH.s1</vt:lpstr>
      <vt:lpstr>'Presampled distributions'!pH.s2</vt:lpstr>
      <vt:lpstr>pH.s2</vt:lpstr>
      <vt:lpstr>'Presampled distributions'!pH.s3</vt:lpstr>
      <vt:lpstr>pH.s3</vt:lpstr>
      <vt:lpstr>'Presampled distributions'!pH.w1</vt:lpstr>
      <vt:lpstr>pH.w1</vt:lpstr>
      <vt:lpstr>'Presampled distributions'!pH.w2</vt:lpstr>
      <vt:lpstr>pH.w2</vt:lpstr>
      <vt:lpstr>'Presampled distributions'!pKa</vt:lpstr>
      <vt:lpstr>pKa</vt:lpstr>
      <vt:lpstr>pKab</vt:lpstr>
      <vt:lpstr>PRODsusp.w1C</vt:lpstr>
      <vt:lpstr>PRODsusp.w1R</vt:lpstr>
      <vt:lpstr>PRODsusp.w2C</vt:lpstr>
      <vt:lpstr>PRODsusp.w2R</vt:lpstr>
      <vt:lpstr>PRODsusp.wA</vt:lpstr>
      <vt:lpstr>PRODsusp.wL</vt:lpstr>
      <vt:lpstr>PRODsusp.wM</vt:lpstr>
      <vt:lpstr>PRODsusp.wT</vt:lpstr>
      <vt:lpstr>'Presampled distributions'!Pvap25</vt:lpstr>
      <vt:lpstr>Pvap25</vt:lpstr>
      <vt:lpstr>'Presampled distributions'!Q.10</vt:lpstr>
      <vt:lpstr>Q.10</vt:lpstr>
      <vt:lpstr>'Presampled distributions'!QSARtable</vt:lpstr>
      <vt:lpstr>QSARtable</vt:lpstr>
      <vt:lpstr>'Presampled distributions'!RAINflow.aL.wL</vt:lpstr>
      <vt:lpstr>RAINflow.aL.wL</vt:lpstr>
      <vt:lpstr>'Presampled distributions'!RAINrate.A</vt:lpstr>
      <vt:lpstr>RAINrate.A</vt:lpstr>
      <vt:lpstr>'Presampled distributions'!RAINrate.C</vt:lpstr>
      <vt:lpstr>RAINrate.C</vt:lpstr>
      <vt:lpstr>'Presampled distributions'!RAINrate.L</vt:lpstr>
      <vt:lpstr>RAINrate.L</vt:lpstr>
      <vt:lpstr>'Presampled distributions'!RAINrate.M</vt:lpstr>
      <vt:lpstr>RAINrate.M</vt:lpstr>
      <vt:lpstr>'Presampled distributions'!RAINrate.R</vt:lpstr>
      <vt:lpstr>RAINrate.R</vt:lpstr>
      <vt:lpstr>'Presampled distributions'!RAINrate.T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'Presampled distributions'!RESUSP.sdL.wL</vt:lpstr>
      <vt:lpstr>RESUSP.sdL.wL</vt:lpstr>
      <vt:lpstr>RESUSP.sdM.w3M</vt:lpstr>
      <vt:lpstr>RESUSP.sdT.w3T</vt:lpstr>
      <vt:lpstr>'Presampled distributions'!RESUSPrate.sd1C</vt:lpstr>
      <vt:lpstr>RESUSPrate.sd1C</vt:lpstr>
      <vt:lpstr>'Presampled distributions'!RESUSPrate.sd1R</vt:lpstr>
      <vt:lpstr>RESUSPrate.sd1R</vt:lpstr>
      <vt:lpstr>'Presampled distributions'!RESUSPrate.sd2C</vt:lpstr>
      <vt:lpstr>RESUSPrate.sd2C</vt:lpstr>
      <vt:lpstr>'Presampled distributions'!RESUSPrate.sd2R</vt:lpstr>
      <vt:lpstr>RESUSPrate.sd2R</vt:lpstr>
      <vt:lpstr>'Presampled distributions'!RESUSPrate.sdA</vt:lpstr>
      <vt:lpstr>RESUSPrate.sdA</vt:lpstr>
      <vt:lpstr>'Presampled distributions'!RESUSPrate.sdL</vt:lpstr>
      <vt:lpstr>RESUSPrate.sdL</vt:lpstr>
      <vt:lpstr>'Presampled distributions'!RESUSPrate.sdM</vt:lpstr>
      <vt:lpstr>RESUSPrate.sdM</vt:lpstr>
      <vt:lpstr>'Presampled distributions'!RESUSPrate.sdT</vt:lpstr>
      <vt:lpstr>RESUSPrate.sdT</vt:lpstr>
      <vt:lpstr>'Presampled distributions'!RHOaers</vt:lpstr>
      <vt:lpstr>RHOaers</vt:lpstr>
      <vt:lpstr>'Presampled distributions'!RHOsolid</vt:lpstr>
      <vt:lpstr>RHOsolid</vt:lpstr>
      <vt:lpstr>'Presampled distributions'!Rout.I</vt:lpstr>
      <vt:lpstr>Rout.I</vt:lpstr>
      <vt:lpstr>Rout.II</vt:lpstr>
      <vt:lpstr>RUNOFFflow.sL.wL</vt:lpstr>
      <vt:lpstr>'Presampled distributions'!Scale</vt:lpstr>
      <vt:lpstr>Scale</vt:lpstr>
      <vt:lpstr>ScenarioData</vt:lpstr>
      <vt:lpstr>'Presampled distributions'!ScenarioName</vt:lpstr>
      <vt:lpstr>ScenarioName</vt:lpstr>
      <vt:lpstr>'Presampled distributions'!ScenarioNames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'Presampled distributions'!SED.wL.sdL</vt:lpstr>
      <vt:lpstr>SED.wL.sdL</vt:lpstr>
      <vt:lpstr>RiskSerializationData8!SerializationHeader</vt:lpstr>
      <vt:lpstr>'Presampled distributions'!SETTLvelocity.A</vt:lpstr>
      <vt:lpstr>SETTLvelocity.A</vt:lpstr>
      <vt:lpstr>'Presampled distributions'!SETTLvelocity.C</vt:lpstr>
      <vt:lpstr>SETTLvelocity.C</vt:lpstr>
      <vt:lpstr>'Presampled distributions'!SETTLvelocity.L</vt:lpstr>
      <vt:lpstr>SETTLvelocity.L</vt:lpstr>
      <vt:lpstr>'Presampled distributions'!SETTLvelocity.M</vt:lpstr>
      <vt:lpstr>SETTLvelocity.M</vt:lpstr>
      <vt:lpstr>'Presampled distributions'!SETTLvelocity.R</vt:lpstr>
      <vt:lpstr>SETTLvelocity.R</vt:lpstr>
      <vt:lpstr>'Presampled distributions'!SETTLvelocity.T</vt:lpstr>
      <vt:lpstr>SETTLvelocity.T</vt:lpstr>
      <vt:lpstr>'Presampled distributions'!SOLIDadv.sL</vt:lpstr>
      <vt:lpstr>SOLIDadv.sL</vt:lpstr>
      <vt:lpstr>'Presampled distributions'!SOLIDdiff.sL</vt:lpstr>
      <vt:lpstr>SOLIDdiff.sL</vt:lpstr>
      <vt:lpstr>'Presampled distributions'!SOLw25</vt:lpstr>
      <vt:lpstr>SOLw25</vt:lpstr>
      <vt:lpstr>'Presampled distributions'!SubstanceData</vt:lpstr>
      <vt:lpstr>SubstanceData</vt:lpstr>
      <vt:lpstr>'Presampled distributions'!SUSP.w0C</vt:lpstr>
      <vt:lpstr>SUSP.w0C</vt:lpstr>
      <vt:lpstr>'Presampled distributions'!SUSP.w0R</vt:lpstr>
      <vt:lpstr>SUSP.w0R</vt:lpstr>
      <vt:lpstr>'Presampled distributions'!SUSP.w1C</vt:lpstr>
      <vt:lpstr>SUSP.w1C</vt:lpstr>
      <vt:lpstr>'Presampled distributions'!SUSP.w1R</vt:lpstr>
      <vt:lpstr>SUSP.w1R</vt:lpstr>
      <vt:lpstr>'Presampled distributions'!SUSP.w2A</vt:lpstr>
      <vt:lpstr>SUSP.w2A</vt:lpstr>
      <vt:lpstr>'Presampled distributions'!SUSP.w2C</vt:lpstr>
      <vt:lpstr>SUSP.w2C</vt:lpstr>
      <vt:lpstr>'Presampled distributions'!SUSP.w2M</vt:lpstr>
      <vt:lpstr>SUSP.w2M</vt:lpstr>
      <vt:lpstr>'Presampled distributions'!SUSP.w2R</vt:lpstr>
      <vt:lpstr>SUSP.w2R</vt:lpstr>
      <vt:lpstr>'Presampled distributions'!SUSP.w2T</vt:lpstr>
      <vt:lpstr>SUSP.w2T</vt:lpstr>
      <vt:lpstr>'Presampled distributions'!SUSP.w3A</vt:lpstr>
      <vt:lpstr>SUSP.w3A</vt:lpstr>
      <vt:lpstr>'Presampled distributions'!SUSP.w3M</vt:lpstr>
      <vt:lpstr>SUSP.w3M</vt:lpstr>
      <vt:lpstr>'Presampled distributions'!SUSP.w3T</vt:lpstr>
      <vt:lpstr>SUSP.w3T</vt:lpstr>
      <vt:lpstr>'Presampled distributions'!SUSP.wL</vt:lpstr>
      <vt:lpstr>SUSP.wL</vt:lpstr>
      <vt:lpstr>'Presampled distributions'!SYSTEMAREA.A</vt:lpstr>
      <vt:lpstr>SYSTEMAREA.A</vt:lpstr>
      <vt:lpstr>'Presampled distributions'!SYSTEMAREA.C</vt:lpstr>
      <vt:lpstr>SYSTEMAREA.C</vt:lpstr>
      <vt:lpstr>'Presampled distributions'!SYSTEMAREA.L</vt:lpstr>
      <vt:lpstr>SYSTEMAREA.L</vt:lpstr>
      <vt:lpstr>'Presampled distributions'!SYSTEMAREA.M</vt:lpstr>
      <vt:lpstr>SYSTEMAREA.M</vt:lpstr>
      <vt:lpstr>'Presampled distributions'!SYSTEMAREA.R</vt:lpstr>
      <vt:lpstr>SYSTEMAREA.R</vt:lpstr>
      <vt:lpstr>'Presampled distributions'!SYSTEMAREA.T</vt:lpstr>
      <vt:lpstr>SYSTEMAREA.T</vt:lpstr>
      <vt:lpstr>'Presampled distributions'!TAU.aA</vt:lpstr>
      <vt:lpstr>TAU.aA</vt:lpstr>
      <vt:lpstr>'Presampled distributions'!TAU.aC</vt:lpstr>
      <vt:lpstr>TAU.aC</vt:lpstr>
      <vt:lpstr>'Presampled distributions'!TAU.aL</vt:lpstr>
      <vt:lpstr>TAU.aL</vt:lpstr>
      <vt:lpstr>'Presampled distributions'!TAU.aR</vt:lpstr>
      <vt:lpstr>TAU.aR</vt:lpstr>
      <vt:lpstr>'Presampled distributions'!TAU.aT</vt:lpstr>
      <vt:lpstr>TAU.aT</vt:lpstr>
      <vt:lpstr>'Presampled distributions'!TAU.surfA</vt:lpstr>
      <vt:lpstr>TAU.surfA</vt:lpstr>
      <vt:lpstr>'Presampled distributions'!TAU.surfM</vt:lpstr>
      <vt:lpstr>TAU.surfM</vt:lpstr>
      <vt:lpstr>'Presampled distributions'!TAU.surfT</vt:lpstr>
      <vt:lpstr>TAU.surfT</vt:lpstr>
      <vt:lpstr>'Presampled distributions'!TAU.w2C</vt:lpstr>
      <vt:lpstr>TAU.w2C</vt:lpstr>
      <vt:lpstr>'Presampled distributions'!tdry.A</vt:lpstr>
      <vt:lpstr>tdry.A</vt:lpstr>
      <vt:lpstr>'Presampled distributions'!tdry.C</vt:lpstr>
      <vt:lpstr>tdry.C</vt:lpstr>
      <vt:lpstr>'Presampled distributions'!tdry.L</vt:lpstr>
      <vt:lpstr>tdry.L</vt:lpstr>
      <vt:lpstr>'Presampled distributions'!tdry.M</vt:lpstr>
      <vt:lpstr>tdry.M</vt:lpstr>
      <vt:lpstr>'Presampled distributions'!tdry.R</vt:lpstr>
      <vt:lpstr>tdry.R</vt:lpstr>
      <vt:lpstr>'Presampled distributions'!tdry.T</vt:lpstr>
      <vt:lpstr>tdry.T</vt:lpstr>
      <vt:lpstr>'Presampled distributions'!TEMP.A</vt:lpstr>
      <vt:lpstr>TEMP.A</vt:lpstr>
      <vt:lpstr>'Presampled distributions'!TEMP.C</vt:lpstr>
      <vt:lpstr>TEMP.C</vt:lpstr>
      <vt:lpstr>'Presampled distributions'!TEMP.L</vt:lpstr>
      <vt:lpstr>TEMP.L</vt:lpstr>
      <vt:lpstr>'Presampled distributions'!TEMP.M</vt:lpstr>
      <vt:lpstr>TEMP.M</vt:lpstr>
      <vt:lpstr>'Presampled distributions'!TEMP.R</vt:lpstr>
      <vt:lpstr>TEMP.R</vt:lpstr>
      <vt:lpstr>'Presampled distributions'!TEMP.T</vt:lpstr>
      <vt:lpstr>TEMP.T</vt:lpstr>
      <vt:lpstr>'Presampled distributions'!Tempfactor.aA</vt:lpstr>
      <vt:lpstr>Tempfactor.aA</vt:lpstr>
      <vt:lpstr>'Presampled distributions'!Tempfactor.aC</vt:lpstr>
      <vt:lpstr>Tempfactor.aC</vt:lpstr>
      <vt:lpstr>'Presampled distributions'!Tempfactor.aL</vt:lpstr>
      <vt:lpstr>Tempfactor.aL</vt:lpstr>
      <vt:lpstr>'Presampled distributions'!Tempfactor.aM</vt:lpstr>
      <vt:lpstr>Tempfactor.aM</vt:lpstr>
      <vt:lpstr>'Presampled distributions'!Tempfactor.aR</vt:lpstr>
      <vt:lpstr>Tempfactor.aR</vt:lpstr>
      <vt:lpstr>'Presampled distributions'!Tempfactor.aT</vt:lpstr>
      <vt:lpstr>Tempfactor.aT</vt:lpstr>
      <vt:lpstr>'Presampled distributions'!Tempfactor.wsdsA</vt:lpstr>
      <vt:lpstr>Tempfactor.wsdsA</vt:lpstr>
      <vt:lpstr>'Presampled distributions'!Tempfactor.wsdsC</vt:lpstr>
      <vt:lpstr>Tempfactor.wsdsC</vt:lpstr>
      <vt:lpstr>'Presampled distributions'!Tempfactor.wsdsL</vt:lpstr>
      <vt:lpstr>Tempfactor.wsdsL</vt:lpstr>
      <vt:lpstr>'Presampled distributions'!Tempfactor.wsdsM</vt:lpstr>
      <vt:lpstr>Tempfactor.wsdsM</vt:lpstr>
      <vt:lpstr>'Presampled distributions'!Tempfactor.wsdsR</vt:lpstr>
      <vt:lpstr>Tempfactor.wsdsR</vt:lpstr>
      <vt:lpstr>'Presampled distributions'!Tempfactor.wsdsT</vt:lpstr>
      <vt:lpstr>Tempfactor.wsdsT</vt:lpstr>
      <vt:lpstr>tend.I</vt:lpstr>
      <vt:lpstr>tend.II</vt:lpstr>
      <vt:lpstr>'Presampled distributions'!Tm</vt:lpstr>
      <vt:lpstr>Tm</vt:lpstr>
      <vt:lpstr>'Presampled distributions'!twet.A</vt:lpstr>
      <vt:lpstr>twet.A</vt:lpstr>
      <vt:lpstr>'Presampled distributions'!twet.C</vt:lpstr>
      <vt:lpstr>twet.C</vt:lpstr>
      <vt:lpstr>'Presampled distributions'!twet.L</vt:lpstr>
      <vt:lpstr>twet.L</vt:lpstr>
      <vt:lpstr>'Presampled distributions'!twet.M</vt:lpstr>
      <vt:lpstr>twet.M</vt:lpstr>
      <vt:lpstr>'Presampled distributions'!twet.R</vt:lpstr>
      <vt:lpstr>twet.R</vt:lpstr>
      <vt:lpstr>'Presampled distributions'!twet.T</vt:lpstr>
      <vt:lpstr>twet.T</vt:lpstr>
      <vt:lpstr>v</vt:lpstr>
      <vt:lpstr>vars</vt:lpstr>
      <vt:lpstr>'Presampled distributions'!Veff.sL</vt:lpstr>
      <vt:lpstr>Veff.sL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'Presampled distributions'!VOLATflow.sL.aL</vt:lpstr>
      <vt:lpstr>VOLATflow.sL.aL</vt:lpstr>
      <vt:lpstr>'Presampled distributions'!VOLATflow.wL.aL</vt:lpstr>
      <vt:lpstr>VOLATflow.wL.aL</vt:lpstr>
      <vt:lpstr>'Presampled distributions'!VOLUME.aA</vt:lpstr>
      <vt:lpstr>VOLUME.aA</vt:lpstr>
      <vt:lpstr>'Presampled distributions'!VOLUME.aC</vt:lpstr>
      <vt:lpstr>VOLUME.aC</vt:lpstr>
      <vt:lpstr>'Presampled distributions'!VOLUME.aL</vt:lpstr>
      <vt:lpstr>VOLUME.aL</vt:lpstr>
      <vt:lpstr>'Presampled distributions'!VOLUME.aM</vt:lpstr>
      <vt:lpstr>VOLUME.aM</vt:lpstr>
      <vt:lpstr>'Presampled distributions'!VOLUME.aR</vt:lpstr>
      <vt:lpstr>VOLUME.aR</vt:lpstr>
      <vt:lpstr>'Presampled distributions'!VOLUME.aT</vt:lpstr>
      <vt:lpstr>VOLUME.aT</vt:lpstr>
      <vt:lpstr>'Presampled distributions'!VOLUME.s1C</vt:lpstr>
      <vt:lpstr>VOLUME.s1C</vt:lpstr>
      <vt:lpstr>'Presampled distributions'!VOLUME.s1R</vt:lpstr>
      <vt:lpstr>VOLUME.s1R</vt:lpstr>
      <vt:lpstr>'Presampled distributions'!VOLUME.s2C</vt:lpstr>
      <vt:lpstr>VOLUME.s2C</vt:lpstr>
      <vt:lpstr>'Presampled distributions'!VOLUME.s2R</vt:lpstr>
      <vt:lpstr>VOLUME.s2R</vt:lpstr>
      <vt:lpstr>'Presampled distributions'!VOLUME.s3C</vt:lpstr>
      <vt:lpstr>VOLUME.s3C</vt:lpstr>
      <vt:lpstr>'Presampled distributions'!VOLUME.s3R</vt:lpstr>
      <vt:lpstr>VOLUME.s3R</vt:lpstr>
      <vt:lpstr>'Presampled distributions'!VOLUME.sA</vt:lpstr>
      <vt:lpstr>VOLUME.sA</vt:lpstr>
      <vt:lpstr>'Presampled distributions'!VOLUME.sd1C</vt:lpstr>
      <vt:lpstr>VOLUME.sd1C</vt:lpstr>
      <vt:lpstr>'Presampled distributions'!VOLUME.sd1R</vt:lpstr>
      <vt:lpstr>VOLUME.sd1R</vt:lpstr>
      <vt:lpstr>'Presampled distributions'!VOLUME.sd2C</vt:lpstr>
      <vt:lpstr>VOLUME.sd2C</vt:lpstr>
      <vt:lpstr>'Presampled distributions'!VOLUME.sd2R</vt:lpstr>
      <vt:lpstr>VOLUME.sd2R</vt:lpstr>
      <vt:lpstr>'Presampled distributions'!VOLUME.sdA</vt:lpstr>
      <vt:lpstr>VOLUME.sdA</vt:lpstr>
      <vt:lpstr>'Presampled distributions'!VOLUME.sdL</vt:lpstr>
      <vt:lpstr>VOLUME.sdL</vt:lpstr>
      <vt:lpstr>'Presampled distributions'!VOLUME.sdM</vt:lpstr>
      <vt:lpstr>VOLUME.sdM</vt:lpstr>
      <vt:lpstr>'Presampled distributions'!VOLUME.sdT</vt:lpstr>
      <vt:lpstr>VOLUME.sdT</vt:lpstr>
      <vt:lpstr>'Presampled distributions'!VOLUME.sL</vt:lpstr>
      <vt:lpstr>VOLUME.sL</vt:lpstr>
      <vt:lpstr>'Presampled distributions'!VOLUME.sM</vt:lpstr>
      <vt:lpstr>VOLUME.sM</vt:lpstr>
      <vt:lpstr>'Presampled distributions'!VOLUME.sT</vt:lpstr>
      <vt:lpstr>VOLUME.sT</vt:lpstr>
      <vt:lpstr>'Presampled distributions'!VOLUME.w0C</vt:lpstr>
      <vt:lpstr>VOLUME.w0C</vt:lpstr>
      <vt:lpstr>'Presampled distributions'!VOLUME.w0R</vt:lpstr>
      <vt:lpstr>VOLUME.w0R</vt:lpstr>
      <vt:lpstr>'Presampled distributions'!VOLUME.w1C</vt:lpstr>
      <vt:lpstr>VOLUME.w1C</vt:lpstr>
      <vt:lpstr>'Presampled distributions'!VOLUME.w1R</vt:lpstr>
      <vt:lpstr>VOLUME.w1R</vt:lpstr>
      <vt:lpstr>'Presampled distributions'!VOLUME.w2A</vt:lpstr>
      <vt:lpstr>VOLUME.w2A</vt:lpstr>
      <vt:lpstr>'Presampled distributions'!VOLUME.w2C</vt:lpstr>
      <vt:lpstr>VOLUME.w2C</vt:lpstr>
      <vt:lpstr>'Presampled distributions'!VOLUME.w2M</vt:lpstr>
      <vt:lpstr>VOLUME.w2M</vt:lpstr>
      <vt:lpstr>'Presampled distributions'!VOLUME.w2R</vt:lpstr>
      <vt:lpstr>VOLUME.w2R</vt:lpstr>
      <vt:lpstr>'Presampled distributions'!VOLUME.w2T</vt:lpstr>
      <vt:lpstr>VOLUME.w2T</vt:lpstr>
      <vt:lpstr>'Presampled distributions'!VOLUME.w3A</vt:lpstr>
      <vt:lpstr>VOLUME.w3A</vt:lpstr>
      <vt:lpstr>'Presampled distributions'!VOLUME.w3M</vt:lpstr>
      <vt:lpstr>VOLUME.w3M</vt:lpstr>
      <vt:lpstr>'Presampled distributions'!VOLUME.w3T</vt:lpstr>
      <vt:lpstr>VOLUME.w3T</vt:lpstr>
      <vt:lpstr>'Presampled distributions'!VOLUME.wL</vt:lpstr>
      <vt:lpstr>VOLUME.wL</vt:lpstr>
      <vt:lpstr>'Presampled distributions'!WATERflow.w0C.w1C</vt:lpstr>
      <vt:lpstr>WATERflow.w0C.w1C</vt:lpstr>
      <vt:lpstr>'Presampled distributions'!WATERflow.w0C.w2C</vt:lpstr>
      <vt:lpstr>WATERflow.w0C.w2C</vt:lpstr>
      <vt:lpstr>'Presampled distributions'!WATERflow.w0R.w1R</vt:lpstr>
      <vt:lpstr>WATERflow.w0R.w1R</vt:lpstr>
      <vt:lpstr>'Presampled distributions'!WATERflow.w0R.w2R</vt:lpstr>
      <vt:lpstr>WATERflow.w0R.w2R</vt:lpstr>
      <vt:lpstr>'Presampled distributions'!WATERflow.w1C.w0C</vt:lpstr>
      <vt:lpstr>WATERflow.w1C.w0C</vt:lpstr>
      <vt:lpstr>'Presampled distributions'!WATERflow.w1C.w1R</vt:lpstr>
      <vt:lpstr>WATERflow.w1C.w1R</vt:lpstr>
      <vt:lpstr>'Presampled distributions'!WATERflow.w1C.w2C</vt:lpstr>
      <vt:lpstr>WATERflow.w1C.w2C</vt:lpstr>
      <vt:lpstr>'Presampled distributions'!WATERflow.w1R.w0R</vt:lpstr>
      <vt:lpstr>WATERflow.w1R.w0R</vt:lpstr>
      <vt:lpstr>'Presampled distributions'!WATERflow.w1R.w2R</vt:lpstr>
      <vt:lpstr>WATERflow.w1R.w2R</vt:lpstr>
      <vt:lpstr>'Presampled distributions'!WATERflow.w1R.wL</vt:lpstr>
      <vt:lpstr>WATERflow.w1R.wL</vt:lpstr>
      <vt:lpstr>'Presampled distributions'!WATERflow.w2A.w2M</vt:lpstr>
      <vt:lpstr>WATERflow.w2A.w2M</vt:lpstr>
      <vt:lpstr>'Presampled distributions'!WATERflow.w2C.w2M</vt:lpstr>
      <vt:lpstr>WATERflow.w2C.w2M</vt:lpstr>
      <vt:lpstr>'Presampled distributions'!WATERflow.w2C.w2R</vt:lpstr>
      <vt:lpstr>WATERflow.w2C.w2R</vt:lpstr>
      <vt:lpstr>'Presampled distributions'!WATERflow.w2M.w2A</vt:lpstr>
      <vt:lpstr>WATERflow.w2M.w2A</vt:lpstr>
      <vt:lpstr>'Presampled distributions'!WATERflow.w2M.w2C</vt:lpstr>
      <vt:lpstr>WATERflow.w2M.w2C</vt:lpstr>
      <vt:lpstr>'Presampled distributions'!WATERflow.w2M.w2T</vt:lpstr>
      <vt:lpstr>WATERflow.w2M.w2T</vt:lpstr>
      <vt:lpstr>'Presampled distributions'!WATERflow.w2R.w2C</vt:lpstr>
      <vt:lpstr>WATERflow.w2R.w2C</vt:lpstr>
      <vt:lpstr>'Presampled distributions'!WATERflow.w2T.w2M</vt:lpstr>
      <vt:lpstr>WATERflow.w2T.w2M</vt:lpstr>
      <vt:lpstr>'Presampled distributions'!WATERflow.wL.w1R</vt:lpstr>
      <vt:lpstr>WATERflow.wL.w1R</vt:lpstr>
      <vt:lpstr>'Presampled distributions'!WATERflow.wL.w2R</vt:lpstr>
      <vt:lpstr>WATERflow.wL.w2R</vt:lpstr>
      <vt:lpstr>'Presampled distributions'!WATERrun.sL</vt:lpstr>
      <vt:lpstr>WATERrun.sL</vt:lpstr>
      <vt:lpstr>'Presampled distributions'!WINDspeed.A</vt:lpstr>
      <vt:lpstr>WINDspeed.A</vt:lpstr>
      <vt:lpstr>'Presampled distributions'!WINDspeed.C</vt:lpstr>
      <vt:lpstr>WINDspeed.C</vt:lpstr>
      <vt:lpstr>'Presampled distributions'!WINDspeed.L</vt:lpstr>
      <vt:lpstr>WINDspeed.L</vt:lpstr>
      <vt:lpstr>'Presampled distributions'!WINDspeed.M</vt:lpstr>
      <vt:lpstr>WINDspeed.M</vt:lpstr>
      <vt:lpstr>'Presampled distributions'!WINDspeed.R</vt:lpstr>
      <vt:lpstr>WINDspeed.R</vt:lpstr>
      <vt:lpstr>'Presampled distributions'!WINDspeed.T</vt:lpstr>
      <vt:lpstr>WINDspeed.T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Agnese Fuortes</cp:lastModifiedBy>
  <cp:lastPrinted>2014-04-07T07:45:23Z</cp:lastPrinted>
  <dcterms:created xsi:type="dcterms:W3CDTF">2000-08-28T11:36:35Z</dcterms:created>
  <dcterms:modified xsi:type="dcterms:W3CDTF">2023-06-27T10:49:08Z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0x010100F29608413A629645AE1F0F68C4E8E1AE</vt:lpwstr>
  </property>
  <property fmtid="{D5CDD505-2E9C-101B-9397-08002B2CF9AE}" pid="3" name="MediaServiceImageTags">
    <vt:lpwstr/>
  </property>
</Properties>
</file>